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wjus\Downloads\"/>
    </mc:Choice>
  </mc:AlternateContent>
  <xr:revisionPtr revIDLastSave="0" documentId="13_ncr:1_{3AC129DC-59FB-4812-82BE-B354A9DE0E45}" xr6:coauthVersionLast="47" xr6:coauthVersionMax="47" xr10:uidLastSave="{00000000-0000-0000-0000-000000000000}"/>
  <bookViews>
    <workbookView xWindow="-120" yWindow="-120" windowWidth="29040" windowHeight="15720" firstSheet="5" activeTab="5" xr2:uid="{00000000-000D-0000-FFFF-FFFF00000000}"/>
  </bookViews>
  <sheets>
    <sheet name="Sheet1" sheetId="1" state="hidden" r:id="rId1"/>
    <sheet name="Copy of Sheet1" sheetId="2" state="hidden" r:id="rId2"/>
    <sheet name="Copy of Copy of Sheet1" sheetId="3" state="hidden" r:id="rId3"/>
    <sheet name="Sheet2" sheetId="4" state="hidden" r:id="rId4"/>
    <sheet name="Sheet3" sheetId="5" state="hidden" r:id="rId5"/>
    <sheet name="Sheet4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3" i="6" l="1"/>
  <c r="V42" i="6"/>
  <c r="U42" i="6" a="1"/>
  <c r="U42" i="6" s="1"/>
  <c r="V33" i="6" a="1"/>
  <c r="V33" i="6" s="1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7" i="6"/>
  <c r="S128" i="6"/>
  <c r="S129" i="6"/>
  <c r="S130" i="6"/>
  <c r="S131" i="6"/>
  <c r="S132" i="6"/>
  <c r="S133" i="6"/>
  <c r="S134" i="6"/>
  <c r="S135" i="6"/>
  <c r="S136" i="6"/>
  <c r="S137" i="6"/>
  <c r="S138" i="6"/>
  <c r="S139" i="6"/>
  <c r="S140" i="6"/>
  <c r="S141" i="6"/>
  <c r="S142" i="6"/>
  <c r="S143" i="6"/>
  <c r="S144" i="6"/>
  <c r="S145" i="6"/>
  <c r="S146" i="6"/>
  <c r="S147" i="6"/>
  <c r="S148" i="6"/>
  <c r="S149" i="6"/>
  <c r="S150" i="6"/>
  <c r="S151" i="6"/>
  <c r="S152" i="6"/>
  <c r="S153" i="6"/>
  <c r="S154" i="6"/>
  <c r="S155" i="6"/>
  <c r="S156" i="6"/>
  <c r="S157" i="6"/>
  <c r="S158" i="6"/>
  <c r="S159" i="6"/>
  <c r="S160" i="6"/>
  <c r="S161" i="6"/>
  <c r="S162" i="6"/>
  <c r="S163" i="6"/>
  <c r="S164" i="6"/>
  <c r="S165" i="6"/>
  <c r="S166" i="6"/>
  <c r="S167" i="6"/>
  <c r="S168" i="6"/>
  <c r="S169" i="6"/>
  <c r="S170" i="6"/>
  <c r="S171" i="6"/>
  <c r="S172" i="6"/>
  <c r="S173" i="6"/>
  <c r="S174" i="6"/>
  <c r="S175" i="6"/>
  <c r="S176" i="6"/>
  <c r="S177" i="6"/>
  <c r="S178" i="6"/>
  <c r="S179" i="6"/>
  <c r="S180" i="6"/>
  <c r="S181" i="6"/>
  <c r="S182" i="6"/>
  <c r="S183" i="6"/>
  <c r="S184" i="6"/>
  <c r="S185" i="6"/>
  <c r="S186" i="6"/>
  <c r="S187" i="6"/>
  <c r="S188" i="6"/>
  <c r="S189" i="6"/>
  <c r="S190" i="6"/>
  <c r="S191" i="6"/>
  <c r="S192" i="6"/>
  <c r="S193" i="6"/>
  <c r="S194" i="6"/>
  <c r="S195" i="6"/>
  <c r="S196" i="6"/>
  <c r="S197" i="6"/>
  <c r="S198" i="6"/>
  <c r="S199" i="6"/>
  <c r="S200" i="6"/>
  <c r="S201" i="6"/>
  <c r="S202" i="6"/>
  <c r="S203" i="6"/>
  <c r="S204" i="6"/>
  <c r="S205" i="6"/>
  <c r="S206" i="6"/>
  <c r="S207" i="6"/>
  <c r="S208" i="6"/>
  <c r="S209" i="6"/>
  <c r="S210" i="6"/>
  <c r="S211" i="6"/>
  <c r="S212" i="6"/>
  <c r="S213" i="6"/>
  <c r="S214" i="6"/>
  <c r="S215" i="6"/>
  <c r="S216" i="6"/>
  <c r="S217" i="6"/>
  <c r="S218" i="6"/>
  <c r="S219" i="6"/>
  <c r="S220" i="6"/>
  <c r="S221" i="6"/>
  <c r="S222" i="6"/>
  <c r="S223" i="6"/>
  <c r="S224" i="6"/>
  <c r="S225" i="6"/>
  <c r="S226" i="6"/>
  <c r="S227" i="6"/>
  <c r="S228" i="6"/>
  <c r="S229" i="6"/>
  <c r="S230" i="6"/>
  <c r="S231" i="6"/>
  <c r="S232" i="6"/>
  <c r="S233" i="6"/>
  <c r="S234" i="6"/>
  <c r="S235" i="6"/>
  <c r="S236" i="6"/>
  <c r="S237" i="6"/>
  <c r="S238" i="6"/>
  <c r="S239" i="6"/>
  <c r="S240" i="6"/>
  <c r="S241" i="6"/>
  <c r="S242" i="6"/>
  <c r="S243" i="6"/>
  <c r="S244" i="6"/>
  <c r="S245" i="6"/>
  <c r="S246" i="6"/>
  <c r="S247" i="6"/>
  <c r="S248" i="6"/>
  <c r="S249" i="6"/>
  <c r="S250" i="6"/>
  <c r="S251" i="6"/>
  <c r="S252" i="6"/>
  <c r="S253" i="6"/>
  <c r="S254" i="6"/>
  <c r="S255" i="6"/>
  <c r="S256" i="6"/>
  <c r="S257" i="6"/>
  <c r="S258" i="6"/>
  <c r="S259" i="6"/>
  <c r="S260" i="6"/>
  <c r="S261" i="6"/>
  <c r="S262" i="6"/>
  <c r="S263" i="6"/>
  <c r="S264" i="6"/>
  <c r="S265" i="6"/>
  <c r="S266" i="6"/>
  <c r="S267" i="6"/>
  <c r="S268" i="6"/>
  <c r="S269" i="6"/>
  <c r="S270" i="6"/>
  <c r="S271" i="6"/>
  <c r="S272" i="6"/>
  <c r="S273" i="6"/>
  <c r="S274" i="6"/>
  <c r="S275" i="6"/>
  <c r="S276" i="6"/>
  <c r="S277" i="6"/>
  <c r="S278" i="6"/>
  <c r="S279" i="6"/>
  <c r="S280" i="6"/>
  <c r="S281" i="6"/>
  <c r="S282" i="6"/>
  <c r="S283" i="6"/>
  <c r="S284" i="6"/>
  <c r="S285" i="6"/>
  <c r="S286" i="6"/>
  <c r="S287" i="6"/>
  <c r="S288" i="6"/>
  <c r="S289" i="6"/>
  <c r="S290" i="6"/>
  <c r="S291" i="6"/>
  <c r="S292" i="6"/>
  <c r="S293" i="6"/>
  <c r="S294" i="6"/>
  <c r="S295" i="6"/>
  <c r="S296" i="6"/>
  <c r="S297" i="6"/>
  <c r="S298" i="6"/>
  <c r="S299" i="6"/>
  <c r="S300" i="6"/>
  <c r="S301" i="6"/>
  <c r="S302" i="6"/>
  <c r="S303" i="6"/>
  <c r="S304" i="6"/>
  <c r="S305" i="6"/>
  <c r="S306" i="6"/>
  <c r="S307" i="6"/>
  <c r="S308" i="6"/>
  <c r="S309" i="6"/>
  <c r="S310" i="6"/>
  <c r="S311" i="6"/>
  <c r="S312" i="6"/>
  <c r="S313" i="6"/>
  <c r="S314" i="6"/>
  <c r="S315" i="6"/>
  <c r="S316" i="6"/>
  <c r="S317" i="6"/>
  <c r="S318" i="6"/>
  <c r="S319" i="6"/>
  <c r="S320" i="6"/>
  <c r="S321" i="6"/>
  <c r="S322" i="6"/>
  <c r="S323" i="6"/>
  <c r="S324" i="6"/>
  <c r="S325" i="6"/>
  <c r="S326" i="6"/>
  <c r="S327" i="6"/>
  <c r="S328" i="6"/>
  <c r="S329" i="6"/>
  <c r="S330" i="6"/>
  <c r="S331" i="6"/>
  <c r="S332" i="6"/>
  <c r="S333" i="6"/>
  <c r="S334" i="6"/>
  <c r="S335" i="6"/>
  <c r="S336" i="6"/>
  <c r="S337" i="6"/>
  <c r="S338" i="6"/>
  <c r="S339" i="6"/>
  <c r="S340" i="6"/>
  <c r="S341" i="6"/>
  <c r="S342" i="6"/>
  <c r="S343" i="6"/>
  <c r="S344" i="6"/>
  <c r="S345" i="6"/>
  <c r="S346" i="6"/>
  <c r="S347" i="6"/>
  <c r="S348" i="6"/>
  <c r="S349" i="6"/>
  <c r="S350" i="6"/>
  <c r="S351" i="6"/>
  <c r="S352" i="6"/>
  <c r="S353" i="6"/>
  <c r="S354" i="6"/>
  <c r="S355" i="6"/>
  <c r="S356" i="6"/>
  <c r="S357" i="6"/>
  <c r="S358" i="6"/>
  <c r="S359" i="6"/>
  <c r="S360" i="6"/>
  <c r="S361" i="6"/>
  <c r="S362" i="6"/>
  <c r="S363" i="6"/>
  <c r="S364" i="6"/>
  <c r="S365" i="6"/>
  <c r="S366" i="6"/>
  <c r="S367" i="6"/>
  <c r="S368" i="6"/>
  <c r="S369" i="6"/>
  <c r="S370" i="6"/>
  <c r="S371" i="6"/>
  <c r="S372" i="6"/>
  <c r="S373" i="6"/>
  <c r="S374" i="6"/>
  <c r="S375" i="6"/>
  <c r="S376" i="6"/>
  <c r="S377" i="6"/>
  <c r="S378" i="6"/>
  <c r="S379" i="6"/>
  <c r="S380" i="6"/>
  <c r="S381" i="6"/>
  <c r="S382" i="6"/>
  <c r="S383" i="6"/>
  <c r="S384" i="6"/>
  <c r="S385" i="6"/>
  <c r="S386" i="6"/>
  <c r="S387" i="6"/>
  <c r="S388" i="6"/>
  <c r="S389" i="6"/>
  <c r="S390" i="6"/>
  <c r="S391" i="6"/>
  <c r="S392" i="6"/>
  <c r="S393" i="6"/>
  <c r="S394" i="6"/>
  <c r="S395" i="6"/>
  <c r="S396" i="6"/>
  <c r="S397" i="6"/>
  <c r="S398" i="6"/>
  <c r="S399" i="6"/>
  <c r="S400" i="6"/>
  <c r="S401" i="6"/>
  <c r="S402" i="6"/>
  <c r="S403" i="6"/>
  <c r="S404" i="6"/>
  <c r="S405" i="6"/>
  <c r="S406" i="6"/>
  <c r="S407" i="6"/>
  <c r="S408" i="6"/>
  <c r="S409" i="6"/>
  <c r="S410" i="6"/>
  <c r="S411" i="6"/>
  <c r="S412" i="6"/>
  <c r="S413" i="6"/>
  <c r="S414" i="6"/>
  <c r="S415" i="6"/>
  <c r="S416" i="6"/>
  <c r="S417" i="6"/>
  <c r="S418" i="6"/>
  <c r="S419" i="6"/>
  <c r="S420" i="6"/>
  <c r="S421" i="6"/>
  <c r="S422" i="6"/>
  <c r="S423" i="6"/>
  <c r="S424" i="6"/>
  <c r="S425" i="6"/>
  <c r="S426" i="6"/>
  <c r="S427" i="6"/>
  <c r="S428" i="6"/>
  <c r="S429" i="6"/>
  <c r="S430" i="6"/>
  <c r="S431" i="6"/>
  <c r="S432" i="6"/>
  <c r="S433" i="6"/>
  <c r="S434" i="6"/>
  <c r="S435" i="6"/>
  <c r="S436" i="6"/>
  <c r="S437" i="6"/>
  <c r="S438" i="6"/>
  <c r="S439" i="6"/>
  <c r="S440" i="6"/>
  <c r="S441" i="6"/>
  <c r="S442" i="6"/>
  <c r="S443" i="6"/>
  <c r="S444" i="6"/>
  <c r="S445" i="6"/>
  <c r="S446" i="6"/>
  <c r="S447" i="6"/>
  <c r="S448" i="6"/>
  <c r="S449" i="6"/>
  <c r="S450" i="6"/>
  <c r="S451" i="6"/>
  <c r="S452" i="6"/>
  <c r="S453" i="6"/>
  <c r="S454" i="6"/>
  <c r="S455" i="6"/>
  <c r="S456" i="6"/>
  <c r="S457" i="6"/>
  <c r="S458" i="6"/>
  <c r="S459" i="6"/>
  <c r="S460" i="6"/>
  <c r="S461" i="6"/>
  <c r="S462" i="6"/>
  <c r="S463" i="6"/>
  <c r="S464" i="6"/>
  <c r="S465" i="6"/>
  <c r="S466" i="6"/>
  <c r="S467" i="6"/>
  <c r="S468" i="6"/>
  <c r="S469" i="6"/>
  <c r="S470" i="6"/>
  <c r="S471" i="6"/>
  <c r="S472" i="6"/>
  <c r="S473" i="6"/>
  <c r="S474" i="6"/>
  <c r="S475" i="6"/>
  <c r="S476" i="6"/>
  <c r="S477" i="6"/>
  <c r="S478" i="6"/>
  <c r="S479" i="6"/>
  <c r="S480" i="6"/>
  <c r="S481" i="6"/>
  <c r="S482" i="6"/>
  <c r="S483" i="6"/>
  <c r="S484" i="6"/>
  <c r="S485" i="6"/>
  <c r="S486" i="6"/>
  <c r="S487" i="6"/>
  <c r="S488" i="6"/>
  <c r="S489" i="6"/>
  <c r="S490" i="6"/>
  <c r="S491" i="6"/>
  <c r="S492" i="6"/>
  <c r="S493" i="6"/>
  <c r="S494" i="6"/>
  <c r="S495" i="6"/>
  <c r="S496" i="6"/>
  <c r="S497" i="6"/>
  <c r="S498" i="6"/>
  <c r="S499" i="6"/>
  <c r="S500" i="6"/>
  <c r="S501" i="6"/>
  <c r="S502" i="6"/>
  <c r="S503" i="6"/>
  <c r="S504" i="6"/>
  <c r="S505" i="6"/>
  <c r="S506" i="6"/>
  <c r="S507" i="6"/>
  <c r="S508" i="6"/>
  <c r="S509" i="6"/>
  <c r="S510" i="6"/>
  <c r="S511" i="6"/>
  <c r="S512" i="6"/>
  <c r="S513" i="6"/>
  <c r="S514" i="6"/>
  <c r="S515" i="6"/>
  <c r="S516" i="6"/>
  <c r="S517" i="6"/>
  <c r="S518" i="6"/>
  <c r="S519" i="6"/>
  <c r="S520" i="6"/>
  <c r="S521" i="6"/>
  <c r="S522" i="6"/>
  <c r="S523" i="6"/>
  <c r="S524" i="6"/>
  <c r="S525" i="6"/>
  <c r="S526" i="6"/>
  <c r="S527" i="6"/>
  <c r="S528" i="6"/>
  <c r="S529" i="6"/>
  <c r="S530" i="6"/>
  <c r="S531" i="6"/>
  <c r="S532" i="6"/>
  <c r="S533" i="6"/>
  <c r="S534" i="6"/>
  <c r="S535" i="6"/>
  <c r="S536" i="6"/>
  <c r="S537" i="6"/>
  <c r="S538" i="6"/>
  <c r="S539" i="6"/>
  <c r="S540" i="6"/>
  <c r="S541" i="6"/>
  <c r="S542" i="6"/>
  <c r="S543" i="6"/>
  <c r="S544" i="6"/>
  <c r="S545" i="6"/>
  <c r="S546" i="6"/>
  <c r="S547" i="6"/>
  <c r="S548" i="6"/>
  <c r="S549" i="6"/>
  <c r="S550" i="6"/>
  <c r="S551" i="6"/>
  <c r="S552" i="6"/>
  <c r="S553" i="6"/>
  <c r="S554" i="6"/>
  <c r="S555" i="6"/>
  <c r="S556" i="6"/>
  <c r="S557" i="6"/>
  <c r="S558" i="6"/>
  <c r="S559" i="6"/>
  <c r="S560" i="6"/>
  <c r="S561" i="6"/>
  <c r="S562" i="6"/>
  <c r="S563" i="6"/>
  <c r="S564" i="6"/>
  <c r="S565" i="6"/>
  <c r="S566" i="6"/>
  <c r="S567" i="6"/>
  <c r="S568" i="6"/>
  <c r="S569" i="6"/>
  <c r="S570" i="6"/>
  <c r="S571" i="6"/>
  <c r="S572" i="6"/>
  <c r="S573" i="6"/>
  <c r="S574" i="6"/>
  <c r="S575" i="6"/>
  <c r="S576" i="6"/>
  <c r="S577" i="6"/>
  <c r="S578" i="6"/>
  <c r="S579" i="6"/>
  <c r="S580" i="6"/>
  <c r="S581" i="6"/>
  <c r="S582" i="6"/>
  <c r="S583" i="6"/>
  <c r="S584" i="6"/>
  <c r="S585" i="6"/>
  <c r="S586" i="6"/>
  <c r="S587" i="6"/>
  <c r="S588" i="6"/>
  <c r="S589" i="6"/>
  <c r="S590" i="6"/>
  <c r="S591" i="6"/>
  <c r="S592" i="6"/>
  <c r="S593" i="6"/>
  <c r="S594" i="6"/>
  <c r="S595" i="6"/>
  <c r="S596" i="6"/>
  <c r="S597" i="6"/>
  <c r="S598" i="6"/>
  <c r="S599" i="6"/>
  <c r="S600" i="6"/>
  <c r="S601" i="6"/>
  <c r="S602" i="6"/>
  <c r="S603" i="6"/>
  <c r="S604" i="6"/>
  <c r="S605" i="6"/>
  <c r="S606" i="6"/>
  <c r="S607" i="6"/>
  <c r="S608" i="6"/>
  <c r="S609" i="6"/>
  <c r="S610" i="6"/>
  <c r="S611" i="6"/>
  <c r="S612" i="6"/>
  <c r="S613" i="6"/>
  <c r="S614" i="6"/>
  <c r="S615" i="6"/>
  <c r="S616" i="6"/>
  <c r="S617" i="6"/>
  <c r="S618" i="6"/>
  <c r="S619" i="6"/>
  <c r="S620" i="6"/>
  <c r="S621" i="6"/>
  <c r="S622" i="6"/>
  <c r="S623" i="6"/>
  <c r="S624" i="6"/>
  <c r="S625" i="6"/>
  <c r="S626" i="6"/>
  <c r="S627" i="6"/>
  <c r="S628" i="6"/>
  <c r="S629" i="6"/>
  <c r="S630" i="6"/>
  <c r="S631" i="6"/>
  <c r="S632" i="6"/>
  <c r="S633" i="6"/>
  <c r="S634" i="6"/>
  <c r="S635" i="6"/>
  <c r="S636" i="6"/>
  <c r="S637" i="6"/>
  <c r="S638" i="6"/>
  <c r="S639" i="6"/>
  <c r="S640" i="6"/>
  <c r="S641" i="6"/>
  <c r="S642" i="6"/>
  <c r="S643" i="6"/>
  <c r="S644" i="6"/>
  <c r="S645" i="6"/>
  <c r="S646" i="6"/>
  <c r="S647" i="6"/>
  <c r="S648" i="6"/>
  <c r="S649" i="6"/>
  <c r="S650" i="6"/>
  <c r="S651" i="6"/>
  <c r="S652" i="6"/>
  <c r="S653" i="6"/>
  <c r="S654" i="6"/>
  <c r="S655" i="6"/>
  <c r="S656" i="6"/>
  <c r="S657" i="6"/>
  <c r="S658" i="6"/>
  <c r="S659" i="6"/>
  <c r="S660" i="6"/>
  <c r="S661" i="6"/>
  <c r="S662" i="6"/>
  <c r="S663" i="6"/>
  <c r="S664" i="6"/>
  <c r="S665" i="6"/>
  <c r="S666" i="6"/>
  <c r="S667" i="6"/>
  <c r="S668" i="6"/>
  <c r="S669" i="6"/>
  <c r="S670" i="6"/>
  <c r="S671" i="6"/>
  <c r="S672" i="6"/>
  <c r="S673" i="6"/>
  <c r="S674" i="6"/>
  <c r="S675" i="6"/>
  <c r="S676" i="6"/>
  <c r="S677" i="6"/>
  <c r="S678" i="6"/>
  <c r="S679" i="6"/>
  <c r="S680" i="6"/>
  <c r="S681" i="6"/>
  <c r="S682" i="6"/>
  <c r="S683" i="6"/>
  <c r="S684" i="6"/>
  <c r="S685" i="6"/>
  <c r="S686" i="6"/>
  <c r="S687" i="6"/>
  <c r="S688" i="6"/>
  <c r="S689" i="6"/>
  <c r="S690" i="6"/>
  <c r="S691" i="6"/>
  <c r="S692" i="6"/>
  <c r="S693" i="6"/>
  <c r="S694" i="6"/>
  <c r="S695" i="6"/>
  <c r="S696" i="6"/>
  <c r="S697" i="6"/>
  <c r="S698" i="6"/>
  <c r="S699" i="6"/>
  <c r="S700" i="6"/>
  <c r="S701" i="6"/>
  <c r="S702" i="6"/>
  <c r="S703" i="6"/>
  <c r="S704" i="6"/>
  <c r="S705" i="6"/>
  <c r="S706" i="6"/>
  <c r="S707" i="6"/>
  <c r="S708" i="6"/>
  <c r="S709" i="6"/>
  <c r="S710" i="6"/>
  <c r="S711" i="6"/>
  <c r="S712" i="6"/>
  <c r="S713" i="6"/>
  <c r="S714" i="6"/>
  <c r="S715" i="6"/>
  <c r="S716" i="6"/>
  <c r="S717" i="6"/>
  <c r="S718" i="6"/>
  <c r="S719" i="6"/>
  <c r="S720" i="6"/>
  <c r="S721" i="6"/>
  <c r="S722" i="6"/>
  <c r="S723" i="6"/>
  <c r="S724" i="6"/>
  <c r="S725" i="6"/>
  <c r="S726" i="6"/>
  <c r="S727" i="6"/>
  <c r="S728" i="6"/>
  <c r="S729" i="6"/>
  <c r="S730" i="6"/>
  <c r="S731" i="6"/>
  <c r="S732" i="6"/>
  <c r="S733" i="6"/>
  <c r="S734" i="6"/>
  <c r="S735" i="6"/>
  <c r="S736" i="6"/>
  <c r="S737" i="6"/>
  <c r="S738" i="6"/>
  <c r="S739" i="6"/>
  <c r="S740" i="6"/>
  <c r="S741" i="6"/>
  <c r="S742" i="6"/>
  <c r="S743" i="6"/>
  <c r="S744" i="6"/>
  <c r="S745" i="6"/>
  <c r="S746" i="6"/>
  <c r="S747" i="6"/>
  <c r="S748" i="6"/>
  <c r="S749" i="6"/>
  <c r="S750" i="6"/>
  <c r="S751" i="6"/>
  <c r="S752" i="6"/>
  <c r="S753" i="6"/>
  <c r="S754" i="6"/>
  <c r="S755" i="6"/>
  <c r="S756" i="6"/>
  <c r="S757" i="6"/>
  <c r="S758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138" i="6"/>
  <c r="R139" i="6"/>
  <c r="R140" i="6"/>
  <c r="R141" i="6"/>
  <c r="R142" i="6"/>
  <c r="R143" i="6"/>
  <c r="R144" i="6"/>
  <c r="R145" i="6"/>
  <c r="R146" i="6"/>
  <c r="R147" i="6"/>
  <c r="R148" i="6"/>
  <c r="R149" i="6"/>
  <c r="R150" i="6"/>
  <c r="R151" i="6"/>
  <c r="R152" i="6"/>
  <c r="R153" i="6"/>
  <c r="R154" i="6"/>
  <c r="R155" i="6"/>
  <c r="R156" i="6"/>
  <c r="R157" i="6"/>
  <c r="R158" i="6"/>
  <c r="R159" i="6"/>
  <c r="R160" i="6"/>
  <c r="R161" i="6"/>
  <c r="R162" i="6"/>
  <c r="R163" i="6"/>
  <c r="R164" i="6"/>
  <c r="R165" i="6"/>
  <c r="R166" i="6"/>
  <c r="R167" i="6"/>
  <c r="R168" i="6"/>
  <c r="R169" i="6"/>
  <c r="R170" i="6"/>
  <c r="R171" i="6"/>
  <c r="R172" i="6"/>
  <c r="R173" i="6"/>
  <c r="R174" i="6"/>
  <c r="R175" i="6"/>
  <c r="R176" i="6"/>
  <c r="R177" i="6"/>
  <c r="R178" i="6"/>
  <c r="R179" i="6"/>
  <c r="R180" i="6"/>
  <c r="R181" i="6"/>
  <c r="R182" i="6"/>
  <c r="R183" i="6"/>
  <c r="R184" i="6"/>
  <c r="R185" i="6"/>
  <c r="R186" i="6"/>
  <c r="R187" i="6"/>
  <c r="R188" i="6"/>
  <c r="R189" i="6"/>
  <c r="R190" i="6"/>
  <c r="R191" i="6"/>
  <c r="R192" i="6"/>
  <c r="R193" i="6"/>
  <c r="R194" i="6"/>
  <c r="R195" i="6"/>
  <c r="R196" i="6"/>
  <c r="R197" i="6"/>
  <c r="R198" i="6"/>
  <c r="R199" i="6"/>
  <c r="R200" i="6"/>
  <c r="R201" i="6"/>
  <c r="R202" i="6"/>
  <c r="R203" i="6"/>
  <c r="R204" i="6"/>
  <c r="R205" i="6"/>
  <c r="R206" i="6"/>
  <c r="R207" i="6"/>
  <c r="R208" i="6"/>
  <c r="R209" i="6"/>
  <c r="R210" i="6"/>
  <c r="R211" i="6"/>
  <c r="R212" i="6"/>
  <c r="R213" i="6"/>
  <c r="R214" i="6"/>
  <c r="R215" i="6"/>
  <c r="R216" i="6"/>
  <c r="R217" i="6"/>
  <c r="R218" i="6"/>
  <c r="R219" i="6"/>
  <c r="R220" i="6"/>
  <c r="R221" i="6"/>
  <c r="R222" i="6"/>
  <c r="R223" i="6"/>
  <c r="R224" i="6"/>
  <c r="R225" i="6"/>
  <c r="R226" i="6"/>
  <c r="R227" i="6"/>
  <c r="R228" i="6"/>
  <c r="R229" i="6"/>
  <c r="R230" i="6"/>
  <c r="R231" i="6"/>
  <c r="R232" i="6"/>
  <c r="R233" i="6"/>
  <c r="R234" i="6"/>
  <c r="R235" i="6"/>
  <c r="R236" i="6"/>
  <c r="R237" i="6"/>
  <c r="R238" i="6"/>
  <c r="R239" i="6"/>
  <c r="R240" i="6"/>
  <c r="R241" i="6"/>
  <c r="R242" i="6"/>
  <c r="R243" i="6"/>
  <c r="R244" i="6"/>
  <c r="R245" i="6"/>
  <c r="R246" i="6"/>
  <c r="R247" i="6"/>
  <c r="R248" i="6"/>
  <c r="R249" i="6"/>
  <c r="R250" i="6"/>
  <c r="R251" i="6"/>
  <c r="R252" i="6"/>
  <c r="R253" i="6"/>
  <c r="R254" i="6"/>
  <c r="R255" i="6"/>
  <c r="R256" i="6"/>
  <c r="R257" i="6"/>
  <c r="R258" i="6"/>
  <c r="R259" i="6"/>
  <c r="R260" i="6"/>
  <c r="R261" i="6"/>
  <c r="R262" i="6"/>
  <c r="R263" i="6"/>
  <c r="R264" i="6"/>
  <c r="R265" i="6"/>
  <c r="R266" i="6"/>
  <c r="R267" i="6"/>
  <c r="R268" i="6"/>
  <c r="R269" i="6"/>
  <c r="R270" i="6"/>
  <c r="R271" i="6"/>
  <c r="R272" i="6"/>
  <c r="R273" i="6"/>
  <c r="R274" i="6"/>
  <c r="R275" i="6"/>
  <c r="R276" i="6"/>
  <c r="R277" i="6"/>
  <c r="R278" i="6"/>
  <c r="R279" i="6"/>
  <c r="R280" i="6"/>
  <c r="R281" i="6"/>
  <c r="R282" i="6"/>
  <c r="R283" i="6"/>
  <c r="R284" i="6"/>
  <c r="R285" i="6"/>
  <c r="R286" i="6"/>
  <c r="R287" i="6"/>
  <c r="R288" i="6"/>
  <c r="R289" i="6"/>
  <c r="R290" i="6"/>
  <c r="R291" i="6"/>
  <c r="R292" i="6"/>
  <c r="R293" i="6"/>
  <c r="R294" i="6"/>
  <c r="R295" i="6"/>
  <c r="R296" i="6"/>
  <c r="R297" i="6"/>
  <c r="R298" i="6"/>
  <c r="R299" i="6"/>
  <c r="R300" i="6"/>
  <c r="R301" i="6"/>
  <c r="R302" i="6"/>
  <c r="R303" i="6"/>
  <c r="R304" i="6"/>
  <c r="R305" i="6"/>
  <c r="R306" i="6"/>
  <c r="R307" i="6"/>
  <c r="R308" i="6"/>
  <c r="R309" i="6"/>
  <c r="R310" i="6"/>
  <c r="R311" i="6"/>
  <c r="R312" i="6"/>
  <c r="R313" i="6"/>
  <c r="R314" i="6"/>
  <c r="R315" i="6"/>
  <c r="R316" i="6"/>
  <c r="R317" i="6"/>
  <c r="R318" i="6"/>
  <c r="R319" i="6"/>
  <c r="R320" i="6"/>
  <c r="R321" i="6"/>
  <c r="R322" i="6"/>
  <c r="R323" i="6"/>
  <c r="R324" i="6"/>
  <c r="R325" i="6"/>
  <c r="R326" i="6"/>
  <c r="R327" i="6"/>
  <c r="R328" i="6"/>
  <c r="R329" i="6"/>
  <c r="R330" i="6"/>
  <c r="R331" i="6"/>
  <c r="R332" i="6"/>
  <c r="R333" i="6"/>
  <c r="R334" i="6"/>
  <c r="R335" i="6"/>
  <c r="R336" i="6"/>
  <c r="R337" i="6"/>
  <c r="R338" i="6"/>
  <c r="R339" i="6"/>
  <c r="R340" i="6"/>
  <c r="R341" i="6"/>
  <c r="R342" i="6"/>
  <c r="R343" i="6"/>
  <c r="R344" i="6"/>
  <c r="R345" i="6"/>
  <c r="R346" i="6"/>
  <c r="R347" i="6"/>
  <c r="R348" i="6"/>
  <c r="R349" i="6"/>
  <c r="R350" i="6"/>
  <c r="R351" i="6"/>
  <c r="R352" i="6"/>
  <c r="R353" i="6"/>
  <c r="R354" i="6"/>
  <c r="R355" i="6"/>
  <c r="R356" i="6"/>
  <c r="R357" i="6"/>
  <c r="R358" i="6"/>
  <c r="R359" i="6"/>
  <c r="R360" i="6"/>
  <c r="R361" i="6"/>
  <c r="R362" i="6"/>
  <c r="R363" i="6"/>
  <c r="R364" i="6"/>
  <c r="R365" i="6"/>
  <c r="R366" i="6"/>
  <c r="R367" i="6"/>
  <c r="R368" i="6"/>
  <c r="R369" i="6"/>
  <c r="R370" i="6"/>
  <c r="R371" i="6"/>
  <c r="R372" i="6"/>
  <c r="R373" i="6"/>
  <c r="R374" i="6"/>
  <c r="R375" i="6"/>
  <c r="R376" i="6"/>
  <c r="R377" i="6"/>
  <c r="R378" i="6"/>
  <c r="R379" i="6"/>
  <c r="R380" i="6"/>
  <c r="R381" i="6"/>
  <c r="R382" i="6"/>
  <c r="R383" i="6"/>
  <c r="R384" i="6"/>
  <c r="R385" i="6"/>
  <c r="R386" i="6"/>
  <c r="R387" i="6"/>
  <c r="R388" i="6"/>
  <c r="R389" i="6"/>
  <c r="R390" i="6"/>
  <c r="R391" i="6"/>
  <c r="R392" i="6"/>
  <c r="R393" i="6"/>
  <c r="R394" i="6"/>
  <c r="R395" i="6"/>
  <c r="R396" i="6"/>
  <c r="R397" i="6"/>
  <c r="R398" i="6"/>
  <c r="R399" i="6"/>
  <c r="R400" i="6"/>
  <c r="R401" i="6"/>
  <c r="R402" i="6"/>
  <c r="R403" i="6"/>
  <c r="R404" i="6"/>
  <c r="R405" i="6"/>
  <c r="R406" i="6"/>
  <c r="R407" i="6"/>
  <c r="R408" i="6"/>
  <c r="R409" i="6"/>
  <c r="R410" i="6"/>
  <c r="R411" i="6"/>
  <c r="R412" i="6"/>
  <c r="R413" i="6"/>
  <c r="R414" i="6"/>
  <c r="R415" i="6"/>
  <c r="R416" i="6"/>
  <c r="R417" i="6"/>
  <c r="R418" i="6"/>
  <c r="R419" i="6"/>
  <c r="R420" i="6"/>
  <c r="R421" i="6"/>
  <c r="R422" i="6"/>
  <c r="R423" i="6"/>
  <c r="R424" i="6"/>
  <c r="R425" i="6"/>
  <c r="R426" i="6"/>
  <c r="R427" i="6"/>
  <c r="R428" i="6"/>
  <c r="R429" i="6"/>
  <c r="R430" i="6"/>
  <c r="R431" i="6"/>
  <c r="R432" i="6"/>
  <c r="R433" i="6"/>
  <c r="R434" i="6"/>
  <c r="R435" i="6"/>
  <c r="R436" i="6"/>
  <c r="R437" i="6"/>
  <c r="R438" i="6"/>
  <c r="R439" i="6"/>
  <c r="R440" i="6"/>
  <c r="R441" i="6"/>
  <c r="R442" i="6"/>
  <c r="R443" i="6"/>
  <c r="R444" i="6"/>
  <c r="R445" i="6"/>
  <c r="R446" i="6"/>
  <c r="R447" i="6"/>
  <c r="R448" i="6"/>
  <c r="R449" i="6"/>
  <c r="R450" i="6"/>
  <c r="R451" i="6"/>
  <c r="R452" i="6"/>
  <c r="R453" i="6"/>
  <c r="R454" i="6"/>
  <c r="R455" i="6"/>
  <c r="R456" i="6"/>
  <c r="R457" i="6"/>
  <c r="R458" i="6"/>
  <c r="R459" i="6"/>
  <c r="R460" i="6"/>
  <c r="R461" i="6"/>
  <c r="R462" i="6"/>
  <c r="R463" i="6"/>
  <c r="R464" i="6"/>
  <c r="R465" i="6"/>
  <c r="R466" i="6"/>
  <c r="R467" i="6"/>
  <c r="R468" i="6"/>
  <c r="R469" i="6"/>
  <c r="R470" i="6"/>
  <c r="R471" i="6"/>
  <c r="R472" i="6"/>
  <c r="R473" i="6"/>
  <c r="R474" i="6"/>
  <c r="R475" i="6"/>
  <c r="R476" i="6"/>
  <c r="R477" i="6"/>
  <c r="R478" i="6"/>
  <c r="R479" i="6"/>
  <c r="R480" i="6"/>
  <c r="R481" i="6"/>
  <c r="R482" i="6"/>
  <c r="R483" i="6"/>
  <c r="R484" i="6"/>
  <c r="R485" i="6"/>
  <c r="R486" i="6"/>
  <c r="R487" i="6"/>
  <c r="R488" i="6"/>
  <c r="R489" i="6"/>
  <c r="R490" i="6"/>
  <c r="R491" i="6"/>
  <c r="R492" i="6"/>
  <c r="R493" i="6"/>
  <c r="R494" i="6"/>
  <c r="R495" i="6"/>
  <c r="R496" i="6"/>
  <c r="R497" i="6"/>
  <c r="R498" i="6"/>
  <c r="R499" i="6"/>
  <c r="R500" i="6"/>
  <c r="R501" i="6"/>
  <c r="R502" i="6"/>
  <c r="R503" i="6"/>
  <c r="R504" i="6"/>
  <c r="R505" i="6"/>
  <c r="R506" i="6"/>
  <c r="R507" i="6"/>
  <c r="R508" i="6"/>
  <c r="R509" i="6"/>
  <c r="R510" i="6"/>
  <c r="R511" i="6"/>
  <c r="R512" i="6"/>
  <c r="R513" i="6"/>
  <c r="R514" i="6"/>
  <c r="R515" i="6"/>
  <c r="R516" i="6"/>
  <c r="R517" i="6"/>
  <c r="R518" i="6"/>
  <c r="R519" i="6"/>
  <c r="R520" i="6"/>
  <c r="R521" i="6"/>
  <c r="R522" i="6"/>
  <c r="R523" i="6"/>
  <c r="R524" i="6"/>
  <c r="R525" i="6"/>
  <c r="R526" i="6"/>
  <c r="R527" i="6"/>
  <c r="R528" i="6"/>
  <c r="R529" i="6"/>
  <c r="R530" i="6"/>
  <c r="R531" i="6"/>
  <c r="R532" i="6"/>
  <c r="R533" i="6"/>
  <c r="R534" i="6"/>
  <c r="R535" i="6"/>
  <c r="R536" i="6"/>
  <c r="R537" i="6"/>
  <c r="R538" i="6"/>
  <c r="R539" i="6"/>
  <c r="R540" i="6"/>
  <c r="R541" i="6"/>
  <c r="R542" i="6"/>
  <c r="R543" i="6"/>
  <c r="R544" i="6"/>
  <c r="R545" i="6"/>
  <c r="R546" i="6"/>
  <c r="R547" i="6"/>
  <c r="R548" i="6"/>
  <c r="R549" i="6"/>
  <c r="R550" i="6"/>
  <c r="R551" i="6"/>
  <c r="R552" i="6"/>
  <c r="R553" i="6"/>
  <c r="R554" i="6"/>
  <c r="R555" i="6"/>
  <c r="R556" i="6"/>
  <c r="R557" i="6"/>
  <c r="R558" i="6"/>
  <c r="R559" i="6"/>
  <c r="R560" i="6"/>
  <c r="R561" i="6"/>
  <c r="R562" i="6"/>
  <c r="R563" i="6"/>
  <c r="R564" i="6"/>
  <c r="R565" i="6"/>
  <c r="R566" i="6"/>
  <c r="R567" i="6"/>
  <c r="R568" i="6"/>
  <c r="R569" i="6"/>
  <c r="R570" i="6"/>
  <c r="R571" i="6"/>
  <c r="R572" i="6"/>
  <c r="R573" i="6"/>
  <c r="R574" i="6"/>
  <c r="R575" i="6"/>
  <c r="R576" i="6"/>
  <c r="R577" i="6"/>
  <c r="R578" i="6"/>
  <c r="R579" i="6"/>
  <c r="R580" i="6"/>
  <c r="R581" i="6"/>
  <c r="R582" i="6"/>
  <c r="R583" i="6"/>
  <c r="R584" i="6"/>
  <c r="R585" i="6"/>
  <c r="R586" i="6"/>
  <c r="R587" i="6"/>
  <c r="R588" i="6"/>
  <c r="R589" i="6"/>
  <c r="R590" i="6"/>
  <c r="R591" i="6"/>
  <c r="R592" i="6"/>
  <c r="R593" i="6"/>
  <c r="R594" i="6"/>
  <c r="R595" i="6"/>
  <c r="R596" i="6"/>
  <c r="R597" i="6"/>
  <c r="R598" i="6"/>
  <c r="R599" i="6"/>
  <c r="R600" i="6"/>
  <c r="R601" i="6"/>
  <c r="R602" i="6"/>
  <c r="R603" i="6"/>
  <c r="R604" i="6"/>
  <c r="R605" i="6"/>
  <c r="R606" i="6"/>
  <c r="R607" i="6"/>
  <c r="R608" i="6"/>
  <c r="R609" i="6"/>
  <c r="R610" i="6"/>
  <c r="R611" i="6"/>
  <c r="R612" i="6"/>
  <c r="R613" i="6"/>
  <c r="R614" i="6"/>
  <c r="R615" i="6"/>
  <c r="R616" i="6"/>
  <c r="R617" i="6"/>
  <c r="R618" i="6"/>
  <c r="R619" i="6"/>
  <c r="R620" i="6"/>
  <c r="R621" i="6"/>
  <c r="R622" i="6"/>
  <c r="R623" i="6"/>
  <c r="R624" i="6"/>
  <c r="R625" i="6"/>
  <c r="R626" i="6"/>
  <c r="R627" i="6"/>
  <c r="R628" i="6"/>
  <c r="R629" i="6"/>
  <c r="R630" i="6"/>
  <c r="R631" i="6"/>
  <c r="R632" i="6"/>
  <c r="R633" i="6"/>
  <c r="R634" i="6"/>
  <c r="R635" i="6"/>
  <c r="R636" i="6"/>
  <c r="R637" i="6"/>
  <c r="R638" i="6"/>
  <c r="R639" i="6"/>
  <c r="R640" i="6"/>
  <c r="R641" i="6"/>
  <c r="R642" i="6"/>
  <c r="R643" i="6"/>
  <c r="R644" i="6"/>
  <c r="R645" i="6"/>
  <c r="R646" i="6"/>
  <c r="R647" i="6"/>
  <c r="R648" i="6"/>
  <c r="R649" i="6"/>
  <c r="R650" i="6"/>
  <c r="R651" i="6"/>
  <c r="R652" i="6"/>
  <c r="R653" i="6"/>
  <c r="R654" i="6"/>
  <c r="R655" i="6"/>
  <c r="R656" i="6"/>
  <c r="R657" i="6"/>
  <c r="R658" i="6"/>
  <c r="R659" i="6"/>
  <c r="R660" i="6"/>
  <c r="R661" i="6"/>
  <c r="R662" i="6"/>
  <c r="R663" i="6"/>
  <c r="R664" i="6"/>
  <c r="R665" i="6"/>
  <c r="R666" i="6"/>
  <c r="R667" i="6"/>
  <c r="R668" i="6"/>
  <c r="R669" i="6"/>
  <c r="R670" i="6"/>
  <c r="R671" i="6"/>
  <c r="R672" i="6"/>
  <c r="R673" i="6"/>
  <c r="R674" i="6"/>
  <c r="R675" i="6"/>
  <c r="R676" i="6"/>
  <c r="R677" i="6"/>
  <c r="R678" i="6"/>
  <c r="R679" i="6"/>
  <c r="R680" i="6"/>
  <c r="R681" i="6"/>
  <c r="R682" i="6"/>
  <c r="R683" i="6"/>
  <c r="R684" i="6"/>
  <c r="R685" i="6"/>
  <c r="R686" i="6"/>
  <c r="R687" i="6"/>
  <c r="R688" i="6"/>
  <c r="R689" i="6"/>
  <c r="R690" i="6"/>
  <c r="R691" i="6"/>
  <c r="R692" i="6"/>
  <c r="R693" i="6"/>
  <c r="R694" i="6"/>
  <c r="R695" i="6"/>
  <c r="R696" i="6"/>
  <c r="R697" i="6"/>
  <c r="R698" i="6"/>
  <c r="R699" i="6"/>
  <c r="R700" i="6"/>
  <c r="R701" i="6"/>
  <c r="R702" i="6"/>
  <c r="R703" i="6"/>
  <c r="R704" i="6"/>
  <c r="R705" i="6"/>
  <c r="R706" i="6"/>
  <c r="R707" i="6"/>
  <c r="R708" i="6"/>
  <c r="R709" i="6"/>
  <c r="R710" i="6"/>
  <c r="R711" i="6"/>
  <c r="R712" i="6"/>
  <c r="R713" i="6"/>
  <c r="R714" i="6"/>
  <c r="R715" i="6"/>
  <c r="R716" i="6"/>
  <c r="R717" i="6"/>
  <c r="R718" i="6"/>
  <c r="R719" i="6"/>
  <c r="R720" i="6"/>
  <c r="R721" i="6"/>
  <c r="R722" i="6"/>
  <c r="R723" i="6"/>
  <c r="R724" i="6"/>
  <c r="R725" i="6"/>
  <c r="R726" i="6"/>
  <c r="R727" i="6"/>
  <c r="R728" i="6"/>
  <c r="R729" i="6"/>
  <c r="R730" i="6"/>
  <c r="R731" i="6"/>
  <c r="R732" i="6"/>
  <c r="R733" i="6"/>
  <c r="R734" i="6"/>
  <c r="R735" i="6"/>
  <c r="R736" i="6"/>
  <c r="R737" i="6"/>
  <c r="R738" i="6"/>
  <c r="R739" i="6"/>
  <c r="R740" i="6"/>
  <c r="R741" i="6"/>
  <c r="R742" i="6"/>
  <c r="R743" i="6"/>
  <c r="R744" i="6"/>
  <c r="R745" i="6"/>
  <c r="R746" i="6"/>
  <c r="R747" i="6"/>
  <c r="R748" i="6"/>
  <c r="R749" i="6"/>
  <c r="R750" i="6"/>
  <c r="R751" i="6"/>
  <c r="R752" i="6"/>
  <c r="R753" i="6"/>
  <c r="R754" i="6"/>
  <c r="R755" i="6"/>
  <c r="R756" i="6"/>
  <c r="R757" i="6"/>
  <c r="R758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302" i="6"/>
  <c r="Q303" i="6"/>
  <c r="Q304" i="6"/>
  <c r="Q305" i="6"/>
  <c r="Q306" i="6"/>
  <c r="Q307" i="6"/>
  <c r="Q308" i="6"/>
  <c r="Q309" i="6"/>
  <c r="Q310" i="6"/>
  <c r="Q311" i="6"/>
  <c r="Q312" i="6"/>
  <c r="Q313" i="6"/>
  <c r="Q314" i="6"/>
  <c r="Q315" i="6"/>
  <c r="Q316" i="6"/>
  <c r="Q317" i="6"/>
  <c r="Q318" i="6"/>
  <c r="Q319" i="6"/>
  <c r="Q320" i="6"/>
  <c r="Q321" i="6"/>
  <c r="Q322" i="6"/>
  <c r="Q323" i="6"/>
  <c r="Q324" i="6"/>
  <c r="Q325" i="6"/>
  <c r="Q326" i="6"/>
  <c r="Q327" i="6"/>
  <c r="Q328" i="6"/>
  <c r="Q329" i="6"/>
  <c r="Q330" i="6"/>
  <c r="Q331" i="6"/>
  <c r="Q332" i="6"/>
  <c r="Q333" i="6"/>
  <c r="Q334" i="6"/>
  <c r="Q335" i="6"/>
  <c r="Q336" i="6"/>
  <c r="Q337" i="6"/>
  <c r="Q338" i="6"/>
  <c r="Q339" i="6"/>
  <c r="Q340" i="6"/>
  <c r="Q341" i="6"/>
  <c r="Q342" i="6"/>
  <c r="Q343" i="6"/>
  <c r="Q344" i="6"/>
  <c r="Q345" i="6"/>
  <c r="Q346" i="6"/>
  <c r="Q347" i="6"/>
  <c r="Q348" i="6"/>
  <c r="Q349" i="6"/>
  <c r="Q350" i="6"/>
  <c r="Q351" i="6"/>
  <c r="Q352" i="6"/>
  <c r="Q353" i="6"/>
  <c r="Q354" i="6"/>
  <c r="Q355" i="6"/>
  <c r="Q356" i="6"/>
  <c r="Q357" i="6"/>
  <c r="Q358" i="6"/>
  <c r="Q359" i="6"/>
  <c r="Q360" i="6"/>
  <c r="Q361" i="6"/>
  <c r="Q362" i="6"/>
  <c r="Q363" i="6"/>
  <c r="Q364" i="6"/>
  <c r="Q365" i="6"/>
  <c r="Q366" i="6"/>
  <c r="Q367" i="6"/>
  <c r="Q368" i="6"/>
  <c r="Q369" i="6"/>
  <c r="Q370" i="6"/>
  <c r="Q371" i="6"/>
  <c r="Q372" i="6"/>
  <c r="Q373" i="6"/>
  <c r="Q374" i="6"/>
  <c r="Q375" i="6"/>
  <c r="Q376" i="6"/>
  <c r="Q377" i="6"/>
  <c r="Q378" i="6"/>
  <c r="Q379" i="6"/>
  <c r="Q380" i="6"/>
  <c r="Q381" i="6"/>
  <c r="Q382" i="6"/>
  <c r="Q383" i="6"/>
  <c r="Q384" i="6"/>
  <c r="Q385" i="6"/>
  <c r="Q386" i="6"/>
  <c r="Q387" i="6"/>
  <c r="Q388" i="6"/>
  <c r="Q389" i="6"/>
  <c r="Q390" i="6"/>
  <c r="Q391" i="6"/>
  <c r="Q392" i="6"/>
  <c r="Q393" i="6"/>
  <c r="Q394" i="6"/>
  <c r="Q395" i="6"/>
  <c r="Q396" i="6"/>
  <c r="Q397" i="6"/>
  <c r="Q398" i="6"/>
  <c r="Q399" i="6"/>
  <c r="Q400" i="6"/>
  <c r="Q401" i="6"/>
  <c r="Q402" i="6"/>
  <c r="Q403" i="6"/>
  <c r="Q404" i="6"/>
  <c r="Q405" i="6"/>
  <c r="Q406" i="6"/>
  <c r="Q407" i="6"/>
  <c r="Q408" i="6"/>
  <c r="Q409" i="6"/>
  <c r="Q410" i="6"/>
  <c r="Q411" i="6"/>
  <c r="Q412" i="6"/>
  <c r="Q413" i="6"/>
  <c r="Q414" i="6"/>
  <c r="Q415" i="6"/>
  <c r="Q416" i="6"/>
  <c r="Q417" i="6"/>
  <c r="Q418" i="6"/>
  <c r="Q419" i="6"/>
  <c r="Q420" i="6"/>
  <c r="Q421" i="6"/>
  <c r="Q422" i="6"/>
  <c r="Q423" i="6"/>
  <c r="Q424" i="6"/>
  <c r="Q425" i="6"/>
  <c r="Q426" i="6"/>
  <c r="Q427" i="6"/>
  <c r="Q428" i="6"/>
  <c r="Q429" i="6"/>
  <c r="Q430" i="6"/>
  <c r="Q431" i="6"/>
  <c r="Q432" i="6"/>
  <c r="Q433" i="6"/>
  <c r="Q434" i="6"/>
  <c r="Q435" i="6"/>
  <c r="Q436" i="6"/>
  <c r="Q437" i="6"/>
  <c r="Q438" i="6"/>
  <c r="Q439" i="6"/>
  <c r="Q440" i="6"/>
  <c r="Q441" i="6"/>
  <c r="Q442" i="6"/>
  <c r="Q443" i="6"/>
  <c r="Q444" i="6"/>
  <c r="Q445" i="6"/>
  <c r="Q446" i="6"/>
  <c r="Q447" i="6"/>
  <c r="Q448" i="6"/>
  <c r="Q449" i="6"/>
  <c r="Q450" i="6"/>
  <c r="Q451" i="6"/>
  <c r="Q452" i="6"/>
  <c r="Q453" i="6"/>
  <c r="Q454" i="6"/>
  <c r="Q455" i="6"/>
  <c r="Q456" i="6"/>
  <c r="Q457" i="6"/>
  <c r="Q458" i="6"/>
  <c r="Q459" i="6"/>
  <c r="Q460" i="6"/>
  <c r="Q461" i="6"/>
  <c r="Q462" i="6"/>
  <c r="Q463" i="6"/>
  <c r="Q464" i="6"/>
  <c r="Q465" i="6"/>
  <c r="Q466" i="6"/>
  <c r="Q467" i="6"/>
  <c r="Q468" i="6"/>
  <c r="Q469" i="6"/>
  <c r="Q470" i="6"/>
  <c r="Q471" i="6"/>
  <c r="Q472" i="6"/>
  <c r="Q473" i="6"/>
  <c r="Q474" i="6"/>
  <c r="Q475" i="6"/>
  <c r="Q476" i="6"/>
  <c r="Q477" i="6"/>
  <c r="Q478" i="6"/>
  <c r="Q479" i="6"/>
  <c r="Q480" i="6"/>
  <c r="Q481" i="6"/>
  <c r="Q482" i="6"/>
  <c r="Q483" i="6"/>
  <c r="Q484" i="6"/>
  <c r="Q485" i="6"/>
  <c r="Q486" i="6"/>
  <c r="Q487" i="6"/>
  <c r="Q488" i="6"/>
  <c r="Q489" i="6"/>
  <c r="Q490" i="6"/>
  <c r="Q491" i="6"/>
  <c r="Q492" i="6"/>
  <c r="Q493" i="6"/>
  <c r="Q494" i="6"/>
  <c r="Q495" i="6"/>
  <c r="Q496" i="6"/>
  <c r="Q497" i="6"/>
  <c r="Q498" i="6"/>
  <c r="Q499" i="6"/>
  <c r="Q500" i="6"/>
  <c r="Q501" i="6"/>
  <c r="Q502" i="6"/>
  <c r="Q503" i="6"/>
  <c r="Q504" i="6"/>
  <c r="Q505" i="6"/>
  <c r="Q506" i="6"/>
  <c r="Q507" i="6"/>
  <c r="Q508" i="6"/>
  <c r="Q509" i="6"/>
  <c r="Q510" i="6"/>
  <c r="Q511" i="6"/>
  <c r="Q512" i="6"/>
  <c r="Q513" i="6"/>
  <c r="Q514" i="6"/>
  <c r="Q515" i="6"/>
  <c r="Q516" i="6"/>
  <c r="Q517" i="6"/>
  <c r="Q518" i="6"/>
  <c r="Q519" i="6"/>
  <c r="Q520" i="6"/>
  <c r="Q521" i="6"/>
  <c r="Q522" i="6"/>
  <c r="Q523" i="6"/>
  <c r="Q524" i="6"/>
  <c r="Q525" i="6"/>
  <c r="Q526" i="6"/>
  <c r="Q527" i="6"/>
  <c r="Q528" i="6"/>
  <c r="Q529" i="6"/>
  <c r="Q530" i="6"/>
  <c r="Q531" i="6"/>
  <c r="Q532" i="6"/>
  <c r="Q533" i="6"/>
  <c r="Q534" i="6"/>
  <c r="Q535" i="6"/>
  <c r="Q536" i="6"/>
  <c r="Q537" i="6"/>
  <c r="Q538" i="6"/>
  <c r="Q539" i="6"/>
  <c r="Q540" i="6"/>
  <c r="Q541" i="6"/>
  <c r="Q542" i="6"/>
  <c r="Q543" i="6"/>
  <c r="Q544" i="6"/>
  <c r="Q545" i="6"/>
  <c r="Q546" i="6"/>
  <c r="Q547" i="6"/>
  <c r="Q548" i="6"/>
  <c r="Q549" i="6"/>
  <c r="Q550" i="6"/>
  <c r="Q551" i="6"/>
  <c r="Q552" i="6"/>
  <c r="Q553" i="6"/>
  <c r="Q554" i="6"/>
  <c r="Q555" i="6"/>
  <c r="Q556" i="6"/>
  <c r="Q557" i="6"/>
  <c r="Q558" i="6"/>
  <c r="Q559" i="6"/>
  <c r="Q560" i="6"/>
  <c r="Q561" i="6"/>
  <c r="Q562" i="6"/>
  <c r="Q563" i="6"/>
  <c r="Q564" i="6"/>
  <c r="Q565" i="6"/>
  <c r="Q566" i="6"/>
  <c r="Q567" i="6"/>
  <c r="Q568" i="6"/>
  <c r="Q569" i="6"/>
  <c r="Q570" i="6"/>
  <c r="Q571" i="6"/>
  <c r="Q572" i="6"/>
  <c r="Q573" i="6"/>
  <c r="Q574" i="6"/>
  <c r="Q575" i="6"/>
  <c r="Q576" i="6"/>
  <c r="Q577" i="6"/>
  <c r="Q578" i="6"/>
  <c r="Q579" i="6"/>
  <c r="Q580" i="6"/>
  <c r="Q581" i="6"/>
  <c r="Q582" i="6"/>
  <c r="Q583" i="6"/>
  <c r="Q584" i="6"/>
  <c r="Q585" i="6"/>
  <c r="Q586" i="6"/>
  <c r="Q587" i="6"/>
  <c r="Q588" i="6"/>
  <c r="Q589" i="6"/>
  <c r="Q590" i="6"/>
  <c r="Q591" i="6"/>
  <c r="Q592" i="6"/>
  <c r="Q593" i="6"/>
  <c r="Q594" i="6"/>
  <c r="Q595" i="6"/>
  <c r="Q596" i="6"/>
  <c r="Q597" i="6"/>
  <c r="Q598" i="6"/>
  <c r="Q599" i="6"/>
  <c r="Q600" i="6"/>
  <c r="Q601" i="6"/>
  <c r="Q602" i="6"/>
  <c r="Q603" i="6"/>
  <c r="Q604" i="6"/>
  <c r="Q605" i="6"/>
  <c r="Q606" i="6"/>
  <c r="Q607" i="6"/>
  <c r="Q608" i="6"/>
  <c r="Q609" i="6"/>
  <c r="Q610" i="6"/>
  <c r="Q611" i="6"/>
  <c r="Q612" i="6"/>
  <c r="Q613" i="6"/>
  <c r="Q614" i="6"/>
  <c r="Q615" i="6"/>
  <c r="Q616" i="6"/>
  <c r="Q617" i="6"/>
  <c r="Q618" i="6"/>
  <c r="Q619" i="6"/>
  <c r="Q620" i="6"/>
  <c r="Q621" i="6"/>
  <c r="Q622" i="6"/>
  <c r="Q623" i="6"/>
  <c r="Q624" i="6"/>
  <c r="Q625" i="6"/>
  <c r="Q626" i="6"/>
  <c r="Q627" i="6"/>
  <c r="Q628" i="6"/>
  <c r="Q629" i="6"/>
  <c r="Q630" i="6"/>
  <c r="Q631" i="6"/>
  <c r="Q632" i="6"/>
  <c r="Q633" i="6"/>
  <c r="Q634" i="6"/>
  <c r="Q635" i="6"/>
  <c r="Q636" i="6"/>
  <c r="Q637" i="6"/>
  <c r="Q638" i="6"/>
  <c r="Q639" i="6"/>
  <c r="Q640" i="6"/>
  <c r="Q641" i="6"/>
  <c r="Q642" i="6"/>
  <c r="Q643" i="6"/>
  <c r="Q644" i="6"/>
  <c r="Q645" i="6"/>
  <c r="Q646" i="6"/>
  <c r="Q647" i="6"/>
  <c r="Q648" i="6"/>
  <c r="Q649" i="6"/>
  <c r="Q650" i="6"/>
  <c r="Q651" i="6"/>
  <c r="Q652" i="6"/>
  <c r="Q653" i="6"/>
  <c r="Q654" i="6"/>
  <c r="Q655" i="6"/>
  <c r="Q656" i="6"/>
  <c r="Q657" i="6"/>
  <c r="Q658" i="6"/>
  <c r="Q659" i="6"/>
  <c r="Q660" i="6"/>
  <c r="Q661" i="6"/>
  <c r="Q662" i="6"/>
  <c r="Q663" i="6"/>
  <c r="Q664" i="6"/>
  <c r="Q665" i="6"/>
  <c r="Q666" i="6"/>
  <c r="Q667" i="6"/>
  <c r="Q668" i="6"/>
  <c r="Q669" i="6"/>
  <c r="Q670" i="6"/>
  <c r="Q671" i="6"/>
  <c r="Q672" i="6"/>
  <c r="Q673" i="6"/>
  <c r="Q674" i="6"/>
  <c r="Q675" i="6"/>
  <c r="Q676" i="6"/>
  <c r="Q677" i="6"/>
  <c r="Q678" i="6"/>
  <c r="Q679" i="6"/>
  <c r="Q680" i="6"/>
  <c r="Q681" i="6"/>
  <c r="Q682" i="6"/>
  <c r="Q683" i="6"/>
  <c r="Q684" i="6"/>
  <c r="Q685" i="6"/>
  <c r="Q686" i="6"/>
  <c r="Q687" i="6"/>
  <c r="Q688" i="6"/>
  <c r="Q689" i="6"/>
  <c r="Q690" i="6"/>
  <c r="Q691" i="6"/>
  <c r="Q692" i="6"/>
  <c r="Q693" i="6"/>
  <c r="Q694" i="6"/>
  <c r="Q695" i="6"/>
  <c r="Q696" i="6"/>
  <c r="Q697" i="6"/>
  <c r="Q698" i="6"/>
  <c r="Q699" i="6"/>
  <c r="Q700" i="6"/>
  <c r="Q701" i="6"/>
  <c r="Q702" i="6"/>
  <c r="Q703" i="6"/>
  <c r="Q704" i="6"/>
  <c r="Q705" i="6"/>
  <c r="Q706" i="6"/>
  <c r="Q707" i="6"/>
  <c r="Q708" i="6"/>
  <c r="Q709" i="6"/>
  <c r="Q710" i="6"/>
  <c r="Q711" i="6"/>
  <c r="Q712" i="6"/>
  <c r="Q713" i="6"/>
  <c r="Q714" i="6"/>
  <c r="Q715" i="6"/>
  <c r="Q716" i="6"/>
  <c r="Q717" i="6"/>
  <c r="Q718" i="6"/>
  <c r="Q719" i="6"/>
  <c r="Q720" i="6"/>
  <c r="Q721" i="6"/>
  <c r="Q722" i="6"/>
  <c r="Q723" i="6"/>
  <c r="Q724" i="6"/>
  <c r="Q725" i="6"/>
  <c r="Q726" i="6"/>
  <c r="Q727" i="6"/>
  <c r="Q728" i="6"/>
  <c r="Q729" i="6"/>
  <c r="Q730" i="6"/>
  <c r="Q731" i="6"/>
  <c r="Q732" i="6"/>
  <c r="Q733" i="6"/>
  <c r="Q734" i="6"/>
  <c r="Q735" i="6"/>
  <c r="Q736" i="6"/>
  <c r="Q737" i="6"/>
  <c r="Q738" i="6"/>
  <c r="Q739" i="6"/>
  <c r="Q740" i="6"/>
  <c r="Q741" i="6"/>
  <c r="Q742" i="6"/>
  <c r="Q743" i="6"/>
  <c r="Q744" i="6"/>
  <c r="Q745" i="6"/>
  <c r="Q746" i="6"/>
  <c r="Q747" i="6"/>
  <c r="Q748" i="6"/>
  <c r="Q749" i="6"/>
  <c r="Q750" i="6"/>
  <c r="Q751" i="6"/>
  <c r="Q752" i="6"/>
  <c r="Q753" i="6"/>
  <c r="Q754" i="6"/>
  <c r="Q755" i="6"/>
  <c r="Q756" i="6"/>
  <c r="Q757" i="6"/>
  <c r="Q758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257" i="6"/>
  <c r="P258" i="6"/>
  <c r="P259" i="6"/>
  <c r="P260" i="6"/>
  <c r="P261" i="6"/>
  <c r="P262" i="6"/>
  <c r="P263" i="6"/>
  <c r="P264" i="6"/>
  <c r="P265" i="6"/>
  <c r="P266" i="6"/>
  <c r="P267" i="6"/>
  <c r="P268" i="6"/>
  <c r="P269" i="6"/>
  <c r="P270" i="6"/>
  <c r="P271" i="6"/>
  <c r="P272" i="6"/>
  <c r="P273" i="6"/>
  <c r="P274" i="6"/>
  <c r="P275" i="6"/>
  <c r="P276" i="6"/>
  <c r="P277" i="6"/>
  <c r="P278" i="6"/>
  <c r="P279" i="6"/>
  <c r="P280" i="6"/>
  <c r="P281" i="6"/>
  <c r="P282" i="6"/>
  <c r="P283" i="6"/>
  <c r="P284" i="6"/>
  <c r="P285" i="6"/>
  <c r="P286" i="6"/>
  <c r="P287" i="6"/>
  <c r="P288" i="6"/>
  <c r="P289" i="6"/>
  <c r="P290" i="6"/>
  <c r="P291" i="6"/>
  <c r="P292" i="6"/>
  <c r="P293" i="6"/>
  <c r="P294" i="6"/>
  <c r="P295" i="6"/>
  <c r="P296" i="6"/>
  <c r="P297" i="6"/>
  <c r="P298" i="6"/>
  <c r="P299" i="6"/>
  <c r="P300" i="6"/>
  <c r="P301" i="6"/>
  <c r="P302" i="6"/>
  <c r="P303" i="6"/>
  <c r="P304" i="6"/>
  <c r="P305" i="6"/>
  <c r="P306" i="6"/>
  <c r="P307" i="6"/>
  <c r="P308" i="6"/>
  <c r="P309" i="6"/>
  <c r="P310" i="6"/>
  <c r="P311" i="6"/>
  <c r="P312" i="6"/>
  <c r="P313" i="6"/>
  <c r="P314" i="6"/>
  <c r="P315" i="6"/>
  <c r="P316" i="6"/>
  <c r="P317" i="6"/>
  <c r="P318" i="6"/>
  <c r="P319" i="6"/>
  <c r="P320" i="6"/>
  <c r="P321" i="6"/>
  <c r="P322" i="6"/>
  <c r="P323" i="6"/>
  <c r="P324" i="6"/>
  <c r="P325" i="6"/>
  <c r="P326" i="6"/>
  <c r="P327" i="6"/>
  <c r="P328" i="6"/>
  <c r="P329" i="6"/>
  <c r="P330" i="6"/>
  <c r="P331" i="6"/>
  <c r="P332" i="6"/>
  <c r="P333" i="6"/>
  <c r="P334" i="6"/>
  <c r="P335" i="6"/>
  <c r="P336" i="6"/>
  <c r="P337" i="6"/>
  <c r="P338" i="6"/>
  <c r="P339" i="6"/>
  <c r="P340" i="6"/>
  <c r="P341" i="6"/>
  <c r="P342" i="6"/>
  <c r="P343" i="6"/>
  <c r="P344" i="6"/>
  <c r="P345" i="6"/>
  <c r="P346" i="6"/>
  <c r="P347" i="6"/>
  <c r="P348" i="6"/>
  <c r="P349" i="6"/>
  <c r="P350" i="6"/>
  <c r="P351" i="6"/>
  <c r="P352" i="6"/>
  <c r="P353" i="6"/>
  <c r="P354" i="6"/>
  <c r="P355" i="6"/>
  <c r="P356" i="6"/>
  <c r="P357" i="6"/>
  <c r="P358" i="6"/>
  <c r="P359" i="6"/>
  <c r="P360" i="6"/>
  <c r="P361" i="6"/>
  <c r="P362" i="6"/>
  <c r="P363" i="6"/>
  <c r="P364" i="6"/>
  <c r="P365" i="6"/>
  <c r="P366" i="6"/>
  <c r="P367" i="6"/>
  <c r="P368" i="6"/>
  <c r="P369" i="6"/>
  <c r="P370" i="6"/>
  <c r="P371" i="6"/>
  <c r="P372" i="6"/>
  <c r="P373" i="6"/>
  <c r="P374" i="6"/>
  <c r="P375" i="6"/>
  <c r="P376" i="6"/>
  <c r="P377" i="6"/>
  <c r="P378" i="6"/>
  <c r="P379" i="6"/>
  <c r="P380" i="6"/>
  <c r="P381" i="6"/>
  <c r="P382" i="6"/>
  <c r="P383" i="6"/>
  <c r="P384" i="6"/>
  <c r="P385" i="6"/>
  <c r="P386" i="6"/>
  <c r="P387" i="6"/>
  <c r="P388" i="6"/>
  <c r="P389" i="6"/>
  <c r="P390" i="6"/>
  <c r="P391" i="6"/>
  <c r="P392" i="6"/>
  <c r="P393" i="6"/>
  <c r="P394" i="6"/>
  <c r="P395" i="6"/>
  <c r="P396" i="6"/>
  <c r="P397" i="6"/>
  <c r="P398" i="6"/>
  <c r="P399" i="6"/>
  <c r="P400" i="6"/>
  <c r="P401" i="6"/>
  <c r="P402" i="6"/>
  <c r="P403" i="6"/>
  <c r="P404" i="6"/>
  <c r="P405" i="6"/>
  <c r="P406" i="6"/>
  <c r="P407" i="6"/>
  <c r="P408" i="6"/>
  <c r="P409" i="6"/>
  <c r="P410" i="6"/>
  <c r="P411" i="6"/>
  <c r="P412" i="6"/>
  <c r="P413" i="6"/>
  <c r="P414" i="6"/>
  <c r="P415" i="6"/>
  <c r="P416" i="6"/>
  <c r="P417" i="6"/>
  <c r="P418" i="6"/>
  <c r="P419" i="6"/>
  <c r="P420" i="6"/>
  <c r="P421" i="6"/>
  <c r="P422" i="6"/>
  <c r="P423" i="6"/>
  <c r="P424" i="6"/>
  <c r="P425" i="6"/>
  <c r="P426" i="6"/>
  <c r="P427" i="6"/>
  <c r="P428" i="6"/>
  <c r="P429" i="6"/>
  <c r="P430" i="6"/>
  <c r="P431" i="6"/>
  <c r="P432" i="6"/>
  <c r="P433" i="6"/>
  <c r="P434" i="6"/>
  <c r="P435" i="6"/>
  <c r="P436" i="6"/>
  <c r="P437" i="6"/>
  <c r="P438" i="6"/>
  <c r="P439" i="6"/>
  <c r="P440" i="6"/>
  <c r="P441" i="6"/>
  <c r="P442" i="6"/>
  <c r="P443" i="6"/>
  <c r="P444" i="6"/>
  <c r="P445" i="6"/>
  <c r="P446" i="6"/>
  <c r="P447" i="6"/>
  <c r="P448" i="6"/>
  <c r="P449" i="6"/>
  <c r="P450" i="6"/>
  <c r="P451" i="6"/>
  <c r="P452" i="6"/>
  <c r="P453" i="6"/>
  <c r="P454" i="6"/>
  <c r="P455" i="6"/>
  <c r="P456" i="6"/>
  <c r="P457" i="6"/>
  <c r="P458" i="6"/>
  <c r="P459" i="6"/>
  <c r="P460" i="6"/>
  <c r="P461" i="6"/>
  <c r="P462" i="6"/>
  <c r="P463" i="6"/>
  <c r="P464" i="6"/>
  <c r="P465" i="6"/>
  <c r="P466" i="6"/>
  <c r="P467" i="6"/>
  <c r="P468" i="6"/>
  <c r="P469" i="6"/>
  <c r="P470" i="6"/>
  <c r="P471" i="6"/>
  <c r="P472" i="6"/>
  <c r="P473" i="6"/>
  <c r="P474" i="6"/>
  <c r="P475" i="6"/>
  <c r="P476" i="6"/>
  <c r="P477" i="6"/>
  <c r="P478" i="6"/>
  <c r="P479" i="6"/>
  <c r="P480" i="6"/>
  <c r="P481" i="6"/>
  <c r="P482" i="6"/>
  <c r="P483" i="6"/>
  <c r="P484" i="6"/>
  <c r="P485" i="6"/>
  <c r="P486" i="6"/>
  <c r="P487" i="6"/>
  <c r="P488" i="6"/>
  <c r="P489" i="6"/>
  <c r="P490" i="6"/>
  <c r="P491" i="6"/>
  <c r="P492" i="6"/>
  <c r="P493" i="6"/>
  <c r="P494" i="6"/>
  <c r="P495" i="6"/>
  <c r="P496" i="6"/>
  <c r="P497" i="6"/>
  <c r="P498" i="6"/>
  <c r="P499" i="6"/>
  <c r="P500" i="6"/>
  <c r="P501" i="6"/>
  <c r="P502" i="6"/>
  <c r="P503" i="6"/>
  <c r="P504" i="6"/>
  <c r="P505" i="6"/>
  <c r="P506" i="6"/>
  <c r="P507" i="6"/>
  <c r="P508" i="6"/>
  <c r="P509" i="6"/>
  <c r="P510" i="6"/>
  <c r="P511" i="6"/>
  <c r="P512" i="6"/>
  <c r="P513" i="6"/>
  <c r="P514" i="6"/>
  <c r="P515" i="6"/>
  <c r="P516" i="6"/>
  <c r="P517" i="6"/>
  <c r="P518" i="6"/>
  <c r="P519" i="6"/>
  <c r="P520" i="6"/>
  <c r="P521" i="6"/>
  <c r="P522" i="6"/>
  <c r="P523" i="6"/>
  <c r="P524" i="6"/>
  <c r="P525" i="6"/>
  <c r="P526" i="6"/>
  <c r="P527" i="6"/>
  <c r="P528" i="6"/>
  <c r="P529" i="6"/>
  <c r="P530" i="6"/>
  <c r="P531" i="6"/>
  <c r="P532" i="6"/>
  <c r="P533" i="6"/>
  <c r="P534" i="6"/>
  <c r="P535" i="6"/>
  <c r="P536" i="6"/>
  <c r="P537" i="6"/>
  <c r="P538" i="6"/>
  <c r="P539" i="6"/>
  <c r="P540" i="6"/>
  <c r="P541" i="6"/>
  <c r="P542" i="6"/>
  <c r="P543" i="6"/>
  <c r="P544" i="6"/>
  <c r="P545" i="6"/>
  <c r="P546" i="6"/>
  <c r="P547" i="6"/>
  <c r="P548" i="6"/>
  <c r="P549" i="6"/>
  <c r="P550" i="6"/>
  <c r="P551" i="6"/>
  <c r="P552" i="6"/>
  <c r="P553" i="6"/>
  <c r="P554" i="6"/>
  <c r="P555" i="6"/>
  <c r="P556" i="6"/>
  <c r="P557" i="6"/>
  <c r="P558" i="6"/>
  <c r="P559" i="6"/>
  <c r="P560" i="6"/>
  <c r="P561" i="6"/>
  <c r="P562" i="6"/>
  <c r="P563" i="6"/>
  <c r="P564" i="6"/>
  <c r="P565" i="6"/>
  <c r="P566" i="6"/>
  <c r="P567" i="6"/>
  <c r="P568" i="6"/>
  <c r="P569" i="6"/>
  <c r="P570" i="6"/>
  <c r="P571" i="6"/>
  <c r="P572" i="6"/>
  <c r="P573" i="6"/>
  <c r="P574" i="6"/>
  <c r="P575" i="6"/>
  <c r="P576" i="6"/>
  <c r="P577" i="6"/>
  <c r="P578" i="6"/>
  <c r="P579" i="6"/>
  <c r="P580" i="6"/>
  <c r="P581" i="6"/>
  <c r="P582" i="6"/>
  <c r="P583" i="6"/>
  <c r="P584" i="6"/>
  <c r="P585" i="6"/>
  <c r="P586" i="6"/>
  <c r="P587" i="6"/>
  <c r="P588" i="6"/>
  <c r="P589" i="6"/>
  <c r="P590" i="6"/>
  <c r="P591" i="6"/>
  <c r="P592" i="6"/>
  <c r="P593" i="6"/>
  <c r="P594" i="6"/>
  <c r="P595" i="6"/>
  <c r="P596" i="6"/>
  <c r="P597" i="6"/>
  <c r="P598" i="6"/>
  <c r="P599" i="6"/>
  <c r="P600" i="6"/>
  <c r="P601" i="6"/>
  <c r="P602" i="6"/>
  <c r="P603" i="6"/>
  <c r="P604" i="6"/>
  <c r="P605" i="6"/>
  <c r="P606" i="6"/>
  <c r="P607" i="6"/>
  <c r="P608" i="6"/>
  <c r="P609" i="6"/>
  <c r="P610" i="6"/>
  <c r="P611" i="6"/>
  <c r="P612" i="6"/>
  <c r="P613" i="6"/>
  <c r="P614" i="6"/>
  <c r="P615" i="6"/>
  <c r="P616" i="6"/>
  <c r="P617" i="6"/>
  <c r="P618" i="6"/>
  <c r="P619" i="6"/>
  <c r="P620" i="6"/>
  <c r="P621" i="6"/>
  <c r="P622" i="6"/>
  <c r="P623" i="6"/>
  <c r="P624" i="6"/>
  <c r="P625" i="6"/>
  <c r="P626" i="6"/>
  <c r="P627" i="6"/>
  <c r="P628" i="6"/>
  <c r="P629" i="6"/>
  <c r="P630" i="6"/>
  <c r="P631" i="6"/>
  <c r="P632" i="6"/>
  <c r="P633" i="6"/>
  <c r="P634" i="6"/>
  <c r="P635" i="6"/>
  <c r="P636" i="6"/>
  <c r="P637" i="6"/>
  <c r="P638" i="6"/>
  <c r="P639" i="6"/>
  <c r="P640" i="6"/>
  <c r="P641" i="6"/>
  <c r="P642" i="6"/>
  <c r="P643" i="6"/>
  <c r="P644" i="6"/>
  <c r="P645" i="6"/>
  <c r="P646" i="6"/>
  <c r="P647" i="6"/>
  <c r="P648" i="6"/>
  <c r="P649" i="6"/>
  <c r="P650" i="6"/>
  <c r="P651" i="6"/>
  <c r="P652" i="6"/>
  <c r="P653" i="6"/>
  <c r="P654" i="6"/>
  <c r="P655" i="6"/>
  <c r="P656" i="6"/>
  <c r="P657" i="6"/>
  <c r="P658" i="6"/>
  <c r="P659" i="6"/>
  <c r="P660" i="6"/>
  <c r="P661" i="6"/>
  <c r="P662" i="6"/>
  <c r="P663" i="6"/>
  <c r="P664" i="6"/>
  <c r="P665" i="6"/>
  <c r="P666" i="6"/>
  <c r="P667" i="6"/>
  <c r="P668" i="6"/>
  <c r="P669" i="6"/>
  <c r="P670" i="6"/>
  <c r="P671" i="6"/>
  <c r="P672" i="6"/>
  <c r="P673" i="6"/>
  <c r="P674" i="6"/>
  <c r="P675" i="6"/>
  <c r="P676" i="6"/>
  <c r="P677" i="6"/>
  <c r="P678" i="6"/>
  <c r="P679" i="6"/>
  <c r="P680" i="6"/>
  <c r="P681" i="6"/>
  <c r="P682" i="6"/>
  <c r="P683" i="6"/>
  <c r="P684" i="6"/>
  <c r="P685" i="6"/>
  <c r="P686" i="6"/>
  <c r="P687" i="6"/>
  <c r="P688" i="6"/>
  <c r="P689" i="6"/>
  <c r="P690" i="6"/>
  <c r="P691" i="6"/>
  <c r="P692" i="6"/>
  <c r="P693" i="6"/>
  <c r="P694" i="6"/>
  <c r="P695" i="6"/>
  <c r="P696" i="6"/>
  <c r="P697" i="6"/>
  <c r="P698" i="6"/>
  <c r="P699" i="6"/>
  <c r="P700" i="6"/>
  <c r="P701" i="6"/>
  <c r="P702" i="6"/>
  <c r="P703" i="6"/>
  <c r="P704" i="6"/>
  <c r="P705" i="6"/>
  <c r="P706" i="6"/>
  <c r="P707" i="6"/>
  <c r="P708" i="6"/>
  <c r="P709" i="6"/>
  <c r="P710" i="6"/>
  <c r="P711" i="6"/>
  <c r="P712" i="6"/>
  <c r="P713" i="6"/>
  <c r="P714" i="6"/>
  <c r="P715" i="6"/>
  <c r="P716" i="6"/>
  <c r="P717" i="6"/>
  <c r="P718" i="6"/>
  <c r="P719" i="6"/>
  <c r="P720" i="6"/>
  <c r="P721" i="6"/>
  <c r="P722" i="6"/>
  <c r="P723" i="6"/>
  <c r="P724" i="6"/>
  <c r="P725" i="6"/>
  <c r="P726" i="6"/>
  <c r="P727" i="6"/>
  <c r="P728" i="6"/>
  <c r="P729" i="6"/>
  <c r="P730" i="6"/>
  <c r="P731" i="6"/>
  <c r="P732" i="6"/>
  <c r="P733" i="6"/>
  <c r="P734" i="6"/>
  <c r="P735" i="6"/>
  <c r="P736" i="6"/>
  <c r="P737" i="6"/>
  <c r="P738" i="6"/>
  <c r="P739" i="6"/>
  <c r="P740" i="6"/>
  <c r="P741" i="6"/>
  <c r="P742" i="6"/>
  <c r="P743" i="6"/>
  <c r="P744" i="6"/>
  <c r="P745" i="6"/>
  <c r="P746" i="6"/>
  <c r="P747" i="6"/>
  <c r="P748" i="6"/>
  <c r="P749" i="6"/>
  <c r="P750" i="6"/>
  <c r="P751" i="6"/>
  <c r="P752" i="6"/>
  <c r="P753" i="6"/>
  <c r="P754" i="6"/>
  <c r="P755" i="6"/>
  <c r="P756" i="6"/>
  <c r="P757" i="6"/>
  <c r="P758" i="6"/>
  <c r="P3" i="6"/>
  <c r="Q3" i="6"/>
  <c r="R3" i="6"/>
  <c r="S3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203" i="6"/>
  <c r="O204" i="6"/>
  <c r="O205" i="6"/>
  <c r="O206" i="6"/>
  <c r="O207" i="6"/>
  <c r="O208" i="6"/>
  <c r="O209" i="6"/>
  <c r="O210" i="6"/>
  <c r="O211" i="6"/>
  <c r="O212" i="6"/>
  <c r="O213" i="6"/>
  <c r="O214" i="6"/>
  <c r="O215" i="6"/>
  <c r="O216" i="6"/>
  <c r="O217" i="6"/>
  <c r="O218" i="6"/>
  <c r="O219" i="6"/>
  <c r="O220" i="6"/>
  <c r="O221" i="6"/>
  <c r="O222" i="6"/>
  <c r="O223" i="6"/>
  <c r="O224" i="6"/>
  <c r="O225" i="6"/>
  <c r="O226" i="6"/>
  <c r="O227" i="6"/>
  <c r="O228" i="6"/>
  <c r="O229" i="6"/>
  <c r="O230" i="6"/>
  <c r="O231" i="6"/>
  <c r="O232" i="6"/>
  <c r="O233" i="6"/>
  <c r="O234" i="6"/>
  <c r="O235" i="6"/>
  <c r="O236" i="6"/>
  <c r="O237" i="6"/>
  <c r="O238" i="6"/>
  <c r="O239" i="6"/>
  <c r="O240" i="6"/>
  <c r="O241" i="6"/>
  <c r="O242" i="6"/>
  <c r="O243" i="6"/>
  <c r="O244" i="6"/>
  <c r="O245" i="6"/>
  <c r="O246" i="6"/>
  <c r="O247" i="6"/>
  <c r="O248" i="6"/>
  <c r="O249" i="6"/>
  <c r="O250" i="6"/>
  <c r="O251" i="6"/>
  <c r="O252" i="6"/>
  <c r="O253" i="6"/>
  <c r="O254" i="6"/>
  <c r="O255" i="6"/>
  <c r="O256" i="6"/>
  <c r="O257" i="6"/>
  <c r="O258" i="6"/>
  <c r="O259" i="6"/>
  <c r="O260" i="6"/>
  <c r="O261" i="6"/>
  <c r="O262" i="6"/>
  <c r="O263" i="6"/>
  <c r="O264" i="6"/>
  <c r="O265" i="6"/>
  <c r="O266" i="6"/>
  <c r="O267" i="6"/>
  <c r="O268" i="6"/>
  <c r="O269" i="6"/>
  <c r="O270" i="6"/>
  <c r="O271" i="6"/>
  <c r="O272" i="6"/>
  <c r="O273" i="6"/>
  <c r="O274" i="6"/>
  <c r="O275" i="6"/>
  <c r="O276" i="6"/>
  <c r="O277" i="6"/>
  <c r="O278" i="6"/>
  <c r="O279" i="6"/>
  <c r="O280" i="6"/>
  <c r="O281" i="6"/>
  <c r="O282" i="6"/>
  <c r="O283" i="6"/>
  <c r="O284" i="6"/>
  <c r="O285" i="6"/>
  <c r="O286" i="6"/>
  <c r="O287" i="6"/>
  <c r="O288" i="6"/>
  <c r="O289" i="6"/>
  <c r="O290" i="6"/>
  <c r="O291" i="6"/>
  <c r="O292" i="6"/>
  <c r="O293" i="6"/>
  <c r="O294" i="6"/>
  <c r="O295" i="6"/>
  <c r="O296" i="6"/>
  <c r="O297" i="6"/>
  <c r="O298" i="6"/>
  <c r="O299" i="6"/>
  <c r="O300" i="6"/>
  <c r="O301" i="6"/>
  <c r="O302" i="6"/>
  <c r="O303" i="6"/>
  <c r="O304" i="6"/>
  <c r="O305" i="6"/>
  <c r="O306" i="6"/>
  <c r="O307" i="6"/>
  <c r="O308" i="6"/>
  <c r="O309" i="6"/>
  <c r="O310" i="6"/>
  <c r="O311" i="6"/>
  <c r="O312" i="6"/>
  <c r="O313" i="6"/>
  <c r="O314" i="6"/>
  <c r="O315" i="6"/>
  <c r="O316" i="6"/>
  <c r="O317" i="6"/>
  <c r="O318" i="6"/>
  <c r="O319" i="6"/>
  <c r="O320" i="6"/>
  <c r="O321" i="6"/>
  <c r="O322" i="6"/>
  <c r="O323" i="6"/>
  <c r="O324" i="6"/>
  <c r="O325" i="6"/>
  <c r="O326" i="6"/>
  <c r="O327" i="6"/>
  <c r="O328" i="6"/>
  <c r="O329" i="6"/>
  <c r="O330" i="6"/>
  <c r="O331" i="6"/>
  <c r="O332" i="6"/>
  <c r="O333" i="6"/>
  <c r="O334" i="6"/>
  <c r="O335" i="6"/>
  <c r="O336" i="6"/>
  <c r="O337" i="6"/>
  <c r="O338" i="6"/>
  <c r="O339" i="6"/>
  <c r="O340" i="6"/>
  <c r="O341" i="6"/>
  <c r="O342" i="6"/>
  <c r="O343" i="6"/>
  <c r="O344" i="6"/>
  <c r="O345" i="6"/>
  <c r="O346" i="6"/>
  <c r="O347" i="6"/>
  <c r="O348" i="6"/>
  <c r="O349" i="6"/>
  <c r="O350" i="6"/>
  <c r="O351" i="6"/>
  <c r="O352" i="6"/>
  <c r="O353" i="6"/>
  <c r="O354" i="6"/>
  <c r="O355" i="6"/>
  <c r="O356" i="6"/>
  <c r="O357" i="6"/>
  <c r="O358" i="6"/>
  <c r="O359" i="6"/>
  <c r="O360" i="6"/>
  <c r="O361" i="6"/>
  <c r="O362" i="6"/>
  <c r="O363" i="6"/>
  <c r="O364" i="6"/>
  <c r="O365" i="6"/>
  <c r="O366" i="6"/>
  <c r="O367" i="6"/>
  <c r="O368" i="6"/>
  <c r="O369" i="6"/>
  <c r="O370" i="6"/>
  <c r="O371" i="6"/>
  <c r="O372" i="6"/>
  <c r="O373" i="6"/>
  <c r="O374" i="6"/>
  <c r="O375" i="6"/>
  <c r="O376" i="6"/>
  <c r="O377" i="6"/>
  <c r="O378" i="6"/>
  <c r="O379" i="6"/>
  <c r="O380" i="6"/>
  <c r="O381" i="6"/>
  <c r="O382" i="6"/>
  <c r="O383" i="6"/>
  <c r="O384" i="6"/>
  <c r="O385" i="6"/>
  <c r="O386" i="6"/>
  <c r="O387" i="6"/>
  <c r="O388" i="6"/>
  <c r="O389" i="6"/>
  <c r="O390" i="6"/>
  <c r="O391" i="6"/>
  <c r="O392" i="6"/>
  <c r="O393" i="6"/>
  <c r="O394" i="6"/>
  <c r="O395" i="6"/>
  <c r="O396" i="6"/>
  <c r="O397" i="6"/>
  <c r="O398" i="6"/>
  <c r="O399" i="6"/>
  <c r="O400" i="6"/>
  <c r="O401" i="6"/>
  <c r="O402" i="6"/>
  <c r="O403" i="6"/>
  <c r="O404" i="6"/>
  <c r="O405" i="6"/>
  <c r="O406" i="6"/>
  <c r="O407" i="6"/>
  <c r="O408" i="6"/>
  <c r="O409" i="6"/>
  <c r="O410" i="6"/>
  <c r="O411" i="6"/>
  <c r="O412" i="6"/>
  <c r="O413" i="6"/>
  <c r="O414" i="6"/>
  <c r="O415" i="6"/>
  <c r="O416" i="6"/>
  <c r="O417" i="6"/>
  <c r="O418" i="6"/>
  <c r="O419" i="6"/>
  <c r="O420" i="6"/>
  <c r="O421" i="6"/>
  <c r="O422" i="6"/>
  <c r="O423" i="6"/>
  <c r="O424" i="6"/>
  <c r="O425" i="6"/>
  <c r="O426" i="6"/>
  <c r="O427" i="6"/>
  <c r="O428" i="6"/>
  <c r="O429" i="6"/>
  <c r="O430" i="6"/>
  <c r="O431" i="6"/>
  <c r="O432" i="6"/>
  <c r="O433" i="6"/>
  <c r="O434" i="6"/>
  <c r="O435" i="6"/>
  <c r="O436" i="6"/>
  <c r="O437" i="6"/>
  <c r="O438" i="6"/>
  <c r="O439" i="6"/>
  <c r="O440" i="6"/>
  <c r="O441" i="6"/>
  <c r="O442" i="6"/>
  <c r="O443" i="6"/>
  <c r="O444" i="6"/>
  <c r="O445" i="6"/>
  <c r="O446" i="6"/>
  <c r="O447" i="6"/>
  <c r="O448" i="6"/>
  <c r="O449" i="6"/>
  <c r="O450" i="6"/>
  <c r="O451" i="6"/>
  <c r="O452" i="6"/>
  <c r="O453" i="6"/>
  <c r="O454" i="6"/>
  <c r="O455" i="6"/>
  <c r="O456" i="6"/>
  <c r="O457" i="6"/>
  <c r="O458" i="6"/>
  <c r="O459" i="6"/>
  <c r="O460" i="6"/>
  <c r="O461" i="6"/>
  <c r="O462" i="6"/>
  <c r="O463" i="6"/>
  <c r="O464" i="6"/>
  <c r="O465" i="6"/>
  <c r="O466" i="6"/>
  <c r="O467" i="6"/>
  <c r="O468" i="6"/>
  <c r="O469" i="6"/>
  <c r="O470" i="6"/>
  <c r="O471" i="6"/>
  <c r="O472" i="6"/>
  <c r="O473" i="6"/>
  <c r="O474" i="6"/>
  <c r="O475" i="6"/>
  <c r="O476" i="6"/>
  <c r="O477" i="6"/>
  <c r="O478" i="6"/>
  <c r="O479" i="6"/>
  <c r="O480" i="6"/>
  <c r="O481" i="6"/>
  <c r="O482" i="6"/>
  <c r="O483" i="6"/>
  <c r="O484" i="6"/>
  <c r="O485" i="6"/>
  <c r="O486" i="6"/>
  <c r="O487" i="6"/>
  <c r="O488" i="6"/>
  <c r="O489" i="6"/>
  <c r="O490" i="6"/>
  <c r="O491" i="6"/>
  <c r="O492" i="6"/>
  <c r="O493" i="6"/>
  <c r="O494" i="6"/>
  <c r="O495" i="6"/>
  <c r="O496" i="6"/>
  <c r="O497" i="6"/>
  <c r="O498" i="6"/>
  <c r="O499" i="6"/>
  <c r="O500" i="6"/>
  <c r="O501" i="6"/>
  <c r="O502" i="6"/>
  <c r="O503" i="6"/>
  <c r="O504" i="6"/>
  <c r="O505" i="6"/>
  <c r="O506" i="6"/>
  <c r="O507" i="6"/>
  <c r="O508" i="6"/>
  <c r="O509" i="6"/>
  <c r="O510" i="6"/>
  <c r="O511" i="6"/>
  <c r="O512" i="6"/>
  <c r="O513" i="6"/>
  <c r="O514" i="6"/>
  <c r="O515" i="6"/>
  <c r="O516" i="6"/>
  <c r="O517" i="6"/>
  <c r="O518" i="6"/>
  <c r="O519" i="6"/>
  <c r="O520" i="6"/>
  <c r="O521" i="6"/>
  <c r="O522" i="6"/>
  <c r="O523" i="6"/>
  <c r="O524" i="6"/>
  <c r="O525" i="6"/>
  <c r="O526" i="6"/>
  <c r="O527" i="6"/>
  <c r="O528" i="6"/>
  <c r="O529" i="6"/>
  <c r="O530" i="6"/>
  <c r="O531" i="6"/>
  <c r="O532" i="6"/>
  <c r="O533" i="6"/>
  <c r="O534" i="6"/>
  <c r="O535" i="6"/>
  <c r="O536" i="6"/>
  <c r="O537" i="6"/>
  <c r="O538" i="6"/>
  <c r="O539" i="6"/>
  <c r="O540" i="6"/>
  <c r="O541" i="6"/>
  <c r="O542" i="6"/>
  <c r="O543" i="6"/>
  <c r="O544" i="6"/>
  <c r="O545" i="6"/>
  <c r="O546" i="6"/>
  <c r="O547" i="6"/>
  <c r="O548" i="6"/>
  <c r="O549" i="6"/>
  <c r="O550" i="6"/>
  <c r="O551" i="6"/>
  <c r="O552" i="6"/>
  <c r="O553" i="6"/>
  <c r="O554" i="6"/>
  <c r="O555" i="6"/>
  <c r="O556" i="6"/>
  <c r="O557" i="6"/>
  <c r="O558" i="6"/>
  <c r="O559" i="6"/>
  <c r="O560" i="6"/>
  <c r="O561" i="6"/>
  <c r="O562" i="6"/>
  <c r="O563" i="6"/>
  <c r="O564" i="6"/>
  <c r="O565" i="6"/>
  <c r="O566" i="6"/>
  <c r="O567" i="6"/>
  <c r="O568" i="6"/>
  <c r="O569" i="6"/>
  <c r="O570" i="6"/>
  <c r="O571" i="6"/>
  <c r="O572" i="6"/>
  <c r="O573" i="6"/>
  <c r="O574" i="6"/>
  <c r="O575" i="6"/>
  <c r="O576" i="6"/>
  <c r="O577" i="6"/>
  <c r="O578" i="6"/>
  <c r="O579" i="6"/>
  <c r="O580" i="6"/>
  <c r="O581" i="6"/>
  <c r="O582" i="6"/>
  <c r="O583" i="6"/>
  <c r="O584" i="6"/>
  <c r="O585" i="6"/>
  <c r="O586" i="6"/>
  <c r="O587" i="6"/>
  <c r="O588" i="6"/>
  <c r="O589" i="6"/>
  <c r="O590" i="6"/>
  <c r="O591" i="6"/>
  <c r="O592" i="6"/>
  <c r="O593" i="6"/>
  <c r="O594" i="6"/>
  <c r="O595" i="6"/>
  <c r="O596" i="6"/>
  <c r="O597" i="6"/>
  <c r="O598" i="6"/>
  <c r="O599" i="6"/>
  <c r="O600" i="6"/>
  <c r="O601" i="6"/>
  <c r="O602" i="6"/>
  <c r="O603" i="6"/>
  <c r="O604" i="6"/>
  <c r="O605" i="6"/>
  <c r="O606" i="6"/>
  <c r="O607" i="6"/>
  <c r="O608" i="6"/>
  <c r="O609" i="6"/>
  <c r="O610" i="6"/>
  <c r="O611" i="6"/>
  <c r="O612" i="6"/>
  <c r="O613" i="6"/>
  <c r="O614" i="6"/>
  <c r="O615" i="6"/>
  <c r="O616" i="6"/>
  <c r="O617" i="6"/>
  <c r="O618" i="6"/>
  <c r="O619" i="6"/>
  <c r="O620" i="6"/>
  <c r="O621" i="6"/>
  <c r="O622" i="6"/>
  <c r="O623" i="6"/>
  <c r="O624" i="6"/>
  <c r="O625" i="6"/>
  <c r="O626" i="6"/>
  <c r="O627" i="6"/>
  <c r="O628" i="6"/>
  <c r="O629" i="6"/>
  <c r="O630" i="6"/>
  <c r="O631" i="6"/>
  <c r="O632" i="6"/>
  <c r="O633" i="6"/>
  <c r="O634" i="6"/>
  <c r="O635" i="6"/>
  <c r="O636" i="6"/>
  <c r="O637" i="6"/>
  <c r="O638" i="6"/>
  <c r="O639" i="6"/>
  <c r="O640" i="6"/>
  <c r="O641" i="6"/>
  <c r="O642" i="6"/>
  <c r="O643" i="6"/>
  <c r="O644" i="6"/>
  <c r="O645" i="6"/>
  <c r="O646" i="6"/>
  <c r="O647" i="6"/>
  <c r="O648" i="6"/>
  <c r="O649" i="6"/>
  <c r="O650" i="6"/>
  <c r="O651" i="6"/>
  <c r="O652" i="6"/>
  <c r="O653" i="6"/>
  <c r="O654" i="6"/>
  <c r="O655" i="6"/>
  <c r="O656" i="6"/>
  <c r="O657" i="6"/>
  <c r="O658" i="6"/>
  <c r="O659" i="6"/>
  <c r="O660" i="6"/>
  <c r="O661" i="6"/>
  <c r="O662" i="6"/>
  <c r="O663" i="6"/>
  <c r="O664" i="6"/>
  <c r="O665" i="6"/>
  <c r="O666" i="6"/>
  <c r="O667" i="6"/>
  <c r="O668" i="6"/>
  <c r="O669" i="6"/>
  <c r="O670" i="6"/>
  <c r="O671" i="6"/>
  <c r="O672" i="6"/>
  <c r="O673" i="6"/>
  <c r="O674" i="6"/>
  <c r="O675" i="6"/>
  <c r="O676" i="6"/>
  <c r="O677" i="6"/>
  <c r="O678" i="6"/>
  <c r="O679" i="6"/>
  <c r="O680" i="6"/>
  <c r="O681" i="6"/>
  <c r="O682" i="6"/>
  <c r="O683" i="6"/>
  <c r="O684" i="6"/>
  <c r="O685" i="6"/>
  <c r="O686" i="6"/>
  <c r="O687" i="6"/>
  <c r="O688" i="6"/>
  <c r="O689" i="6"/>
  <c r="O690" i="6"/>
  <c r="O691" i="6"/>
  <c r="O692" i="6"/>
  <c r="O693" i="6"/>
  <c r="O694" i="6"/>
  <c r="O695" i="6"/>
  <c r="O696" i="6"/>
  <c r="O697" i="6"/>
  <c r="O698" i="6"/>
  <c r="O699" i="6"/>
  <c r="O700" i="6"/>
  <c r="O701" i="6"/>
  <c r="O702" i="6"/>
  <c r="O703" i="6"/>
  <c r="O704" i="6"/>
  <c r="O705" i="6"/>
  <c r="O706" i="6"/>
  <c r="O707" i="6"/>
  <c r="O708" i="6"/>
  <c r="O709" i="6"/>
  <c r="O710" i="6"/>
  <c r="O711" i="6"/>
  <c r="O712" i="6"/>
  <c r="O713" i="6"/>
  <c r="O714" i="6"/>
  <c r="O715" i="6"/>
  <c r="O716" i="6"/>
  <c r="O717" i="6"/>
  <c r="O718" i="6"/>
  <c r="O719" i="6"/>
  <c r="O720" i="6"/>
  <c r="O721" i="6"/>
  <c r="O722" i="6"/>
  <c r="O723" i="6"/>
  <c r="O724" i="6"/>
  <c r="O725" i="6"/>
  <c r="O726" i="6"/>
  <c r="O727" i="6"/>
  <c r="O728" i="6"/>
  <c r="O729" i="6"/>
  <c r="O730" i="6"/>
  <c r="O731" i="6"/>
  <c r="O732" i="6"/>
  <c r="O733" i="6"/>
  <c r="O734" i="6"/>
  <c r="O735" i="6"/>
  <c r="O736" i="6"/>
  <c r="O737" i="6"/>
  <c r="O738" i="6"/>
  <c r="O739" i="6"/>
  <c r="O740" i="6"/>
  <c r="O741" i="6"/>
  <c r="O742" i="6"/>
  <c r="O743" i="6"/>
  <c r="O744" i="6"/>
  <c r="O745" i="6"/>
  <c r="O746" i="6"/>
  <c r="O747" i="6"/>
  <c r="O748" i="6"/>
  <c r="O749" i="6"/>
  <c r="O750" i="6"/>
  <c r="O751" i="6"/>
  <c r="O752" i="6"/>
  <c r="O753" i="6"/>
  <c r="O754" i="6"/>
  <c r="O755" i="6"/>
  <c r="O756" i="6"/>
  <c r="O757" i="6"/>
  <c r="O758" i="6"/>
  <c r="O4" i="6"/>
  <c r="O3" i="6"/>
  <c r="T759" i="5" l="1"/>
  <c r="S759" i="5"/>
  <c r="R759" i="5"/>
  <c r="Q759" i="5"/>
  <c r="P759" i="5"/>
  <c r="O759" i="5"/>
  <c r="N759" i="5"/>
  <c r="M759" i="5"/>
  <c r="L759" i="5"/>
  <c r="K759" i="5"/>
  <c r="J759" i="5"/>
  <c r="I759" i="5"/>
  <c r="H759" i="5"/>
  <c r="G759" i="5"/>
  <c r="F759" i="5"/>
  <c r="E759" i="5"/>
  <c r="D759" i="5"/>
  <c r="C759" i="5"/>
  <c r="B759" i="5"/>
  <c r="A759" i="5"/>
  <c r="T758" i="5"/>
  <c r="S758" i="5"/>
  <c r="R758" i="5"/>
  <c r="Q758" i="5"/>
  <c r="P758" i="5"/>
  <c r="O758" i="5"/>
  <c r="N758" i="5"/>
  <c r="M758" i="5"/>
  <c r="L758" i="5"/>
  <c r="K758" i="5"/>
  <c r="J758" i="5"/>
  <c r="I758" i="5"/>
  <c r="H758" i="5"/>
  <c r="G758" i="5"/>
  <c r="F758" i="5"/>
  <c r="E758" i="5"/>
  <c r="D758" i="5"/>
  <c r="C758" i="5"/>
  <c r="B758" i="5"/>
  <c r="A758" i="5"/>
  <c r="T757" i="5"/>
  <c r="S757" i="5"/>
  <c r="R757" i="5"/>
  <c r="Q757" i="5"/>
  <c r="P757" i="5"/>
  <c r="O757" i="5"/>
  <c r="N757" i="5"/>
  <c r="M757" i="5"/>
  <c r="L757" i="5"/>
  <c r="K757" i="5"/>
  <c r="J757" i="5"/>
  <c r="I757" i="5"/>
  <c r="H757" i="5"/>
  <c r="G757" i="5"/>
  <c r="F757" i="5"/>
  <c r="E757" i="5"/>
  <c r="D757" i="5"/>
  <c r="C757" i="5"/>
  <c r="B757" i="5"/>
  <c r="A757" i="5"/>
  <c r="T756" i="5"/>
  <c r="S756" i="5"/>
  <c r="R756" i="5"/>
  <c r="Q756" i="5"/>
  <c r="P756" i="5"/>
  <c r="O756" i="5"/>
  <c r="N756" i="5"/>
  <c r="M756" i="5"/>
  <c r="L756" i="5"/>
  <c r="K756" i="5"/>
  <c r="J756" i="5"/>
  <c r="I756" i="5"/>
  <c r="H756" i="5"/>
  <c r="G756" i="5"/>
  <c r="F756" i="5"/>
  <c r="E756" i="5"/>
  <c r="D756" i="5"/>
  <c r="C756" i="5"/>
  <c r="B756" i="5"/>
  <c r="A756" i="5"/>
  <c r="T755" i="5"/>
  <c r="S755" i="5"/>
  <c r="R755" i="5"/>
  <c r="Q755" i="5"/>
  <c r="P755" i="5"/>
  <c r="O755" i="5"/>
  <c r="N755" i="5"/>
  <c r="M755" i="5"/>
  <c r="L755" i="5"/>
  <c r="K755" i="5"/>
  <c r="J755" i="5"/>
  <c r="I755" i="5"/>
  <c r="H755" i="5"/>
  <c r="G755" i="5"/>
  <c r="F755" i="5"/>
  <c r="E755" i="5"/>
  <c r="D755" i="5"/>
  <c r="C755" i="5"/>
  <c r="B755" i="5"/>
  <c r="A755" i="5"/>
  <c r="T754" i="5"/>
  <c r="S754" i="5"/>
  <c r="R754" i="5"/>
  <c r="Q754" i="5"/>
  <c r="P754" i="5"/>
  <c r="O754" i="5"/>
  <c r="N754" i="5"/>
  <c r="M754" i="5"/>
  <c r="L754" i="5"/>
  <c r="K754" i="5"/>
  <c r="J754" i="5"/>
  <c r="I754" i="5"/>
  <c r="H754" i="5"/>
  <c r="G754" i="5"/>
  <c r="F754" i="5"/>
  <c r="E754" i="5"/>
  <c r="D754" i="5"/>
  <c r="C754" i="5"/>
  <c r="B754" i="5"/>
  <c r="A754" i="5"/>
  <c r="T753" i="5"/>
  <c r="S753" i="5"/>
  <c r="R753" i="5"/>
  <c r="Q753" i="5"/>
  <c r="P753" i="5"/>
  <c r="O753" i="5"/>
  <c r="N753" i="5"/>
  <c r="M753" i="5"/>
  <c r="L753" i="5"/>
  <c r="K753" i="5"/>
  <c r="J753" i="5"/>
  <c r="I753" i="5"/>
  <c r="H753" i="5"/>
  <c r="G753" i="5"/>
  <c r="F753" i="5"/>
  <c r="E753" i="5"/>
  <c r="D753" i="5"/>
  <c r="C753" i="5"/>
  <c r="B753" i="5"/>
  <c r="A753" i="5"/>
  <c r="T752" i="5"/>
  <c r="S752" i="5"/>
  <c r="R752" i="5"/>
  <c r="Q752" i="5"/>
  <c r="P752" i="5"/>
  <c r="O752" i="5"/>
  <c r="N752" i="5"/>
  <c r="M752" i="5"/>
  <c r="L752" i="5"/>
  <c r="K752" i="5"/>
  <c r="J752" i="5"/>
  <c r="I752" i="5"/>
  <c r="H752" i="5"/>
  <c r="G752" i="5"/>
  <c r="F752" i="5"/>
  <c r="E752" i="5"/>
  <c r="D752" i="5"/>
  <c r="C752" i="5"/>
  <c r="B752" i="5"/>
  <c r="A752" i="5"/>
  <c r="T751" i="5"/>
  <c r="S751" i="5"/>
  <c r="R751" i="5"/>
  <c r="Q751" i="5"/>
  <c r="P751" i="5"/>
  <c r="O751" i="5"/>
  <c r="N751" i="5"/>
  <c r="M751" i="5"/>
  <c r="L751" i="5"/>
  <c r="K751" i="5"/>
  <c r="J751" i="5"/>
  <c r="I751" i="5"/>
  <c r="H751" i="5"/>
  <c r="G751" i="5"/>
  <c r="F751" i="5"/>
  <c r="E751" i="5"/>
  <c r="D751" i="5"/>
  <c r="C751" i="5"/>
  <c r="B751" i="5"/>
  <c r="A751" i="5"/>
  <c r="T750" i="5"/>
  <c r="S750" i="5"/>
  <c r="R750" i="5"/>
  <c r="Q750" i="5"/>
  <c r="P750" i="5"/>
  <c r="O750" i="5"/>
  <c r="N750" i="5"/>
  <c r="M750" i="5"/>
  <c r="L750" i="5"/>
  <c r="K750" i="5"/>
  <c r="J750" i="5"/>
  <c r="I750" i="5"/>
  <c r="H750" i="5"/>
  <c r="G750" i="5"/>
  <c r="F750" i="5"/>
  <c r="E750" i="5"/>
  <c r="D750" i="5"/>
  <c r="C750" i="5"/>
  <c r="B750" i="5"/>
  <c r="A750" i="5"/>
  <c r="T749" i="5"/>
  <c r="S749" i="5"/>
  <c r="R749" i="5"/>
  <c r="Q749" i="5"/>
  <c r="P749" i="5"/>
  <c r="O749" i="5"/>
  <c r="N749" i="5"/>
  <c r="M749" i="5"/>
  <c r="L749" i="5"/>
  <c r="K749" i="5"/>
  <c r="J749" i="5"/>
  <c r="I749" i="5"/>
  <c r="H749" i="5"/>
  <c r="G749" i="5"/>
  <c r="F749" i="5"/>
  <c r="E749" i="5"/>
  <c r="D749" i="5"/>
  <c r="C749" i="5"/>
  <c r="B749" i="5"/>
  <c r="A749" i="5"/>
  <c r="T748" i="5"/>
  <c r="S748" i="5"/>
  <c r="R748" i="5"/>
  <c r="Q748" i="5"/>
  <c r="P748" i="5"/>
  <c r="O748" i="5"/>
  <c r="N748" i="5"/>
  <c r="M748" i="5"/>
  <c r="L748" i="5"/>
  <c r="K748" i="5"/>
  <c r="J748" i="5"/>
  <c r="I748" i="5"/>
  <c r="H748" i="5"/>
  <c r="G748" i="5"/>
  <c r="F748" i="5"/>
  <c r="E748" i="5"/>
  <c r="D748" i="5"/>
  <c r="C748" i="5"/>
  <c r="B748" i="5"/>
  <c r="A748" i="5"/>
  <c r="T747" i="5"/>
  <c r="S747" i="5"/>
  <c r="R747" i="5"/>
  <c r="Q747" i="5"/>
  <c r="P747" i="5"/>
  <c r="O747" i="5"/>
  <c r="N747" i="5"/>
  <c r="M747" i="5"/>
  <c r="L747" i="5"/>
  <c r="K747" i="5"/>
  <c r="J747" i="5"/>
  <c r="I747" i="5"/>
  <c r="H747" i="5"/>
  <c r="G747" i="5"/>
  <c r="F747" i="5"/>
  <c r="E747" i="5"/>
  <c r="D747" i="5"/>
  <c r="C747" i="5"/>
  <c r="B747" i="5"/>
  <c r="A747" i="5"/>
  <c r="T746" i="5"/>
  <c r="S746" i="5"/>
  <c r="R746" i="5"/>
  <c r="Q746" i="5"/>
  <c r="P746" i="5"/>
  <c r="O746" i="5"/>
  <c r="N746" i="5"/>
  <c r="M746" i="5"/>
  <c r="L746" i="5"/>
  <c r="K746" i="5"/>
  <c r="J746" i="5"/>
  <c r="I746" i="5"/>
  <c r="H746" i="5"/>
  <c r="G746" i="5"/>
  <c r="F746" i="5"/>
  <c r="E746" i="5"/>
  <c r="D746" i="5"/>
  <c r="C746" i="5"/>
  <c r="B746" i="5"/>
  <c r="A746" i="5"/>
  <c r="T745" i="5"/>
  <c r="S745" i="5"/>
  <c r="R745" i="5"/>
  <c r="Q745" i="5"/>
  <c r="P745" i="5"/>
  <c r="O745" i="5"/>
  <c r="N745" i="5"/>
  <c r="M745" i="5"/>
  <c r="L745" i="5"/>
  <c r="K745" i="5"/>
  <c r="J745" i="5"/>
  <c r="I745" i="5"/>
  <c r="H745" i="5"/>
  <c r="G745" i="5"/>
  <c r="F745" i="5"/>
  <c r="E745" i="5"/>
  <c r="D745" i="5"/>
  <c r="C745" i="5"/>
  <c r="B745" i="5"/>
  <c r="A745" i="5"/>
  <c r="T744" i="5"/>
  <c r="S744" i="5"/>
  <c r="R744" i="5"/>
  <c r="Q744" i="5"/>
  <c r="P744" i="5"/>
  <c r="O744" i="5"/>
  <c r="N744" i="5"/>
  <c r="M744" i="5"/>
  <c r="L744" i="5"/>
  <c r="K744" i="5"/>
  <c r="J744" i="5"/>
  <c r="I744" i="5"/>
  <c r="H744" i="5"/>
  <c r="G744" i="5"/>
  <c r="F744" i="5"/>
  <c r="E744" i="5"/>
  <c r="D744" i="5"/>
  <c r="C744" i="5"/>
  <c r="B744" i="5"/>
  <c r="A744" i="5"/>
  <c r="T743" i="5"/>
  <c r="S743" i="5"/>
  <c r="R743" i="5"/>
  <c r="Q743" i="5"/>
  <c r="P743" i="5"/>
  <c r="O743" i="5"/>
  <c r="N743" i="5"/>
  <c r="M743" i="5"/>
  <c r="L743" i="5"/>
  <c r="K743" i="5"/>
  <c r="J743" i="5"/>
  <c r="I743" i="5"/>
  <c r="H743" i="5"/>
  <c r="G743" i="5"/>
  <c r="F743" i="5"/>
  <c r="E743" i="5"/>
  <c r="D743" i="5"/>
  <c r="C743" i="5"/>
  <c r="B743" i="5"/>
  <c r="A743" i="5"/>
  <c r="T742" i="5"/>
  <c r="S742" i="5"/>
  <c r="R742" i="5"/>
  <c r="Q742" i="5"/>
  <c r="P742" i="5"/>
  <c r="O742" i="5"/>
  <c r="N742" i="5"/>
  <c r="M742" i="5"/>
  <c r="L742" i="5"/>
  <c r="K742" i="5"/>
  <c r="J742" i="5"/>
  <c r="I742" i="5"/>
  <c r="H742" i="5"/>
  <c r="G742" i="5"/>
  <c r="F742" i="5"/>
  <c r="E742" i="5"/>
  <c r="D742" i="5"/>
  <c r="C742" i="5"/>
  <c r="B742" i="5"/>
  <c r="A742" i="5"/>
  <c r="T741" i="5"/>
  <c r="S741" i="5"/>
  <c r="R741" i="5"/>
  <c r="Q741" i="5"/>
  <c r="P741" i="5"/>
  <c r="O741" i="5"/>
  <c r="N741" i="5"/>
  <c r="M741" i="5"/>
  <c r="L741" i="5"/>
  <c r="K741" i="5"/>
  <c r="J741" i="5"/>
  <c r="I741" i="5"/>
  <c r="H741" i="5"/>
  <c r="G741" i="5"/>
  <c r="F741" i="5"/>
  <c r="E741" i="5"/>
  <c r="D741" i="5"/>
  <c r="C741" i="5"/>
  <c r="B741" i="5"/>
  <c r="A741" i="5"/>
  <c r="T740" i="5"/>
  <c r="S740" i="5"/>
  <c r="R740" i="5"/>
  <c r="Q740" i="5"/>
  <c r="P740" i="5"/>
  <c r="O740" i="5"/>
  <c r="N740" i="5"/>
  <c r="M740" i="5"/>
  <c r="L740" i="5"/>
  <c r="K740" i="5"/>
  <c r="J740" i="5"/>
  <c r="I740" i="5"/>
  <c r="H740" i="5"/>
  <c r="G740" i="5"/>
  <c r="F740" i="5"/>
  <c r="E740" i="5"/>
  <c r="D740" i="5"/>
  <c r="C740" i="5"/>
  <c r="B740" i="5"/>
  <c r="A740" i="5"/>
  <c r="T739" i="5"/>
  <c r="S739" i="5"/>
  <c r="R739" i="5"/>
  <c r="Q739" i="5"/>
  <c r="P739" i="5"/>
  <c r="O739" i="5"/>
  <c r="N739" i="5"/>
  <c r="M739" i="5"/>
  <c r="L739" i="5"/>
  <c r="K739" i="5"/>
  <c r="J739" i="5"/>
  <c r="I739" i="5"/>
  <c r="H739" i="5"/>
  <c r="G739" i="5"/>
  <c r="F739" i="5"/>
  <c r="E739" i="5"/>
  <c r="D739" i="5"/>
  <c r="C739" i="5"/>
  <c r="B739" i="5"/>
  <c r="A739" i="5"/>
  <c r="T738" i="5"/>
  <c r="S738" i="5"/>
  <c r="R738" i="5"/>
  <c r="Q738" i="5"/>
  <c r="P738" i="5"/>
  <c r="O738" i="5"/>
  <c r="N738" i="5"/>
  <c r="M738" i="5"/>
  <c r="L738" i="5"/>
  <c r="K738" i="5"/>
  <c r="J738" i="5"/>
  <c r="I738" i="5"/>
  <c r="H738" i="5"/>
  <c r="G738" i="5"/>
  <c r="F738" i="5"/>
  <c r="E738" i="5"/>
  <c r="D738" i="5"/>
  <c r="C738" i="5"/>
  <c r="B738" i="5"/>
  <c r="A738" i="5"/>
  <c r="T737" i="5"/>
  <c r="S737" i="5"/>
  <c r="R737" i="5"/>
  <c r="Q737" i="5"/>
  <c r="P737" i="5"/>
  <c r="O737" i="5"/>
  <c r="N737" i="5"/>
  <c r="M737" i="5"/>
  <c r="L737" i="5"/>
  <c r="K737" i="5"/>
  <c r="J737" i="5"/>
  <c r="I737" i="5"/>
  <c r="H737" i="5"/>
  <c r="G737" i="5"/>
  <c r="F737" i="5"/>
  <c r="E737" i="5"/>
  <c r="D737" i="5"/>
  <c r="C737" i="5"/>
  <c r="B737" i="5"/>
  <c r="A737" i="5"/>
  <c r="T736" i="5"/>
  <c r="S736" i="5"/>
  <c r="R736" i="5"/>
  <c r="Q736" i="5"/>
  <c r="P736" i="5"/>
  <c r="O736" i="5"/>
  <c r="N736" i="5"/>
  <c r="M736" i="5"/>
  <c r="L736" i="5"/>
  <c r="K736" i="5"/>
  <c r="J736" i="5"/>
  <c r="I736" i="5"/>
  <c r="H736" i="5"/>
  <c r="G736" i="5"/>
  <c r="F736" i="5"/>
  <c r="E736" i="5"/>
  <c r="D736" i="5"/>
  <c r="C736" i="5"/>
  <c r="B736" i="5"/>
  <c r="A736" i="5"/>
  <c r="T735" i="5"/>
  <c r="S735" i="5"/>
  <c r="R735" i="5"/>
  <c r="Q735" i="5"/>
  <c r="P735" i="5"/>
  <c r="O735" i="5"/>
  <c r="N735" i="5"/>
  <c r="M735" i="5"/>
  <c r="L735" i="5"/>
  <c r="K735" i="5"/>
  <c r="J735" i="5"/>
  <c r="I735" i="5"/>
  <c r="H735" i="5"/>
  <c r="G735" i="5"/>
  <c r="F735" i="5"/>
  <c r="E735" i="5"/>
  <c r="D735" i="5"/>
  <c r="C735" i="5"/>
  <c r="B735" i="5"/>
  <c r="A735" i="5"/>
  <c r="T734" i="5"/>
  <c r="S734" i="5"/>
  <c r="R734" i="5"/>
  <c r="Q734" i="5"/>
  <c r="P734" i="5"/>
  <c r="O734" i="5"/>
  <c r="N734" i="5"/>
  <c r="M734" i="5"/>
  <c r="L734" i="5"/>
  <c r="K734" i="5"/>
  <c r="J734" i="5"/>
  <c r="I734" i="5"/>
  <c r="H734" i="5"/>
  <c r="G734" i="5"/>
  <c r="F734" i="5"/>
  <c r="E734" i="5"/>
  <c r="D734" i="5"/>
  <c r="C734" i="5"/>
  <c r="B734" i="5"/>
  <c r="A734" i="5"/>
  <c r="T733" i="5"/>
  <c r="S733" i="5"/>
  <c r="R733" i="5"/>
  <c r="Q733" i="5"/>
  <c r="P733" i="5"/>
  <c r="O733" i="5"/>
  <c r="N733" i="5"/>
  <c r="M733" i="5"/>
  <c r="L733" i="5"/>
  <c r="K733" i="5"/>
  <c r="J733" i="5"/>
  <c r="I733" i="5"/>
  <c r="H733" i="5"/>
  <c r="G733" i="5"/>
  <c r="F733" i="5"/>
  <c r="E733" i="5"/>
  <c r="D733" i="5"/>
  <c r="C733" i="5"/>
  <c r="B733" i="5"/>
  <c r="A733" i="5"/>
  <c r="T732" i="5"/>
  <c r="S732" i="5"/>
  <c r="R732" i="5"/>
  <c r="Q732" i="5"/>
  <c r="P732" i="5"/>
  <c r="O732" i="5"/>
  <c r="N732" i="5"/>
  <c r="M732" i="5"/>
  <c r="L732" i="5"/>
  <c r="K732" i="5"/>
  <c r="J732" i="5"/>
  <c r="I732" i="5"/>
  <c r="H732" i="5"/>
  <c r="G732" i="5"/>
  <c r="F732" i="5"/>
  <c r="E732" i="5"/>
  <c r="D732" i="5"/>
  <c r="C732" i="5"/>
  <c r="B732" i="5"/>
  <c r="A732" i="5"/>
  <c r="T731" i="5"/>
  <c r="S731" i="5"/>
  <c r="R731" i="5"/>
  <c r="Q731" i="5"/>
  <c r="P731" i="5"/>
  <c r="O731" i="5"/>
  <c r="N731" i="5"/>
  <c r="M731" i="5"/>
  <c r="L731" i="5"/>
  <c r="K731" i="5"/>
  <c r="J731" i="5"/>
  <c r="I731" i="5"/>
  <c r="H731" i="5"/>
  <c r="G731" i="5"/>
  <c r="F731" i="5"/>
  <c r="E731" i="5"/>
  <c r="D731" i="5"/>
  <c r="C731" i="5"/>
  <c r="B731" i="5"/>
  <c r="A731" i="5"/>
  <c r="T730" i="5"/>
  <c r="S730" i="5"/>
  <c r="R730" i="5"/>
  <c r="Q730" i="5"/>
  <c r="P730" i="5"/>
  <c r="O730" i="5"/>
  <c r="N730" i="5"/>
  <c r="M730" i="5"/>
  <c r="L730" i="5"/>
  <c r="K730" i="5"/>
  <c r="J730" i="5"/>
  <c r="I730" i="5"/>
  <c r="H730" i="5"/>
  <c r="G730" i="5"/>
  <c r="F730" i="5"/>
  <c r="E730" i="5"/>
  <c r="D730" i="5"/>
  <c r="C730" i="5"/>
  <c r="B730" i="5"/>
  <c r="A730" i="5"/>
  <c r="T729" i="5"/>
  <c r="S729" i="5"/>
  <c r="R729" i="5"/>
  <c r="Q729" i="5"/>
  <c r="P729" i="5"/>
  <c r="O729" i="5"/>
  <c r="N729" i="5"/>
  <c r="M729" i="5"/>
  <c r="L729" i="5"/>
  <c r="K729" i="5"/>
  <c r="J729" i="5"/>
  <c r="I729" i="5"/>
  <c r="H729" i="5"/>
  <c r="G729" i="5"/>
  <c r="F729" i="5"/>
  <c r="E729" i="5"/>
  <c r="D729" i="5"/>
  <c r="C729" i="5"/>
  <c r="B729" i="5"/>
  <c r="A729" i="5"/>
  <c r="T728" i="5"/>
  <c r="S728" i="5"/>
  <c r="R728" i="5"/>
  <c r="Q728" i="5"/>
  <c r="P728" i="5"/>
  <c r="O728" i="5"/>
  <c r="N728" i="5"/>
  <c r="M728" i="5"/>
  <c r="L728" i="5"/>
  <c r="K728" i="5"/>
  <c r="J728" i="5"/>
  <c r="I728" i="5"/>
  <c r="H728" i="5"/>
  <c r="G728" i="5"/>
  <c r="F728" i="5"/>
  <c r="E728" i="5"/>
  <c r="D728" i="5"/>
  <c r="C728" i="5"/>
  <c r="B728" i="5"/>
  <c r="A728" i="5"/>
  <c r="T727" i="5"/>
  <c r="S727" i="5"/>
  <c r="R727" i="5"/>
  <c r="Q727" i="5"/>
  <c r="P727" i="5"/>
  <c r="O727" i="5"/>
  <c r="N727" i="5"/>
  <c r="M727" i="5"/>
  <c r="L727" i="5"/>
  <c r="K727" i="5"/>
  <c r="J727" i="5"/>
  <c r="I727" i="5"/>
  <c r="H727" i="5"/>
  <c r="G727" i="5"/>
  <c r="F727" i="5"/>
  <c r="E727" i="5"/>
  <c r="D727" i="5"/>
  <c r="C727" i="5"/>
  <c r="B727" i="5"/>
  <c r="A727" i="5"/>
  <c r="T726" i="5"/>
  <c r="S726" i="5"/>
  <c r="R726" i="5"/>
  <c r="Q726" i="5"/>
  <c r="P726" i="5"/>
  <c r="O726" i="5"/>
  <c r="N726" i="5"/>
  <c r="M726" i="5"/>
  <c r="L726" i="5"/>
  <c r="K726" i="5"/>
  <c r="J726" i="5"/>
  <c r="I726" i="5"/>
  <c r="H726" i="5"/>
  <c r="G726" i="5"/>
  <c r="F726" i="5"/>
  <c r="E726" i="5"/>
  <c r="D726" i="5"/>
  <c r="C726" i="5"/>
  <c r="B726" i="5"/>
  <c r="A726" i="5"/>
  <c r="T725" i="5"/>
  <c r="S725" i="5"/>
  <c r="R725" i="5"/>
  <c r="Q725" i="5"/>
  <c r="P725" i="5"/>
  <c r="O725" i="5"/>
  <c r="N725" i="5"/>
  <c r="M725" i="5"/>
  <c r="L725" i="5"/>
  <c r="K725" i="5"/>
  <c r="J725" i="5"/>
  <c r="I725" i="5"/>
  <c r="H725" i="5"/>
  <c r="G725" i="5"/>
  <c r="F725" i="5"/>
  <c r="E725" i="5"/>
  <c r="D725" i="5"/>
  <c r="C725" i="5"/>
  <c r="B725" i="5"/>
  <c r="A725" i="5"/>
  <c r="T724" i="5"/>
  <c r="S724" i="5"/>
  <c r="R724" i="5"/>
  <c r="Q724" i="5"/>
  <c r="P724" i="5"/>
  <c r="O724" i="5"/>
  <c r="N724" i="5"/>
  <c r="M724" i="5"/>
  <c r="L724" i="5"/>
  <c r="K724" i="5"/>
  <c r="J724" i="5"/>
  <c r="I724" i="5"/>
  <c r="H724" i="5"/>
  <c r="G724" i="5"/>
  <c r="F724" i="5"/>
  <c r="E724" i="5"/>
  <c r="D724" i="5"/>
  <c r="C724" i="5"/>
  <c r="B724" i="5"/>
  <c r="A724" i="5"/>
  <c r="T723" i="5"/>
  <c r="S723" i="5"/>
  <c r="R723" i="5"/>
  <c r="Q723" i="5"/>
  <c r="P723" i="5"/>
  <c r="O723" i="5"/>
  <c r="N723" i="5"/>
  <c r="M723" i="5"/>
  <c r="L723" i="5"/>
  <c r="K723" i="5"/>
  <c r="J723" i="5"/>
  <c r="I723" i="5"/>
  <c r="H723" i="5"/>
  <c r="G723" i="5"/>
  <c r="F723" i="5"/>
  <c r="E723" i="5"/>
  <c r="D723" i="5"/>
  <c r="C723" i="5"/>
  <c r="B723" i="5"/>
  <c r="A723" i="5"/>
  <c r="T722" i="5"/>
  <c r="S722" i="5"/>
  <c r="R722" i="5"/>
  <c r="Q722" i="5"/>
  <c r="P722" i="5"/>
  <c r="O722" i="5"/>
  <c r="N722" i="5"/>
  <c r="M722" i="5"/>
  <c r="L722" i="5"/>
  <c r="K722" i="5"/>
  <c r="J722" i="5"/>
  <c r="I722" i="5"/>
  <c r="H722" i="5"/>
  <c r="G722" i="5"/>
  <c r="F722" i="5"/>
  <c r="E722" i="5"/>
  <c r="D722" i="5"/>
  <c r="C722" i="5"/>
  <c r="B722" i="5"/>
  <c r="A722" i="5"/>
  <c r="T721" i="5"/>
  <c r="S721" i="5"/>
  <c r="R721" i="5"/>
  <c r="Q721" i="5"/>
  <c r="P721" i="5"/>
  <c r="O721" i="5"/>
  <c r="N721" i="5"/>
  <c r="M721" i="5"/>
  <c r="L721" i="5"/>
  <c r="K721" i="5"/>
  <c r="J721" i="5"/>
  <c r="I721" i="5"/>
  <c r="H721" i="5"/>
  <c r="G721" i="5"/>
  <c r="F721" i="5"/>
  <c r="E721" i="5"/>
  <c r="D721" i="5"/>
  <c r="C721" i="5"/>
  <c r="B721" i="5"/>
  <c r="A721" i="5"/>
  <c r="T720" i="5"/>
  <c r="S720" i="5"/>
  <c r="R720" i="5"/>
  <c r="Q720" i="5"/>
  <c r="P720" i="5"/>
  <c r="O720" i="5"/>
  <c r="N720" i="5"/>
  <c r="M720" i="5"/>
  <c r="L720" i="5"/>
  <c r="K720" i="5"/>
  <c r="J720" i="5"/>
  <c r="I720" i="5"/>
  <c r="H720" i="5"/>
  <c r="G720" i="5"/>
  <c r="F720" i="5"/>
  <c r="E720" i="5"/>
  <c r="D720" i="5"/>
  <c r="C720" i="5"/>
  <c r="B720" i="5"/>
  <c r="A720" i="5"/>
  <c r="T719" i="5"/>
  <c r="S719" i="5"/>
  <c r="R719" i="5"/>
  <c r="Q719" i="5"/>
  <c r="P719" i="5"/>
  <c r="O719" i="5"/>
  <c r="N719" i="5"/>
  <c r="M719" i="5"/>
  <c r="L719" i="5"/>
  <c r="K719" i="5"/>
  <c r="J719" i="5"/>
  <c r="I719" i="5"/>
  <c r="H719" i="5"/>
  <c r="G719" i="5"/>
  <c r="F719" i="5"/>
  <c r="E719" i="5"/>
  <c r="D719" i="5"/>
  <c r="C719" i="5"/>
  <c r="B719" i="5"/>
  <c r="A719" i="5"/>
  <c r="T718" i="5"/>
  <c r="S718" i="5"/>
  <c r="R718" i="5"/>
  <c r="Q718" i="5"/>
  <c r="P718" i="5"/>
  <c r="O718" i="5"/>
  <c r="N718" i="5"/>
  <c r="M718" i="5"/>
  <c r="L718" i="5"/>
  <c r="K718" i="5"/>
  <c r="J718" i="5"/>
  <c r="I718" i="5"/>
  <c r="H718" i="5"/>
  <c r="G718" i="5"/>
  <c r="F718" i="5"/>
  <c r="E718" i="5"/>
  <c r="D718" i="5"/>
  <c r="C718" i="5"/>
  <c r="B718" i="5"/>
  <c r="A718" i="5"/>
  <c r="T717" i="5"/>
  <c r="S717" i="5"/>
  <c r="R717" i="5"/>
  <c r="Q717" i="5"/>
  <c r="P717" i="5"/>
  <c r="O717" i="5"/>
  <c r="N717" i="5"/>
  <c r="M717" i="5"/>
  <c r="L717" i="5"/>
  <c r="K717" i="5"/>
  <c r="J717" i="5"/>
  <c r="I717" i="5"/>
  <c r="H717" i="5"/>
  <c r="G717" i="5"/>
  <c r="F717" i="5"/>
  <c r="E717" i="5"/>
  <c r="D717" i="5"/>
  <c r="C717" i="5"/>
  <c r="B717" i="5"/>
  <c r="A717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B716" i="5"/>
  <c r="A716" i="5"/>
  <c r="T715" i="5"/>
  <c r="S715" i="5"/>
  <c r="R715" i="5"/>
  <c r="Q715" i="5"/>
  <c r="P715" i="5"/>
  <c r="O715" i="5"/>
  <c r="N715" i="5"/>
  <c r="M715" i="5"/>
  <c r="L715" i="5"/>
  <c r="K715" i="5"/>
  <c r="J715" i="5"/>
  <c r="I715" i="5"/>
  <c r="H715" i="5"/>
  <c r="G715" i="5"/>
  <c r="F715" i="5"/>
  <c r="E715" i="5"/>
  <c r="D715" i="5"/>
  <c r="C715" i="5"/>
  <c r="B715" i="5"/>
  <c r="A715" i="5"/>
  <c r="T714" i="5"/>
  <c r="S714" i="5"/>
  <c r="R714" i="5"/>
  <c r="Q714" i="5"/>
  <c r="P714" i="5"/>
  <c r="O714" i="5"/>
  <c r="N714" i="5"/>
  <c r="M714" i="5"/>
  <c r="L714" i="5"/>
  <c r="K714" i="5"/>
  <c r="J714" i="5"/>
  <c r="I714" i="5"/>
  <c r="H714" i="5"/>
  <c r="G714" i="5"/>
  <c r="F714" i="5"/>
  <c r="E714" i="5"/>
  <c r="D714" i="5"/>
  <c r="C714" i="5"/>
  <c r="B714" i="5"/>
  <c r="A714" i="5"/>
  <c r="T713" i="5"/>
  <c r="S713" i="5"/>
  <c r="R713" i="5"/>
  <c r="Q713" i="5"/>
  <c r="P713" i="5"/>
  <c r="O713" i="5"/>
  <c r="N713" i="5"/>
  <c r="M713" i="5"/>
  <c r="L713" i="5"/>
  <c r="K713" i="5"/>
  <c r="J713" i="5"/>
  <c r="I713" i="5"/>
  <c r="H713" i="5"/>
  <c r="G713" i="5"/>
  <c r="F713" i="5"/>
  <c r="E713" i="5"/>
  <c r="D713" i="5"/>
  <c r="C713" i="5"/>
  <c r="B713" i="5"/>
  <c r="A713" i="5"/>
  <c r="T712" i="5"/>
  <c r="S712" i="5"/>
  <c r="R712" i="5"/>
  <c r="Q712" i="5"/>
  <c r="P712" i="5"/>
  <c r="O712" i="5"/>
  <c r="N712" i="5"/>
  <c r="M712" i="5"/>
  <c r="L712" i="5"/>
  <c r="K712" i="5"/>
  <c r="J712" i="5"/>
  <c r="I712" i="5"/>
  <c r="H712" i="5"/>
  <c r="G712" i="5"/>
  <c r="F712" i="5"/>
  <c r="E712" i="5"/>
  <c r="D712" i="5"/>
  <c r="C712" i="5"/>
  <c r="B712" i="5"/>
  <c r="A712" i="5"/>
  <c r="T711" i="5"/>
  <c r="S711" i="5"/>
  <c r="R711" i="5"/>
  <c r="Q711" i="5"/>
  <c r="P711" i="5"/>
  <c r="O711" i="5"/>
  <c r="N711" i="5"/>
  <c r="M711" i="5"/>
  <c r="L711" i="5"/>
  <c r="K711" i="5"/>
  <c r="J711" i="5"/>
  <c r="I711" i="5"/>
  <c r="H711" i="5"/>
  <c r="G711" i="5"/>
  <c r="F711" i="5"/>
  <c r="E711" i="5"/>
  <c r="D711" i="5"/>
  <c r="C711" i="5"/>
  <c r="B711" i="5"/>
  <c r="A711" i="5"/>
  <c r="T710" i="5"/>
  <c r="S710" i="5"/>
  <c r="R710" i="5"/>
  <c r="Q710" i="5"/>
  <c r="P710" i="5"/>
  <c r="O710" i="5"/>
  <c r="N710" i="5"/>
  <c r="M710" i="5"/>
  <c r="L710" i="5"/>
  <c r="K710" i="5"/>
  <c r="J710" i="5"/>
  <c r="I710" i="5"/>
  <c r="H710" i="5"/>
  <c r="G710" i="5"/>
  <c r="F710" i="5"/>
  <c r="E710" i="5"/>
  <c r="D710" i="5"/>
  <c r="C710" i="5"/>
  <c r="B710" i="5"/>
  <c r="A710" i="5"/>
  <c r="T709" i="5"/>
  <c r="S709" i="5"/>
  <c r="R709" i="5"/>
  <c r="Q709" i="5"/>
  <c r="P709" i="5"/>
  <c r="O709" i="5"/>
  <c r="N709" i="5"/>
  <c r="M709" i="5"/>
  <c r="L709" i="5"/>
  <c r="K709" i="5"/>
  <c r="J709" i="5"/>
  <c r="I709" i="5"/>
  <c r="H709" i="5"/>
  <c r="G709" i="5"/>
  <c r="F709" i="5"/>
  <c r="E709" i="5"/>
  <c r="D709" i="5"/>
  <c r="C709" i="5"/>
  <c r="B709" i="5"/>
  <c r="A709" i="5"/>
  <c r="T708" i="5"/>
  <c r="S708" i="5"/>
  <c r="R708" i="5"/>
  <c r="Q708" i="5"/>
  <c r="P708" i="5"/>
  <c r="O708" i="5"/>
  <c r="N708" i="5"/>
  <c r="M708" i="5"/>
  <c r="L708" i="5"/>
  <c r="K708" i="5"/>
  <c r="J708" i="5"/>
  <c r="I708" i="5"/>
  <c r="H708" i="5"/>
  <c r="G708" i="5"/>
  <c r="F708" i="5"/>
  <c r="E708" i="5"/>
  <c r="D708" i="5"/>
  <c r="C708" i="5"/>
  <c r="B708" i="5"/>
  <c r="A708" i="5"/>
  <c r="T707" i="5"/>
  <c r="S707" i="5"/>
  <c r="R707" i="5"/>
  <c r="Q707" i="5"/>
  <c r="P707" i="5"/>
  <c r="O707" i="5"/>
  <c r="N707" i="5"/>
  <c r="M707" i="5"/>
  <c r="L707" i="5"/>
  <c r="K707" i="5"/>
  <c r="J707" i="5"/>
  <c r="I707" i="5"/>
  <c r="H707" i="5"/>
  <c r="G707" i="5"/>
  <c r="F707" i="5"/>
  <c r="E707" i="5"/>
  <c r="D707" i="5"/>
  <c r="C707" i="5"/>
  <c r="B707" i="5"/>
  <c r="A707" i="5"/>
  <c r="T706" i="5"/>
  <c r="S706" i="5"/>
  <c r="R706" i="5"/>
  <c r="Q706" i="5"/>
  <c r="P706" i="5"/>
  <c r="O706" i="5"/>
  <c r="N706" i="5"/>
  <c r="M706" i="5"/>
  <c r="L706" i="5"/>
  <c r="K706" i="5"/>
  <c r="J706" i="5"/>
  <c r="I706" i="5"/>
  <c r="H706" i="5"/>
  <c r="G706" i="5"/>
  <c r="F706" i="5"/>
  <c r="E706" i="5"/>
  <c r="D706" i="5"/>
  <c r="C706" i="5"/>
  <c r="B706" i="5"/>
  <c r="A706" i="5"/>
  <c r="T705" i="5"/>
  <c r="S705" i="5"/>
  <c r="R705" i="5"/>
  <c r="Q705" i="5"/>
  <c r="P705" i="5"/>
  <c r="O705" i="5"/>
  <c r="N705" i="5"/>
  <c r="M705" i="5"/>
  <c r="L705" i="5"/>
  <c r="K705" i="5"/>
  <c r="J705" i="5"/>
  <c r="I705" i="5"/>
  <c r="H705" i="5"/>
  <c r="G705" i="5"/>
  <c r="F705" i="5"/>
  <c r="E705" i="5"/>
  <c r="D705" i="5"/>
  <c r="C705" i="5"/>
  <c r="B705" i="5"/>
  <c r="A705" i="5"/>
  <c r="T704" i="5"/>
  <c r="S704" i="5"/>
  <c r="R704" i="5"/>
  <c r="Q704" i="5"/>
  <c r="P704" i="5"/>
  <c r="O704" i="5"/>
  <c r="N704" i="5"/>
  <c r="M704" i="5"/>
  <c r="L704" i="5"/>
  <c r="K704" i="5"/>
  <c r="J704" i="5"/>
  <c r="I704" i="5"/>
  <c r="H704" i="5"/>
  <c r="G704" i="5"/>
  <c r="F704" i="5"/>
  <c r="E704" i="5"/>
  <c r="D704" i="5"/>
  <c r="C704" i="5"/>
  <c r="B704" i="5"/>
  <c r="A704" i="5"/>
  <c r="T703" i="5"/>
  <c r="S703" i="5"/>
  <c r="R703" i="5"/>
  <c r="Q703" i="5"/>
  <c r="P703" i="5"/>
  <c r="O703" i="5"/>
  <c r="N703" i="5"/>
  <c r="M703" i="5"/>
  <c r="L703" i="5"/>
  <c r="K703" i="5"/>
  <c r="J703" i="5"/>
  <c r="I703" i="5"/>
  <c r="H703" i="5"/>
  <c r="G703" i="5"/>
  <c r="F703" i="5"/>
  <c r="E703" i="5"/>
  <c r="D703" i="5"/>
  <c r="C703" i="5"/>
  <c r="B703" i="5"/>
  <c r="A703" i="5"/>
  <c r="T702" i="5"/>
  <c r="S702" i="5"/>
  <c r="R702" i="5"/>
  <c r="Q702" i="5"/>
  <c r="P702" i="5"/>
  <c r="O702" i="5"/>
  <c r="N702" i="5"/>
  <c r="M702" i="5"/>
  <c r="L702" i="5"/>
  <c r="K702" i="5"/>
  <c r="J702" i="5"/>
  <c r="I702" i="5"/>
  <c r="H702" i="5"/>
  <c r="G702" i="5"/>
  <c r="F702" i="5"/>
  <c r="E702" i="5"/>
  <c r="D702" i="5"/>
  <c r="C702" i="5"/>
  <c r="B702" i="5"/>
  <c r="A702" i="5"/>
  <c r="T701" i="5"/>
  <c r="S701" i="5"/>
  <c r="R701" i="5"/>
  <c r="Q701" i="5"/>
  <c r="P701" i="5"/>
  <c r="O701" i="5"/>
  <c r="N701" i="5"/>
  <c r="M701" i="5"/>
  <c r="L701" i="5"/>
  <c r="K701" i="5"/>
  <c r="J701" i="5"/>
  <c r="I701" i="5"/>
  <c r="H701" i="5"/>
  <c r="G701" i="5"/>
  <c r="F701" i="5"/>
  <c r="E701" i="5"/>
  <c r="D701" i="5"/>
  <c r="C701" i="5"/>
  <c r="B701" i="5"/>
  <c r="A701" i="5"/>
  <c r="T700" i="5"/>
  <c r="S700" i="5"/>
  <c r="R700" i="5"/>
  <c r="Q700" i="5"/>
  <c r="P700" i="5"/>
  <c r="O700" i="5"/>
  <c r="N700" i="5"/>
  <c r="M700" i="5"/>
  <c r="L700" i="5"/>
  <c r="K700" i="5"/>
  <c r="J700" i="5"/>
  <c r="I700" i="5"/>
  <c r="H700" i="5"/>
  <c r="G700" i="5"/>
  <c r="F700" i="5"/>
  <c r="E700" i="5"/>
  <c r="D700" i="5"/>
  <c r="C700" i="5"/>
  <c r="B700" i="5"/>
  <c r="A700" i="5"/>
  <c r="T699" i="5"/>
  <c r="S699" i="5"/>
  <c r="R699" i="5"/>
  <c r="Q699" i="5"/>
  <c r="P699" i="5"/>
  <c r="O699" i="5"/>
  <c r="N699" i="5"/>
  <c r="M699" i="5"/>
  <c r="L699" i="5"/>
  <c r="K699" i="5"/>
  <c r="J699" i="5"/>
  <c r="I699" i="5"/>
  <c r="H699" i="5"/>
  <c r="G699" i="5"/>
  <c r="F699" i="5"/>
  <c r="E699" i="5"/>
  <c r="D699" i="5"/>
  <c r="C699" i="5"/>
  <c r="B699" i="5"/>
  <c r="A699" i="5"/>
  <c r="T698" i="5"/>
  <c r="S698" i="5"/>
  <c r="R698" i="5"/>
  <c r="Q698" i="5"/>
  <c r="P698" i="5"/>
  <c r="O698" i="5"/>
  <c r="N698" i="5"/>
  <c r="M698" i="5"/>
  <c r="L698" i="5"/>
  <c r="K698" i="5"/>
  <c r="J698" i="5"/>
  <c r="I698" i="5"/>
  <c r="H698" i="5"/>
  <c r="G698" i="5"/>
  <c r="F698" i="5"/>
  <c r="E698" i="5"/>
  <c r="D698" i="5"/>
  <c r="C698" i="5"/>
  <c r="B698" i="5"/>
  <c r="A698" i="5"/>
  <c r="T697" i="5"/>
  <c r="S697" i="5"/>
  <c r="R697" i="5"/>
  <c r="Q697" i="5"/>
  <c r="P697" i="5"/>
  <c r="O697" i="5"/>
  <c r="N697" i="5"/>
  <c r="M697" i="5"/>
  <c r="L697" i="5"/>
  <c r="K697" i="5"/>
  <c r="J697" i="5"/>
  <c r="I697" i="5"/>
  <c r="H697" i="5"/>
  <c r="G697" i="5"/>
  <c r="F697" i="5"/>
  <c r="E697" i="5"/>
  <c r="D697" i="5"/>
  <c r="C697" i="5"/>
  <c r="B697" i="5"/>
  <c r="A697" i="5"/>
  <c r="T696" i="5"/>
  <c r="S696" i="5"/>
  <c r="R696" i="5"/>
  <c r="Q696" i="5"/>
  <c r="P696" i="5"/>
  <c r="O696" i="5"/>
  <c r="N696" i="5"/>
  <c r="M696" i="5"/>
  <c r="L696" i="5"/>
  <c r="K696" i="5"/>
  <c r="J696" i="5"/>
  <c r="I696" i="5"/>
  <c r="H696" i="5"/>
  <c r="G696" i="5"/>
  <c r="F696" i="5"/>
  <c r="E696" i="5"/>
  <c r="D696" i="5"/>
  <c r="C696" i="5"/>
  <c r="B696" i="5"/>
  <c r="A696" i="5"/>
  <c r="T695" i="5"/>
  <c r="S695" i="5"/>
  <c r="R695" i="5"/>
  <c r="Q695" i="5"/>
  <c r="P695" i="5"/>
  <c r="O695" i="5"/>
  <c r="N695" i="5"/>
  <c r="M695" i="5"/>
  <c r="L695" i="5"/>
  <c r="K695" i="5"/>
  <c r="J695" i="5"/>
  <c r="I695" i="5"/>
  <c r="H695" i="5"/>
  <c r="G695" i="5"/>
  <c r="F695" i="5"/>
  <c r="E695" i="5"/>
  <c r="D695" i="5"/>
  <c r="C695" i="5"/>
  <c r="B695" i="5"/>
  <c r="A695" i="5"/>
  <c r="T694" i="5"/>
  <c r="S694" i="5"/>
  <c r="R694" i="5"/>
  <c r="Q694" i="5"/>
  <c r="P694" i="5"/>
  <c r="O694" i="5"/>
  <c r="N694" i="5"/>
  <c r="M694" i="5"/>
  <c r="L694" i="5"/>
  <c r="K694" i="5"/>
  <c r="J694" i="5"/>
  <c r="I694" i="5"/>
  <c r="H694" i="5"/>
  <c r="G694" i="5"/>
  <c r="F694" i="5"/>
  <c r="E694" i="5"/>
  <c r="D694" i="5"/>
  <c r="C694" i="5"/>
  <c r="B694" i="5"/>
  <c r="A694" i="5"/>
  <c r="T693" i="5"/>
  <c r="S693" i="5"/>
  <c r="R693" i="5"/>
  <c r="Q693" i="5"/>
  <c r="P693" i="5"/>
  <c r="O693" i="5"/>
  <c r="N693" i="5"/>
  <c r="M693" i="5"/>
  <c r="L693" i="5"/>
  <c r="K693" i="5"/>
  <c r="J693" i="5"/>
  <c r="I693" i="5"/>
  <c r="H693" i="5"/>
  <c r="G693" i="5"/>
  <c r="F693" i="5"/>
  <c r="E693" i="5"/>
  <c r="D693" i="5"/>
  <c r="C693" i="5"/>
  <c r="B693" i="5"/>
  <c r="A693" i="5"/>
  <c r="T692" i="5"/>
  <c r="S692" i="5"/>
  <c r="R692" i="5"/>
  <c r="Q692" i="5"/>
  <c r="P692" i="5"/>
  <c r="O692" i="5"/>
  <c r="N692" i="5"/>
  <c r="M692" i="5"/>
  <c r="L692" i="5"/>
  <c r="K692" i="5"/>
  <c r="J692" i="5"/>
  <c r="I692" i="5"/>
  <c r="H692" i="5"/>
  <c r="G692" i="5"/>
  <c r="F692" i="5"/>
  <c r="E692" i="5"/>
  <c r="D692" i="5"/>
  <c r="C692" i="5"/>
  <c r="B692" i="5"/>
  <c r="A692" i="5"/>
  <c r="T691" i="5"/>
  <c r="S691" i="5"/>
  <c r="R691" i="5"/>
  <c r="Q691" i="5"/>
  <c r="P691" i="5"/>
  <c r="O691" i="5"/>
  <c r="N691" i="5"/>
  <c r="M691" i="5"/>
  <c r="L691" i="5"/>
  <c r="K691" i="5"/>
  <c r="J691" i="5"/>
  <c r="I691" i="5"/>
  <c r="H691" i="5"/>
  <c r="G691" i="5"/>
  <c r="F691" i="5"/>
  <c r="E691" i="5"/>
  <c r="D691" i="5"/>
  <c r="C691" i="5"/>
  <c r="B691" i="5"/>
  <c r="A691" i="5"/>
  <c r="T690" i="5"/>
  <c r="S690" i="5"/>
  <c r="R690" i="5"/>
  <c r="Q690" i="5"/>
  <c r="P690" i="5"/>
  <c r="O690" i="5"/>
  <c r="N690" i="5"/>
  <c r="M690" i="5"/>
  <c r="L690" i="5"/>
  <c r="K690" i="5"/>
  <c r="J690" i="5"/>
  <c r="I690" i="5"/>
  <c r="H690" i="5"/>
  <c r="G690" i="5"/>
  <c r="F690" i="5"/>
  <c r="E690" i="5"/>
  <c r="D690" i="5"/>
  <c r="C690" i="5"/>
  <c r="B690" i="5"/>
  <c r="A690" i="5"/>
  <c r="T689" i="5"/>
  <c r="S689" i="5"/>
  <c r="R689" i="5"/>
  <c r="Q689" i="5"/>
  <c r="P689" i="5"/>
  <c r="O689" i="5"/>
  <c r="N689" i="5"/>
  <c r="M689" i="5"/>
  <c r="L689" i="5"/>
  <c r="K689" i="5"/>
  <c r="J689" i="5"/>
  <c r="I689" i="5"/>
  <c r="H689" i="5"/>
  <c r="G689" i="5"/>
  <c r="F689" i="5"/>
  <c r="E689" i="5"/>
  <c r="D689" i="5"/>
  <c r="C689" i="5"/>
  <c r="B689" i="5"/>
  <c r="A689" i="5"/>
  <c r="T688" i="5"/>
  <c r="S688" i="5"/>
  <c r="R688" i="5"/>
  <c r="Q688" i="5"/>
  <c r="P688" i="5"/>
  <c r="O688" i="5"/>
  <c r="N688" i="5"/>
  <c r="M688" i="5"/>
  <c r="L688" i="5"/>
  <c r="K688" i="5"/>
  <c r="J688" i="5"/>
  <c r="I688" i="5"/>
  <c r="H688" i="5"/>
  <c r="G688" i="5"/>
  <c r="F688" i="5"/>
  <c r="E688" i="5"/>
  <c r="D688" i="5"/>
  <c r="C688" i="5"/>
  <c r="B688" i="5"/>
  <c r="A688" i="5"/>
  <c r="T687" i="5"/>
  <c r="S687" i="5"/>
  <c r="R687" i="5"/>
  <c r="Q687" i="5"/>
  <c r="P687" i="5"/>
  <c r="O687" i="5"/>
  <c r="N687" i="5"/>
  <c r="M687" i="5"/>
  <c r="L687" i="5"/>
  <c r="K687" i="5"/>
  <c r="J687" i="5"/>
  <c r="I687" i="5"/>
  <c r="H687" i="5"/>
  <c r="G687" i="5"/>
  <c r="F687" i="5"/>
  <c r="E687" i="5"/>
  <c r="D687" i="5"/>
  <c r="C687" i="5"/>
  <c r="B687" i="5"/>
  <c r="A687" i="5"/>
  <c r="T686" i="5"/>
  <c r="S686" i="5"/>
  <c r="R686" i="5"/>
  <c r="Q686" i="5"/>
  <c r="P686" i="5"/>
  <c r="O686" i="5"/>
  <c r="N686" i="5"/>
  <c r="M686" i="5"/>
  <c r="L686" i="5"/>
  <c r="K686" i="5"/>
  <c r="J686" i="5"/>
  <c r="I686" i="5"/>
  <c r="H686" i="5"/>
  <c r="G686" i="5"/>
  <c r="F686" i="5"/>
  <c r="E686" i="5"/>
  <c r="D686" i="5"/>
  <c r="C686" i="5"/>
  <c r="B686" i="5"/>
  <c r="A686" i="5"/>
  <c r="T685" i="5"/>
  <c r="S685" i="5"/>
  <c r="R685" i="5"/>
  <c r="Q685" i="5"/>
  <c r="P685" i="5"/>
  <c r="O685" i="5"/>
  <c r="N685" i="5"/>
  <c r="M685" i="5"/>
  <c r="L685" i="5"/>
  <c r="K685" i="5"/>
  <c r="J685" i="5"/>
  <c r="I685" i="5"/>
  <c r="H685" i="5"/>
  <c r="G685" i="5"/>
  <c r="F685" i="5"/>
  <c r="E685" i="5"/>
  <c r="D685" i="5"/>
  <c r="C685" i="5"/>
  <c r="B685" i="5"/>
  <c r="A685" i="5"/>
  <c r="T684" i="5"/>
  <c r="S684" i="5"/>
  <c r="R684" i="5"/>
  <c r="Q684" i="5"/>
  <c r="P684" i="5"/>
  <c r="O684" i="5"/>
  <c r="N684" i="5"/>
  <c r="M684" i="5"/>
  <c r="L684" i="5"/>
  <c r="K684" i="5"/>
  <c r="J684" i="5"/>
  <c r="I684" i="5"/>
  <c r="H684" i="5"/>
  <c r="G684" i="5"/>
  <c r="F684" i="5"/>
  <c r="E684" i="5"/>
  <c r="D684" i="5"/>
  <c r="C684" i="5"/>
  <c r="B684" i="5"/>
  <c r="A684" i="5"/>
  <c r="T683" i="5"/>
  <c r="S683" i="5"/>
  <c r="R683" i="5"/>
  <c r="Q683" i="5"/>
  <c r="P683" i="5"/>
  <c r="O683" i="5"/>
  <c r="N683" i="5"/>
  <c r="M683" i="5"/>
  <c r="L683" i="5"/>
  <c r="K683" i="5"/>
  <c r="J683" i="5"/>
  <c r="I683" i="5"/>
  <c r="H683" i="5"/>
  <c r="G683" i="5"/>
  <c r="F683" i="5"/>
  <c r="E683" i="5"/>
  <c r="D683" i="5"/>
  <c r="C683" i="5"/>
  <c r="B683" i="5"/>
  <c r="A683" i="5"/>
  <c r="T682" i="5"/>
  <c r="S682" i="5"/>
  <c r="R682" i="5"/>
  <c r="Q682" i="5"/>
  <c r="P682" i="5"/>
  <c r="O682" i="5"/>
  <c r="N682" i="5"/>
  <c r="M682" i="5"/>
  <c r="L682" i="5"/>
  <c r="K682" i="5"/>
  <c r="J682" i="5"/>
  <c r="I682" i="5"/>
  <c r="H682" i="5"/>
  <c r="G682" i="5"/>
  <c r="F682" i="5"/>
  <c r="E682" i="5"/>
  <c r="D682" i="5"/>
  <c r="C682" i="5"/>
  <c r="B682" i="5"/>
  <c r="A682" i="5"/>
  <c r="T681" i="5"/>
  <c r="S681" i="5"/>
  <c r="R681" i="5"/>
  <c r="Q681" i="5"/>
  <c r="P681" i="5"/>
  <c r="O681" i="5"/>
  <c r="N681" i="5"/>
  <c r="M681" i="5"/>
  <c r="L681" i="5"/>
  <c r="K681" i="5"/>
  <c r="J681" i="5"/>
  <c r="I681" i="5"/>
  <c r="H681" i="5"/>
  <c r="G681" i="5"/>
  <c r="F681" i="5"/>
  <c r="E681" i="5"/>
  <c r="D681" i="5"/>
  <c r="C681" i="5"/>
  <c r="B681" i="5"/>
  <c r="A681" i="5"/>
  <c r="T680" i="5"/>
  <c r="S680" i="5"/>
  <c r="R680" i="5"/>
  <c r="Q680" i="5"/>
  <c r="P680" i="5"/>
  <c r="O680" i="5"/>
  <c r="N680" i="5"/>
  <c r="M680" i="5"/>
  <c r="L680" i="5"/>
  <c r="K680" i="5"/>
  <c r="J680" i="5"/>
  <c r="I680" i="5"/>
  <c r="H680" i="5"/>
  <c r="G680" i="5"/>
  <c r="F680" i="5"/>
  <c r="E680" i="5"/>
  <c r="D680" i="5"/>
  <c r="C680" i="5"/>
  <c r="B680" i="5"/>
  <c r="A680" i="5"/>
  <c r="T679" i="5"/>
  <c r="S679" i="5"/>
  <c r="R679" i="5"/>
  <c r="Q679" i="5"/>
  <c r="P679" i="5"/>
  <c r="O679" i="5"/>
  <c r="N679" i="5"/>
  <c r="M679" i="5"/>
  <c r="L679" i="5"/>
  <c r="K679" i="5"/>
  <c r="J679" i="5"/>
  <c r="I679" i="5"/>
  <c r="H679" i="5"/>
  <c r="G679" i="5"/>
  <c r="F679" i="5"/>
  <c r="E679" i="5"/>
  <c r="D679" i="5"/>
  <c r="C679" i="5"/>
  <c r="B679" i="5"/>
  <c r="A679" i="5"/>
  <c r="T678" i="5"/>
  <c r="S678" i="5"/>
  <c r="R678" i="5"/>
  <c r="Q678" i="5"/>
  <c r="P678" i="5"/>
  <c r="O678" i="5"/>
  <c r="N678" i="5"/>
  <c r="M678" i="5"/>
  <c r="L678" i="5"/>
  <c r="K678" i="5"/>
  <c r="J678" i="5"/>
  <c r="I678" i="5"/>
  <c r="H678" i="5"/>
  <c r="G678" i="5"/>
  <c r="F678" i="5"/>
  <c r="E678" i="5"/>
  <c r="D678" i="5"/>
  <c r="C678" i="5"/>
  <c r="B678" i="5"/>
  <c r="A678" i="5"/>
  <c r="T677" i="5"/>
  <c r="S677" i="5"/>
  <c r="R677" i="5"/>
  <c r="Q677" i="5"/>
  <c r="P677" i="5"/>
  <c r="O677" i="5"/>
  <c r="N677" i="5"/>
  <c r="M677" i="5"/>
  <c r="L677" i="5"/>
  <c r="K677" i="5"/>
  <c r="J677" i="5"/>
  <c r="I677" i="5"/>
  <c r="H677" i="5"/>
  <c r="G677" i="5"/>
  <c r="F677" i="5"/>
  <c r="E677" i="5"/>
  <c r="D677" i="5"/>
  <c r="C677" i="5"/>
  <c r="B677" i="5"/>
  <c r="A677" i="5"/>
  <c r="T676" i="5"/>
  <c r="S676" i="5"/>
  <c r="R676" i="5"/>
  <c r="Q676" i="5"/>
  <c r="P676" i="5"/>
  <c r="O676" i="5"/>
  <c r="N676" i="5"/>
  <c r="M676" i="5"/>
  <c r="L676" i="5"/>
  <c r="K676" i="5"/>
  <c r="J676" i="5"/>
  <c r="I676" i="5"/>
  <c r="H676" i="5"/>
  <c r="G676" i="5"/>
  <c r="F676" i="5"/>
  <c r="E676" i="5"/>
  <c r="D676" i="5"/>
  <c r="C676" i="5"/>
  <c r="B676" i="5"/>
  <c r="A676" i="5"/>
  <c r="T675" i="5"/>
  <c r="S675" i="5"/>
  <c r="R675" i="5"/>
  <c r="Q675" i="5"/>
  <c r="P675" i="5"/>
  <c r="O675" i="5"/>
  <c r="N675" i="5"/>
  <c r="M675" i="5"/>
  <c r="L675" i="5"/>
  <c r="K675" i="5"/>
  <c r="J675" i="5"/>
  <c r="I675" i="5"/>
  <c r="H675" i="5"/>
  <c r="G675" i="5"/>
  <c r="F675" i="5"/>
  <c r="E675" i="5"/>
  <c r="D675" i="5"/>
  <c r="C675" i="5"/>
  <c r="B675" i="5"/>
  <c r="A675" i="5"/>
  <c r="T674" i="5"/>
  <c r="S674" i="5"/>
  <c r="R674" i="5"/>
  <c r="Q674" i="5"/>
  <c r="P674" i="5"/>
  <c r="O674" i="5"/>
  <c r="N674" i="5"/>
  <c r="M674" i="5"/>
  <c r="L674" i="5"/>
  <c r="K674" i="5"/>
  <c r="J674" i="5"/>
  <c r="I674" i="5"/>
  <c r="H674" i="5"/>
  <c r="G674" i="5"/>
  <c r="F674" i="5"/>
  <c r="E674" i="5"/>
  <c r="D674" i="5"/>
  <c r="C674" i="5"/>
  <c r="B674" i="5"/>
  <c r="A674" i="5"/>
  <c r="T673" i="5"/>
  <c r="S673" i="5"/>
  <c r="R673" i="5"/>
  <c r="Q673" i="5"/>
  <c r="P673" i="5"/>
  <c r="O673" i="5"/>
  <c r="N673" i="5"/>
  <c r="M673" i="5"/>
  <c r="L673" i="5"/>
  <c r="K673" i="5"/>
  <c r="J673" i="5"/>
  <c r="I673" i="5"/>
  <c r="H673" i="5"/>
  <c r="G673" i="5"/>
  <c r="F673" i="5"/>
  <c r="E673" i="5"/>
  <c r="D673" i="5"/>
  <c r="C673" i="5"/>
  <c r="B673" i="5"/>
  <c r="A673" i="5"/>
  <c r="T672" i="5"/>
  <c r="S672" i="5"/>
  <c r="R672" i="5"/>
  <c r="Q672" i="5"/>
  <c r="P672" i="5"/>
  <c r="O672" i="5"/>
  <c r="N672" i="5"/>
  <c r="M672" i="5"/>
  <c r="L672" i="5"/>
  <c r="K672" i="5"/>
  <c r="J672" i="5"/>
  <c r="I672" i="5"/>
  <c r="H672" i="5"/>
  <c r="G672" i="5"/>
  <c r="F672" i="5"/>
  <c r="E672" i="5"/>
  <c r="D672" i="5"/>
  <c r="C672" i="5"/>
  <c r="B672" i="5"/>
  <c r="A672" i="5"/>
  <c r="T671" i="5"/>
  <c r="S671" i="5"/>
  <c r="R671" i="5"/>
  <c r="Q671" i="5"/>
  <c r="P671" i="5"/>
  <c r="O671" i="5"/>
  <c r="N671" i="5"/>
  <c r="M671" i="5"/>
  <c r="L671" i="5"/>
  <c r="K671" i="5"/>
  <c r="J671" i="5"/>
  <c r="I671" i="5"/>
  <c r="H671" i="5"/>
  <c r="G671" i="5"/>
  <c r="F671" i="5"/>
  <c r="E671" i="5"/>
  <c r="D671" i="5"/>
  <c r="C671" i="5"/>
  <c r="B671" i="5"/>
  <c r="A671" i="5"/>
  <c r="T670" i="5"/>
  <c r="S670" i="5"/>
  <c r="R670" i="5"/>
  <c r="Q670" i="5"/>
  <c r="P670" i="5"/>
  <c r="O670" i="5"/>
  <c r="N670" i="5"/>
  <c r="M670" i="5"/>
  <c r="L670" i="5"/>
  <c r="K670" i="5"/>
  <c r="J670" i="5"/>
  <c r="I670" i="5"/>
  <c r="H670" i="5"/>
  <c r="G670" i="5"/>
  <c r="F670" i="5"/>
  <c r="E670" i="5"/>
  <c r="D670" i="5"/>
  <c r="C670" i="5"/>
  <c r="B670" i="5"/>
  <c r="A670" i="5"/>
  <c r="T669" i="5"/>
  <c r="S669" i="5"/>
  <c r="R669" i="5"/>
  <c r="Q669" i="5"/>
  <c r="P669" i="5"/>
  <c r="O669" i="5"/>
  <c r="N669" i="5"/>
  <c r="M669" i="5"/>
  <c r="L669" i="5"/>
  <c r="K669" i="5"/>
  <c r="J669" i="5"/>
  <c r="I669" i="5"/>
  <c r="H669" i="5"/>
  <c r="G669" i="5"/>
  <c r="F669" i="5"/>
  <c r="E669" i="5"/>
  <c r="D669" i="5"/>
  <c r="C669" i="5"/>
  <c r="B669" i="5"/>
  <c r="A669" i="5"/>
  <c r="T668" i="5"/>
  <c r="S668" i="5"/>
  <c r="R668" i="5"/>
  <c r="Q668" i="5"/>
  <c r="P668" i="5"/>
  <c r="O668" i="5"/>
  <c r="N668" i="5"/>
  <c r="M668" i="5"/>
  <c r="L668" i="5"/>
  <c r="K668" i="5"/>
  <c r="J668" i="5"/>
  <c r="I668" i="5"/>
  <c r="H668" i="5"/>
  <c r="G668" i="5"/>
  <c r="F668" i="5"/>
  <c r="E668" i="5"/>
  <c r="D668" i="5"/>
  <c r="C668" i="5"/>
  <c r="B668" i="5"/>
  <c r="A668" i="5"/>
  <c r="T667" i="5"/>
  <c r="S667" i="5"/>
  <c r="R667" i="5"/>
  <c r="Q667" i="5"/>
  <c r="P667" i="5"/>
  <c r="O667" i="5"/>
  <c r="N667" i="5"/>
  <c r="M667" i="5"/>
  <c r="L667" i="5"/>
  <c r="K667" i="5"/>
  <c r="J667" i="5"/>
  <c r="I667" i="5"/>
  <c r="H667" i="5"/>
  <c r="G667" i="5"/>
  <c r="F667" i="5"/>
  <c r="E667" i="5"/>
  <c r="D667" i="5"/>
  <c r="C667" i="5"/>
  <c r="B667" i="5"/>
  <c r="A667" i="5"/>
  <c r="T666" i="5"/>
  <c r="S666" i="5"/>
  <c r="R666" i="5"/>
  <c r="Q666" i="5"/>
  <c r="P666" i="5"/>
  <c r="O666" i="5"/>
  <c r="N666" i="5"/>
  <c r="M666" i="5"/>
  <c r="L666" i="5"/>
  <c r="K666" i="5"/>
  <c r="J666" i="5"/>
  <c r="I666" i="5"/>
  <c r="H666" i="5"/>
  <c r="G666" i="5"/>
  <c r="F666" i="5"/>
  <c r="E666" i="5"/>
  <c r="D666" i="5"/>
  <c r="C666" i="5"/>
  <c r="B666" i="5"/>
  <c r="A666" i="5"/>
  <c r="T665" i="5"/>
  <c r="S665" i="5"/>
  <c r="R665" i="5"/>
  <c r="Q665" i="5"/>
  <c r="P665" i="5"/>
  <c r="O665" i="5"/>
  <c r="N665" i="5"/>
  <c r="M665" i="5"/>
  <c r="L665" i="5"/>
  <c r="K665" i="5"/>
  <c r="J665" i="5"/>
  <c r="I665" i="5"/>
  <c r="H665" i="5"/>
  <c r="G665" i="5"/>
  <c r="F665" i="5"/>
  <c r="E665" i="5"/>
  <c r="D665" i="5"/>
  <c r="C665" i="5"/>
  <c r="B665" i="5"/>
  <c r="A665" i="5"/>
  <c r="T664" i="5"/>
  <c r="S664" i="5"/>
  <c r="R664" i="5"/>
  <c r="Q664" i="5"/>
  <c r="P664" i="5"/>
  <c r="O664" i="5"/>
  <c r="N664" i="5"/>
  <c r="M664" i="5"/>
  <c r="L664" i="5"/>
  <c r="K664" i="5"/>
  <c r="J664" i="5"/>
  <c r="I664" i="5"/>
  <c r="H664" i="5"/>
  <c r="G664" i="5"/>
  <c r="F664" i="5"/>
  <c r="E664" i="5"/>
  <c r="D664" i="5"/>
  <c r="C664" i="5"/>
  <c r="B664" i="5"/>
  <c r="A664" i="5"/>
  <c r="T663" i="5"/>
  <c r="S663" i="5"/>
  <c r="R663" i="5"/>
  <c r="Q663" i="5"/>
  <c r="P663" i="5"/>
  <c r="O663" i="5"/>
  <c r="N663" i="5"/>
  <c r="M663" i="5"/>
  <c r="L663" i="5"/>
  <c r="K663" i="5"/>
  <c r="J663" i="5"/>
  <c r="I663" i="5"/>
  <c r="H663" i="5"/>
  <c r="G663" i="5"/>
  <c r="F663" i="5"/>
  <c r="E663" i="5"/>
  <c r="D663" i="5"/>
  <c r="C663" i="5"/>
  <c r="B663" i="5"/>
  <c r="A663" i="5"/>
  <c r="T662" i="5"/>
  <c r="S662" i="5"/>
  <c r="R662" i="5"/>
  <c r="Q662" i="5"/>
  <c r="P662" i="5"/>
  <c r="O662" i="5"/>
  <c r="N662" i="5"/>
  <c r="M662" i="5"/>
  <c r="L662" i="5"/>
  <c r="K662" i="5"/>
  <c r="J662" i="5"/>
  <c r="I662" i="5"/>
  <c r="H662" i="5"/>
  <c r="G662" i="5"/>
  <c r="F662" i="5"/>
  <c r="E662" i="5"/>
  <c r="D662" i="5"/>
  <c r="C662" i="5"/>
  <c r="B662" i="5"/>
  <c r="A662" i="5"/>
  <c r="T661" i="5"/>
  <c r="S661" i="5"/>
  <c r="R661" i="5"/>
  <c r="Q661" i="5"/>
  <c r="P661" i="5"/>
  <c r="O661" i="5"/>
  <c r="N661" i="5"/>
  <c r="M661" i="5"/>
  <c r="L661" i="5"/>
  <c r="K661" i="5"/>
  <c r="J661" i="5"/>
  <c r="I661" i="5"/>
  <c r="H661" i="5"/>
  <c r="G661" i="5"/>
  <c r="F661" i="5"/>
  <c r="E661" i="5"/>
  <c r="D661" i="5"/>
  <c r="C661" i="5"/>
  <c r="B661" i="5"/>
  <c r="A661" i="5"/>
  <c r="T660" i="5"/>
  <c r="S660" i="5"/>
  <c r="R660" i="5"/>
  <c r="Q660" i="5"/>
  <c r="P660" i="5"/>
  <c r="O660" i="5"/>
  <c r="N660" i="5"/>
  <c r="M660" i="5"/>
  <c r="L660" i="5"/>
  <c r="K660" i="5"/>
  <c r="J660" i="5"/>
  <c r="I660" i="5"/>
  <c r="H660" i="5"/>
  <c r="G660" i="5"/>
  <c r="F660" i="5"/>
  <c r="E660" i="5"/>
  <c r="D660" i="5"/>
  <c r="C660" i="5"/>
  <c r="B660" i="5"/>
  <c r="A660" i="5"/>
  <c r="T659" i="5"/>
  <c r="S659" i="5"/>
  <c r="R659" i="5"/>
  <c r="Q659" i="5"/>
  <c r="P659" i="5"/>
  <c r="O659" i="5"/>
  <c r="N659" i="5"/>
  <c r="M659" i="5"/>
  <c r="L659" i="5"/>
  <c r="K659" i="5"/>
  <c r="J659" i="5"/>
  <c r="I659" i="5"/>
  <c r="H659" i="5"/>
  <c r="G659" i="5"/>
  <c r="F659" i="5"/>
  <c r="E659" i="5"/>
  <c r="D659" i="5"/>
  <c r="C659" i="5"/>
  <c r="B659" i="5"/>
  <c r="A659" i="5"/>
  <c r="T658" i="5"/>
  <c r="S658" i="5"/>
  <c r="R658" i="5"/>
  <c r="Q658" i="5"/>
  <c r="P658" i="5"/>
  <c r="O658" i="5"/>
  <c r="N658" i="5"/>
  <c r="M658" i="5"/>
  <c r="L658" i="5"/>
  <c r="K658" i="5"/>
  <c r="J658" i="5"/>
  <c r="I658" i="5"/>
  <c r="H658" i="5"/>
  <c r="G658" i="5"/>
  <c r="F658" i="5"/>
  <c r="E658" i="5"/>
  <c r="D658" i="5"/>
  <c r="C658" i="5"/>
  <c r="B658" i="5"/>
  <c r="A658" i="5"/>
  <c r="T657" i="5"/>
  <c r="S657" i="5"/>
  <c r="R657" i="5"/>
  <c r="Q657" i="5"/>
  <c r="P657" i="5"/>
  <c r="O657" i="5"/>
  <c r="N657" i="5"/>
  <c r="M657" i="5"/>
  <c r="L657" i="5"/>
  <c r="K657" i="5"/>
  <c r="J657" i="5"/>
  <c r="I657" i="5"/>
  <c r="H657" i="5"/>
  <c r="G657" i="5"/>
  <c r="F657" i="5"/>
  <c r="E657" i="5"/>
  <c r="D657" i="5"/>
  <c r="C657" i="5"/>
  <c r="B657" i="5"/>
  <c r="A657" i="5"/>
  <c r="T656" i="5"/>
  <c r="S656" i="5"/>
  <c r="R656" i="5"/>
  <c r="Q656" i="5"/>
  <c r="P656" i="5"/>
  <c r="O656" i="5"/>
  <c r="N656" i="5"/>
  <c r="M656" i="5"/>
  <c r="L656" i="5"/>
  <c r="K656" i="5"/>
  <c r="J656" i="5"/>
  <c r="I656" i="5"/>
  <c r="H656" i="5"/>
  <c r="G656" i="5"/>
  <c r="F656" i="5"/>
  <c r="E656" i="5"/>
  <c r="D656" i="5"/>
  <c r="C656" i="5"/>
  <c r="B656" i="5"/>
  <c r="A656" i="5"/>
  <c r="T655" i="5"/>
  <c r="S655" i="5"/>
  <c r="R655" i="5"/>
  <c r="Q655" i="5"/>
  <c r="P655" i="5"/>
  <c r="O655" i="5"/>
  <c r="N655" i="5"/>
  <c r="M655" i="5"/>
  <c r="L655" i="5"/>
  <c r="K655" i="5"/>
  <c r="J655" i="5"/>
  <c r="I655" i="5"/>
  <c r="H655" i="5"/>
  <c r="G655" i="5"/>
  <c r="F655" i="5"/>
  <c r="E655" i="5"/>
  <c r="D655" i="5"/>
  <c r="C655" i="5"/>
  <c r="B655" i="5"/>
  <c r="A655" i="5"/>
  <c r="T654" i="5"/>
  <c r="S654" i="5"/>
  <c r="R654" i="5"/>
  <c r="Q654" i="5"/>
  <c r="P654" i="5"/>
  <c r="O654" i="5"/>
  <c r="N654" i="5"/>
  <c r="M654" i="5"/>
  <c r="L654" i="5"/>
  <c r="K654" i="5"/>
  <c r="J654" i="5"/>
  <c r="I654" i="5"/>
  <c r="H654" i="5"/>
  <c r="G654" i="5"/>
  <c r="F654" i="5"/>
  <c r="E654" i="5"/>
  <c r="D654" i="5"/>
  <c r="C654" i="5"/>
  <c r="B654" i="5"/>
  <c r="A654" i="5"/>
  <c r="T653" i="5"/>
  <c r="S653" i="5"/>
  <c r="R653" i="5"/>
  <c r="Q653" i="5"/>
  <c r="P653" i="5"/>
  <c r="O653" i="5"/>
  <c r="N653" i="5"/>
  <c r="M653" i="5"/>
  <c r="L653" i="5"/>
  <c r="K653" i="5"/>
  <c r="J653" i="5"/>
  <c r="I653" i="5"/>
  <c r="H653" i="5"/>
  <c r="G653" i="5"/>
  <c r="F653" i="5"/>
  <c r="E653" i="5"/>
  <c r="D653" i="5"/>
  <c r="C653" i="5"/>
  <c r="B653" i="5"/>
  <c r="A653" i="5"/>
  <c r="T652" i="5"/>
  <c r="S652" i="5"/>
  <c r="R652" i="5"/>
  <c r="Q652" i="5"/>
  <c r="P652" i="5"/>
  <c r="O652" i="5"/>
  <c r="N652" i="5"/>
  <c r="M652" i="5"/>
  <c r="L652" i="5"/>
  <c r="K652" i="5"/>
  <c r="J652" i="5"/>
  <c r="I652" i="5"/>
  <c r="H652" i="5"/>
  <c r="G652" i="5"/>
  <c r="F652" i="5"/>
  <c r="E652" i="5"/>
  <c r="D652" i="5"/>
  <c r="C652" i="5"/>
  <c r="B652" i="5"/>
  <c r="A652" i="5"/>
  <c r="T651" i="5"/>
  <c r="S651" i="5"/>
  <c r="R651" i="5"/>
  <c r="Q651" i="5"/>
  <c r="P651" i="5"/>
  <c r="O651" i="5"/>
  <c r="N651" i="5"/>
  <c r="M651" i="5"/>
  <c r="L651" i="5"/>
  <c r="K651" i="5"/>
  <c r="J651" i="5"/>
  <c r="I651" i="5"/>
  <c r="H651" i="5"/>
  <c r="G651" i="5"/>
  <c r="F651" i="5"/>
  <c r="E651" i="5"/>
  <c r="D651" i="5"/>
  <c r="C651" i="5"/>
  <c r="B651" i="5"/>
  <c r="A651" i="5"/>
  <c r="T650" i="5"/>
  <c r="S650" i="5"/>
  <c r="R650" i="5"/>
  <c r="Q650" i="5"/>
  <c r="P650" i="5"/>
  <c r="O650" i="5"/>
  <c r="N650" i="5"/>
  <c r="M650" i="5"/>
  <c r="L650" i="5"/>
  <c r="K650" i="5"/>
  <c r="J650" i="5"/>
  <c r="I650" i="5"/>
  <c r="H650" i="5"/>
  <c r="G650" i="5"/>
  <c r="F650" i="5"/>
  <c r="E650" i="5"/>
  <c r="D650" i="5"/>
  <c r="C650" i="5"/>
  <c r="B650" i="5"/>
  <c r="A650" i="5"/>
  <c r="T649" i="5"/>
  <c r="S649" i="5"/>
  <c r="R649" i="5"/>
  <c r="Q649" i="5"/>
  <c r="P649" i="5"/>
  <c r="O649" i="5"/>
  <c r="N649" i="5"/>
  <c r="M649" i="5"/>
  <c r="L649" i="5"/>
  <c r="K649" i="5"/>
  <c r="J649" i="5"/>
  <c r="I649" i="5"/>
  <c r="H649" i="5"/>
  <c r="G649" i="5"/>
  <c r="F649" i="5"/>
  <c r="E649" i="5"/>
  <c r="D649" i="5"/>
  <c r="C649" i="5"/>
  <c r="B649" i="5"/>
  <c r="A649" i="5"/>
  <c r="T648" i="5"/>
  <c r="S648" i="5"/>
  <c r="R648" i="5"/>
  <c r="Q648" i="5"/>
  <c r="P648" i="5"/>
  <c r="O648" i="5"/>
  <c r="N648" i="5"/>
  <c r="M648" i="5"/>
  <c r="L648" i="5"/>
  <c r="K648" i="5"/>
  <c r="J648" i="5"/>
  <c r="I648" i="5"/>
  <c r="H648" i="5"/>
  <c r="G648" i="5"/>
  <c r="F648" i="5"/>
  <c r="E648" i="5"/>
  <c r="D648" i="5"/>
  <c r="C648" i="5"/>
  <c r="B648" i="5"/>
  <c r="A648" i="5"/>
  <c r="T647" i="5"/>
  <c r="S647" i="5"/>
  <c r="R647" i="5"/>
  <c r="Q647" i="5"/>
  <c r="P647" i="5"/>
  <c r="O647" i="5"/>
  <c r="N647" i="5"/>
  <c r="M647" i="5"/>
  <c r="L647" i="5"/>
  <c r="K647" i="5"/>
  <c r="J647" i="5"/>
  <c r="I647" i="5"/>
  <c r="H647" i="5"/>
  <c r="G647" i="5"/>
  <c r="F647" i="5"/>
  <c r="E647" i="5"/>
  <c r="D647" i="5"/>
  <c r="C647" i="5"/>
  <c r="B647" i="5"/>
  <c r="A647" i="5"/>
  <c r="T646" i="5"/>
  <c r="S646" i="5"/>
  <c r="R646" i="5"/>
  <c r="Q646" i="5"/>
  <c r="P646" i="5"/>
  <c r="O646" i="5"/>
  <c r="N646" i="5"/>
  <c r="M646" i="5"/>
  <c r="L646" i="5"/>
  <c r="K646" i="5"/>
  <c r="J646" i="5"/>
  <c r="I646" i="5"/>
  <c r="H646" i="5"/>
  <c r="G646" i="5"/>
  <c r="F646" i="5"/>
  <c r="E646" i="5"/>
  <c r="D646" i="5"/>
  <c r="C646" i="5"/>
  <c r="B646" i="5"/>
  <c r="A646" i="5"/>
  <c r="T645" i="5"/>
  <c r="S645" i="5"/>
  <c r="R645" i="5"/>
  <c r="Q645" i="5"/>
  <c r="P645" i="5"/>
  <c r="O645" i="5"/>
  <c r="N645" i="5"/>
  <c r="M645" i="5"/>
  <c r="L645" i="5"/>
  <c r="K645" i="5"/>
  <c r="J645" i="5"/>
  <c r="I645" i="5"/>
  <c r="H645" i="5"/>
  <c r="G645" i="5"/>
  <c r="F645" i="5"/>
  <c r="E645" i="5"/>
  <c r="D645" i="5"/>
  <c r="C645" i="5"/>
  <c r="B645" i="5"/>
  <c r="A645" i="5"/>
  <c r="T644" i="5"/>
  <c r="S644" i="5"/>
  <c r="R644" i="5"/>
  <c r="Q644" i="5"/>
  <c r="P644" i="5"/>
  <c r="O644" i="5"/>
  <c r="N644" i="5"/>
  <c r="M644" i="5"/>
  <c r="L644" i="5"/>
  <c r="K644" i="5"/>
  <c r="J644" i="5"/>
  <c r="I644" i="5"/>
  <c r="H644" i="5"/>
  <c r="G644" i="5"/>
  <c r="F644" i="5"/>
  <c r="E644" i="5"/>
  <c r="D644" i="5"/>
  <c r="C644" i="5"/>
  <c r="B644" i="5"/>
  <c r="A644" i="5"/>
  <c r="T643" i="5"/>
  <c r="S643" i="5"/>
  <c r="R643" i="5"/>
  <c r="Q643" i="5"/>
  <c r="P643" i="5"/>
  <c r="O643" i="5"/>
  <c r="N643" i="5"/>
  <c r="M643" i="5"/>
  <c r="L643" i="5"/>
  <c r="K643" i="5"/>
  <c r="J643" i="5"/>
  <c r="I643" i="5"/>
  <c r="H643" i="5"/>
  <c r="G643" i="5"/>
  <c r="F643" i="5"/>
  <c r="E643" i="5"/>
  <c r="D643" i="5"/>
  <c r="C643" i="5"/>
  <c r="B643" i="5"/>
  <c r="A643" i="5"/>
  <c r="T642" i="5"/>
  <c r="S642" i="5"/>
  <c r="R642" i="5"/>
  <c r="Q642" i="5"/>
  <c r="P642" i="5"/>
  <c r="O642" i="5"/>
  <c r="N642" i="5"/>
  <c r="M642" i="5"/>
  <c r="L642" i="5"/>
  <c r="K642" i="5"/>
  <c r="J642" i="5"/>
  <c r="I642" i="5"/>
  <c r="H642" i="5"/>
  <c r="G642" i="5"/>
  <c r="F642" i="5"/>
  <c r="E642" i="5"/>
  <c r="D642" i="5"/>
  <c r="C642" i="5"/>
  <c r="B642" i="5"/>
  <c r="A642" i="5"/>
  <c r="T641" i="5"/>
  <c r="S641" i="5"/>
  <c r="R641" i="5"/>
  <c r="Q641" i="5"/>
  <c r="P641" i="5"/>
  <c r="O641" i="5"/>
  <c r="N641" i="5"/>
  <c r="M641" i="5"/>
  <c r="L641" i="5"/>
  <c r="K641" i="5"/>
  <c r="J641" i="5"/>
  <c r="I641" i="5"/>
  <c r="H641" i="5"/>
  <c r="G641" i="5"/>
  <c r="F641" i="5"/>
  <c r="E641" i="5"/>
  <c r="D641" i="5"/>
  <c r="C641" i="5"/>
  <c r="B641" i="5"/>
  <c r="A641" i="5"/>
  <c r="T640" i="5"/>
  <c r="S640" i="5"/>
  <c r="R640" i="5"/>
  <c r="Q640" i="5"/>
  <c r="P640" i="5"/>
  <c r="O640" i="5"/>
  <c r="N640" i="5"/>
  <c r="M640" i="5"/>
  <c r="L640" i="5"/>
  <c r="K640" i="5"/>
  <c r="J640" i="5"/>
  <c r="I640" i="5"/>
  <c r="H640" i="5"/>
  <c r="G640" i="5"/>
  <c r="F640" i="5"/>
  <c r="E640" i="5"/>
  <c r="D640" i="5"/>
  <c r="C640" i="5"/>
  <c r="B640" i="5"/>
  <c r="A640" i="5"/>
  <c r="T639" i="5"/>
  <c r="S639" i="5"/>
  <c r="R639" i="5"/>
  <c r="Q639" i="5"/>
  <c r="P639" i="5"/>
  <c r="O639" i="5"/>
  <c r="N639" i="5"/>
  <c r="M639" i="5"/>
  <c r="L639" i="5"/>
  <c r="K639" i="5"/>
  <c r="J639" i="5"/>
  <c r="I639" i="5"/>
  <c r="H639" i="5"/>
  <c r="G639" i="5"/>
  <c r="F639" i="5"/>
  <c r="E639" i="5"/>
  <c r="D639" i="5"/>
  <c r="C639" i="5"/>
  <c r="B639" i="5"/>
  <c r="A639" i="5"/>
  <c r="T638" i="5"/>
  <c r="S638" i="5"/>
  <c r="R638" i="5"/>
  <c r="Q638" i="5"/>
  <c r="P638" i="5"/>
  <c r="O638" i="5"/>
  <c r="N638" i="5"/>
  <c r="M638" i="5"/>
  <c r="L638" i="5"/>
  <c r="K638" i="5"/>
  <c r="J638" i="5"/>
  <c r="I638" i="5"/>
  <c r="H638" i="5"/>
  <c r="G638" i="5"/>
  <c r="F638" i="5"/>
  <c r="E638" i="5"/>
  <c r="D638" i="5"/>
  <c r="C638" i="5"/>
  <c r="B638" i="5"/>
  <c r="A638" i="5"/>
  <c r="T637" i="5"/>
  <c r="S637" i="5"/>
  <c r="R637" i="5"/>
  <c r="Q637" i="5"/>
  <c r="P637" i="5"/>
  <c r="O637" i="5"/>
  <c r="N637" i="5"/>
  <c r="M637" i="5"/>
  <c r="L637" i="5"/>
  <c r="K637" i="5"/>
  <c r="J637" i="5"/>
  <c r="I637" i="5"/>
  <c r="H637" i="5"/>
  <c r="G637" i="5"/>
  <c r="F637" i="5"/>
  <c r="E637" i="5"/>
  <c r="D637" i="5"/>
  <c r="C637" i="5"/>
  <c r="B637" i="5"/>
  <c r="A637" i="5"/>
  <c r="T636" i="5"/>
  <c r="S636" i="5"/>
  <c r="R636" i="5"/>
  <c r="Q636" i="5"/>
  <c r="P636" i="5"/>
  <c r="O636" i="5"/>
  <c r="N636" i="5"/>
  <c r="M636" i="5"/>
  <c r="L636" i="5"/>
  <c r="K636" i="5"/>
  <c r="J636" i="5"/>
  <c r="I636" i="5"/>
  <c r="H636" i="5"/>
  <c r="G636" i="5"/>
  <c r="F636" i="5"/>
  <c r="E636" i="5"/>
  <c r="D636" i="5"/>
  <c r="C636" i="5"/>
  <c r="B636" i="5"/>
  <c r="A636" i="5"/>
  <c r="T635" i="5"/>
  <c r="S635" i="5"/>
  <c r="R635" i="5"/>
  <c r="Q635" i="5"/>
  <c r="P635" i="5"/>
  <c r="O635" i="5"/>
  <c r="N635" i="5"/>
  <c r="M635" i="5"/>
  <c r="L635" i="5"/>
  <c r="K635" i="5"/>
  <c r="J635" i="5"/>
  <c r="I635" i="5"/>
  <c r="H635" i="5"/>
  <c r="G635" i="5"/>
  <c r="F635" i="5"/>
  <c r="E635" i="5"/>
  <c r="D635" i="5"/>
  <c r="C635" i="5"/>
  <c r="B635" i="5"/>
  <c r="A635" i="5"/>
  <c r="T634" i="5"/>
  <c r="S634" i="5"/>
  <c r="R634" i="5"/>
  <c r="Q634" i="5"/>
  <c r="P634" i="5"/>
  <c r="O634" i="5"/>
  <c r="N634" i="5"/>
  <c r="M634" i="5"/>
  <c r="L634" i="5"/>
  <c r="K634" i="5"/>
  <c r="J634" i="5"/>
  <c r="I634" i="5"/>
  <c r="H634" i="5"/>
  <c r="G634" i="5"/>
  <c r="F634" i="5"/>
  <c r="E634" i="5"/>
  <c r="D634" i="5"/>
  <c r="C634" i="5"/>
  <c r="B634" i="5"/>
  <c r="A634" i="5"/>
  <c r="T633" i="5"/>
  <c r="S633" i="5"/>
  <c r="R633" i="5"/>
  <c r="Q633" i="5"/>
  <c r="P633" i="5"/>
  <c r="O633" i="5"/>
  <c r="N633" i="5"/>
  <c r="M633" i="5"/>
  <c r="L633" i="5"/>
  <c r="K633" i="5"/>
  <c r="J633" i="5"/>
  <c r="I633" i="5"/>
  <c r="H633" i="5"/>
  <c r="G633" i="5"/>
  <c r="F633" i="5"/>
  <c r="E633" i="5"/>
  <c r="D633" i="5"/>
  <c r="C633" i="5"/>
  <c r="B633" i="5"/>
  <c r="A633" i="5"/>
  <c r="T632" i="5"/>
  <c r="S632" i="5"/>
  <c r="R632" i="5"/>
  <c r="Q632" i="5"/>
  <c r="P632" i="5"/>
  <c r="O632" i="5"/>
  <c r="N632" i="5"/>
  <c r="M632" i="5"/>
  <c r="L632" i="5"/>
  <c r="K632" i="5"/>
  <c r="J632" i="5"/>
  <c r="I632" i="5"/>
  <c r="H632" i="5"/>
  <c r="G632" i="5"/>
  <c r="F632" i="5"/>
  <c r="E632" i="5"/>
  <c r="D632" i="5"/>
  <c r="C632" i="5"/>
  <c r="B632" i="5"/>
  <c r="A632" i="5"/>
  <c r="T631" i="5"/>
  <c r="S631" i="5"/>
  <c r="R631" i="5"/>
  <c r="Q631" i="5"/>
  <c r="P631" i="5"/>
  <c r="O631" i="5"/>
  <c r="N631" i="5"/>
  <c r="M631" i="5"/>
  <c r="L631" i="5"/>
  <c r="K631" i="5"/>
  <c r="J631" i="5"/>
  <c r="I631" i="5"/>
  <c r="H631" i="5"/>
  <c r="G631" i="5"/>
  <c r="F631" i="5"/>
  <c r="E631" i="5"/>
  <c r="D631" i="5"/>
  <c r="C631" i="5"/>
  <c r="B631" i="5"/>
  <c r="A631" i="5"/>
  <c r="T630" i="5"/>
  <c r="S630" i="5"/>
  <c r="R630" i="5"/>
  <c r="Q630" i="5"/>
  <c r="P630" i="5"/>
  <c r="O630" i="5"/>
  <c r="N630" i="5"/>
  <c r="M630" i="5"/>
  <c r="L630" i="5"/>
  <c r="K630" i="5"/>
  <c r="J630" i="5"/>
  <c r="I630" i="5"/>
  <c r="H630" i="5"/>
  <c r="G630" i="5"/>
  <c r="F630" i="5"/>
  <c r="E630" i="5"/>
  <c r="D630" i="5"/>
  <c r="C630" i="5"/>
  <c r="B630" i="5"/>
  <c r="A630" i="5"/>
  <c r="T629" i="5"/>
  <c r="S629" i="5"/>
  <c r="R629" i="5"/>
  <c r="Q629" i="5"/>
  <c r="P629" i="5"/>
  <c r="O629" i="5"/>
  <c r="N629" i="5"/>
  <c r="M629" i="5"/>
  <c r="L629" i="5"/>
  <c r="K629" i="5"/>
  <c r="J629" i="5"/>
  <c r="I629" i="5"/>
  <c r="H629" i="5"/>
  <c r="G629" i="5"/>
  <c r="F629" i="5"/>
  <c r="E629" i="5"/>
  <c r="D629" i="5"/>
  <c r="C629" i="5"/>
  <c r="B629" i="5"/>
  <c r="A629" i="5"/>
  <c r="T628" i="5"/>
  <c r="S628" i="5"/>
  <c r="R628" i="5"/>
  <c r="Q628" i="5"/>
  <c r="P628" i="5"/>
  <c r="O628" i="5"/>
  <c r="N628" i="5"/>
  <c r="M628" i="5"/>
  <c r="L628" i="5"/>
  <c r="K628" i="5"/>
  <c r="J628" i="5"/>
  <c r="I628" i="5"/>
  <c r="H628" i="5"/>
  <c r="G628" i="5"/>
  <c r="F628" i="5"/>
  <c r="E628" i="5"/>
  <c r="D628" i="5"/>
  <c r="C628" i="5"/>
  <c r="B628" i="5"/>
  <c r="A628" i="5"/>
  <c r="T627" i="5"/>
  <c r="S627" i="5"/>
  <c r="R627" i="5"/>
  <c r="Q627" i="5"/>
  <c r="P627" i="5"/>
  <c r="O627" i="5"/>
  <c r="N627" i="5"/>
  <c r="M627" i="5"/>
  <c r="L627" i="5"/>
  <c r="K627" i="5"/>
  <c r="J627" i="5"/>
  <c r="I627" i="5"/>
  <c r="H627" i="5"/>
  <c r="G627" i="5"/>
  <c r="F627" i="5"/>
  <c r="E627" i="5"/>
  <c r="D627" i="5"/>
  <c r="C627" i="5"/>
  <c r="B627" i="5"/>
  <c r="A627" i="5"/>
  <c r="T626" i="5"/>
  <c r="S626" i="5"/>
  <c r="R626" i="5"/>
  <c r="Q626" i="5"/>
  <c r="P626" i="5"/>
  <c r="O626" i="5"/>
  <c r="N626" i="5"/>
  <c r="M626" i="5"/>
  <c r="L626" i="5"/>
  <c r="K626" i="5"/>
  <c r="J626" i="5"/>
  <c r="I626" i="5"/>
  <c r="H626" i="5"/>
  <c r="G626" i="5"/>
  <c r="F626" i="5"/>
  <c r="E626" i="5"/>
  <c r="D626" i="5"/>
  <c r="C626" i="5"/>
  <c r="B626" i="5"/>
  <c r="A626" i="5"/>
  <c r="T625" i="5"/>
  <c r="S625" i="5"/>
  <c r="R625" i="5"/>
  <c r="Q625" i="5"/>
  <c r="P625" i="5"/>
  <c r="O625" i="5"/>
  <c r="N625" i="5"/>
  <c r="M625" i="5"/>
  <c r="L625" i="5"/>
  <c r="K625" i="5"/>
  <c r="J625" i="5"/>
  <c r="I625" i="5"/>
  <c r="H625" i="5"/>
  <c r="G625" i="5"/>
  <c r="F625" i="5"/>
  <c r="E625" i="5"/>
  <c r="D625" i="5"/>
  <c r="C625" i="5"/>
  <c r="B625" i="5"/>
  <c r="A625" i="5"/>
  <c r="T624" i="5"/>
  <c r="S624" i="5"/>
  <c r="R624" i="5"/>
  <c r="Q624" i="5"/>
  <c r="P624" i="5"/>
  <c r="O624" i="5"/>
  <c r="N624" i="5"/>
  <c r="M624" i="5"/>
  <c r="L624" i="5"/>
  <c r="K624" i="5"/>
  <c r="J624" i="5"/>
  <c r="I624" i="5"/>
  <c r="H624" i="5"/>
  <c r="G624" i="5"/>
  <c r="F624" i="5"/>
  <c r="E624" i="5"/>
  <c r="D624" i="5"/>
  <c r="C624" i="5"/>
  <c r="B624" i="5"/>
  <c r="A624" i="5"/>
  <c r="T623" i="5"/>
  <c r="S623" i="5"/>
  <c r="R623" i="5"/>
  <c r="Q623" i="5"/>
  <c r="P623" i="5"/>
  <c r="O623" i="5"/>
  <c r="N623" i="5"/>
  <c r="M623" i="5"/>
  <c r="L623" i="5"/>
  <c r="K623" i="5"/>
  <c r="J623" i="5"/>
  <c r="I623" i="5"/>
  <c r="H623" i="5"/>
  <c r="G623" i="5"/>
  <c r="F623" i="5"/>
  <c r="E623" i="5"/>
  <c r="D623" i="5"/>
  <c r="C623" i="5"/>
  <c r="B623" i="5"/>
  <c r="A623" i="5"/>
  <c r="T622" i="5"/>
  <c r="S622" i="5"/>
  <c r="R622" i="5"/>
  <c r="Q622" i="5"/>
  <c r="P622" i="5"/>
  <c r="O622" i="5"/>
  <c r="N622" i="5"/>
  <c r="M622" i="5"/>
  <c r="L622" i="5"/>
  <c r="K622" i="5"/>
  <c r="J622" i="5"/>
  <c r="I622" i="5"/>
  <c r="H622" i="5"/>
  <c r="G622" i="5"/>
  <c r="F622" i="5"/>
  <c r="E622" i="5"/>
  <c r="D622" i="5"/>
  <c r="C622" i="5"/>
  <c r="B622" i="5"/>
  <c r="A622" i="5"/>
  <c r="T621" i="5"/>
  <c r="S621" i="5"/>
  <c r="R621" i="5"/>
  <c r="Q621" i="5"/>
  <c r="P621" i="5"/>
  <c r="O621" i="5"/>
  <c r="N621" i="5"/>
  <c r="M621" i="5"/>
  <c r="L621" i="5"/>
  <c r="K621" i="5"/>
  <c r="J621" i="5"/>
  <c r="I621" i="5"/>
  <c r="H621" i="5"/>
  <c r="G621" i="5"/>
  <c r="F621" i="5"/>
  <c r="E621" i="5"/>
  <c r="D621" i="5"/>
  <c r="C621" i="5"/>
  <c r="B621" i="5"/>
  <c r="A621" i="5"/>
  <c r="T620" i="5"/>
  <c r="S620" i="5"/>
  <c r="R620" i="5"/>
  <c r="Q620" i="5"/>
  <c r="P620" i="5"/>
  <c r="O620" i="5"/>
  <c r="N620" i="5"/>
  <c r="M620" i="5"/>
  <c r="L620" i="5"/>
  <c r="K620" i="5"/>
  <c r="J620" i="5"/>
  <c r="I620" i="5"/>
  <c r="H620" i="5"/>
  <c r="G620" i="5"/>
  <c r="F620" i="5"/>
  <c r="E620" i="5"/>
  <c r="D620" i="5"/>
  <c r="C620" i="5"/>
  <c r="B620" i="5"/>
  <c r="A620" i="5"/>
  <c r="T619" i="5"/>
  <c r="S619" i="5"/>
  <c r="R619" i="5"/>
  <c r="Q619" i="5"/>
  <c r="P619" i="5"/>
  <c r="O619" i="5"/>
  <c r="N619" i="5"/>
  <c r="M619" i="5"/>
  <c r="L619" i="5"/>
  <c r="K619" i="5"/>
  <c r="J619" i="5"/>
  <c r="I619" i="5"/>
  <c r="H619" i="5"/>
  <c r="G619" i="5"/>
  <c r="F619" i="5"/>
  <c r="E619" i="5"/>
  <c r="D619" i="5"/>
  <c r="C619" i="5"/>
  <c r="B619" i="5"/>
  <c r="A619" i="5"/>
  <c r="T618" i="5"/>
  <c r="S618" i="5"/>
  <c r="R618" i="5"/>
  <c r="Q618" i="5"/>
  <c r="P618" i="5"/>
  <c r="O618" i="5"/>
  <c r="N618" i="5"/>
  <c r="M618" i="5"/>
  <c r="L618" i="5"/>
  <c r="K618" i="5"/>
  <c r="J618" i="5"/>
  <c r="I618" i="5"/>
  <c r="H618" i="5"/>
  <c r="G618" i="5"/>
  <c r="F618" i="5"/>
  <c r="E618" i="5"/>
  <c r="D618" i="5"/>
  <c r="C618" i="5"/>
  <c r="B618" i="5"/>
  <c r="A618" i="5"/>
  <c r="T617" i="5"/>
  <c r="S617" i="5"/>
  <c r="R617" i="5"/>
  <c r="Q617" i="5"/>
  <c r="P617" i="5"/>
  <c r="O617" i="5"/>
  <c r="N617" i="5"/>
  <c r="M617" i="5"/>
  <c r="L617" i="5"/>
  <c r="K617" i="5"/>
  <c r="J617" i="5"/>
  <c r="I617" i="5"/>
  <c r="H617" i="5"/>
  <c r="G617" i="5"/>
  <c r="F617" i="5"/>
  <c r="E617" i="5"/>
  <c r="D617" i="5"/>
  <c r="C617" i="5"/>
  <c r="B617" i="5"/>
  <c r="A617" i="5"/>
  <c r="T616" i="5"/>
  <c r="S616" i="5"/>
  <c r="R616" i="5"/>
  <c r="Q616" i="5"/>
  <c r="P616" i="5"/>
  <c r="O616" i="5"/>
  <c r="N616" i="5"/>
  <c r="M616" i="5"/>
  <c r="L616" i="5"/>
  <c r="K616" i="5"/>
  <c r="J616" i="5"/>
  <c r="I616" i="5"/>
  <c r="H616" i="5"/>
  <c r="G616" i="5"/>
  <c r="F616" i="5"/>
  <c r="E616" i="5"/>
  <c r="D616" i="5"/>
  <c r="C616" i="5"/>
  <c r="B616" i="5"/>
  <c r="A616" i="5"/>
  <c r="T615" i="5"/>
  <c r="S615" i="5"/>
  <c r="R615" i="5"/>
  <c r="Q615" i="5"/>
  <c r="P615" i="5"/>
  <c r="O615" i="5"/>
  <c r="N615" i="5"/>
  <c r="M615" i="5"/>
  <c r="L615" i="5"/>
  <c r="K615" i="5"/>
  <c r="J615" i="5"/>
  <c r="I615" i="5"/>
  <c r="H615" i="5"/>
  <c r="G615" i="5"/>
  <c r="F615" i="5"/>
  <c r="E615" i="5"/>
  <c r="D615" i="5"/>
  <c r="C615" i="5"/>
  <c r="B615" i="5"/>
  <c r="A615" i="5"/>
  <c r="T614" i="5"/>
  <c r="S614" i="5"/>
  <c r="R614" i="5"/>
  <c r="Q614" i="5"/>
  <c r="P614" i="5"/>
  <c r="O614" i="5"/>
  <c r="N614" i="5"/>
  <c r="M614" i="5"/>
  <c r="L614" i="5"/>
  <c r="K614" i="5"/>
  <c r="J614" i="5"/>
  <c r="I614" i="5"/>
  <c r="H614" i="5"/>
  <c r="G614" i="5"/>
  <c r="F614" i="5"/>
  <c r="E614" i="5"/>
  <c r="D614" i="5"/>
  <c r="C614" i="5"/>
  <c r="B614" i="5"/>
  <c r="A614" i="5"/>
  <c r="T613" i="5"/>
  <c r="S613" i="5"/>
  <c r="R613" i="5"/>
  <c r="Q613" i="5"/>
  <c r="P613" i="5"/>
  <c r="O613" i="5"/>
  <c r="N613" i="5"/>
  <c r="M613" i="5"/>
  <c r="L613" i="5"/>
  <c r="K613" i="5"/>
  <c r="J613" i="5"/>
  <c r="I613" i="5"/>
  <c r="H613" i="5"/>
  <c r="G613" i="5"/>
  <c r="F613" i="5"/>
  <c r="E613" i="5"/>
  <c r="D613" i="5"/>
  <c r="C613" i="5"/>
  <c r="B613" i="5"/>
  <c r="A613" i="5"/>
  <c r="T612" i="5"/>
  <c r="S612" i="5"/>
  <c r="R612" i="5"/>
  <c r="Q612" i="5"/>
  <c r="P612" i="5"/>
  <c r="O612" i="5"/>
  <c r="N612" i="5"/>
  <c r="M612" i="5"/>
  <c r="L612" i="5"/>
  <c r="K612" i="5"/>
  <c r="J612" i="5"/>
  <c r="I612" i="5"/>
  <c r="H612" i="5"/>
  <c r="G612" i="5"/>
  <c r="F612" i="5"/>
  <c r="E612" i="5"/>
  <c r="D612" i="5"/>
  <c r="C612" i="5"/>
  <c r="B612" i="5"/>
  <c r="A612" i="5"/>
  <c r="T611" i="5"/>
  <c r="S611" i="5"/>
  <c r="R611" i="5"/>
  <c r="Q611" i="5"/>
  <c r="P611" i="5"/>
  <c r="O611" i="5"/>
  <c r="N611" i="5"/>
  <c r="M611" i="5"/>
  <c r="L611" i="5"/>
  <c r="K611" i="5"/>
  <c r="J611" i="5"/>
  <c r="I611" i="5"/>
  <c r="H611" i="5"/>
  <c r="G611" i="5"/>
  <c r="F611" i="5"/>
  <c r="E611" i="5"/>
  <c r="D611" i="5"/>
  <c r="C611" i="5"/>
  <c r="B611" i="5"/>
  <c r="A611" i="5"/>
  <c r="T610" i="5"/>
  <c r="S610" i="5"/>
  <c r="R610" i="5"/>
  <c r="Q610" i="5"/>
  <c r="P610" i="5"/>
  <c r="O610" i="5"/>
  <c r="N610" i="5"/>
  <c r="M610" i="5"/>
  <c r="L610" i="5"/>
  <c r="K610" i="5"/>
  <c r="J610" i="5"/>
  <c r="I610" i="5"/>
  <c r="H610" i="5"/>
  <c r="G610" i="5"/>
  <c r="F610" i="5"/>
  <c r="E610" i="5"/>
  <c r="D610" i="5"/>
  <c r="C610" i="5"/>
  <c r="B610" i="5"/>
  <c r="A610" i="5"/>
  <c r="T609" i="5"/>
  <c r="S609" i="5"/>
  <c r="R609" i="5"/>
  <c r="Q609" i="5"/>
  <c r="P609" i="5"/>
  <c r="O609" i="5"/>
  <c r="N609" i="5"/>
  <c r="M609" i="5"/>
  <c r="L609" i="5"/>
  <c r="K609" i="5"/>
  <c r="J609" i="5"/>
  <c r="I609" i="5"/>
  <c r="H609" i="5"/>
  <c r="G609" i="5"/>
  <c r="F609" i="5"/>
  <c r="E609" i="5"/>
  <c r="D609" i="5"/>
  <c r="C609" i="5"/>
  <c r="B609" i="5"/>
  <c r="A609" i="5"/>
  <c r="T608" i="5"/>
  <c r="S608" i="5"/>
  <c r="R608" i="5"/>
  <c r="Q608" i="5"/>
  <c r="P608" i="5"/>
  <c r="O608" i="5"/>
  <c r="N608" i="5"/>
  <c r="M608" i="5"/>
  <c r="L608" i="5"/>
  <c r="K608" i="5"/>
  <c r="J608" i="5"/>
  <c r="I608" i="5"/>
  <c r="H608" i="5"/>
  <c r="G608" i="5"/>
  <c r="F608" i="5"/>
  <c r="E608" i="5"/>
  <c r="D608" i="5"/>
  <c r="C608" i="5"/>
  <c r="B608" i="5"/>
  <c r="A608" i="5"/>
  <c r="T607" i="5"/>
  <c r="S607" i="5"/>
  <c r="R607" i="5"/>
  <c r="Q607" i="5"/>
  <c r="P607" i="5"/>
  <c r="O607" i="5"/>
  <c r="N607" i="5"/>
  <c r="M607" i="5"/>
  <c r="L607" i="5"/>
  <c r="K607" i="5"/>
  <c r="J607" i="5"/>
  <c r="I607" i="5"/>
  <c r="H607" i="5"/>
  <c r="G607" i="5"/>
  <c r="F607" i="5"/>
  <c r="E607" i="5"/>
  <c r="D607" i="5"/>
  <c r="C607" i="5"/>
  <c r="B607" i="5"/>
  <c r="A607" i="5"/>
  <c r="T606" i="5"/>
  <c r="S606" i="5"/>
  <c r="R606" i="5"/>
  <c r="Q606" i="5"/>
  <c r="P606" i="5"/>
  <c r="O606" i="5"/>
  <c r="N606" i="5"/>
  <c r="M606" i="5"/>
  <c r="L606" i="5"/>
  <c r="K606" i="5"/>
  <c r="J606" i="5"/>
  <c r="I606" i="5"/>
  <c r="H606" i="5"/>
  <c r="G606" i="5"/>
  <c r="F606" i="5"/>
  <c r="E606" i="5"/>
  <c r="D606" i="5"/>
  <c r="C606" i="5"/>
  <c r="B606" i="5"/>
  <c r="A606" i="5"/>
  <c r="T605" i="5"/>
  <c r="S605" i="5"/>
  <c r="R605" i="5"/>
  <c r="Q605" i="5"/>
  <c r="P605" i="5"/>
  <c r="O605" i="5"/>
  <c r="N605" i="5"/>
  <c r="M605" i="5"/>
  <c r="L605" i="5"/>
  <c r="K605" i="5"/>
  <c r="J605" i="5"/>
  <c r="I605" i="5"/>
  <c r="H605" i="5"/>
  <c r="G605" i="5"/>
  <c r="F605" i="5"/>
  <c r="E605" i="5"/>
  <c r="D605" i="5"/>
  <c r="C605" i="5"/>
  <c r="B605" i="5"/>
  <c r="A605" i="5"/>
  <c r="T604" i="5"/>
  <c r="S604" i="5"/>
  <c r="R604" i="5"/>
  <c r="Q604" i="5"/>
  <c r="P604" i="5"/>
  <c r="O604" i="5"/>
  <c r="N604" i="5"/>
  <c r="M604" i="5"/>
  <c r="L604" i="5"/>
  <c r="K604" i="5"/>
  <c r="J604" i="5"/>
  <c r="I604" i="5"/>
  <c r="H604" i="5"/>
  <c r="G604" i="5"/>
  <c r="F604" i="5"/>
  <c r="E604" i="5"/>
  <c r="D604" i="5"/>
  <c r="C604" i="5"/>
  <c r="B604" i="5"/>
  <c r="A604" i="5"/>
  <c r="T603" i="5"/>
  <c r="S603" i="5"/>
  <c r="R603" i="5"/>
  <c r="Q603" i="5"/>
  <c r="P603" i="5"/>
  <c r="O603" i="5"/>
  <c r="N603" i="5"/>
  <c r="M603" i="5"/>
  <c r="L603" i="5"/>
  <c r="K603" i="5"/>
  <c r="J603" i="5"/>
  <c r="I603" i="5"/>
  <c r="H603" i="5"/>
  <c r="G603" i="5"/>
  <c r="F603" i="5"/>
  <c r="E603" i="5"/>
  <c r="D603" i="5"/>
  <c r="C603" i="5"/>
  <c r="B603" i="5"/>
  <c r="A603" i="5"/>
  <c r="T602" i="5"/>
  <c r="S602" i="5"/>
  <c r="R602" i="5"/>
  <c r="Q602" i="5"/>
  <c r="P602" i="5"/>
  <c r="O602" i="5"/>
  <c r="N602" i="5"/>
  <c r="M602" i="5"/>
  <c r="L602" i="5"/>
  <c r="K602" i="5"/>
  <c r="J602" i="5"/>
  <c r="I602" i="5"/>
  <c r="H602" i="5"/>
  <c r="G602" i="5"/>
  <c r="F602" i="5"/>
  <c r="E602" i="5"/>
  <c r="D602" i="5"/>
  <c r="C602" i="5"/>
  <c r="B602" i="5"/>
  <c r="A602" i="5"/>
  <c r="T601" i="5"/>
  <c r="S601" i="5"/>
  <c r="R601" i="5"/>
  <c r="Q601" i="5"/>
  <c r="P601" i="5"/>
  <c r="O601" i="5"/>
  <c r="N601" i="5"/>
  <c r="M601" i="5"/>
  <c r="L601" i="5"/>
  <c r="K601" i="5"/>
  <c r="J601" i="5"/>
  <c r="I601" i="5"/>
  <c r="H601" i="5"/>
  <c r="G601" i="5"/>
  <c r="F601" i="5"/>
  <c r="E601" i="5"/>
  <c r="D601" i="5"/>
  <c r="C601" i="5"/>
  <c r="B601" i="5"/>
  <c r="A601" i="5"/>
  <c r="T600" i="5"/>
  <c r="S600" i="5"/>
  <c r="R600" i="5"/>
  <c r="Q600" i="5"/>
  <c r="P600" i="5"/>
  <c r="O600" i="5"/>
  <c r="N600" i="5"/>
  <c r="M600" i="5"/>
  <c r="L600" i="5"/>
  <c r="K600" i="5"/>
  <c r="J600" i="5"/>
  <c r="I600" i="5"/>
  <c r="H600" i="5"/>
  <c r="G600" i="5"/>
  <c r="F600" i="5"/>
  <c r="E600" i="5"/>
  <c r="D600" i="5"/>
  <c r="C600" i="5"/>
  <c r="B600" i="5"/>
  <c r="A600" i="5"/>
  <c r="T599" i="5"/>
  <c r="S599" i="5"/>
  <c r="R599" i="5"/>
  <c r="Q599" i="5"/>
  <c r="P599" i="5"/>
  <c r="O599" i="5"/>
  <c r="N599" i="5"/>
  <c r="M599" i="5"/>
  <c r="L599" i="5"/>
  <c r="K599" i="5"/>
  <c r="J599" i="5"/>
  <c r="I599" i="5"/>
  <c r="H599" i="5"/>
  <c r="G599" i="5"/>
  <c r="F599" i="5"/>
  <c r="E599" i="5"/>
  <c r="D599" i="5"/>
  <c r="C599" i="5"/>
  <c r="B599" i="5"/>
  <c r="A599" i="5"/>
  <c r="T598" i="5"/>
  <c r="S598" i="5"/>
  <c r="R598" i="5"/>
  <c r="Q598" i="5"/>
  <c r="P598" i="5"/>
  <c r="O598" i="5"/>
  <c r="N598" i="5"/>
  <c r="M598" i="5"/>
  <c r="L598" i="5"/>
  <c r="K598" i="5"/>
  <c r="J598" i="5"/>
  <c r="I598" i="5"/>
  <c r="H598" i="5"/>
  <c r="G598" i="5"/>
  <c r="F598" i="5"/>
  <c r="E598" i="5"/>
  <c r="D598" i="5"/>
  <c r="C598" i="5"/>
  <c r="B598" i="5"/>
  <c r="A598" i="5"/>
  <c r="T597" i="5"/>
  <c r="S597" i="5"/>
  <c r="R597" i="5"/>
  <c r="Q597" i="5"/>
  <c r="P597" i="5"/>
  <c r="O597" i="5"/>
  <c r="N597" i="5"/>
  <c r="M597" i="5"/>
  <c r="L597" i="5"/>
  <c r="K597" i="5"/>
  <c r="J597" i="5"/>
  <c r="I597" i="5"/>
  <c r="H597" i="5"/>
  <c r="G597" i="5"/>
  <c r="F597" i="5"/>
  <c r="E597" i="5"/>
  <c r="D597" i="5"/>
  <c r="C597" i="5"/>
  <c r="B597" i="5"/>
  <c r="A597" i="5"/>
  <c r="T596" i="5"/>
  <c r="S596" i="5"/>
  <c r="R596" i="5"/>
  <c r="Q596" i="5"/>
  <c r="P596" i="5"/>
  <c r="O596" i="5"/>
  <c r="N596" i="5"/>
  <c r="M596" i="5"/>
  <c r="L596" i="5"/>
  <c r="K596" i="5"/>
  <c r="J596" i="5"/>
  <c r="I596" i="5"/>
  <c r="H596" i="5"/>
  <c r="G596" i="5"/>
  <c r="F596" i="5"/>
  <c r="E596" i="5"/>
  <c r="D596" i="5"/>
  <c r="C596" i="5"/>
  <c r="B596" i="5"/>
  <c r="A596" i="5"/>
  <c r="T595" i="5"/>
  <c r="S595" i="5"/>
  <c r="R595" i="5"/>
  <c r="Q595" i="5"/>
  <c r="P595" i="5"/>
  <c r="O595" i="5"/>
  <c r="N595" i="5"/>
  <c r="M595" i="5"/>
  <c r="L595" i="5"/>
  <c r="K595" i="5"/>
  <c r="J595" i="5"/>
  <c r="I595" i="5"/>
  <c r="H595" i="5"/>
  <c r="G595" i="5"/>
  <c r="F595" i="5"/>
  <c r="E595" i="5"/>
  <c r="D595" i="5"/>
  <c r="C595" i="5"/>
  <c r="B595" i="5"/>
  <c r="A595" i="5"/>
  <c r="T594" i="5"/>
  <c r="S594" i="5"/>
  <c r="R594" i="5"/>
  <c r="Q594" i="5"/>
  <c r="P594" i="5"/>
  <c r="O594" i="5"/>
  <c r="N594" i="5"/>
  <c r="M594" i="5"/>
  <c r="L594" i="5"/>
  <c r="K594" i="5"/>
  <c r="J594" i="5"/>
  <c r="I594" i="5"/>
  <c r="H594" i="5"/>
  <c r="G594" i="5"/>
  <c r="F594" i="5"/>
  <c r="E594" i="5"/>
  <c r="D594" i="5"/>
  <c r="C594" i="5"/>
  <c r="B594" i="5"/>
  <c r="A594" i="5"/>
  <c r="T593" i="5"/>
  <c r="S593" i="5"/>
  <c r="R593" i="5"/>
  <c r="Q593" i="5"/>
  <c r="P593" i="5"/>
  <c r="O593" i="5"/>
  <c r="N593" i="5"/>
  <c r="M593" i="5"/>
  <c r="L593" i="5"/>
  <c r="K593" i="5"/>
  <c r="J593" i="5"/>
  <c r="I593" i="5"/>
  <c r="H593" i="5"/>
  <c r="G593" i="5"/>
  <c r="F593" i="5"/>
  <c r="E593" i="5"/>
  <c r="D593" i="5"/>
  <c r="C593" i="5"/>
  <c r="B593" i="5"/>
  <c r="A593" i="5"/>
  <c r="T592" i="5"/>
  <c r="S592" i="5"/>
  <c r="R592" i="5"/>
  <c r="Q592" i="5"/>
  <c r="P592" i="5"/>
  <c r="O592" i="5"/>
  <c r="N592" i="5"/>
  <c r="M592" i="5"/>
  <c r="L592" i="5"/>
  <c r="K592" i="5"/>
  <c r="J592" i="5"/>
  <c r="I592" i="5"/>
  <c r="H592" i="5"/>
  <c r="G592" i="5"/>
  <c r="F592" i="5"/>
  <c r="E592" i="5"/>
  <c r="D592" i="5"/>
  <c r="C592" i="5"/>
  <c r="B592" i="5"/>
  <c r="A592" i="5"/>
  <c r="T591" i="5"/>
  <c r="S591" i="5"/>
  <c r="R591" i="5"/>
  <c r="Q591" i="5"/>
  <c r="P591" i="5"/>
  <c r="O591" i="5"/>
  <c r="N591" i="5"/>
  <c r="M591" i="5"/>
  <c r="L591" i="5"/>
  <c r="K591" i="5"/>
  <c r="J591" i="5"/>
  <c r="I591" i="5"/>
  <c r="H591" i="5"/>
  <c r="G591" i="5"/>
  <c r="F591" i="5"/>
  <c r="E591" i="5"/>
  <c r="D591" i="5"/>
  <c r="C591" i="5"/>
  <c r="B591" i="5"/>
  <c r="A591" i="5"/>
  <c r="T590" i="5"/>
  <c r="S590" i="5"/>
  <c r="R590" i="5"/>
  <c r="Q590" i="5"/>
  <c r="P590" i="5"/>
  <c r="O590" i="5"/>
  <c r="N590" i="5"/>
  <c r="M590" i="5"/>
  <c r="L590" i="5"/>
  <c r="K590" i="5"/>
  <c r="J590" i="5"/>
  <c r="I590" i="5"/>
  <c r="H590" i="5"/>
  <c r="G590" i="5"/>
  <c r="F590" i="5"/>
  <c r="E590" i="5"/>
  <c r="D590" i="5"/>
  <c r="C590" i="5"/>
  <c r="B590" i="5"/>
  <c r="A590" i="5"/>
  <c r="T589" i="5"/>
  <c r="S589" i="5"/>
  <c r="R589" i="5"/>
  <c r="Q589" i="5"/>
  <c r="P589" i="5"/>
  <c r="O589" i="5"/>
  <c r="N589" i="5"/>
  <c r="M589" i="5"/>
  <c r="L589" i="5"/>
  <c r="K589" i="5"/>
  <c r="J589" i="5"/>
  <c r="I589" i="5"/>
  <c r="H589" i="5"/>
  <c r="G589" i="5"/>
  <c r="F589" i="5"/>
  <c r="E589" i="5"/>
  <c r="D589" i="5"/>
  <c r="C589" i="5"/>
  <c r="B589" i="5"/>
  <c r="A589" i="5"/>
  <c r="T588" i="5"/>
  <c r="S588" i="5"/>
  <c r="R588" i="5"/>
  <c r="Q588" i="5"/>
  <c r="P588" i="5"/>
  <c r="O588" i="5"/>
  <c r="N588" i="5"/>
  <c r="M588" i="5"/>
  <c r="L588" i="5"/>
  <c r="K588" i="5"/>
  <c r="J588" i="5"/>
  <c r="I588" i="5"/>
  <c r="H588" i="5"/>
  <c r="G588" i="5"/>
  <c r="F588" i="5"/>
  <c r="E588" i="5"/>
  <c r="D588" i="5"/>
  <c r="C588" i="5"/>
  <c r="B588" i="5"/>
  <c r="A588" i="5"/>
  <c r="T587" i="5"/>
  <c r="S587" i="5"/>
  <c r="R587" i="5"/>
  <c r="Q587" i="5"/>
  <c r="P587" i="5"/>
  <c r="O587" i="5"/>
  <c r="N587" i="5"/>
  <c r="M587" i="5"/>
  <c r="L587" i="5"/>
  <c r="K587" i="5"/>
  <c r="J587" i="5"/>
  <c r="I587" i="5"/>
  <c r="H587" i="5"/>
  <c r="G587" i="5"/>
  <c r="F587" i="5"/>
  <c r="E587" i="5"/>
  <c r="D587" i="5"/>
  <c r="C587" i="5"/>
  <c r="B587" i="5"/>
  <c r="A587" i="5"/>
  <c r="T586" i="5"/>
  <c r="S586" i="5"/>
  <c r="R586" i="5"/>
  <c r="Q586" i="5"/>
  <c r="P586" i="5"/>
  <c r="O586" i="5"/>
  <c r="N586" i="5"/>
  <c r="M586" i="5"/>
  <c r="L586" i="5"/>
  <c r="K586" i="5"/>
  <c r="J586" i="5"/>
  <c r="I586" i="5"/>
  <c r="H586" i="5"/>
  <c r="G586" i="5"/>
  <c r="F586" i="5"/>
  <c r="E586" i="5"/>
  <c r="D586" i="5"/>
  <c r="C586" i="5"/>
  <c r="B586" i="5"/>
  <c r="A586" i="5"/>
  <c r="T585" i="5"/>
  <c r="S585" i="5"/>
  <c r="R585" i="5"/>
  <c r="Q585" i="5"/>
  <c r="P585" i="5"/>
  <c r="O585" i="5"/>
  <c r="N585" i="5"/>
  <c r="M585" i="5"/>
  <c r="L585" i="5"/>
  <c r="K585" i="5"/>
  <c r="J585" i="5"/>
  <c r="I585" i="5"/>
  <c r="H585" i="5"/>
  <c r="G585" i="5"/>
  <c r="F585" i="5"/>
  <c r="E585" i="5"/>
  <c r="D585" i="5"/>
  <c r="C585" i="5"/>
  <c r="B585" i="5"/>
  <c r="A585" i="5"/>
  <c r="T584" i="5"/>
  <c r="S584" i="5"/>
  <c r="R584" i="5"/>
  <c r="Q584" i="5"/>
  <c r="P584" i="5"/>
  <c r="O584" i="5"/>
  <c r="N584" i="5"/>
  <c r="M584" i="5"/>
  <c r="L584" i="5"/>
  <c r="K584" i="5"/>
  <c r="J584" i="5"/>
  <c r="I584" i="5"/>
  <c r="H584" i="5"/>
  <c r="G584" i="5"/>
  <c r="F584" i="5"/>
  <c r="E584" i="5"/>
  <c r="D584" i="5"/>
  <c r="C584" i="5"/>
  <c r="B584" i="5"/>
  <c r="A584" i="5"/>
  <c r="T583" i="5"/>
  <c r="S583" i="5"/>
  <c r="R583" i="5"/>
  <c r="Q583" i="5"/>
  <c r="P583" i="5"/>
  <c r="O583" i="5"/>
  <c r="N583" i="5"/>
  <c r="M583" i="5"/>
  <c r="L583" i="5"/>
  <c r="K583" i="5"/>
  <c r="J583" i="5"/>
  <c r="I583" i="5"/>
  <c r="H583" i="5"/>
  <c r="G583" i="5"/>
  <c r="F583" i="5"/>
  <c r="E583" i="5"/>
  <c r="D583" i="5"/>
  <c r="C583" i="5"/>
  <c r="B583" i="5"/>
  <c r="A583" i="5"/>
  <c r="T582" i="5"/>
  <c r="S582" i="5"/>
  <c r="R582" i="5"/>
  <c r="Q582" i="5"/>
  <c r="P582" i="5"/>
  <c r="O582" i="5"/>
  <c r="N582" i="5"/>
  <c r="M582" i="5"/>
  <c r="L582" i="5"/>
  <c r="K582" i="5"/>
  <c r="J582" i="5"/>
  <c r="I582" i="5"/>
  <c r="H582" i="5"/>
  <c r="G582" i="5"/>
  <c r="F582" i="5"/>
  <c r="E582" i="5"/>
  <c r="D582" i="5"/>
  <c r="C582" i="5"/>
  <c r="B582" i="5"/>
  <c r="A582" i="5"/>
  <c r="T581" i="5"/>
  <c r="S581" i="5"/>
  <c r="R581" i="5"/>
  <c r="Q581" i="5"/>
  <c r="P581" i="5"/>
  <c r="O581" i="5"/>
  <c r="N581" i="5"/>
  <c r="M581" i="5"/>
  <c r="L581" i="5"/>
  <c r="K581" i="5"/>
  <c r="J581" i="5"/>
  <c r="I581" i="5"/>
  <c r="H581" i="5"/>
  <c r="G581" i="5"/>
  <c r="F581" i="5"/>
  <c r="E581" i="5"/>
  <c r="D581" i="5"/>
  <c r="C581" i="5"/>
  <c r="B581" i="5"/>
  <c r="A581" i="5"/>
  <c r="T580" i="5"/>
  <c r="S580" i="5"/>
  <c r="R580" i="5"/>
  <c r="Q580" i="5"/>
  <c r="P580" i="5"/>
  <c r="O580" i="5"/>
  <c r="N580" i="5"/>
  <c r="M580" i="5"/>
  <c r="L580" i="5"/>
  <c r="K580" i="5"/>
  <c r="J580" i="5"/>
  <c r="I580" i="5"/>
  <c r="H580" i="5"/>
  <c r="G580" i="5"/>
  <c r="F580" i="5"/>
  <c r="E580" i="5"/>
  <c r="D580" i="5"/>
  <c r="C580" i="5"/>
  <c r="B580" i="5"/>
  <c r="A580" i="5"/>
  <c r="T579" i="5"/>
  <c r="S579" i="5"/>
  <c r="R579" i="5"/>
  <c r="Q579" i="5"/>
  <c r="P579" i="5"/>
  <c r="O579" i="5"/>
  <c r="N579" i="5"/>
  <c r="M579" i="5"/>
  <c r="L579" i="5"/>
  <c r="K579" i="5"/>
  <c r="J579" i="5"/>
  <c r="I579" i="5"/>
  <c r="H579" i="5"/>
  <c r="G579" i="5"/>
  <c r="F579" i="5"/>
  <c r="E579" i="5"/>
  <c r="D579" i="5"/>
  <c r="C579" i="5"/>
  <c r="B579" i="5"/>
  <c r="A579" i="5"/>
  <c r="T578" i="5"/>
  <c r="S578" i="5"/>
  <c r="R578" i="5"/>
  <c r="Q578" i="5"/>
  <c r="P578" i="5"/>
  <c r="O578" i="5"/>
  <c r="N578" i="5"/>
  <c r="M578" i="5"/>
  <c r="L578" i="5"/>
  <c r="K578" i="5"/>
  <c r="J578" i="5"/>
  <c r="I578" i="5"/>
  <c r="H578" i="5"/>
  <c r="G578" i="5"/>
  <c r="F578" i="5"/>
  <c r="E578" i="5"/>
  <c r="D578" i="5"/>
  <c r="C578" i="5"/>
  <c r="B578" i="5"/>
  <c r="A578" i="5"/>
  <c r="T577" i="5"/>
  <c r="S577" i="5"/>
  <c r="R577" i="5"/>
  <c r="Q577" i="5"/>
  <c r="P577" i="5"/>
  <c r="O577" i="5"/>
  <c r="N577" i="5"/>
  <c r="M577" i="5"/>
  <c r="L577" i="5"/>
  <c r="K577" i="5"/>
  <c r="J577" i="5"/>
  <c r="I577" i="5"/>
  <c r="H577" i="5"/>
  <c r="G577" i="5"/>
  <c r="F577" i="5"/>
  <c r="E577" i="5"/>
  <c r="D577" i="5"/>
  <c r="C577" i="5"/>
  <c r="B577" i="5"/>
  <c r="A577" i="5"/>
  <c r="T576" i="5"/>
  <c r="S576" i="5"/>
  <c r="R576" i="5"/>
  <c r="Q576" i="5"/>
  <c r="P576" i="5"/>
  <c r="O576" i="5"/>
  <c r="N576" i="5"/>
  <c r="M576" i="5"/>
  <c r="L576" i="5"/>
  <c r="K576" i="5"/>
  <c r="J576" i="5"/>
  <c r="I576" i="5"/>
  <c r="H576" i="5"/>
  <c r="G576" i="5"/>
  <c r="F576" i="5"/>
  <c r="E576" i="5"/>
  <c r="D576" i="5"/>
  <c r="C576" i="5"/>
  <c r="B576" i="5"/>
  <c r="A576" i="5"/>
  <c r="T575" i="5"/>
  <c r="S575" i="5"/>
  <c r="R575" i="5"/>
  <c r="Q575" i="5"/>
  <c r="P575" i="5"/>
  <c r="O575" i="5"/>
  <c r="N575" i="5"/>
  <c r="M575" i="5"/>
  <c r="L575" i="5"/>
  <c r="K575" i="5"/>
  <c r="J575" i="5"/>
  <c r="I575" i="5"/>
  <c r="H575" i="5"/>
  <c r="G575" i="5"/>
  <c r="F575" i="5"/>
  <c r="E575" i="5"/>
  <c r="D575" i="5"/>
  <c r="C575" i="5"/>
  <c r="B575" i="5"/>
  <c r="A575" i="5"/>
  <c r="T574" i="5"/>
  <c r="S574" i="5"/>
  <c r="R574" i="5"/>
  <c r="Q574" i="5"/>
  <c r="P574" i="5"/>
  <c r="O574" i="5"/>
  <c r="N574" i="5"/>
  <c r="M574" i="5"/>
  <c r="L574" i="5"/>
  <c r="K574" i="5"/>
  <c r="J574" i="5"/>
  <c r="I574" i="5"/>
  <c r="H574" i="5"/>
  <c r="G574" i="5"/>
  <c r="F574" i="5"/>
  <c r="E574" i="5"/>
  <c r="D574" i="5"/>
  <c r="C574" i="5"/>
  <c r="B574" i="5"/>
  <c r="A574" i="5"/>
  <c r="T573" i="5"/>
  <c r="S573" i="5"/>
  <c r="R573" i="5"/>
  <c r="Q573" i="5"/>
  <c r="P573" i="5"/>
  <c r="O573" i="5"/>
  <c r="N573" i="5"/>
  <c r="M573" i="5"/>
  <c r="L573" i="5"/>
  <c r="K573" i="5"/>
  <c r="J573" i="5"/>
  <c r="I573" i="5"/>
  <c r="H573" i="5"/>
  <c r="G573" i="5"/>
  <c r="F573" i="5"/>
  <c r="E573" i="5"/>
  <c r="D573" i="5"/>
  <c r="C573" i="5"/>
  <c r="B573" i="5"/>
  <c r="A573" i="5"/>
  <c r="T572" i="5"/>
  <c r="S572" i="5"/>
  <c r="R572" i="5"/>
  <c r="Q572" i="5"/>
  <c r="P572" i="5"/>
  <c r="O572" i="5"/>
  <c r="N572" i="5"/>
  <c r="M572" i="5"/>
  <c r="L572" i="5"/>
  <c r="K572" i="5"/>
  <c r="J572" i="5"/>
  <c r="I572" i="5"/>
  <c r="H572" i="5"/>
  <c r="G572" i="5"/>
  <c r="F572" i="5"/>
  <c r="E572" i="5"/>
  <c r="D572" i="5"/>
  <c r="C572" i="5"/>
  <c r="B572" i="5"/>
  <c r="A572" i="5"/>
  <c r="T571" i="5"/>
  <c r="S571" i="5"/>
  <c r="R571" i="5"/>
  <c r="Q571" i="5"/>
  <c r="P571" i="5"/>
  <c r="O571" i="5"/>
  <c r="N571" i="5"/>
  <c r="M571" i="5"/>
  <c r="L571" i="5"/>
  <c r="K571" i="5"/>
  <c r="J571" i="5"/>
  <c r="I571" i="5"/>
  <c r="H571" i="5"/>
  <c r="G571" i="5"/>
  <c r="F571" i="5"/>
  <c r="E571" i="5"/>
  <c r="D571" i="5"/>
  <c r="C571" i="5"/>
  <c r="B571" i="5"/>
  <c r="A571" i="5"/>
  <c r="T570" i="5"/>
  <c r="S570" i="5"/>
  <c r="R570" i="5"/>
  <c r="Q570" i="5"/>
  <c r="P570" i="5"/>
  <c r="O570" i="5"/>
  <c r="N570" i="5"/>
  <c r="M570" i="5"/>
  <c r="L570" i="5"/>
  <c r="K570" i="5"/>
  <c r="J570" i="5"/>
  <c r="I570" i="5"/>
  <c r="H570" i="5"/>
  <c r="G570" i="5"/>
  <c r="F570" i="5"/>
  <c r="E570" i="5"/>
  <c r="D570" i="5"/>
  <c r="C570" i="5"/>
  <c r="B570" i="5"/>
  <c r="A570" i="5"/>
  <c r="T569" i="5"/>
  <c r="S569" i="5"/>
  <c r="R569" i="5"/>
  <c r="Q569" i="5"/>
  <c r="P569" i="5"/>
  <c r="O569" i="5"/>
  <c r="N569" i="5"/>
  <c r="M569" i="5"/>
  <c r="L569" i="5"/>
  <c r="K569" i="5"/>
  <c r="J569" i="5"/>
  <c r="I569" i="5"/>
  <c r="H569" i="5"/>
  <c r="G569" i="5"/>
  <c r="F569" i="5"/>
  <c r="E569" i="5"/>
  <c r="D569" i="5"/>
  <c r="C569" i="5"/>
  <c r="B569" i="5"/>
  <c r="A569" i="5"/>
  <c r="T568" i="5"/>
  <c r="S568" i="5"/>
  <c r="R568" i="5"/>
  <c r="Q568" i="5"/>
  <c r="P568" i="5"/>
  <c r="O568" i="5"/>
  <c r="N568" i="5"/>
  <c r="M568" i="5"/>
  <c r="L568" i="5"/>
  <c r="K568" i="5"/>
  <c r="J568" i="5"/>
  <c r="I568" i="5"/>
  <c r="H568" i="5"/>
  <c r="G568" i="5"/>
  <c r="F568" i="5"/>
  <c r="E568" i="5"/>
  <c r="D568" i="5"/>
  <c r="C568" i="5"/>
  <c r="B568" i="5"/>
  <c r="A568" i="5"/>
  <c r="T567" i="5"/>
  <c r="S567" i="5"/>
  <c r="R567" i="5"/>
  <c r="Q567" i="5"/>
  <c r="P567" i="5"/>
  <c r="O567" i="5"/>
  <c r="N567" i="5"/>
  <c r="M567" i="5"/>
  <c r="L567" i="5"/>
  <c r="K567" i="5"/>
  <c r="J567" i="5"/>
  <c r="I567" i="5"/>
  <c r="H567" i="5"/>
  <c r="G567" i="5"/>
  <c r="F567" i="5"/>
  <c r="E567" i="5"/>
  <c r="D567" i="5"/>
  <c r="C567" i="5"/>
  <c r="B567" i="5"/>
  <c r="A567" i="5"/>
  <c r="T566" i="5"/>
  <c r="S566" i="5"/>
  <c r="R566" i="5"/>
  <c r="Q566" i="5"/>
  <c r="P566" i="5"/>
  <c r="O566" i="5"/>
  <c r="N566" i="5"/>
  <c r="M566" i="5"/>
  <c r="L566" i="5"/>
  <c r="K566" i="5"/>
  <c r="J566" i="5"/>
  <c r="I566" i="5"/>
  <c r="H566" i="5"/>
  <c r="G566" i="5"/>
  <c r="F566" i="5"/>
  <c r="E566" i="5"/>
  <c r="D566" i="5"/>
  <c r="C566" i="5"/>
  <c r="B566" i="5"/>
  <c r="A566" i="5"/>
  <c r="T565" i="5"/>
  <c r="S565" i="5"/>
  <c r="R565" i="5"/>
  <c r="Q565" i="5"/>
  <c r="P565" i="5"/>
  <c r="O565" i="5"/>
  <c r="N565" i="5"/>
  <c r="M565" i="5"/>
  <c r="L565" i="5"/>
  <c r="K565" i="5"/>
  <c r="J565" i="5"/>
  <c r="I565" i="5"/>
  <c r="H565" i="5"/>
  <c r="G565" i="5"/>
  <c r="F565" i="5"/>
  <c r="E565" i="5"/>
  <c r="D565" i="5"/>
  <c r="C565" i="5"/>
  <c r="B565" i="5"/>
  <c r="A565" i="5"/>
  <c r="T564" i="5"/>
  <c r="S564" i="5"/>
  <c r="R564" i="5"/>
  <c r="Q564" i="5"/>
  <c r="P564" i="5"/>
  <c r="O564" i="5"/>
  <c r="N564" i="5"/>
  <c r="M564" i="5"/>
  <c r="L564" i="5"/>
  <c r="K564" i="5"/>
  <c r="J564" i="5"/>
  <c r="I564" i="5"/>
  <c r="H564" i="5"/>
  <c r="G564" i="5"/>
  <c r="F564" i="5"/>
  <c r="E564" i="5"/>
  <c r="D564" i="5"/>
  <c r="C564" i="5"/>
  <c r="B564" i="5"/>
  <c r="A564" i="5"/>
  <c r="T563" i="5"/>
  <c r="S563" i="5"/>
  <c r="R563" i="5"/>
  <c r="Q563" i="5"/>
  <c r="P563" i="5"/>
  <c r="O563" i="5"/>
  <c r="N563" i="5"/>
  <c r="M563" i="5"/>
  <c r="L563" i="5"/>
  <c r="K563" i="5"/>
  <c r="J563" i="5"/>
  <c r="I563" i="5"/>
  <c r="H563" i="5"/>
  <c r="G563" i="5"/>
  <c r="F563" i="5"/>
  <c r="E563" i="5"/>
  <c r="D563" i="5"/>
  <c r="C563" i="5"/>
  <c r="B563" i="5"/>
  <c r="A563" i="5"/>
  <c r="T562" i="5"/>
  <c r="S562" i="5"/>
  <c r="R562" i="5"/>
  <c r="Q562" i="5"/>
  <c r="P562" i="5"/>
  <c r="O562" i="5"/>
  <c r="N562" i="5"/>
  <c r="M562" i="5"/>
  <c r="L562" i="5"/>
  <c r="K562" i="5"/>
  <c r="J562" i="5"/>
  <c r="I562" i="5"/>
  <c r="H562" i="5"/>
  <c r="G562" i="5"/>
  <c r="F562" i="5"/>
  <c r="E562" i="5"/>
  <c r="D562" i="5"/>
  <c r="C562" i="5"/>
  <c r="B562" i="5"/>
  <c r="A562" i="5"/>
  <c r="T561" i="5"/>
  <c r="S561" i="5"/>
  <c r="R561" i="5"/>
  <c r="Q561" i="5"/>
  <c r="P561" i="5"/>
  <c r="O561" i="5"/>
  <c r="N561" i="5"/>
  <c r="M561" i="5"/>
  <c r="L561" i="5"/>
  <c r="K561" i="5"/>
  <c r="J561" i="5"/>
  <c r="I561" i="5"/>
  <c r="H561" i="5"/>
  <c r="G561" i="5"/>
  <c r="F561" i="5"/>
  <c r="E561" i="5"/>
  <c r="D561" i="5"/>
  <c r="C561" i="5"/>
  <c r="B561" i="5"/>
  <c r="A561" i="5"/>
  <c r="T560" i="5"/>
  <c r="S560" i="5"/>
  <c r="R560" i="5"/>
  <c r="Q560" i="5"/>
  <c r="P560" i="5"/>
  <c r="O560" i="5"/>
  <c r="N560" i="5"/>
  <c r="M560" i="5"/>
  <c r="L560" i="5"/>
  <c r="K560" i="5"/>
  <c r="J560" i="5"/>
  <c r="I560" i="5"/>
  <c r="H560" i="5"/>
  <c r="G560" i="5"/>
  <c r="F560" i="5"/>
  <c r="E560" i="5"/>
  <c r="D560" i="5"/>
  <c r="C560" i="5"/>
  <c r="B560" i="5"/>
  <c r="A560" i="5"/>
  <c r="T559" i="5"/>
  <c r="S559" i="5"/>
  <c r="R559" i="5"/>
  <c r="Q559" i="5"/>
  <c r="P559" i="5"/>
  <c r="O559" i="5"/>
  <c r="N559" i="5"/>
  <c r="M559" i="5"/>
  <c r="L559" i="5"/>
  <c r="K559" i="5"/>
  <c r="J559" i="5"/>
  <c r="I559" i="5"/>
  <c r="H559" i="5"/>
  <c r="G559" i="5"/>
  <c r="F559" i="5"/>
  <c r="E559" i="5"/>
  <c r="D559" i="5"/>
  <c r="C559" i="5"/>
  <c r="B559" i="5"/>
  <c r="A559" i="5"/>
  <c r="T558" i="5"/>
  <c r="S558" i="5"/>
  <c r="R558" i="5"/>
  <c r="Q558" i="5"/>
  <c r="P558" i="5"/>
  <c r="O558" i="5"/>
  <c r="N558" i="5"/>
  <c r="M558" i="5"/>
  <c r="L558" i="5"/>
  <c r="K558" i="5"/>
  <c r="J558" i="5"/>
  <c r="I558" i="5"/>
  <c r="H558" i="5"/>
  <c r="G558" i="5"/>
  <c r="F558" i="5"/>
  <c r="E558" i="5"/>
  <c r="D558" i="5"/>
  <c r="C558" i="5"/>
  <c r="B558" i="5"/>
  <c r="A558" i="5"/>
  <c r="T557" i="5"/>
  <c r="S557" i="5"/>
  <c r="R557" i="5"/>
  <c r="Q557" i="5"/>
  <c r="P557" i="5"/>
  <c r="O557" i="5"/>
  <c r="N557" i="5"/>
  <c r="M557" i="5"/>
  <c r="L557" i="5"/>
  <c r="K557" i="5"/>
  <c r="J557" i="5"/>
  <c r="I557" i="5"/>
  <c r="H557" i="5"/>
  <c r="G557" i="5"/>
  <c r="F557" i="5"/>
  <c r="E557" i="5"/>
  <c r="D557" i="5"/>
  <c r="C557" i="5"/>
  <c r="B557" i="5"/>
  <c r="A557" i="5"/>
  <c r="T556" i="5"/>
  <c r="S556" i="5"/>
  <c r="R556" i="5"/>
  <c r="Q556" i="5"/>
  <c r="P556" i="5"/>
  <c r="O556" i="5"/>
  <c r="N556" i="5"/>
  <c r="M556" i="5"/>
  <c r="L556" i="5"/>
  <c r="K556" i="5"/>
  <c r="J556" i="5"/>
  <c r="I556" i="5"/>
  <c r="H556" i="5"/>
  <c r="G556" i="5"/>
  <c r="F556" i="5"/>
  <c r="E556" i="5"/>
  <c r="D556" i="5"/>
  <c r="C556" i="5"/>
  <c r="B556" i="5"/>
  <c r="A556" i="5"/>
  <c r="T555" i="5"/>
  <c r="S555" i="5"/>
  <c r="R555" i="5"/>
  <c r="Q555" i="5"/>
  <c r="P555" i="5"/>
  <c r="O555" i="5"/>
  <c r="N555" i="5"/>
  <c r="M555" i="5"/>
  <c r="L555" i="5"/>
  <c r="K555" i="5"/>
  <c r="J555" i="5"/>
  <c r="I555" i="5"/>
  <c r="H555" i="5"/>
  <c r="G555" i="5"/>
  <c r="F555" i="5"/>
  <c r="E555" i="5"/>
  <c r="D555" i="5"/>
  <c r="C555" i="5"/>
  <c r="B555" i="5"/>
  <c r="A555" i="5"/>
  <c r="T554" i="5"/>
  <c r="S554" i="5"/>
  <c r="R554" i="5"/>
  <c r="Q554" i="5"/>
  <c r="P554" i="5"/>
  <c r="O554" i="5"/>
  <c r="N554" i="5"/>
  <c r="M554" i="5"/>
  <c r="L554" i="5"/>
  <c r="K554" i="5"/>
  <c r="J554" i="5"/>
  <c r="I554" i="5"/>
  <c r="H554" i="5"/>
  <c r="G554" i="5"/>
  <c r="F554" i="5"/>
  <c r="E554" i="5"/>
  <c r="D554" i="5"/>
  <c r="C554" i="5"/>
  <c r="B554" i="5"/>
  <c r="A554" i="5"/>
  <c r="T553" i="5"/>
  <c r="S553" i="5"/>
  <c r="R553" i="5"/>
  <c r="Q553" i="5"/>
  <c r="P553" i="5"/>
  <c r="O553" i="5"/>
  <c r="N553" i="5"/>
  <c r="M553" i="5"/>
  <c r="L553" i="5"/>
  <c r="K553" i="5"/>
  <c r="J553" i="5"/>
  <c r="I553" i="5"/>
  <c r="H553" i="5"/>
  <c r="G553" i="5"/>
  <c r="F553" i="5"/>
  <c r="E553" i="5"/>
  <c r="D553" i="5"/>
  <c r="C553" i="5"/>
  <c r="B553" i="5"/>
  <c r="A553" i="5"/>
  <c r="T552" i="5"/>
  <c r="S552" i="5"/>
  <c r="R552" i="5"/>
  <c r="Q552" i="5"/>
  <c r="P552" i="5"/>
  <c r="O552" i="5"/>
  <c r="N552" i="5"/>
  <c r="M552" i="5"/>
  <c r="L552" i="5"/>
  <c r="K552" i="5"/>
  <c r="J552" i="5"/>
  <c r="I552" i="5"/>
  <c r="H552" i="5"/>
  <c r="G552" i="5"/>
  <c r="F552" i="5"/>
  <c r="E552" i="5"/>
  <c r="D552" i="5"/>
  <c r="C552" i="5"/>
  <c r="B552" i="5"/>
  <c r="A552" i="5"/>
  <c r="T551" i="5"/>
  <c r="S551" i="5"/>
  <c r="R551" i="5"/>
  <c r="Q551" i="5"/>
  <c r="P551" i="5"/>
  <c r="O551" i="5"/>
  <c r="N551" i="5"/>
  <c r="M551" i="5"/>
  <c r="L551" i="5"/>
  <c r="K551" i="5"/>
  <c r="J551" i="5"/>
  <c r="I551" i="5"/>
  <c r="H551" i="5"/>
  <c r="G551" i="5"/>
  <c r="F551" i="5"/>
  <c r="E551" i="5"/>
  <c r="D551" i="5"/>
  <c r="C551" i="5"/>
  <c r="B551" i="5"/>
  <c r="A551" i="5"/>
  <c r="T550" i="5"/>
  <c r="S550" i="5"/>
  <c r="R550" i="5"/>
  <c r="Q550" i="5"/>
  <c r="P550" i="5"/>
  <c r="O550" i="5"/>
  <c r="N550" i="5"/>
  <c r="M550" i="5"/>
  <c r="L550" i="5"/>
  <c r="K550" i="5"/>
  <c r="J550" i="5"/>
  <c r="I550" i="5"/>
  <c r="H550" i="5"/>
  <c r="G550" i="5"/>
  <c r="F550" i="5"/>
  <c r="E550" i="5"/>
  <c r="D550" i="5"/>
  <c r="C550" i="5"/>
  <c r="B550" i="5"/>
  <c r="A550" i="5"/>
  <c r="T549" i="5"/>
  <c r="S549" i="5"/>
  <c r="R549" i="5"/>
  <c r="Q549" i="5"/>
  <c r="P549" i="5"/>
  <c r="O549" i="5"/>
  <c r="N549" i="5"/>
  <c r="M549" i="5"/>
  <c r="L549" i="5"/>
  <c r="K549" i="5"/>
  <c r="J549" i="5"/>
  <c r="I549" i="5"/>
  <c r="H549" i="5"/>
  <c r="G549" i="5"/>
  <c r="F549" i="5"/>
  <c r="E549" i="5"/>
  <c r="D549" i="5"/>
  <c r="C549" i="5"/>
  <c r="B549" i="5"/>
  <c r="A549" i="5"/>
  <c r="T548" i="5"/>
  <c r="S548" i="5"/>
  <c r="R548" i="5"/>
  <c r="Q548" i="5"/>
  <c r="P548" i="5"/>
  <c r="O548" i="5"/>
  <c r="N548" i="5"/>
  <c r="M548" i="5"/>
  <c r="L548" i="5"/>
  <c r="K548" i="5"/>
  <c r="J548" i="5"/>
  <c r="I548" i="5"/>
  <c r="H548" i="5"/>
  <c r="G548" i="5"/>
  <c r="F548" i="5"/>
  <c r="E548" i="5"/>
  <c r="D548" i="5"/>
  <c r="C548" i="5"/>
  <c r="B548" i="5"/>
  <c r="A548" i="5"/>
  <c r="T547" i="5"/>
  <c r="S547" i="5"/>
  <c r="R547" i="5"/>
  <c r="Q547" i="5"/>
  <c r="P547" i="5"/>
  <c r="O547" i="5"/>
  <c r="N547" i="5"/>
  <c r="M547" i="5"/>
  <c r="L547" i="5"/>
  <c r="K547" i="5"/>
  <c r="J547" i="5"/>
  <c r="I547" i="5"/>
  <c r="H547" i="5"/>
  <c r="G547" i="5"/>
  <c r="F547" i="5"/>
  <c r="E547" i="5"/>
  <c r="D547" i="5"/>
  <c r="C547" i="5"/>
  <c r="B547" i="5"/>
  <c r="A547" i="5"/>
  <c r="T546" i="5"/>
  <c r="S546" i="5"/>
  <c r="R546" i="5"/>
  <c r="Q546" i="5"/>
  <c r="P546" i="5"/>
  <c r="O546" i="5"/>
  <c r="N546" i="5"/>
  <c r="M546" i="5"/>
  <c r="L546" i="5"/>
  <c r="K546" i="5"/>
  <c r="J546" i="5"/>
  <c r="I546" i="5"/>
  <c r="H546" i="5"/>
  <c r="G546" i="5"/>
  <c r="F546" i="5"/>
  <c r="E546" i="5"/>
  <c r="D546" i="5"/>
  <c r="C546" i="5"/>
  <c r="B546" i="5"/>
  <c r="A546" i="5"/>
  <c r="T545" i="5"/>
  <c r="S545" i="5"/>
  <c r="R545" i="5"/>
  <c r="Q545" i="5"/>
  <c r="P545" i="5"/>
  <c r="O545" i="5"/>
  <c r="N545" i="5"/>
  <c r="M545" i="5"/>
  <c r="L545" i="5"/>
  <c r="K545" i="5"/>
  <c r="J545" i="5"/>
  <c r="I545" i="5"/>
  <c r="H545" i="5"/>
  <c r="G545" i="5"/>
  <c r="F545" i="5"/>
  <c r="E545" i="5"/>
  <c r="D545" i="5"/>
  <c r="C545" i="5"/>
  <c r="B545" i="5"/>
  <c r="A545" i="5"/>
  <c r="T544" i="5"/>
  <c r="S544" i="5"/>
  <c r="R544" i="5"/>
  <c r="Q544" i="5"/>
  <c r="P544" i="5"/>
  <c r="O544" i="5"/>
  <c r="N544" i="5"/>
  <c r="M544" i="5"/>
  <c r="L544" i="5"/>
  <c r="K544" i="5"/>
  <c r="J544" i="5"/>
  <c r="I544" i="5"/>
  <c r="H544" i="5"/>
  <c r="G544" i="5"/>
  <c r="F544" i="5"/>
  <c r="E544" i="5"/>
  <c r="D544" i="5"/>
  <c r="C544" i="5"/>
  <c r="B544" i="5"/>
  <c r="A544" i="5"/>
  <c r="T543" i="5"/>
  <c r="S543" i="5"/>
  <c r="R543" i="5"/>
  <c r="Q543" i="5"/>
  <c r="P543" i="5"/>
  <c r="O543" i="5"/>
  <c r="N543" i="5"/>
  <c r="M543" i="5"/>
  <c r="L543" i="5"/>
  <c r="K543" i="5"/>
  <c r="J543" i="5"/>
  <c r="I543" i="5"/>
  <c r="H543" i="5"/>
  <c r="G543" i="5"/>
  <c r="F543" i="5"/>
  <c r="E543" i="5"/>
  <c r="D543" i="5"/>
  <c r="C543" i="5"/>
  <c r="B543" i="5"/>
  <c r="A543" i="5"/>
  <c r="T542" i="5"/>
  <c r="S542" i="5"/>
  <c r="R542" i="5"/>
  <c r="Q542" i="5"/>
  <c r="P542" i="5"/>
  <c r="O542" i="5"/>
  <c r="N542" i="5"/>
  <c r="M542" i="5"/>
  <c r="L542" i="5"/>
  <c r="K542" i="5"/>
  <c r="J542" i="5"/>
  <c r="I542" i="5"/>
  <c r="H542" i="5"/>
  <c r="G542" i="5"/>
  <c r="F542" i="5"/>
  <c r="E542" i="5"/>
  <c r="D542" i="5"/>
  <c r="C542" i="5"/>
  <c r="B542" i="5"/>
  <c r="A542" i="5"/>
  <c r="T541" i="5"/>
  <c r="S541" i="5"/>
  <c r="R541" i="5"/>
  <c r="Q541" i="5"/>
  <c r="P541" i="5"/>
  <c r="O541" i="5"/>
  <c r="N541" i="5"/>
  <c r="M541" i="5"/>
  <c r="L541" i="5"/>
  <c r="K541" i="5"/>
  <c r="J541" i="5"/>
  <c r="I541" i="5"/>
  <c r="H541" i="5"/>
  <c r="G541" i="5"/>
  <c r="F541" i="5"/>
  <c r="E541" i="5"/>
  <c r="D541" i="5"/>
  <c r="C541" i="5"/>
  <c r="B541" i="5"/>
  <c r="A541" i="5"/>
  <c r="T540" i="5"/>
  <c r="S540" i="5"/>
  <c r="R540" i="5"/>
  <c r="Q540" i="5"/>
  <c r="P540" i="5"/>
  <c r="O540" i="5"/>
  <c r="N540" i="5"/>
  <c r="M540" i="5"/>
  <c r="L540" i="5"/>
  <c r="K540" i="5"/>
  <c r="J540" i="5"/>
  <c r="I540" i="5"/>
  <c r="H540" i="5"/>
  <c r="G540" i="5"/>
  <c r="F540" i="5"/>
  <c r="E540" i="5"/>
  <c r="D540" i="5"/>
  <c r="C540" i="5"/>
  <c r="B540" i="5"/>
  <c r="A540" i="5"/>
  <c r="T539" i="5"/>
  <c r="S539" i="5"/>
  <c r="R539" i="5"/>
  <c r="Q539" i="5"/>
  <c r="P539" i="5"/>
  <c r="O539" i="5"/>
  <c r="N539" i="5"/>
  <c r="M539" i="5"/>
  <c r="L539" i="5"/>
  <c r="K539" i="5"/>
  <c r="J539" i="5"/>
  <c r="I539" i="5"/>
  <c r="H539" i="5"/>
  <c r="G539" i="5"/>
  <c r="F539" i="5"/>
  <c r="E539" i="5"/>
  <c r="D539" i="5"/>
  <c r="C539" i="5"/>
  <c r="B539" i="5"/>
  <c r="A539" i="5"/>
  <c r="T538" i="5"/>
  <c r="S538" i="5"/>
  <c r="R538" i="5"/>
  <c r="Q538" i="5"/>
  <c r="P538" i="5"/>
  <c r="O538" i="5"/>
  <c r="N538" i="5"/>
  <c r="M538" i="5"/>
  <c r="L538" i="5"/>
  <c r="K538" i="5"/>
  <c r="J538" i="5"/>
  <c r="I538" i="5"/>
  <c r="H538" i="5"/>
  <c r="G538" i="5"/>
  <c r="F538" i="5"/>
  <c r="E538" i="5"/>
  <c r="D538" i="5"/>
  <c r="C538" i="5"/>
  <c r="B538" i="5"/>
  <c r="A538" i="5"/>
  <c r="T537" i="5"/>
  <c r="S537" i="5"/>
  <c r="R537" i="5"/>
  <c r="Q537" i="5"/>
  <c r="P537" i="5"/>
  <c r="O537" i="5"/>
  <c r="N537" i="5"/>
  <c r="M537" i="5"/>
  <c r="L537" i="5"/>
  <c r="K537" i="5"/>
  <c r="J537" i="5"/>
  <c r="I537" i="5"/>
  <c r="H537" i="5"/>
  <c r="G537" i="5"/>
  <c r="F537" i="5"/>
  <c r="E537" i="5"/>
  <c r="D537" i="5"/>
  <c r="C537" i="5"/>
  <c r="B537" i="5"/>
  <c r="A537" i="5"/>
  <c r="T536" i="5"/>
  <c r="S536" i="5"/>
  <c r="R536" i="5"/>
  <c r="Q536" i="5"/>
  <c r="P536" i="5"/>
  <c r="O536" i="5"/>
  <c r="N536" i="5"/>
  <c r="M536" i="5"/>
  <c r="L536" i="5"/>
  <c r="K536" i="5"/>
  <c r="J536" i="5"/>
  <c r="I536" i="5"/>
  <c r="H536" i="5"/>
  <c r="G536" i="5"/>
  <c r="F536" i="5"/>
  <c r="E536" i="5"/>
  <c r="D536" i="5"/>
  <c r="C536" i="5"/>
  <c r="B536" i="5"/>
  <c r="A536" i="5"/>
  <c r="T535" i="5"/>
  <c r="S535" i="5"/>
  <c r="R535" i="5"/>
  <c r="Q535" i="5"/>
  <c r="P535" i="5"/>
  <c r="O535" i="5"/>
  <c r="N535" i="5"/>
  <c r="M535" i="5"/>
  <c r="L535" i="5"/>
  <c r="K535" i="5"/>
  <c r="J535" i="5"/>
  <c r="I535" i="5"/>
  <c r="H535" i="5"/>
  <c r="G535" i="5"/>
  <c r="F535" i="5"/>
  <c r="E535" i="5"/>
  <c r="D535" i="5"/>
  <c r="C535" i="5"/>
  <c r="B535" i="5"/>
  <c r="A535" i="5"/>
  <c r="T534" i="5"/>
  <c r="S534" i="5"/>
  <c r="R534" i="5"/>
  <c r="Q534" i="5"/>
  <c r="P534" i="5"/>
  <c r="O534" i="5"/>
  <c r="N534" i="5"/>
  <c r="M534" i="5"/>
  <c r="L534" i="5"/>
  <c r="K534" i="5"/>
  <c r="J534" i="5"/>
  <c r="I534" i="5"/>
  <c r="H534" i="5"/>
  <c r="G534" i="5"/>
  <c r="F534" i="5"/>
  <c r="E534" i="5"/>
  <c r="D534" i="5"/>
  <c r="C534" i="5"/>
  <c r="B534" i="5"/>
  <c r="A534" i="5"/>
  <c r="T533" i="5"/>
  <c r="S533" i="5"/>
  <c r="R533" i="5"/>
  <c r="Q533" i="5"/>
  <c r="P533" i="5"/>
  <c r="O533" i="5"/>
  <c r="N533" i="5"/>
  <c r="M533" i="5"/>
  <c r="L533" i="5"/>
  <c r="K533" i="5"/>
  <c r="J533" i="5"/>
  <c r="I533" i="5"/>
  <c r="H533" i="5"/>
  <c r="G533" i="5"/>
  <c r="F533" i="5"/>
  <c r="E533" i="5"/>
  <c r="D533" i="5"/>
  <c r="C533" i="5"/>
  <c r="B533" i="5"/>
  <c r="A533" i="5"/>
  <c r="T532" i="5"/>
  <c r="S532" i="5"/>
  <c r="R532" i="5"/>
  <c r="Q532" i="5"/>
  <c r="P532" i="5"/>
  <c r="O532" i="5"/>
  <c r="N532" i="5"/>
  <c r="M532" i="5"/>
  <c r="L532" i="5"/>
  <c r="K532" i="5"/>
  <c r="J532" i="5"/>
  <c r="I532" i="5"/>
  <c r="H532" i="5"/>
  <c r="G532" i="5"/>
  <c r="F532" i="5"/>
  <c r="E532" i="5"/>
  <c r="D532" i="5"/>
  <c r="C532" i="5"/>
  <c r="B532" i="5"/>
  <c r="A532" i="5"/>
  <c r="T531" i="5"/>
  <c r="S531" i="5"/>
  <c r="R531" i="5"/>
  <c r="Q531" i="5"/>
  <c r="P531" i="5"/>
  <c r="O531" i="5"/>
  <c r="N531" i="5"/>
  <c r="M531" i="5"/>
  <c r="L531" i="5"/>
  <c r="K531" i="5"/>
  <c r="J531" i="5"/>
  <c r="I531" i="5"/>
  <c r="H531" i="5"/>
  <c r="G531" i="5"/>
  <c r="F531" i="5"/>
  <c r="E531" i="5"/>
  <c r="D531" i="5"/>
  <c r="C531" i="5"/>
  <c r="B531" i="5"/>
  <c r="A531" i="5"/>
  <c r="T530" i="5"/>
  <c r="S530" i="5"/>
  <c r="R530" i="5"/>
  <c r="Q530" i="5"/>
  <c r="P530" i="5"/>
  <c r="O530" i="5"/>
  <c r="N530" i="5"/>
  <c r="M530" i="5"/>
  <c r="L530" i="5"/>
  <c r="K530" i="5"/>
  <c r="J530" i="5"/>
  <c r="I530" i="5"/>
  <c r="H530" i="5"/>
  <c r="G530" i="5"/>
  <c r="F530" i="5"/>
  <c r="E530" i="5"/>
  <c r="D530" i="5"/>
  <c r="C530" i="5"/>
  <c r="B530" i="5"/>
  <c r="A530" i="5"/>
  <c r="T529" i="5"/>
  <c r="S529" i="5"/>
  <c r="R529" i="5"/>
  <c r="Q529" i="5"/>
  <c r="P529" i="5"/>
  <c r="O529" i="5"/>
  <c r="N529" i="5"/>
  <c r="M529" i="5"/>
  <c r="L529" i="5"/>
  <c r="K529" i="5"/>
  <c r="J529" i="5"/>
  <c r="I529" i="5"/>
  <c r="H529" i="5"/>
  <c r="G529" i="5"/>
  <c r="F529" i="5"/>
  <c r="E529" i="5"/>
  <c r="D529" i="5"/>
  <c r="C529" i="5"/>
  <c r="B529" i="5"/>
  <c r="A529" i="5"/>
  <c r="T528" i="5"/>
  <c r="S528" i="5"/>
  <c r="R528" i="5"/>
  <c r="Q528" i="5"/>
  <c r="P528" i="5"/>
  <c r="O528" i="5"/>
  <c r="N528" i="5"/>
  <c r="M528" i="5"/>
  <c r="L528" i="5"/>
  <c r="K528" i="5"/>
  <c r="J528" i="5"/>
  <c r="I528" i="5"/>
  <c r="H528" i="5"/>
  <c r="G528" i="5"/>
  <c r="F528" i="5"/>
  <c r="E528" i="5"/>
  <c r="D528" i="5"/>
  <c r="C528" i="5"/>
  <c r="B528" i="5"/>
  <c r="A528" i="5"/>
  <c r="T527" i="5"/>
  <c r="S527" i="5"/>
  <c r="R527" i="5"/>
  <c r="Q527" i="5"/>
  <c r="P527" i="5"/>
  <c r="O527" i="5"/>
  <c r="N527" i="5"/>
  <c r="M527" i="5"/>
  <c r="L527" i="5"/>
  <c r="K527" i="5"/>
  <c r="J527" i="5"/>
  <c r="I527" i="5"/>
  <c r="H527" i="5"/>
  <c r="G527" i="5"/>
  <c r="F527" i="5"/>
  <c r="E527" i="5"/>
  <c r="D527" i="5"/>
  <c r="C527" i="5"/>
  <c r="B527" i="5"/>
  <c r="A527" i="5"/>
  <c r="T526" i="5"/>
  <c r="S526" i="5"/>
  <c r="R526" i="5"/>
  <c r="Q526" i="5"/>
  <c r="P526" i="5"/>
  <c r="O526" i="5"/>
  <c r="N526" i="5"/>
  <c r="M526" i="5"/>
  <c r="L526" i="5"/>
  <c r="K526" i="5"/>
  <c r="J526" i="5"/>
  <c r="I526" i="5"/>
  <c r="H526" i="5"/>
  <c r="G526" i="5"/>
  <c r="F526" i="5"/>
  <c r="E526" i="5"/>
  <c r="D526" i="5"/>
  <c r="C526" i="5"/>
  <c r="B526" i="5"/>
  <c r="A526" i="5"/>
  <c r="T525" i="5"/>
  <c r="S525" i="5"/>
  <c r="R525" i="5"/>
  <c r="Q525" i="5"/>
  <c r="P525" i="5"/>
  <c r="O525" i="5"/>
  <c r="N525" i="5"/>
  <c r="M525" i="5"/>
  <c r="L525" i="5"/>
  <c r="K525" i="5"/>
  <c r="J525" i="5"/>
  <c r="I525" i="5"/>
  <c r="H525" i="5"/>
  <c r="G525" i="5"/>
  <c r="F525" i="5"/>
  <c r="E525" i="5"/>
  <c r="D525" i="5"/>
  <c r="C525" i="5"/>
  <c r="B525" i="5"/>
  <c r="A525" i="5"/>
  <c r="T524" i="5"/>
  <c r="S524" i="5"/>
  <c r="R524" i="5"/>
  <c r="Q524" i="5"/>
  <c r="P524" i="5"/>
  <c r="O524" i="5"/>
  <c r="N524" i="5"/>
  <c r="M524" i="5"/>
  <c r="L524" i="5"/>
  <c r="K524" i="5"/>
  <c r="J524" i="5"/>
  <c r="I524" i="5"/>
  <c r="H524" i="5"/>
  <c r="G524" i="5"/>
  <c r="F524" i="5"/>
  <c r="E524" i="5"/>
  <c r="D524" i="5"/>
  <c r="C524" i="5"/>
  <c r="B524" i="5"/>
  <c r="A524" i="5"/>
  <c r="T523" i="5"/>
  <c r="S523" i="5"/>
  <c r="R523" i="5"/>
  <c r="Q523" i="5"/>
  <c r="P523" i="5"/>
  <c r="O523" i="5"/>
  <c r="N523" i="5"/>
  <c r="M523" i="5"/>
  <c r="L523" i="5"/>
  <c r="K523" i="5"/>
  <c r="J523" i="5"/>
  <c r="I523" i="5"/>
  <c r="H523" i="5"/>
  <c r="G523" i="5"/>
  <c r="F523" i="5"/>
  <c r="E523" i="5"/>
  <c r="D523" i="5"/>
  <c r="C523" i="5"/>
  <c r="B523" i="5"/>
  <c r="A523" i="5"/>
  <c r="T522" i="5"/>
  <c r="S522" i="5"/>
  <c r="R522" i="5"/>
  <c r="Q522" i="5"/>
  <c r="P522" i="5"/>
  <c r="O522" i="5"/>
  <c r="N522" i="5"/>
  <c r="M522" i="5"/>
  <c r="L522" i="5"/>
  <c r="K522" i="5"/>
  <c r="J522" i="5"/>
  <c r="I522" i="5"/>
  <c r="H522" i="5"/>
  <c r="G522" i="5"/>
  <c r="F522" i="5"/>
  <c r="E522" i="5"/>
  <c r="D522" i="5"/>
  <c r="C522" i="5"/>
  <c r="B522" i="5"/>
  <c r="A522" i="5"/>
  <c r="T521" i="5"/>
  <c r="S521" i="5"/>
  <c r="R521" i="5"/>
  <c r="Q521" i="5"/>
  <c r="P521" i="5"/>
  <c r="O521" i="5"/>
  <c r="N521" i="5"/>
  <c r="M521" i="5"/>
  <c r="L521" i="5"/>
  <c r="K521" i="5"/>
  <c r="J521" i="5"/>
  <c r="I521" i="5"/>
  <c r="H521" i="5"/>
  <c r="G521" i="5"/>
  <c r="F521" i="5"/>
  <c r="E521" i="5"/>
  <c r="D521" i="5"/>
  <c r="C521" i="5"/>
  <c r="B521" i="5"/>
  <c r="A521" i="5"/>
  <c r="T520" i="5"/>
  <c r="S520" i="5"/>
  <c r="R520" i="5"/>
  <c r="Q520" i="5"/>
  <c r="P520" i="5"/>
  <c r="O520" i="5"/>
  <c r="N520" i="5"/>
  <c r="M520" i="5"/>
  <c r="L520" i="5"/>
  <c r="K520" i="5"/>
  <c r="J520" i="5"/>
  <c r="I520" i="5"/>
  <c r="H520" i="5"/>
  <c r="G520" i="5"/>
  <c r="F520" i="5"/>
  <c r="E520" i="5"/>
  <c r="D520" i="5"/>
  <c r="C520" i="5"/>
  <c r="B520" i="5"/>
  <c r="A520" i="5"/>
  <c r="T519" i="5"/>
  <c r="S519" i="5"/>
  <c r="R519" i="5"/>
  <c r="Q519" i="5"/>
  <c r="P519" i="5"/>
  <c r="O519" i="5"/>
  <c r="N519" i="5"/>
  <c r="M519" i="5"/>
  <c r="L519" i="5"/>
  <c r="K519" i="5"/>
  <c r="J519" i="5"/>
  <c r="I519" i="5"/>
  <c r="H519" i="5"/>
  <c r="G519" i="5"/>
  <c r="F519" i="5"/>
  <c r="E519" i="5"/>
  <c r="D519" i="5"/>
  <c r="C519" i="5"/>
  <c r="B519" i="5"/>
  <c r="A519" i="5"/>
  <c r="T518" i="5"/>
  <c r="S518" i="5"/>
  <c r="R518" i="5"/>
  <c r="Q518" i="5"/>
  <c r="P518" i="5"/>
  <c r="O518" i="5"/>
  <c r="N518" i="5"/>
  <c r="M518" i="5"/>
  <c r="L518" i="5"/>
  <c r="K518" i="5"/>
  <c r="J518" i="5"/>
  <c r="I518" i="5"/>
  <c r="H518" i="5"/>
  <c r="G518" i="5"/>
  <c r="F518" i="5"/>
  <c r="E518" i="5"/>
  <c r="D518" i="5"/>
  <c r="C518" i="5"/>
  <c r="B518" i="5"/>
  <c r="A518" i="5"/>
  <c r="T517" i="5"/>
  <c r="S517" i="5"/>
  <c r="R517" i="5"/>
  <c r="Q517" i="5"/>
  <c r="P517" i="5"/>
  <c r="O517" i="5"/>
  <c r="N517" i="5"/>
  <c r="M517" i="5"/>
  <c r="L517" i="5"/>
  <c r="K517" i="5"/>
  <c r="J517" i="5"/>
  <c r="I517" i="5"/>
  <c r="H517" i="5"/>
  <c r="G517" i="5"/>
  <c r="F517" i="5"/>
  <c r="E517" i="5"/>
  <c r="D517" i="5"/>
  <c r="C517" i="5"/>
  <c r="B517" i="5"/>
  <c r="A517" i="5"/>
  <c r="T516" i="5"/>
  <c r="S516" i="5"/>
  <c r="R516" i="5"/>
  <c r="Q516" i="5"/>
  <c r="P516" i="5"/>
  <c r="O516" i="5"/>
  <c r="N516" i="5"/>
  <c r="M516" i="5"/>
  <c r="L516" i="5"/>
  <c r="K516" i="5"/>
  <c r="J516" i="5"/>
  <c r="I516" i="5"/>
  <c r="H516" i="5"/>
  <c r="G516" i="5"/>
  <c r="F516" i="5"/>
  <c r="E516" i="5"/>
  <c r="D516" i="5"/>
  <c r="C516" i="5"/>
  <c r="B516" i="5"/>
  <c r="A516" i="5"/>
  <c r="T515" i="5"/>
  <c r="S515" i="5"/>
  <c r="R515" i="5"/>
  <c r="Q515" i="5"/>
  <c r="P515" i="5"/>
  <c r="O515" i="5"/>
  <c r="N515" i="5"/>
  <c r="M515" i="5"/>
  <c r="L515" i="5"/>
  <c r="K515" i="5"/>
  <c r="J515" i="5"/>
  <c r="I515" i="5"/>
  <c r="H515" i="5"/>
  <c r="G515" i="5"/>
  <c r="F515" i="5"/>
  <c r="E515" i="5"/>
  <c r="D515" i="5"/>
  <c r="C515" i="5"/>
  <c r="B515" i="5"/>
  <c r="A515" i="5"/>
  <c r="T514" i="5"/>
  <c r="S514" i="5"/>
  <c r="R514" i="5"/>
  <c r="Q514" i="5"/>
  <c r="P514" i="5"/>
  <c r="O514" i="5"/>
  <c r="N514" i="5"/>
  <c r="M514" i="5"/>
  <c r="L514" i="5"/>
  <c r="K514" i="5"/>
  <c r="J514" i="5"/>
  <c r="I514" i="5"/>
  <c r="H514" i="5"/>
  <c r="G514" i="5"/>
  <c r="F514" i="5"/>
  <c r="E514" i="5"/>
  <c r="D514" i="5"/>
  <c r="C514" i="5"/>
  <c r="B514" i="5"/>
  <c r="A514" i="5"/>
  <c r="T513" i="5"/>
  <c r="S513" i="5"/>
  <c r="R513" i="5"/>
  <c r="Q513" i="5"/>
  <c r="P513" i="5"/>
  <c r="O513" i="5"/>
  <c r="N513" i="5"/>
  <c r="M513" i="5"/>
  <c r="L513" i="5"/>
  <c r="K513" i="5"/>
  <c r="J513" i="5"/>
  <c r="I513" i="5"/>
  <c r="H513" i="5"/>
  <c r="G513" i="5"/>
  <c r="F513" i="5"/>
  <c r="E513" i="5"/>
  <c r="D513" i="5"/>
  <c r="C513" i="5"/>
  <c r="B513" i="5"/>
  <c r="A513" i="5"/>
  <c r="T512" i="5"/>
  <c r="S512" i="5"/>
  <c r="R512" i="5"/>
  <c r="Q512" i="5"/>
  <c r="P512" i="5"/>
  <c r="O512" i="5"/>
  <c r="N512" i="5"/>
  <c r="M512" i="5"/>
  <c r="L512" i="5"/>
  <c r="K512" i="5"/>
  <c r="J512" i="5"/>
  <c r="I512" i="5"/>
  <c r="H512" i="5"/>
  <c r="G512" i="5"/>
  <c r="F512" i="5"/>
  <c r="E512" i="5"/>
  <c r="D512" i="5"/>
  <c r="C512" i="5"/>
  <c r="B512" i="5"/>
  <c r="A512" i="5"/>
  <c r="T511" i="5"/>
  <c r="S511" i="5"/>
  <c r="R511" i="5"/>
  <c r="Q511" i="5"/>
  <c r="P511" i="5"/>
  <c r="O511" i="5"/>
  <c r="N511" i="5"/>
  <c r="M511" i="5"/>
  <c r="L511" i="5"/>
  <c r="K511" i="5"/>
  <c r="J511" i="5"/>
  <c r="I511" i="5"/>
  <c r="H511" i="5"/>
  <c r="G511" i="5"/>
  <c r="F511" i="5"/>
  <c r="E511" i="5"/>
  <c r="D511" i="5"/>
  <c r="C511" i="5"/>
  <c r="B511" i="5"/>
  <c r="A511" i="5"/>
  <c r="T510" i="5"/>
  <c r="S510" i="5"/>
  <c r="R510" i="5"/>
  <c r="Q510" i="5"/>
  <c r="P510" i="5"/>
  <c r="O510" i="5"/>
  <c r="N510" i="5"/>
  <c r="M510" i="5"/>
  <c r="L510" i="5"/>
  <c r="K510" i="5"/>
  <c r="J510" i="5"/>
  <c r="I510" i="5"/>
  <c r="H510" i="5"/>
  <c r="G510" i="5"/>
  <c r="F510" i="5"/>
  <c r="E510" i="5"/>
  <c r="D510" i="5"/>
  <c r="C510" i="5"/>
  <c r="B510" i="5"/>
  <c r="A510" i="5"/>
  <c r="T509" i="5"/>
  <c r="S509" i="5"/>
  <c r="R509" i="5"/>
  <c r="Q509" i="5"/>
  <c r="P509" i="5"/>
  <c r="O509" i="5"/>
  <c r="N509" i="5"/>
  <c r="M509" i="5"/>
  <c r="L509" i="5"/>
  <c r="K509" i="5"/>
  <c r="J509" i="5"/>
  <c r="I509" i="5"/>
  <c r="H509" i="5"/>
  <c r="G509" i="5"/>
  <c r="F509" i="5"/>
  <c r="E509" i="5"/>
  <c r="D509" i="5"/>
  <c r="C509" i="5"/>
  <c r="B509" i="5"/>
  <c r="A509" i="5"/>
  <c r="T508" i="5"/>
  <c r="S508" i="5"/>
  <c r="R508" i="5"/>
  <c r="Q508" i="5"/>
  <c r="P508" i="5"/>
  <c r="O508" i="5"/>
  <c r="N508" i="5"/>
  <c r="M508" i="5"/>
  <c r="L508" i="5"/>
  <c r="K508" i="5"/>
  <c r="J508" i="5"/>
  <c r="I508" i="5"/>
  <c r="H508" i="5"/>
  <c r="G508" i="5"/>
  <c r="F508" i="5"/>
  <c r="E508" i="5"/>
  <c r="D508" i="5"/>
  <c r="C508" i="5"/>
  <c r="B508" i="5"/>
  <c r="A508" i="5"/>
  <c r="T507" i="5"/>
  <c r="S507" i="5"/>
  <c r="R507" i="5"/>
  <c r="Q507" i="5"/>
  <c r="P507" i="5"/>
  <c r="O507" i="5"/>
  <c r="N507" i="5"/>
  <c r="M507" i="5"/>
  <c r="L507" i="5"/>
  <c r="K507" i="5"/>
  <c r="J507" i="5"/>
  <c r="I507" i="5"/>
  <c r="H507" i="5"/>
  <c r="G507" i="5"/>
  <c r="F507" i="5"/>
  <c r="E507" i="5"/>
  <c r="D507" i="5"/>
  <c r="C507" i="5"/>
  <c r="B507" i="5"/>
  <c r="A507" i="5"/>
  <c r="T506" i="5"/>
  <c r="S506" i="5"/>
  <c r="R506" i="5"/>
  <c r="Q506" i="5"/>
  <c r="P506" i="5"/>
  <c r="O506" i="5"/>
  <c r="N506" i="5"/>
  <c r="M506" i="5"/>
  <c r="L506" i="5"/>
  <c r="K506" i="5"/>
  <c r="J506" i="5"/>
  <c r="I506" i="5"/>
  <c r="H506" i="5"/>
  <c r="G506" i="5"/>
  <c r="F506" i="5"/>
  <c r="E506" i="5"/>
  <c r="D506" i="5"/>
  <c r="C506" i="5"/>
  <c r="B506" i="5"/>
  <c r="A506" i="5"/>
  <c r="T505" i="5"/>
  <c r="S505" i="5"/>
  <c r="R505" i="5"/>
  <c r="Q505" i="5"/>
  <c r="P505" i="5"/>
  <c r="O505" i="5"/>
  <c r="N505" i="5"/>
  <c r="M505" i="5"/>
  <c r="L505" i="5"/>
  <c r="K505" i="5"/>
  <c r="J505" i="5"/>
  <c r="I505" i="5"/>
  <c r="H505" i="5"/>
  <c r="G505" i="5"/>
  <c r="F505" i="5"/>
  <c r="E505" i="5"/>
  <c r="D505" i="5"/>
  <c r="C505" i="5"/>
  <c r="B505" i="5"/>
  <c r="A505" i="5"/>
  <c r="T504" i="5"/>
  <c r="S504" i="5"/>
  <c r="R504" i="5"/>
  <c r="Q504" i="5"/>
  <c r="P504" i="5"/>
  <c r="O504" i="5"/>
  <c r="N504" i="5"/>
  <c r="M504" i="5"/>
  <c r="L504" i="5"/>
  <c r="K504" i="5"/>
  <c r="J504" i="5"/>
  <c r="I504" i="5"/>
  <c r="H504" i="5"/>
  <c r="G504" i="5"/>
  <c r="F504" i="5"/>
  <c r="E504" i="5"/>
  <c r="D504" i="5"/>
  <c r="C504" i="5"/>
  <c r="B504" i="5"/>
  <c r="A504" i="5"/>
  <c r="T503" i="5"/>
  <c r="S503" i="5"/>
  <c r="R503" i="5"/>
  <c r="Q503" i="5"/>
  <c r="P503" i="5"/>
  <c r="O503" i="5"/>
  <c r="N503" i="5"/>
  <c r="M503" i="5"/>
  <c r="L503" i="5"/>
  <c r="K503" i="5"/>
  <c r="J503" i="5"/>
  <c r="I503" i="5"/>
  <c r="H503" i="5"/>
  <c r="G503" i="5"/>
  <c r="F503" i="5"/>
  <c r="E503" i="5"/>
  <c r="D503" i="5"/>
  <c r="C503" i="5"/>
  <c r="B503" i="5"/>
  <c r="A503" i="5"/>
  <c r="T502" i="5"/>
  <c r="S502" i="5"/>
  <c r="R502" i="5"/>
  <c r="Q502" i="5"/>
  <c r="P502" i="5"/>
  <c r="O502" i="5"/>
  <c r="N502" i="5"/>
  <c r="M502" i="5"/>
  <c r="L502" i="5"/>
  <c r="K502" i="5"/>
  <c r="J502" i="5"/>
  <c r="I502" i="5"/>
  <c r="H502" i="5"/>
  <c r="G502" i="5"/>
  <c r="F502" i="5"/>
  <c r="E502" i="5"/>
  <c r="D502" i="5"/>
  <c r="C502" i="5"/>
  <c r="B502" i="5"/>
  <c r="A502" i="5"/>
  <c r="T501" i="5"/>
  <c r="S501" i="5"/>
  <c r="R501" i="5"/>
  <c r="Q501" i="5"/>
  <c r="P501" i="5"/>
  <c r="O501" i="5"/>
  <c r="N501" i="5"/>
  <c r="M501" i="5"/>
  <c r="L501" i="5"/>
  <c r="K501" i="5"/>
  <c r="J501" i="5"/>
  <c r="I501" i="5"/>
  <c r="H501" i="5"/>
  <c r="G501" i="5"/>
  <c r="F501" i="5"/>
  <c r="E501" i="5"/>
  <c r="D501" i="5"/>
  <c r="C501" i="5"/>
  <c r="B501" i="5"/>
  <c r="A501" i="5"/>
  <c r="T500" i="5"/>
  <c r="S500" i="5"/>
  <c r="R500" i="5"/>
  <c r="Q500" i="5"/>
  <c r="P500" i="5"/>
  <c r="O500" i="5"/>
  <c r="N500" i="5"/>
  <c r="M500" i="5"/>
  <c r="L500" i="5"/>
  <c r="K500" i="5"/>
  <c r="J500" i="5"/>
  <c r="I500" i="5"/>
  <c r="H500" i="5"/>
  <c r="G500" i="5"/>
  <c r="F500" i="5"/>
  <c r="E500" i="5"/>
  <c r="D500" i="5"/>
  <c r="C500" i="5"/>
  <c r="B500" i="5"/>
  <c r="A500" i="5"/>
  <c r="T499" i="5"/>
  <c r="S499" i="5"/>
  <c r="R499" i="5"/>
  <c r="Q499" i="5"/>
  <c r="P499" i="5"/>
  <c r="O499" i="5"/>
  <c r="N499" i="5"/>
  <c r="M499" i="5"/>
  <c r="L499" i="5"/>
  <c r="K499" i="5"/>
  <c r="J499" i="5"/>
  <c r="I499" i="5"/>
  <c r="H499" i="5"/>
  <c r="G499" i="5"/>
  <c r="F499" i="5"/>
  <c r="E499" i="5"/>
  <c r="D499" i="5"/>
  <c r="C499" i="5"/>
  <c r="B499" i="5"/>
  <c r="A499" i="5"/>
  <c r="T498" i="5"/>
  <c r="S498" i="5"/>
  <c r="R498" i="5"/>
  <c r="Q498" i="5"/>
  <c r="P498" i="5"/>
  <c r="O498" i="5"/>
  <c r="N498" i="5"/>
  <c r="M498" i="5"/>
  <c r="L498" i="5"/>
  <c r="K498" i="5"/>
  <c r="J498" i="5"/>
  <c r="I498" i="5"/>
  <c r="H498" i="5"/>
  <c r="G498" i="5"/>
  <c r="F498" i="5"/>
  <c r="E498" i="5"/>
  <c r="D498" i="5"/>
  <c r="C498" i="5"/>
  <c r="B498" i="5"/>
  <c r="A498" i="5"/>
  <c r="T497" i="5"/>
  <c r="S497" i="5"/>
  <c r="R497" i="5"/>
  <c r="Q497" i="5"/>
  <c r="P497" i="5"/>
  <c r="O497" i="5"/>
  <c r="N497" i="5"/>
  <c r="M497" i="5"/>
  <c r="L497" i="5"/>
  <c r="K497" i="5"/>
  <c r="J497" i="5"/>
  <c r="I497" i="5"/>
  <c r="H497" i="5"/>
  <c r="G497" i="5"/>
  <c r="F497" i="5"/>
  <c r="E497" i="5"/>
  <c r="D497" i="5"/>
  <c r="C497" i="5"/>
  <c r="B497" i="5"/>
  <c r="A497" i="5"/>
  <c r="T496" i="5"/>
  <c r="S496" i="5"/>
  <c r="R496" i="5"/>
  <c r="Q496" i="5"/>
  <c r="P496" i="5"/>
  <c r="O496" i="5"/>
  <c r="N496" i="5"/>
  <c r="M496" i="5"/>
  <c r="L496" i="5"/>
  <c r="K496" i="5"/>
  <c r="J496" i="5"/>
  <c r="I496" i="5"/>
  <c r="H496" i="5"/>
  <c r="G496" i="5"/>
  <c r="F496" i="5"/>
  <c r="E496" i="5"/>
  <c r="D496" i="5"/>
  <c r="C496" i="5"/>
  <c r="B496" i="5"/>
  <c r="A496" i="5"/>
  <c r="T495" i="5"/>
  <c r="S495" i="5"/>
  <c r="R495" i="5"/>
  <c r="Q495" i="5"/>
  <c r="P495" i="5"/>
  <c r="O495" i="5"/>
  <c r="N495" i="5"/>
  <c r="M495" i="5"/>
  <c r="L495" i="5"/>
  <c r="K495" i="5"/>
  <c r="J495" i="5"/>
  <c r="I495" i="5"/>
  <c r="H495" i="5"/>
  <c r="G495" i="5"/>
  <c r="F495" i="5"/>
  <c r="E495" i="5"/>
  <c r="D495" i="5"/>
  <c r="C495" i="5"/>
  <c r="B495" i="5"/>
  <c r="A495" i="5"/>
  <c r="T494" i="5"/>
  <c r="S494" i="5"/>
  <c r="R494" i="5"/>
  <c r="Q494" i="5"/>
  <c r="P494" i="5"/>
  <c r="O494" i="5"/>
  <c r="N494" i="5"/>
  <c r="M494" i="5"/>
  <c r="L494" i="5"/>
  <c r="K494" i="5"/>
  <c r="J494" i="5"/>
  <c r="I494" i="5"/>
  <c r="H494" i="5"/>
  <c r="G494" i="5"/>
  <c r="F494" i="5"/>
  <c r="E494" i="5"/>
  <c r="D494" i="5"/>
  <c r="C494" i="5"/>
  <c r="B494" i="5"/>
  <c r="A494" i="5"/>
  <c r="T493" i="5"/>
  <c r="S493" i="5"/>
  <c r="R493" i="5"/>
  <c r="Q493" i="5"/>
  <c r="P493" i="5"/>
  <c r="O493" i="5"/>
  <c r="N493" i="5"/>
  <c r="M493" i="5"/>
  <c r="L493" i="5"/>
  <c r="K493" i="5"/>
  <c r="J493" i="5"/>
  <c r="I493" i="5"/>
  <c r="H493" i="5"/>
  <c r="G493" i="5"/>
  <c r="F493" i="5"/>
  <c r="E493" i="5"/>
  <c r="D493" i="5"/>
  <c r="C493" i="5"/>
  <c r="B493" i="5"/>
  <c r="A493" i="5"/>
  <c r="T492" i="5"/>
  <c r="S492" i="5"/>
  <c r="R492" i="5"/>
  <c r="Q492" i="5"/>
  <c r="P492" i="5"/>
  <c r="O492" i="5"/>
  <c r="N492" i="5"/>
  <c r="M492" i="5"/>
  <c r="L492" i="5"/>
  <c r="K492" i="5"/>
  <c r="J492" i="5"/>
  <c r="I492" i="5"/>
  <c r="H492" i="5"/>
  <c r="G492" i="5"/>
  <c r="F492" i="5"/>
  <c r="E492" i="5"/>
  <c r="D492" i="5"/>
  <c r="C492" i="5"/>
  <c r="B492" i="5"/>
  <c r="A492" i="5"/>
  <c r="T491" i="5"/>
  <c r="S491" i="5"/>
  <c r="R491" i="5"/>
  <c r="Q491" i="5"/>
  <c r="P491" i="5"/>
  <c r="O491" i="5"/>
  <c r="N491" i="5"/>
  <c r="M491" i="5"/>
  <c r="L491" i="5"/>
  <c r="K491" i="5"/>
  <c r="J491" i="5"/>
  <c r="I491" i="5"/>
  <c r="H491" i="5"/>
  <c r="G491" i="5"/>
  <c r="F491" i="5"/>
  <c r="E491" i="5"/>
  <c r="D491" i="5"/>
  <c r="C491" i="5"/>
  <c r="B491" i="5"/>
  <c r="A491" i="5"/>
  <c r="T490" i="5"/>
  <c r="S490" i="5"/>
  <c r="R490" i="5"/>
  <c r="Q490" i="5"/>
  <c r="P490" i="5"/>
  <c r="O490" i="5"/>
  <c r="N490" i="5"/>
  <c r="M490" i="5"/>
  <c r="L490" i="5"/>
  <c r="K490" i="5"/>
  <c r="J490" i="5"/>
  <c r="I490" i="5"/>
  <c r="H490" i="5"/>
  <c r="G490" i="5"/>
  <c r="F490" i="5"/>
  <c r="E490" i="5"/>
  <c r="D490" i="5"/>
  <c r="C490" i="5"/>
  <c r="B490" i="5"/>
  <c r="A490" i="5"/>
  <c r="T489" i="5"/>
  <c r="S489" i="5"/>
  <c r="R489" i="5"/>
  <c r="Q489" i="5"/>
  <c r="P489" i="5"/>
  <c r="O489" i="5"/>
  <c r="N489" i="5"/>
  <c r="M489" i="5"/>
  <c r="L489" i="5"/>
  <c r="K489" i="5"/>
  <c r="J489" i="5"/>
  <c r="I489" i="5"/>
  <c r="H489" i="5"/>
  <c r="G489" i="5"/>
  <c r="F489" i="5"/>
  <c r="E489" i="5"/>
  <c r="D489" i="5"/>
  <c r="C489" i="5"/>
  <c r="B489" i="5"/>
  <c r="A489" i="5"/>
  <c r="T488" i="5"/>
  <c r="S488" i="5"/>
  <c r="R488" i="5"/>
  <c r="Q488" i="5"/>
  <c r="P488" i="5"/>
  <c r="O488" i="5"/>
  <c r="N488" i="5"/>
  <c r="M488" i="5"/>
  <c r="L488" i="5"/>
  <c r="K488" i="5"/>
  <c r="J488" i="5"/>
  <c r="I488" i="5"/>
  <c r="H488" i="5"/>
  <c r="G488" i="5"/>
  <c r="F488" i="5"/>
  <c r="E488" i="5"/>
  <c r="D488" i="5"/>
  <c r="C488" i="5"/>
  <c r="B488" i="5"/>
  <c r="A488" i="5"/>
  <c r="T487" i="5"/>
  <c r="S487" i="5"/>
  <c r="R487" i="5"/>
  <c r="Q487" i="5"/>
  <c r="P487" i="5"/>
  <c r="O487" i="5"/>
  <c r="N487" i="5"/>
  <c r="M487" i="5"/>
  <c r="L487" i="5"/>
  <c r="K487" i="5"/>
  <c r="J487" i="5"/>
  <c r="I487" i="5"/>
  <c r="H487" i="5"/>
  <c r="G487" i="5"/>
  <c r="F487" i="5"/>
  <c r="E487" i="5"/>
  <c r="D487" i="5"/>
  <c r="C487" i="5"/>
  <c r="B487" i="5"/>
  <c r="A487" i="5"/>
  <c r="T486" i="5"/>
  <c r="S486" i="5"/>
  <c r="R486" i="5"/>
  <c r="Q486" i="5"/>
  <c r="P486" i="5"/>
  <c r="O486" i="5"/>
  <c r="N486" i="5"/>
  <c r="M486" i="5"/>
  <c r="L486" i="5"/>
  <c r="K486" i="5"/>
  <c r="J486" i="5"/>
  <c r="I486" i="5"/>
  <c r="H486" i="5"/>
  <c r="G486" i="5"/>
  <c r="F486" i="5"/>
  <c r="E486" i="5"/>
  <c r="D486" i="5"/>
  <c r="C486" i="5"/>
  <c r="B486" i="5"/>
  <c r="A486" i="5"/>
  <c r="T485" i="5"/>
  <c r="S485" i="5"/>
  <c r="R485" i="5"/>
  <c r="Q485" i="5"/>
  <c r="P485" i="5"/>
  <c r="O485" i="5"/>
  <c r="N485" i="5"/>
  <c r="M485" i="5"/>
  <c r="L485" i="5"/>
  <c r="K485" i="5"/>
  <c r="J485" i="5"/>
  <c r="I485" i="5"/>
  <c r="H485" i="5"/>
  <c r="G485" i="5"/>
  <c r="F485" i="5"/>
  <c r="E485" i="5"/>
  <c r="D485" i="5"/>
  <c r="C485" i="5"/>
  <c r="B485" i="5"/>
  <c r="A485" i="5"/>
  <c r="T484" i="5"/>
  <c r="S484" i="5"/>
  <c r="R484" i="5"/>
  <c r="Q484" i="5"/>
  <c r="P484" i="5"/>
  <c r="O484" i="5"/>
  <c r="N484" i="5"/>
  <c r="M484" i="5"/>
  <c r="L484" i="5"/>
  <c r="K484" i="5"/>
  <c r="J484" i="5"/>
  <c r="I484" i="5"/>
  <c r="H484" i="5"/>
  <c r="G484" i="5"/>
  <c r="F484" i="5"/>
  <c r="E484" i="5"/>
  <c r="D484" i="5"/>
  <c r="C484" i="5"/>
  <c r="B484" i="5"/>
  <c r="A484" i="5"/>
  <c r="T483" i="5"/>
  <c r="S483" i="5"/>
  <c r="R483" i="5"/>
  <c r="Q483" i="5"/>
  <c r="P483" i="5"/>
  <c r="O483" i="5"/>
  <c r="N483" i="5"/>
  <c r="M483" i="5"/>
  <c r="L483" i="5"/>
  <c r="K483" i="5"/>
  <c r="J483" i="5"/>
  <c r="I483" i="5"/>
  <c r="H483" i="5"/>
  <c r="G483" i="5"/>
  <c r="F483" i="5"/>
  <c r="E483" i="5"/>
  <c r="D483" i="5"/>
  <c r="C483" i="5"/>
  <c r="B483" i="5"/>
  <c r="A483" i="5"/>
  <c r="T482" i="5"/>
  <c r="S482" i="5"/>
  <c r="R482" i="5"/>
  <c r="Q482" i="5"/>
  <c r="P482" i="5"/>
  <c r="O482" i="5"/>
  <c r="N482" i="5"/>
  <c r="M482" i="5"/>
  <c r="L482" i="5"/>
  <c r="K482" i="5"/>
  <c r="J482" i="5"/>
  <c r="I482" i="5"/>
  <c r="H482" i="5"/>
  <c r="G482" i="5"/>
  <c r="F482" i="5"/>
  <c r="E482" i="5"/>
  <c r="D482" i="5"/>
  <c r="C482" i="5"/>
  <c r="B482" i="5"/>
  <c r="A482" i="5"/>
  <c r="T481" i="5"/>
  <c r="S481" i="5"/>
  <c r="R481" i="5"/>
  <c r="Q481" i="5"/>
  <c r="P481" i="5"/>
  <c r="O481" i="5"/>
  <c r="N481" i="5"/>
  <c r="M481" i="5"/>
  <c r="L481" i="5"/>
  <c r="K481" i="5"/>
  <c r="J481" i="5"/>
  <c r="I481" i="5"/>
  <c r="H481" i="5"/>
  <c r="G481" i="5"/>
  <c r="F481" i="5"/>
  <c r="E481" i="5"/>
  <c r="D481" i="5"/>
  <c r="C481" i="5"/>
  <c r="B481" i="5"/>
  <c r="A481" i="5"/>
  <c r="T480" i="5"/>
  <c r="S480" i="5"/>
  <c r="R480" i="5"/>
  <c r="Q480" i="5"/>
  <c r="P480" i="5"/>
  <c r="O480" i="5"/>
  <c r="N480" i="5"/>
  <c r="M480" i="5"/>
  <c r="L480" i="5"/>
  <c r="K480" i="5"/>
  <c r="J480" i="5"/>
  <c r="I480" i="5"/>
  <c r="H480" i="5"/>
  <c r="G480" i="5"/>
  <c r="F480" i="5"/>
  <c r="E480" i="5"/>
  <c r="D480" i="5"/>
  <c r="C480" i="5"/>
  <c r="B480" i="5"/>
  <c r="A480" i="5"/>
  <c r="T479" i="5"/>
  <c r="S479" i="5"/>
  <c r="R479" i="5"/>
  <c r="Q479" i="5"/>
  <c r="P479" i="5"/>
  <c r="O479" i="5"/>
  <c r="N479" i="5"/>
  <c r="M479" i="5"/>
  <c r="L479" i="5"/>
  <c r="K479" i="5"/>
  <c r="J479" i="5"/>
  <c r="I479" i="5"/>
  <c r="H479" i="5"/>
  <c r="G479" i="5"/>
  <c r="F479" i="5"/>
  <c r="E479" i="5"/>
  <c r="D479" i="5"/>
  <c r="C479" i="5"/>
  <c r="B479" i="5"/>
  <c r="A479" i="5"/>
  <c r="T478" i="5"/>
  <c r="S478" i="5"/>
  <c r="R478" i="5"/>
  <c r="Q478" i="5"/>
  <c r="P478" i="5"/>
  <c r="O478" i="5"/>
  <c r="N478" i="5"/>
  <c r="M478" i="5"/>
  <c r="L478" i="5"/>
  <c r="K478" i="5"/>
  <c r="J478" i="5"/>
  <c r="I478" i="5"/>
  <c r="H478" i="5"/>
  <c r="G478" i="5"/>
  <c r="F478" i="5"/>
  <c r="E478" i="5"/>
  <c r="D478" i="5"/>
  <c r="C478" i="5"/>
  <c r="B478" i="5"/>
  <c r="A478" i="5"/>
  <c r="T477" i="5"/>
  <c r="S477" i="5"/>
  <c r="R477" i="5"/>
  <c r="Q477" i="5"/>
  <c r="P477" i="5"/>
  <c r="O477" i="5"/>
  <c r="N477" i="5"/>
  <c r="M477" i="5"/>
  <c r="L477" i="5"/>
  <c r="K477" i="5"/>
  <c r="J477" i="5"/>
  <c r="I477" i="5"/>
  <c r="H477" i="5"/>
  <c r="G477" i="5"/>
  <c r="F477" i="5"/>
  <c r="E477" i="5"/>
  <c r="D477" i="5"/>
  <c r="C477" i="5"/>
  <c r="B477" i="5"/>
  <c r="A477" i="5"/>
  <c r="T476" i="5"/>
  <c r="S476" i="5"/>
  <c r="R476" i="5"/>
  <c r="Q476" i="5"/>
  <c r="P476" i="5"/>
  <c r="O476" i="5"/>
  <c r="N476" i="5"/>
  <c r="M476" i="5"/>
  <c r="L476" i="5"/>
  <c r="K476" i="5"/>
  <c r="J476" i="5"/>
  <c r="I476" i="5"/>
  <c r="H476" i="5"/>
  <c r="G476" i="5"/>
  <c r="F476" i="5"/>
  <c r="E476" i="5"/>
  <c r="D476" i="5"/>
  <c r="C476" i="5"/>
  <c r="B476" i="5"/>
  <c r="A476" i="5"/>
  <c r="T475" i="5"/>
  <c r="S475" i="5"/>
  <c r="R475" i="5"/>
  <c r="Q475" i="5"/>
  <c r="P475" i="5"/>
  <c r="O475" i="5"/>
  <c r="N475" i="5"/>
  <c r="M475" i="5"/>
  <c r="L475" i="5"/>
  <c r="K475" i="5"/>
  <c r="J475" i="5"/>
  <c r="I475" i="5"/>
  <c r="H475" i="5"/>
  <c r="G475" i="5"/>
  <c r="F475" i="5"/>
  <c r="E475" i="5"/>
  <c r="D475" i="5"/>
  <c r="C475" i="5"/>
  <c r="B475" i="5"/>
  <c r="A475" i="5"/>
  <c r="T474" i="5"/>
  <c r="S474" i="5"/>
  <c r="R474" i="5"/>
  <c r="Q474" i="5"/>
  <c r="P474" i="5"/>
  <c r="O474" i="5"/>
  <c r="N474" i="5"/>
  <c r="M474" i="5"/>
  <c r="L474" i="5"/>
  <c r="K474" i="5"/>
  <c r="J474" i="5"/>
  <c r="I474" i="5"/>
  <c r="H474" i="5"/>
  <c r="G474" i="5"/>
  <c r="F474" i="5"/>
  <c r="E474" i="5"/>
  <c r="D474" i="5"/>
  <c r="C474" i="5"/>
  <c r="B474" i="5"/>
  <c r="A474" i="5"/>
  <c r="T473" i="5"/>
  <c r="S473" i="5"/>
  <c r="R473" i="5"/>
  <c r="Q473" i="5"/>
  <c r="P473" i="5"/>
  <c r="O473" i="5"/>
  <c r="N473" i="5"/>
  <c r="M473" i="5"/>
  <c r="L473" i="5"/>
  <c r="K473" i="5"/>
  <c r="J473" i="5"/>
  <c r="I473" i="5"/>
  <c r="H473" i="5"/>
  <c r="G473" i="5"/>
  <c r="F473" i="5"/>
  <c r="E473" i="5"/>
  <c r="D473" i="5"/>
  <c r="C473" i="5"/>
  <c r="B473" i="5"/>
  <c r="A473" i="5"/>
  <c r="T472" i="5"/>
  <c r="S472" i="5"/>
  <c r="R472" i="5"/>
  <c r="Q472" i="5"/>
  <c r="P472" i="5"/>
  <c r="O472" i="5"/>
  <c r="N472" i="5"/>
  <c r="M472" i="5"/>
  <c r="L472" i="5"/>
  <c r="K472" i="5"/>
  <c r="J472" i="5"/>
  <c r="I472" i="5"/>
  <c r="H472" i="5"/>
  <c r="G472" i="5"/>
  <c r="F472" i="5"/>
  <c r="E472" i="5"/>
  <c r="D472" i="5"/>
  <c r="C472" i="5"/>
  <c r="B472" i="5"/>
  <c r="A472" i="5"/>
  <c r="T471" i="5"/>
  <c r="S471" i="5"/>
  <c r="R471" i="5"/>
  <c r="Q471" i="5"/>
  <c r="P471" i="5"/>
  <c r="O471" i="5"/>
  <c r="N471" i="5"/>
  <c r="M471" i="5"/>
  <c r="L471" i="5"/>
  <c r="K471" i="5"/>
  <c r="J471" i="5"/>
  <c r="I471" i="5"/>
  <c r="H471" i="5"/>
  <c r="G471" i="5"/>
  <c r="F471" i="5"/>
  <c r="E471" i="5"/>
  <c r="D471" i="5"/>
  <c r="C471" i="5"/>
  <c r="B471" i="5"/>
  <c r="A471" i="5"/>
  <c r="T470" i="5"/>
  <c r="S470" i="5"/>
  <c r="R470" i="5"/>
  <c r="Q470" i="5"/>
  <c r="P470" i="5"/>
  <c r="O470" i="5"/>
  <c r="N470" i="5"/>
  <c r="M470" i="5"/>
  <c r="L470" i="5"/>
  <c r="K470" i="5"/>
  <c r="J470" i="5"/>
  <c r="I470" i="5"/>
  <c r="H470" i="5"/>
  <c r="G470" i="5"/>
  <c r="F470" i="5"/>
  <c r="E470" i="5"/>
  <c r="D470" i="5"/>
  <c r="C470" i="5"/>
  <c r="B470" i="5"/>
  <c r="A470" i="5"/>
  <c r="T469" i="5"/>
  <c r="S469" i="5"/>
  <c r="R469" i="5"/>
  <c r="Q469" i="5"/>
  <c r="P469" i="5"/>
  <c r="O469" i="5"/>
  <c r="N469" i="5"/>
  <c r="M469" i="5"/>
  <c r="L469" i="5"/>
  <c r="K469" i="5"/>
  <c r="J469" i="5"/>
  <c r="I469" i="5"/>
  <c r="H469" i="5"/>
  <c r="G469" i="5"/>
  <c r="F469" i="5"/>
  <c r="E469" i="5"/>
  <c r="D469" i="5"/>
  <c r="C469" i="5"/>
  <c r="B469" i="5"/>
  <c r="A469" i="5"/>
  <c r="T468" i="5"/>
  <c r="S468" i="5"/>
  <c r="R468" i="5"/>
  <c r="Q468" i="5"/>
  <c r="P468" i="5"/>
  <c r="O468" i="5"/>
  <c r="N468" i="5"/>
  <c r="M468" i="5"/>
  <c r="L468" i="5"/>
  <c r="K468" i="5"/>
  <c r="J468" i="5"/>
  <c r="I468" i="5"/>
  <c r="H468" i="5"/>
  <c r="G468" i="5"/>
  <c r="F468" i="5"/>
  <c r="E468" i="5"/>
  <c r="D468" i="5"/>
  <c r="C468" i="5"/>
  <c r="B468" i="5"/>
  <c r="A468" i="5"/>
  <c r="T467" i="5"/>
  <c r="S467" i="5"/>
  <c r="R467" i="5"/>
  <c r="Q467" i="5"/>
  <c r="P467" i="5"/>
  <c r="O467" i="5"/>
  <c r="N467" i="5"/>
  <c r="M467" i="5"/>
  <c r="L467" i="5"/>
  <c r="K467" i="5"/>
  <c r="J467" i="5"/>
  <c r="I467" i="5"/>
  <c r="H467" i="5"/>
  <c r="G467" i="5"/>
  <c r="F467" i="5"/>
  <c r="E467" i="5"/>
  <c r="D467" i="5"/>
  <c r="C467" i="5"/>
  <c r="B467" i="5"/>
  <c r="A467" i="5"/>
  <c r="T466" i="5"/>
  <c r="S466" i="5"/>
  <c r="R466" i="5"/>
  <c r="Q466" i="5"/>
  <c r="P466" i="5"/>
  <c r="O466" i="5"/>
  <c r="N466" i="5"/>
  <c r="M466" i="5"/>
  <c r="L466" i="5"/>
  <c r="K466" i="5"/>
  <c r="J466" i="5"/>
  <c r="I466" i="5"/>
  <c r="H466" i="5"/>
  <c r="G466" i="5"/>
  <c r="F466" i="5"/>
  <c r="E466" i="5"/>
  <c r="D466" i="5"/>
  <c r="C466" i="5"/>
  <c r="B466" i="5"/>
  <c r="A466" i="5"/>
  <c r="T465" i="5"/>
  <c r="S465" i="5"/>
  <c r="R465" i="5"/>
  <c r="Q465" i="5"/>
  <c r="P465" i="5"/>
  <c r="O465" i="5"/>
  <c r="N465" i="5"/>
  <c r="M465" i="5"/>
  <c r="L465" i="5"/>
  <c r="K465" i="5"/>
  <c r="J465" i="5"/>
  <c r="I465" i="5"/>
  <c r="H465" i="5"/>
  <c r="G465" i="5"/>
  <c r="F465" i="5"/>
  <c r="E465" i="5"/>
  <c r="D465" i="5"/>
  <c r="C465" i="5"/>
  <c r="B465" i="5"/>
  <c r="A465" i="5"/>
  <c r="T464" i="5"/>
  <c r="S464" i="5"/>
  <c r="R464" i="5"/>
  <c r="Q464" i="5"/>
  <c r="P464" i="5"/>
  <c r="O464" i="5"/>
  <c r="N464" i="5"/>
  <c r="M464" i="5"/>
  <c r="L464" i="5"/>
  <c r="K464" i="5"/>
  <c r="J464" i="5"/>
  <c r="I464" i="5"/>
  <c r="H464" i="5"/>
  <c r="G464" i="5"/>
  <c r="F464" i="5"/>
  <c r="E464" i="5"/>
  <c r="D464" i="5"/>
  <c r="C464" i="5"/>
  <c r="B464" i="5"/>
  <c r="A464" i="5"/>
  <c r="T463" i="5"/>
  <c r="S463" i="5"/>
  <c r="R463" i="5"/>
  <c r="Q463" i="5"/>
  <c r="P463" i="5"/>
  <c r="O463" i="5"/>
  <c r="N463" i="5"/>
  <c r="M463" i="5"/>
  <c r="L463" i="5"/>
  <c r="K463" i="5"/>
  <c r="J463" i="5"/>
  <c r="I463" i="5"/>
  <c r="H463" i="5"/>
  <c r="G463" i="5"/>
  <c r="F463" i="5"/>
  <c r="E463" i="5"/>
  <c r="D463" i="5"/>
  <c r="C463" i="5"/>
  <c r="B463" i="5"/>
  <c r="A463" i="5"/>
  <c r="T462" i="5"/>
  <c r="S462" i="5"/>
  <c r="R462" i="5"/>
  <c r="Q462" i="5"/>
  <c r="P462" i="5"/>
  <c r="O462" i="5"/>
  <c r="N462" i="5"/>
  <c r="M462" i="5"/>
  <c r="L462" i="5"/>
  <c r="K462" i="5"/>
  <c r="J462" i="5"/>
  <c r="I462" i="5"/>
  <c r="H462" i="5"/>
  <c r="G462" i="5"/>
  <c r="F462" i="5"/>
  <c r="E462" i="5"/>
  <c r="D462" i="5"/>
  <c r="C462" i="5"/>
  <c r="B462" i="5"/>
  <c r="A462" i="5"/>
  <c r="T461" i="5"/>
  <c r="S461" i="5"/>
  <c r="R461" i="5"/>
  <c r="Q461" i="5"/>
  <c r="P461" i="5"/>
  <c r="O461" i="5"/>
  <c r="N461" i="5"/>
  <c r="M461" i="5"/>
  <c r="L461" i="5"/>
  <c r="K461" i="5"/>
  <c r="J461" i="5"/>
  <c r="I461" i="5"/>
  <c r="H461" i="5"/>
  <c r="G461" i="5"/>
  <c r="F461" i="5"/>
  <c r="E461" i="5"/>
  <c r="D461" i="5"/>
  <c r="C461" i="5"/>
  <c r="B461" i="5"/>
  <c r="A461" i="5"/>
  <c r="T460" i="5"/>
  <c r="S460" i="5"/>
  <c r="R460" i="5"/>
  <c r="Q460" i="5"/>
  <c r="P460" i="5"/>
  <c r="O460" i="5"/>
  <c r="N460" i="5"/>
  <c r="M460" i="5"/>
  <c r="L460" i="5"/>
  <c r="K460" i="5"/>
  <c r="J460" i="5"/>
  <c r="I460" i="5"/>
  <c r="H460" i="5"/>
  <c r="G460" i="5"/>
  <c r="F460" i="5"/>
  <c r="E460" i="5"/>
  <c r="D460" i="5"/>
  <c r="C460" i="5"/>
  <c r="B460" i="5"/>
  <c r="A460" i="5"/>
  <c r="T459" i="5"/>
  <c r="S459" i="5"/>
  <c r="R459" i="5"/>
  <c r="Q459" i="5"/>
  <c r="P459" i="5"/>
  <c r="O459" i="5"/>
  <c r="N459" i="5"/>
  <c r="M459" i="5"/>
  <c r="L459" i="5"/>
  <c r="K459" i="5"/>
  <c r="J459" i="5"/>
  <c r="I459" i="5"/>
  <c r="H459" i="5"/>
  <c r="G459" i="5"/>
  <c r="F459" i="5"/>
  <c r="E459" i="5"/>
  <c r="D459" i="5"/>
  <c r="C459" i="5"/>
  <c r="B459" i="5"/>
  <c r="A459" i="5"/>
  <c r="T458" i="5"/>
  <c r="S458" i="5"/>
  <c r="R458" i="5"/>
  <c r="Q458" i="5"/>
  <c r="P458" i="5"/>
  <c r="O458" i="5"/>
  <c r="N458" i="5"/>
  <c r="M458" i="5"/>
  <c r="L458" i="5"/>
  <c r="K458" i="5"/>
  <c r="J458" i="5"/>
  <c r="I458" i="5"/>
  <c r="H458" i="5"/>
  <c r="G458" i="5"/>
  <c r="F458" i="5"/>
  <c r="E458" i="5"/>
  <c r="D458" i="5"/>
  <c r="C458" i="5"/>
  <c r="B458" i="5"/>
  <c r="A458" i="5"/>
  <c r="T457" i="5"/>
  <c r="S457" i="5"/>
  <c r="R457" i="5"/>
  <c r="Q457" i="5"/>
  <c r="P457" i="5"/>
  <c r="O457" i="5"/>
  <c r="N457" i="5"/>
  <c r="M457" i="5"/>
  <c r="L457" i="5"/>
  <c r="K457" i="5"/>
  <c r="J457" i="5"/>
  <c r="I457" i="5"/>
  <c r="H457" i="5"/>
  <c r="G457" i="5"/>
  <c r="F457" i="5"/>
  <c r="E457" i="5"/>
  <c r="D457" i="5"/>
  <c r="C457" i="5"/>
  <c r="B457" i="5"/>
  <c r="A457" i="5"/>
  <c r="T456" i="5"/>
  <c r="S456" i="5"/>
  <c r="R456" i="5"/>
  <c r="Q456" i="5"/>
  <c r="P456" i="5"/>
  <c r="O456" i="5"/>
  <c r="N456" i="5"/>
  <c r="M456" i="5"/>
  <c r="L456" i="5"/>
  <c r="K456" i="5"/>
  <c r="J456" i="5"/>
  <c r="I456" i="5"/>
  <c r="H456" i="5"/>
  <c r="G456" i="5"/>
  <c r="F456" i="5"/>
  <c r="E456" i="5"/>
  <c r="D456" i="5"/>
  <c r="C456" i="5"/>
  <c r="B456" i="5"/>
  <c r="A456" i="5"/>
  <c r="T455" i="5"/>
  <c r="S455" i="5"/>
  <c r="R455" i="5"/>
  <c r="Q455" i="5"/>
  <c r="P455" i="5"/>
  <c r="O455" i="5"/>
  <c r="N455" i="5"/>
  <c r="M455" i="5"/>
  <c r="L455" i="5"/>
  <c r="K455" i="5"/>
  <c r="J455" i="5"/>
  <c r="I455" i="5"/>
  <c r="H455" i="5"/>
  <c r="G455" i="5"/>
  <c r="F455" i="5"/>
  <c r="E455" i="5"/>
  <c r="D455" i="5"/>
  <c r="C455" i="5"/>
  <c r="B455" i="5"/>
  <c r="A455" i="5"/>
  <c r="T454" i="5"/>
  <c r="S454" i="5"/>
  <c r="R454" i="5"/>
  <c r="Q454" i="5"/>
  <c r="P454" i="5"/>
  <c r="O454" i="5"/>
  <c r="N454" i="5"/>
  <c r="M454" i="5"/>
  <c r="L454" i="5"/>
  <c r="K454" i="5"/>
  <c r="J454" i="5"/>
  <c r="I454" i="5"/>
  <c r="H454" i="5"/>
  <c r="G454" i="5"/>
  <c r="F454" i="5"/>
  <c r="E454" i="5"/>
  <c r="D454" i="5"/>
  <c r="C454" i="5"/>
  <c r="B454" i="5"/>
  <c r="A454" i="5"/>
  <c r="T453" i="5"/>
  <c r="S453" i="5"/>
  <c r="R453" i="5"/>
  <c r="Q453" i="5"/>
  <c r="P453" i="5"/>
  <c r="O453" i="5"/>
  <c r="N453" i="5"/>
  <c r="M453" i="5"/>
  <c r="L453" i="5"/>
  <c r="K453" i="5"/>
  <c r="J453" i="5"/>
  <c r="I453" i="5"/>
  <c r="H453" i="5"/>
  <c r="G453" i="5"/>
  <c r="F453" i="5"/>
  <c r="E453" i="5"/>
  <c r="D453" i="5"/>
  <c r="C453" i="5"/>
  <c r="B453" i="5"/>
  <c r="A453" i="5"/>
  <c r="T452" i="5"/>
  <c r="S452" i="5"/>
  <c r="R452" i="5"/>
  <c r="Q452" i="5"/>
  <c r="P452" i="5"/>
  <c r="O452" i="5"/>
  <c r="N452" i="5"/>
  <c r="M452" i="5"/>
  <c r="L452" i="5"/>
  <c r="K452" i="5"/>
  <c r="J452" i="5"/>
  <c r="I452" i="5"/>
  <c r="H452" i="5"/>
  <c r="G452" i="5"/>
  <c r="F452" i="5"/>
  <c r="E452" i="5"/>
  <c r="D452" i="5"/>
  <c r="C452" i="5"/>
  <c r="B452" i="5"/>
  <c r="A452" i="5"/>
  <c r="T451" i="5"/>
  <c r="S451" i="5"/>
  <c r="R451" i="5"/>
  <c r="Q451" i="5"/>
  <c r="P451" i="5"/>
  <c r="O451" i="5"/>
  <c r="N451" i="5"/>
  <c r="M451" i="5"/>
  <c r="L451" i="5"/>
  <c r="K451" i="5"/>
  <c r="J451" i="5"/>
  <c r="I451" i="5"/>
  <c r="H451" i="5"/>
  <c r="G451" i="5"/>
  <c r="F451" i="5"/>
  <c r="E451" i="5"/>
  <c r="D451" i="5"/>
  <c r="C451" i="5"/>
  <c r="B451" i="5"/>
  <c r="A451" i="5"/>
  <c r="T450" i="5"/>
  <c r="S450" i="5"/>
  <c r="R450" i="5"/>
  <c r="Q450" i="5"/>
  <c r="P450" i="5"/>
  <c r="O450" i="5"/>
  <c r="N450" i="5"/>
  <c r="M450" i="5"/>
  <c r="L450" i="5"/>
  <c r="K450" i="5"/>
  <c r="J450" i="5"/>
  <c r="I450" i="5"/>
  <c r="H450" i="5"/>
  <c r="G450" i="5"/>
  <c r="F450" i="5"/>
  <c r="E450" i="5"/>
  <c r="D450" i="5"/>
  <c r="C450" i="5"/>
  <c r="B450" i="5"/>
  <c r="A450" i="5"/>
  <c r="T449" i="5"/>
  <c r="S449" i="5"/>
  <c r="R449" i="5"/>
  <c r="Q449" i="5"/>
  <c r="P449" i="5"/>
  <c r="O449" i="5"/>
  <c r="N449" i="5"/>
  <c r="M449" i="5"/>
  <c r="L449" i="5"/>
  <c r="K449" i="5"/>
  <c r="J449" i="5"/>
  <c r="I449" i="5"/>
  <c r="H449" i="5"/>
  <c r="G449" i="5"/>
  <c r="F449" i="5"/>
  <c r="E449" i="5"/>
  <c r="D449" i="5"/>
  <c r="C449" i="5"/>
  <c r="B449" i="5"/>
  <c r="A449" i="5"/>
  <c r="T448" i="5"/>
  <c r="S448" i="5"/>
  <c r="R448" i="5"/>
  <c r="Q448" i="5"/>
  <c r="P448" i="5"/>
  <c r="O448" i="5"/>
  <c r="N448" i="5"/>
  <c r="M448" i="5"/>
  <c r="L448" i="5"/>
  <c r="K448" i="5"/>
  <c r="J448" i="5"/>
  <c r="I448" i="5"/>
  <c r="H448" i="5"/>
  <c r="G448" i="5"/>
  <c r="F448" i="5"/>
  <c r="E448" i="5"/>
  <c r="D448" i="5"/>
  <c r="C448" i="5"/>
  <c r="B448" i="5"/>
  <c r="A448" i="5"/>
  <c r="T447" i="5"/>
  <c r="S447" i="5"/>
  <c r="R447" i="5"/>
  <c r="Q447" i="5"/>
  <c r="P447" i="5"/>
  <c r="O447" i="5"/>
  <c r="N447" i="5"/>
  <c r="M447" i="5"/>
  <c r="L447" i="5"/>
  <c r="K447" i="5"/>
  <c r="J447" i="5"/>
  <c r="I447" i="5"/>
  <c r="H447" i="5"/>
  <c r="G447" i="5"/>
  <c r="F447" i="5"/>
  <c r="E447" i="5"/>
  <c r="D447" i="5"/>
  <c r="C447" i="5"/>
  <c r="B447" i="5"/>
  <c r="A447" i="5"/>
  <c r="T446" i="5"/>
  <c r="S446" i="5"/>
  <c r="R446" i="5"/>
  <c r="Q446" i="5"/>
  <c r="P446" i="5"/>
  <c r="O446" i="5"/>
  <c r="N446" i="5"/>
  <c r="M446" i="5"/>
  <c r="L446" i="5"/>
  <c r="K446" i="5"/>
  <c r="J446" i="5"/>
  <c r="I446" i="5"/>
  <c r="H446" i="5"/>
  <c r="G446" i="5"/>
  <c r="F446" i="5"/>
  <c r="E446" i="5"/>
  <c r="D446" i="5"/>
  <c r="C446" i="5"/>
  <c r="B446" i="5"/>
  <c r="A446" i="5"/>
  <c r="T445" i="5"/>
  <c r="S445" i="5"/>
  <c r="R445" i="5"/>
  <c r="Q445" i="5"/>
  <c r="P445" i="5"/>
  <c r="O445" i="5"/>
  <c r="N445" i="5"/>
  <c r="M445" i="5"/>
  <c r="L445" i="5"/>
  <c r="K445" i="5"/>
  <c r="J445" i="5"/>
  <c r="I445" i="5"/>
  <c r="H445" i="5"/>
  <c r="G445" i="5"/>
  <c r="F445" i="5"/>
  <c r="E445" i="5"/>
  <c r="D445" i="5"/>
  <c r="C445" i="5"/>
  <c r="B445" i="5"/>
  <c r="A445" i="5"/>
  <c r="T444" i="5"/>
  <c r="S444" i="5"/>
  <c r="R444" i="5"/>
  <c r="Q444" i="5"/>
  <c r="P444" i="5"/>
  <c r="O444" i="5"/>
  <c r="N444" i="5"/>
  <c r="M444" i="5"/>
  <c r="L444" i="5"/>
  <c r="K444" i="5"/>
  <c r="J444" i="5"/>
  <c r="I444" i="5"/>
  <c r="H444" i="5"/>
  <c r="G444" i="5"/>
  <c r="F444" i="5"/>
  <c r="E444" i="5"/>
  <c r="D444" i="5"/>
  <c r="C444" i="5"/>
  <c r="B444" i="5"/>
  <c r="A444" i="5"/>
  <c r="T443" i="5"/>
  <c r="S443" i="5"/>
  <c r="R443" i="5"/>
  <c r="Q443" i="5"/>
  <c r="P443" i="5"/>
  <c r="O443" i="5"/>
  <c r="N443" i="5"/>
  <c r="M443" i="5"/>
  <c r="L443" i="5"/>
  <c r="K443" i="5"/>
  <c r="J443" i="5"/>
  <c r="I443" i="5"/>
  <c r="H443" i="5"/>
  <c r="G443" i="5"/>
  <c r="F443" i="5"/>
  <c r="E443" i="5"/>
  <c r="D443" i="5"/>
  <c r="C443" i="5"/>
  <c r="B443" i="5"/>
  <c r="A443" i="5"/>
  <c r="T442" i="5"/>
  <c r="S442" i="5"/>
  <c r="R442" i="5"/>
  <c r="Q442" i="5"/>
  <c r="P442" i="5"/>
  <c r="O442" i="5"/>
  <c r="N442" i="5"/>
  <c r="M442" i="5"/>
  <c r="L442" i="5"/>
  <c r="K442" i="5"/>
  <c r="J442" i="5"/>
  <c r="I442" i="5"/>
  <c r="H442" i="5"/>
  <c r="G442" i="5"/>
  <c r="F442" i="5"/>
  <c r="E442" i="5"/>
  <c r="D442" i="5"/>
  <c r="C442" i="5"/>
  <c r="B442" i="5"/>
  <c r="A442" i="5"/>
  <c r="T441" i="5"/>
  <c r="S441" i="5"/>
  <c r="R441" i="5"/>
  <c r="Q441" i="5"/>
  <c r="P441" i="5"/>
  <c r="O441" i="5"/>
  <c r="N441" i="5"/>
  <c r="M441" i="5"/>
  <c r="L441" i="5"/>
  <c r="K441" i="5"/>
  <c r="J441" i="5"/>
  <c r="I441" i="5"/>
  <c r="H441" i="5"/>
  <c r="G441" i="5"/>
  <c r="F441" i="5"/>
  <c r="E441" i="5"/>
  <c r="D441" i="5"/>
  <c r="C441" i="5"/>
  <c r="B441" i="5"/>
  <c r="A441" i="5"/>
  <c r="T440" i="5"/>
  <c r="S440" i="5"/>
  <c r="R440" i="5"/>
  <c r="Q440" i="5"/>
  <c r="P440" i="5"/>
  <c r="O440" i="5"/>
  <c r="N440" i="5"/>
  <c r="M440" i="5"/>
  <c r="L440" i="5"/>
  <c r="K440" i="5"/>
  <c r="J440" i="5"/>
  <c r="I440" i="5"/>
  <c r="H440" i="5"/>
  <c r="G440" i="5"/>
  <c r="F440" i="5"/>
  <c r="E440" i="5"/>
  <c r="D440" i="5"/>
  <c r="C440" i="5"/>
  <c r="B440" i="5"/>
  <c r="A440" i="5"/>
  <c r="T439" i="5"/>
  <c r="S439" i="5"/>
  <c r="R439" i="5"/>
  <c r="Q439" i="5"/>
  <c r="P439" i="5"/>
  <c r="O439" i="5"/>
  <c r="N439" i="5"/>
  <c r="M439" i="5"/>
  <c r="L439" i="5"/>
  <c r="K439" i="5"/>
  <c r="J439" i="5"/>
  <c r="I439" i="5"/>
  <c r="H439" i="5"/>
  <c r="G439" i="5"/>
  <c r="F439" i="5"/>
  <c r="E439" i="5"/>
  <c r="D439" i="5"/>
  <c r="C439" i="5"/>
  <c r="B439" i="5"/>
  <c r="A439" i="5"/>
  <c r="T438" i="5"/>
  <c r="S438" i="5"/>
  <c r="R438" i="5"/>
  <c r="Q438" i="5"/>
  <c r="P438" i="5"/>
  <c r="O438" i="5"/>
  <c r="N438" i="5"/>
  <c r="M438" i="5"/>
  <c r="L438" i="5"/>
  <c r="K438" i="5"/>
  <c r="J438" i="5"/>
  <c r="I438" i="5"/>
  <c r="H438" i="5"/>
  <c r="G438" i="5"/>
  <c r="F438" i="5"/>
  <c r="E438" i="5"/>
  <c r="D438" i="5"/>
  <c r="C438" i="5"/>
  <c r="B438" i="5"/>
  <c r="A438" i="5"/>
  <c r="T437" i="5"/>
  <c r="S437" i="5"/>
  <c r="R437" i="5"/>
  <c r="Q437" i="5"/>
  <c r="P437" i="5"/>
  <c r="O437" i="5"/>
  <c r="N437" i="5"/>
  <c r="M437" i="5"/>
  <c r="L437" i="5"/>
  <c r="K437" i="5"/>
  <c r="J437" i="5"/>
  <c r="I437" i="5"/>
  <c r="H437" i="5"/>
  <c r="G437" i="5"/>
  <c r="F437" i="5"/>
  <c r="E437" i="5"/>
  <c r="D437" i="5"/>
  <c r="C437" i="5"/>
  <c r="B437" i="5"/>
  <c r="A437" i="5"/>
  <c r="T436" i="5"/>
  <c r="S436" i="5"/>
  <c r="R436" i="5"/>
  <c r="Q436" i="5"/>
  <c r="P436" i="5"/>
  <c r="O436" i="5"/>
  <c r="N436" i="5"/>
  <c r="M436" i="5"/>
  <c r="L436" i="5"/>
  <c r="K436" i="5"/>
  <c r="J436" i="5"/>
  <c r="I436" i="5"/>
  <c r="H436" i="5"/>
  <c r="G436" i="5"/>
  <c r="F436" i="5"/>
  <c r="E436" i="5"/>
  <c r="D436" i="5"/>
  <c r="C436" i="5"/>
  <c r="B436" i="5"/>
  <c r="A436" i="5"/>
  <c r="T435" i="5"/>
  <c r="S435" i="5"/>
  <c r="R435" i="5"/>
  <c r="Q435" i="5"/>
  <c r="P435" i="5"/>
  <c r="O435" i="5"/>
  <c r="N435" i="5"/>
  <c r="M435" i="5"/>
  <c r="L435" i="5"/>
  <c r="K435" i="5"/>
  <c r="J435" i="5"/>
  <c r="I435" i="5"/>
  <c r="H435" i="5"/>
  <c r="G435" i="5"/>
  <c r="F435" i="5"/>
  <c r="E435" i="5"/>
  <c r="D435" i="5"/>
  <c r="C435" i="5"/>
  <c r="B435" i="5"/>
  <c r="A435" i="5"/>
  <c r="T434" i="5"/>
  <c r="S434" i="5"/>
  <c r="R434" i="5"/>
  <c r="Q434" i="5"/>
  <c r="P434" i="5"/>
  <c r="O434" i="5"/>
  <c r="N434" i="5"/>
  <c r="M434" i="5"/>
  <c r="L434" i="5"/>
  <c r="K434" i="5"/>
  <c r="J434" i="5"/>
  <c r="I434" i="5"/>
  <c r="H434" i="5"/>
  <c r="G434" i="5"/>
  <c r="F434" i="5"/>
  <c r="E434" i="5"/>
  <c r="D434" i="5"/>
  <c r="C434" i="5"/>
  <c r="B434" i="5"/>
  <c r="A434" i="5"/>
  <c r="T433" i="5"/>
  <c r="S433" i="5"/>
  <c r="R433" i="5"/>
  <c r="Q433" i="5"/>
  <c r="P433" i="5"/>
  <c r="O433" i="5"/>
  <c r="N433" i="5"/>
  <c r="M433" i="5"/>
  <c r="L433" i="5"/>
  <c r="K433" i="5"/>
  <c r="J433" i="5"/>
  <c r="I433" i="5"/>
  <c r="H433" i="5"/>
  <c r="G433" i="5"/>
  <c r="F433" i="5"/>
  <c r="E433" i="5"/>
  <c r="D433" i="5"/>
  <c r="C433" i="5"/>
  <c r="B433" i="5"/>
  <c r="A433" i="5"/>
  <c r="T432" i="5"/>
  <c r="S432" i="5"/>
  <c r="R432" i="5"/>
  <c r="Q432" i="5"/>
  <c r="P432" i="5"/>
  <c r="O432" i="5"/>
  <c r="N432" i="5"/>
  <c r="M432" i="5"/>
  <c r="L432" i="5"/>
  <c r="K432" i="5"/>
  <c r="J432" i="5"/>
  <c r="I432" i="5"/>
  <c r="H432" i="5"/>
  <c r="G432" i="5"/>
  <c r="F432" i="5"/>
  <c r="E432" i="5"/>
  <c r="D432" i="5"/>
  <c r="C432" i="5"/>
  <c r="B432" i="5"/>
  <c r="A432" i="5"/>
  <c r="T431" i="5"/>
  <c r="S431" i="5"/>
  <c r="R431" i="5"/>
  <c r="Q431" i="5"/>
  <c r="P431" i="5"/>
  <c r="O431" i="5"/>
  <c r="N431" i="5"/>
  <c r="M431" i="5"/>
  <c r="L431" i="5"/>
  <c r="K431" i="5"/>
  <c r="J431" i="5"/>
  <c r="I431" i="5"/>
  <c r="H431" i="5"/>
  <c r="G431" i="5"/>
  <c r="F431" i="5"/>
  <c r="E431" i="5"/>
  <c r="D431" i="5"/>
  <c r="C431" i="5"/>
  <c r="B431" i="5"/>
  <c r="A431" i="5"/>
  <c r="T430" i="5"/>
  <c r="S430" i="5"/>
  <c r="R430" i="5"/>
  <c r="Q430" i="5"/>
  <c r="P430" i="5"/>
  <c r="O430" i="5"/>
  <c r="N430" i="5"/>
  <c r="M430" i="5"/>
  <c r="L430" i="5"/>
  <c r="K430" i="5"/>
  <c r="J430" i="5"/>
  <c r="I430" i="5"/>
  <c r="H430" i="5"/>
  <c r="G430" i="5"/>
  <c r="F430" i="5"/>
  <c r="E430" i="5"/>
  <c r="D430" i="5"/>
  <c r="C430" i="5"/>
  <c r="B430" i="5"/>
  <c r="A430" i="5"/>
  <c r="T429" i="5"/>
  <c r="S429" i="5"/>
  <c r="R429" i="5"/>
  <c r="Q429" i="5"/>
  <c r="P429" i="5"/>
  <c r="O429" i="5"/>
  <c r="N429" i="5"/>
  <c r="M429" i="5"/>
  <c r="L429" i="5"/>
  <c r="K429" i="5"/>
  <c r="J429" i="5"/>
  <c r="I429" i="5"/>
  <c r="H429" i="5"/>
  <c r="G429" i="5"/>
  <c r="F429" i="5"/>
  <c r="E429" i="5"/>
  <c r="D429" i="5"/>
  <c r="C429" i="5"/>
  <c r="B429" i="5"/>
  <c r="A429" i="5"/>
  <c r="T428" i="5"/>
  <c r="S428" i="5"/>
  <c r="R428" i="5"/>
  <c r="Q428" i="5"/>
  <c r="P428" i="5"/>
  <c r="O428" i="5"/>
  <c r="N428" i="5"/>
  <c r="M428" i="5"/>
  <c r="L428" i="5"/>
  <c r="K428" i="5"/>
  <c r="J428" i="5"/>
  <c r="I428" i="5"/>
  <c r="H428" i="5"/>
  <c r="G428" i="5"/>
  <c r="F428" i="5"/>
  <c r="E428" i="5"/>
  <c r="D428" i="5"/>
  <c r="C428" i="5"/>
  <c r="B428" i="5"/>
  <c r="A428" i="5"/>
  <c r="T427" i="5"/>
  <c r="S427" i="5"/>
  <c r="R427" i="5"/>
  <c r="Q427" i="5"/>
  <c r="P427" i="5"/>
  <c r="O427" i="5"/>
  <c r="N427" i="5"/>
  <c r="M427" i="5"/>
  <c r="L427" i="5"/>
  <c r="K427" i="5"/>
  <c r="J427" i="5"/>
  <c r="I427" i="5"/>
  <c r="H427" i="5"/>
  <c r="G427" i="5"/>
  <c r="F427" i="5"/>
  <c r="E427" i="5"/>
  <c r="D427" i="5"/>
  <c r="C427" i="5"/>
  <c r="B427" i="5"/>
  <c r="A427" i="5"/>
  <c r="T426" i="5"/>
  <c r="S426" i="5"/>
  <c r="R426" i="5"/>
  <c r="Q426" i="5"/>
  <c r="P426" i="5"/>
  <c r="O426" i="5"/>
  <c r="N426" i="5"/>
  <c r="M426" i="5"/>
  <c r="L426" i="5"/>
  <c r="K426" i="5"/>
  <c r="J426" i="5"/>
  <c r="I426" i="5"/>
  <c r="H426" i="5"/>
  <c r="G426" i="5"/>
  <c r="F426" i="5"/>
  <c r="E426" i="5"/>
  <c r="D426" i="5"/>
  <c r="C426" i="5"/>
  <c r="B426" i="5"/>
  <c r="A426" i="5"/>
  <c r="T425" i="5"/>
  <c r="S425" i="5"/>
  <c r="R425" i="5"/>
  <c r="Q425" i="5"/>
  <c r="P425" i="5"/>
  <c r="O425" i="5"/>
  <c r="N425" i="5"/>
  <c r="M425" i="5"/>
  <c r="L425" i="5"/>
  <c r="K425" i="5"/>
  <c r="J425" i="5"/>
  <c r="I425" i="5"/>
  <c r="H425" i="5"/>
  <c r="G425" i="5"/>
  <c r="F425" i="5"/>
  <c r="E425" i="5"/>
  <c r="D425" i="5"/>
  <c r="C425" i="5"/>
  <c r="B425" i="5"/>
  <c r="A425" i="5"/>
  <c r="T424" i="5"/>
  <c r="S424" i="5"/>
  <c r="R424" i="5"/>
  <c r="Q424" i="5"/>
  <c r="P424" i="5"/>
  <c r="O424" i="5"/>
  <c r="N424" i="5"/>
  <c r="M424" i="5"/>
  <c r="L424" i="5"/>
  <c r="K424" i="5"/>
  <c r="J424" i="5"/>
  <c r="I424" i="5"/>
  <c r="H424" i="5"/>
  <c r="G424" i="5"/>
  <c r="F424" i="5"/>
  <c r="E424" i="5"/>
  <c r="D424" i="5"/>
  <c r="C424" i="5"/>
  <c r="B424" i="5"/>
  <c r="A424" i="5"/>
  <c r="T423" i="5"/>
  <c r="S423" i="5"/>
  <c r="R423" i="5"/>
  <c r="Q423" i="5"/>
  <c r="P423" i="5"/>
  <c r="O423" i="5"/>
  <c r="N423" i="5"/>
  <c r="M423" i="5"/>
  <c r="L423" i="5"/>
  <c r="K423" i="5"/>
  <c r="J423" i="5"/>
  <c r="I423" i="5"/>
  <c r="H423" i="5"/>
  <c r="G423" i="5"/>
  <c r="F423" i="5"/>
  <c r="E423" i="5"/>
  <c r="D423" i="5"/>
  <c r="C423" i="5"/>
  <c r="B423" i="5"/>
  <c r="A423" i="5"/>
  <c r="T422" i="5"/>
  <c r="S422" i="5"/>
  <c r="R422" i="5"/>
  <c r="Q422" i="5"/>
  <c r="P422" i="5"/>
  <c r="O422" i="5"/>
  <c r="N422" i="5"/>
  <c r="M422" i="5"/>
  <c r="L422" i="5"/>
  <c r="K422" i="5"/>
  <c r="J422" i="5"/>
  <c r="I422" i="5"/>
  <c r="H422" i="5"/>
  <c r="G422" i="5"/>
  <c r="F422" i="5"/>
  <c r="E422" i="5"/>
  <c r="D422" i="5"/>
  <c r="C422" i="5"/>
  <c r="B422" i="5"/>
  <c r="A422" i="5"/>
  <c r="T421" i="5"/>
  <c r="S421" i="5"/>
  <c r="R421" i="5"/>
  <c r="Q421" i="5"/>
  <c r="P421" i="5"/>
  <c r="O421" i="5"/>
  <c r="N421" i="5"/>
  <c r="M421" i="5"/>
  <c r="L421" i="5"/>
  <c r="K421" i="5"/>
  <c r="J421" i="5"/>
  <c r="I421" i="5"/>
  <c r="H421" i="5"/>
  <c r="G421" i="5"/>
  <c r="F421" i="5"/>
  <c r="E421" i="5"/>
  <c r="D421" i="5"/>
  <c r="C421" i="5"/>
  <c r="B421" i="5"/>
  <c r="A421" i="5"/>
  <c r="T420" i="5"/>
  <c r="S420" i="5"/>
  <c r="R420" i="5"/>
  <c r="Q420" i="5"/>
  <c r="P420" i="5"/>
  <c r="O420" i="5"/>
  <c r="N420" i="5"/>
  <c r="M420" i="5"/>
  <c r="L420" i="5"/>
  <c r="K420" i="5"/>
  <c r="J420" i="5"/>
  <c r="I420" i="5"/>
  <c r="H420" i="5"/>
  <c r="G420" i="5"/>
  <c r="F420" i="5"/>
  <c r="E420" i="5"/>
  <c r="D420" i="5"/>
  <c r="C420" i="5"/>
  <c r="B420" i="5"/>
  <c r="A420" i="5"/>
  <c r="T419" i="5"/>
  <c r="S419" i="5"/>
  <c r="R419" i="5"/>
  <c r="Q419" i="5"/>
  <c r="P419" i="5"/>
  <c r="O419" i="5"/>
  <c r="N419" i="5"/>
  <c r="M419" i="5"/>
  <c r="L419" i="5"/>
  <c r="K419" i="5"/>
  <c r="J419" i="5"/>
  <c r="I419" i="5"/>
  <c r="H419" i="5"/>
  <c r="G419" i="5"/>
  <c r="F419" i="5"/>
  <c r="E419" i="5"/>
  <c r="D419" i="5"/>
  <c r="C419" i="5"/>
  <c r="B419" i="5"/>
  <c r="A419" i="5"/>
  <c r="T418" i="5"/>
  <c r="S418" i="5"/>
  <c r="R418" i="5"/>
  <c r="Q418" i="5"/>
  <c r="P418" i="5"/>
  <c r="O418" i="5"/>
  <c r="N418" i="5"/>
  <c r="M418" i="5"/>
  <c r="L418" i="5"/>
  <c r="K418" i="5"/>
  <c r="J418" i="5"/>
  <c r="I418" i="5"/>
  <c r="H418" i="5"/>
  <c r="G418" i="5"/>
  <c r="F418" i="5"/>
  <c r="E418" i="5"/>
  <c r="D418" i="5"/>
  <c r="C418" i="5"/>
  <c r="B418" i="5"/>
  <c r="A418" i="5"/>
  <c r="T417" i="5"/>
  <c r="S417" i="5"/>
  <c r="R417" i="5"/>
  <c r="Q417" i="5"/>
  <c r="P417" i="5"/>
  <c r="O417" i="5"/>
  <c r="N417" i="5"/>
  <c r="M417" i="5"/>
  <c r="L417" i="5"/>
  <c r="K417" i="5"/>
  <c r="J417" i="5"/>
  <c r="I417" i="5"/>
  <c r="H417" i="5"/>
  <c r="G417" i="5"/>
  <c r="F417" i="5"/>
  <c r="E417" i="5"/>
  <c r="D417" i="5"/>
  <c r="C417" i="5"/>
  <c r="B417" i="5"/>
  <c r="A417" i="5"/>
  <c r="T416" i="5"/>
  <c r="S416" i="5"/>
  <c r="R416" i="5"/>
  <c r="Q416" i="5"/>
  <c r="P416" i="5"/>
  <c r="O416" i="5"/>
  <c r="N416" i="5"/>
  <c r="M416" i="5"/>
  <c r="L416" i="5"/>
  <c r="K416" i="5"/>
  <c r="J416" i="5"/>
  <c r="I416" i="5"/>
  <c r="H416" i="5"/>
  <c r="G416" i="5"/>
  <c r="F416" i="5"/>
  <c r="E416" i="5"/>
  <c r="D416" i="5"/>
  <c r="C416" i="5"/>
  <c r="B416" i="5"/>
  <c r="A416" i="5"/>
  <c r="T415" i="5"/>
  <c r="S415" i="5"/>
  <c r="R415" i="5"/>
  <c r="Q415" i="5"/>
  <c r="P415" i="5"/>
  <c r="O415" i="5"/>
  <c r="N415" i="5"/>
  <c r="M415" i="5"/>
  <c r="L415" i="5"/>
  <c r="K415" i="5"/>
  <c r="J415" i="5"/>
  <c r="I415" i="5"/>
  <c r="H415" i="5"/>
  <c r="G415" i="5"/>
  <c r="F415" i="5"/>
  <c r="E415" i="5"/>
  <c r="D415" i="5"/>
  <c r="C415" i="5"/>
  <c r="B415" i="5"/>
  <c r="A415" i="5"/>
  <c r="T414" i="5"/>
  <c r="S414" i="5"/>
  <c r="R414" i="5"/>
  <c r="Q414" i="5"/>
  <c r="P414" i="5"/>
  <c r="O414" i="5"/>
  <c r="N414" i="5"/>
  <c r="M414" i="5"/>
  <c r="L414" i="5"/>
  <c r="K414" i="5"/>
  <c r="J414" i="5"/>
  <c r="I414" i="5"/>
  <c r="H414" i="5"/>
  <c r="G414" i="5"/>
  <c r="F414" i="5"/>
  <c r="E414" i="5"/>
  <c r="D414" i="5"/>
  <c r="C414" i="5"/>
  <c r="B414" i="5"/>
  <c r="A414" i="5"/>
  <c r="T413" i="5"/>
  <c r="S413" i="5"/>
  <c r="R413" i="5"/>
  <c r="Q413" i="5"/>
  <c r="P413" i="5"/>
  <c r="O413" i="5"/>
  <c r="N413" i="5"/>
  <c r="M413" i="5"/>
  <c r="L413" i="5"/>
  <c r="K413" i="5"/>
  <c r="J413" i="5"/>
  <c r="I413" i="5"/>
  <c r="H413" i="5"/>
  <c r="G413" i="5"/>
  <c r="F413" i="5"/>
  <c r="E413" i="5"/>
  <c r="D413" i="5"/>
  <c r="C413" i="5"/>
  <c r="B413" i="5"/>
  <c r="A413" i="5"/>
  <c r="T412" i="5"/>
  <c r="S412" i="5"/>
  <c r="R412" i="5"/>
  <c r="Q412" i="5"/>
  <c r="P412" i="5"/>
  <c r="O412" i="5"/>
  <c r="N412" i="5"/>
  <c r="M412" i="5"/>
  <c r="L412" i="5"/>
  <c r="K412" i="5"/>
  <c r="J412" i="5"/>
  <c r="I412" i="5"/>
  <c r="H412" i="5"/>
  <c r="G412" i="5"/>
  <c r="F412" i="5"/>
  <c r="E412" i="5"/>
  <c r="D412" i="5"/>
  <c r="C412" i="5"/>
  <c r="B412" i="5"/>
  <c r="A412" i="5"/>
  <c r="T411" i="5"/>
  <c r="S411" i="5"/>
  <c r="R411" i="5"/>
  <c r="Q411" i="5"/>
  <c r="P411" i="5"/>
  <c r="O411" i="5"/>
  <c r="N411" i="5"/>
  <c r="M411" i="5"/>
  <c r="L411" i="5"/>
  <c r="K411" i="5"/>
  <c r="J411" i="5"/>
  <c r="I411" i="5"/>
  <c r="H411" i="5"/>
  <c r="G411" i="5"/>
  <c r="F411" i="5"/>
  <c r="E411" i="5"/>
  <c r="D411" i="5"/>
  <c r="C411" i="5"/>
  <c r="B411" i="5"/>
  <c r="A411" i="5"/>
  <c r="T410" i="5"/>
  <c r="S410" i="5"/>
  <c r="R410" i="5"/>
  <c r="Q410" i="5"/>
  <c r="P410" i="5"/>
  <c r="O410" i="5"/>
  <c r="N410" i="5"/>
  <c r="M410" i="5"/>
  <c r="L410" i="5"/>
  <c r="K410" i="5"/>
  <c r="J410" i="5"/>
  <c r="I410" i="5"/>
  <c r="H410" i="5"/>
  <c r="G410" i="5"/>
  <c r="F410" i="5"/>
  <c r="E410" i="5"/>
  <c r="D410" i="5"/>
  <c r="C410" i="5"/>
  <c r="B410" i="5"/>
  <c r="A410" i="5"/>
  <c r="T409" i="5"/>
  <c r="S409" i="5"/>
  <c r="R409" i="5"/>
  <c r="Q409" i="5"/>
  <c r="P409" i="5"/>
  <c r="O409" i="5"/>
  <c r="N409" i="5"/>
  <c r="M409" i="5"/>
  <c r="L409" i="5"/>
  <c r="K409" i="5"/>
  <c r="J409" i="5"/>
  <c r="I409" i="5"/>
  <c r="H409" i="5"/>
  <c r="G409" i="5"/>
  <c r="F409" i="5"/>
  <c r="E409" i="5"/>
  <c r="D409" i="5"/>
  <c r="C409" i="5"/>
  <c r="B409" i="5"/>
  <c r="A409" i="5"/>
  <c r="T408" i="5"/>
  <c r="S408" i="5"/>
  <c r="R408" i="5"/>
  <c r="Q408" i="5"/>
  <c r="P408" i="5"/>
  <c r="O408" i="5"/>
  <c r="N408" i="5"/>
  <c r="M408" i="5"/>
  <c r="L408" i="5"/>
  <c r="K408" i="5"/>
  <c r="J408" i="5"/>
  <c r="I408" i="5"/>
  <c r="H408" i="5"/>
  <c r="G408" i="5"/>
  <c r="F408" i="5"/>
  <c r="E408" i="5"/>
  <c r="D408" i="5"/>
  <c r="C408" i="5"/>
  <c r="B408" i="5"/>
  <c r="A408" i="5"/>
  <c r="T407" i="5"/>
  <c r="S407" i="5"/>
  <c r="R407" i="5"/>
  <c r="Q407" i="5"/>
  <c r="P407" i="5"/>
  <c r="O407" i="5"/>
  <c r="N407" i="5"/>
  <c r="M407" i="5"/>
  <c r="L407" i="5"/>
  <c r="K407" i="5"/>
  <c r="J407" i="5"/>
  <c r="I407" i="5"/>
  <c r="H407" i="5"/>
  <c r="G407" i="5"/>
  <c r="F407" i="5"/>
  <c r="E407" i="5"/>
  <c r="D407" i="5"/>
  <c r="C407" i="5"/>
  <c r="B407" i="5"/>
  <c r="A407" i="5"/>
  <c r="T406" i="5"/>
  <c r="S406" i="5"/>
  <c r="R406" i="5"/>
  <c r="Q406" i="5"/>
  <c r="P406" i="5"/>
  <c r="O406" i="5"/>
  <c r="N406" i="5"/>
  <c r="M406" i="5"/>
  <c r="L406" i="5"/>
  <c r="K406" i="5"/>
  <c r="J406" i="5"/>
  <c r="I406" i="5"/>
  <c r="H406" i="5"/>
  <c r="G406" i="5"/>
  <c r="F406" i="5"/>
  <c r="E406" i="5"/>
  <c r="D406" i="5"/>
  <c r="C406" i="5"/>
  <c r="B406" i="5"/>
  <c r="A406" i="5"/>
  <c r="T405" i="5"/>
  <c r="S405" i="5"/>
  <c r="R405" i="5"/>
  <c r="Q405" i="5"/>
  <c r="P405" i="5"/>
  <c r="O405" i="5"/>
  <c r="N405" i="5"/>
  <c r="M405" i="5"/>
  <c r="L405" i="5"/>
  <c r="K405" i="5"/>
  <c r="J405" i="5"/>
  <c r="I405" i="5"/>
  <c r="H405" i="5"/>
  <c r="G405" i="5"/>
  <c r="F405" i="5"/>
  <c r="E405" i="5"/>
  <c r="D405" i="5"/>
  <c r="C405" i="5"/>
  <c r="B405" i="5"/>
  <c r="A405" i="5"/>
  <c r="T404" i="5"/>
  <c r="S404" i="5"/>
  <c r="R404" i="5"/>
  <c r="Q404" i="5"/>
  <c r="P404" i="5"/>
  <c r="O404" i="5"/>
  <c r="N404" i="5"/>
  <c r="M404" i="5"/>
  <c r="L404" i="5"/>
  <c r="K404" i="5"/>
  <c r="J404" i="5"/>
  <c r="I404" i="5"/>
  <c r="H404" i="5"/>
  <c r="G404" i="5"/>
  <c r="F404" i="5"/>
  <c r="E404" i="5"/>
  <c r="D404" i="5"/>
  <c r="C404" i="5"/>
  <c r="B404" i="5"/>
  <c r="A404" i="5"/>
  <c r="T403" i="5"/>
  <c r="S403" i="5"/>
  <c r="R403" i="5"/>
  <c r="Q403" i="5"/>
  <c r="P403" i="5"/>
  <c r="O403" i="5"/>
  <c r="N403" i="5"/>
  <c r="M403" i="5"/>
  <c r="L403" i="5"/>
  <c r="K403" i="5"/>
  <c r="J403" i="5"/>
  <c r="I403" i="5"/>
  <c r="H403" i="5"/>
  <c r="G403" i="5"/>
  <c r="F403" i="5"/>
  <c r="E403" i="5"/>
  <c r="D403" i="5"/>
  <c r="C403" i="5"/>
  <c r="B403" i="5"/>
  <c r="A403" i="5"/>
  <c r="T402" i="5"/>
  <c r="S402" i="5"/>
  <c r="R402" i="5"/>
  <c r="Q402" i="5"/>
  <c r="P402" i="5"/>
  <c r="O402" i="5"/>
  <c r="N402" i="5"/>
  <c r="M402" i="5"/>
  <c r="L402" i="5"/>
  <c r="K402" i="5"/>
  <c r="J402" i="5"/>
  <c r="I402" i="5"/>
  <c r="H402" i="5"/>
  <c r="G402" i="5"/>
  <c r="F402" i="5"/>
  <c r="E402" i="5"/>
  <c r="D402" i="5"/>
  <c r="C402" i="5"/>
  <c r="B402" i="5"/>
  <c r="A402" i="5"/>
  <c r="T401" i="5"/>
  <c r="S401" i="5"/>
  <c r="R401" i="5"/>
  <c r="Q401" i="5"/>
  <c r="P401" i="5"/>
  <c r="O401" i="5"/>
  <c r="N401" i="5"/>
  <c r="M401" i="5"/>
  <c r="L401" i="5"/>
  <c r="K401" i="5"/>
  <c r="J401" i="5"/>
  <c r="I401" i="5"/>
  <c r="H401" i="5"/>
  <c r="G401" i="5"/>
  <c r="F401" i="5"/>
  <c r="E401" i="5"/>
  <c r="D401" i="5"/>
  <c r="C401" i="5"/>
  <c r="B401" i="5"/>
  <c r="A401" i="5"/>
  <c r="T400" i="5"/>
  <c r="S400" i="5"/>
  <c r="R400" i="5"/>
  <c r="Q400" i="5"/>
  <c r="P400" i="5"/>
  <c r="O400" i="5"/>
  <c r="N400" i="5"/>
  <c r="M400" i="5"/>
  <c r="L400" i="5"/>
  <c r="K400" i="5"/>
  <c r="J400" i="5"/>
  <c r="I400" i="5"/>
  <c r="H400" i="5"/>
  <c r="G400" i="5"/>
  <c r="F400" i="5"/>
  <c r="E400" i="5"/>
  <c r="D400" i="5"/>
  <c r="C400" i="5"/>
  <c r="B400" i="5"/>
  <c r="A400" i="5"/>
  <c r="T399" i="5"/>
  <c r="S399" i="5"/>
  <c r="R399" i="5"/>
  <c r="Q399" i="5"/>
  <c r="P399" i="5"/>
  <c r="O399" i="5"/>
  <c r="N399" i="5"/>
  <c r="M399" i="5"/>
  <c r="L399" i="5"/>
  <c r="K399" i="5"/>
  <c r="J399" i="5"/>
  <c r="I399" i="5"/>
  <c r="H399" i="5"/>
  <c r="G399" i="5"/>
  <c r="F399" i="5"/>
  <c r="E399" i="5"/>
  <c r="D399" i="5"/>
  <c r="C399" i="5"/>
  <c r="B399" i="5"/>
  <c r="A399" i="5"/>
  <c r="T398" i="5"/>
  <c r="S398" i="5"/>
  <c r="R398" i="5"/>
  <c r="Q398" i="5"/>
  <c r="P398" i="5"/>
  <c r="O398" i="5"/>
  <c r="N398" i="5"/>
  <c r="M398" i="5"/>
  <c r="L398" i="5"/>
  <c r="K398" i="5"/>
  <c r="J398" i="5"/>
  <c r="I398" i="5"/>
  <c r="H398" i="5"/>
  <c r="G398" i="5"/>
  <c r="F398" i="5"/>
  <c r="E398" i="5"/>
  <c r="D398" i="5"/>
  <c r="C398" i="5"/>
  <c r="B398" i="5"/>
  <c r="A398" i="5"/>
  <c r="T397" i="5"/>
  <c r="S397" i="5"/>
  <c r="R397" i="5"/>
  <c r="Q397" i="5"/>
  <c r="P397" i="5"/>
  <c r="O397" i="5"/>
  <c r="N397" i="5"/>
  <c r="M397" i="5"/>
  <c r="L397" i="5"/>
  <c r="K397" i="5"/>
  <c r="J397" i="5"/>
  <c r="I397" i="5"/>
  <c r="H397" i="5"/>
  <c r="G397" i="5"/>
  <c r="F397" i="5"/>
  <c r="E397" i="5"/>
  <c r="D397" i="5"/>
  <c r="C397" i="5"/>
  <c r="B397" i="5"/>
  <c r="A397" i="5"/>
  <c r="T396" i="5"/>
  <c r="S396" i="5"/>
  <c r="R396" i="5"/>
  <c r="Q396" i="5"/>
  <c r="P396" i="5"/>
  <c r="O396" i="5"/>
  <c r="N396" i="5"/>
  <c r="M396" i="5"/>
  <c r="L396" i="5"/>
  <c r="K396" i="5"/>
  <c r="J396" i="5"/>
  <c r="I396" i="5"/>
  <c r="H396" i="5"/>
  <c r="G396" i="5"/>
  <c r="F396" i="5"/>
  <c r="E396" i="5"/>
  <c r="D396" i="5"/>
  <c r="C396" i="5"/>
  <c r="B396" i="5"/>
  <c r="A396" i="5"/>
  <c r="T395" i="5"/>
  <c r="S395" i="5"/>
  <c r="R395" i="5"/>
  <c r="Q395" i="5"/>
  <c r="P395" i="5"/>
  <c r="O395" i="5"/>
  <c r="N395" i="5"/>
  <c r="M395" i="5"/>
  <c r="L395" i="5"/>
  <c r="K395" i="5"/>
  <c r="J395" i="5"/>
  <c r="I395" i="5"/>
  <c r="H395" i="5"/>
  <c r="G395" i="5"/>
  <c r="F395" i="5"/>
  <c r="E395" i="5"/>
  <c r="D395" i="5"/>
  <c r="C395" i="5"/>
  <c r="B395" i="5"/>
  <c r="A395" i="5"/>
  <c r="T394" i="5"/>
  <c r="S394" i="5"/>
  <c r="R394" i="5"/>
  <c r="Q394" i="5"/>
  <c r="P394" i="5"/>
  <c r="O394" i="5"/>
  <c r="N394" i="5"/>
  <c r="M394" i="5"/>
  <c r="L394" i="5"/>
  <c r="K394" i="5"/>
  <c r="J394" i="5"/>
  <c r="I394" i="5"/>
  <c r="H394" i="5"/>
  <c r="G394" i="5"/>
  <c r="F394" i="5"/>
  <c r="E394" i="5"/>
  <c r="D394" i="5"/>
  <c r="C394" i="5"/>
  <c r="B394" i="5"/>
  <c r="A394" i="5"/>
  <c r="T393" i="5"/>
  <c r="S393" i="5"/>
  <c r="R393" i="5"/>
  <c r="Q393" i="5"/>
  <c r="P393" i="5"/>
  <c r="O393" i="5"/>
  <c r="N393" i="5"/>
  <c r="M393" i="5"/>
  <c r="L393" i="5"/>
  <c r="K393" i="5"/>
  <c r="J393" i="5"/>
  <c r="I393" i="5"/>
  <c r="H393" i="5"/>
  <c r="G393" i="5"/>
  <c r="F393" i="5"/>
  <c r="E393" i="5"/>
  <c r="D393" i="5"/>
  <c r="C393" i="5"/>
  <c r="B393" i="5"/>
  <c r="A393" i="5"/>
  <c r="T392" i="5"/>
  <c r="S392" i="5"/>
  <c r="R392" i="5"/>
  <c r="Q392" i="5"/>
  <c r="P392" i="5"/>
  <c r="O392" i="5"/>
  <c r="N392" i="5"/>
  <c r="M392" i="5"/>
  <c r="L392" i="5"/>
  <c r="K392" i="5"/>
  <c r="J392" i="5"/>
  <c r="I392" i="5"/>
  <c r="H392" i="5"/>
  <c r="G392" i="5"/>
  <c r="F392" i="5"/>
  <c r="E392" i="5"/>
  <c r="D392" i="5"/>
  <c r="C392" i="5"/>
  <c r="B392" i="5"/>
  <c r="A392" i="5"/>
  <c r="T391" i="5"/>
  <c r="S391" i="5"/>
  <c r="R391" i="5"/>
  <c r="Q391" i="5"/>
  <c r="P391" i="5"/>
  <c r="O391" i="5"/>
  <c r="N391" i="5"/>
  <c r="M391" i="5"/>
  <c r="L391" i="5"/>
  <c r="K391" i="5"/>
  <c r="J391" i="5"/>
  <c r="I391" i="5"/>
  <c r="H391" i="5"/>
  <c r="G391" i="5"/>
  <c r="F391" i="5"/>
  <c r="E391" i="5"/>
  <c r="D391" i="5"/>
  <c r="C391" i="5"/>
  <c r="B391" i="5"/>
  <c r="A391" i="5"/>
  <c r="T390" i="5"/>
  <c r="S390" i="5"/>
  <c r="R390" i="5"/>
  <c r="Q390" i="5"/>
  <c r="P390" i="5"/>
  <c r="O390" i="5"/>
  <c r="N390" i="5"/>
  <c r="M390" i="5"/>
  <c r="L390" i="5"/>
  <c r="K390" i="5"/>
  <c r="J390" i="5"/>
  <c r="I390" i="5"/>
  <c r="H390" i="5"/>
  <c r="G390" i="5"/>
  <c r="F390" i="5"/>
  <c r="E390" i="5"/>
  <c r="D390" i="5"/>
  <c r="C390" i="5"/>
  <c r="B390" i="5"/>
  <c r="A390" i="5"/>
  <c r="T389" i="5"/>
  <c r="S389" i="5"/>
  <c r="R389" i="5"/>
  <c r="Q389" i="5"/>
  <c r="P389" i="5"/>
  <c r="O389" i="5"/>
  <c r="N389" i="5"/>
  <c r="M389" i="5"/>
  <c r="L389" i="5"/>
  <c r="K389" i="5"/>
  <c r="J389" i="5"/>
  <c r="I389" i="5"/>
  <c r="H389" i="5"/>
  <c r="G389" i="5"/>
  <c r="F389" i="5"/>
  <c r="E389" i="5"/>
  <c r="D389" i="5"/>
  <c r="C389" i="5"/>
  <c r="B389" i="5"/>
  <c r="A389" i="5"/>
  <c r="T388" i="5"/>
  <c r="S388" i="5"/>
  <c r="R388" i="5"/>
  <c r="Q388" i="5"/>
  <c r="P388" i="5"/>
  <c r="O388" i="5"/>
  <c r="N388" i="5"/>
  <c r="M388" i="5"/>
  <c r="L388" i="5"/>
  <c r="K388" i="5"/>
  <c r="J388" i="5"/>
  <c r="I388" i="5"/>
  <c r="H388" i="5"/>
  <c r="G388" i="5"/>
  <c r="F388" i="5"/>
  <c r="E388" i="5"/>
  <c r="D388" i="5"/>
  <c r="C388" i="5"/>
  <c r="B388" i="5"/>
  <c r="A388" i="5"/>
  <c r="T387" i="5"/>
  <c r="S387" i="5"/>
  <c r="R387" i="5"/>
  <c r="Q387" i="5"/>
  <c r="P387" i="5"/>
  <c r="O387" i="5"/>
  <c r="N387" i="5"/>
  <c r="M387" i="5"/>
  <c r="L387" i="5"/>
  <c r="K387" i="5"/>
  <c r="J387" i="5"/>
  <c r="I387" i="5"/>
  <c r="H387" i="5"/>
  <c r="G387" i="5"/>
  <c r="F387" i="5"/>
  <c r="E387" i="5"/>
  <c r="D387" i="5"/>
  <c r="C387" i="5"/>
  <c r="B387" i="5"/>
  <c r="A387" i="5"/>
  <c r="T386" i="5"/>
  <c r="S386" i="5"/>
  <c r="R386" i="5"/>
  <c r="Q386" i="5"/>
  <c r="P386" i="5"/>
  <c r="O386" i="5"/>
  <c r="N386" i="5"/>
  <c r="M386" i="5"/>
  <c r="L386" i="5"/>
  <c r="K386" i="5"/>
  <c r="J386" i="5"/>
  <c r="I386" i="5"/>
  <c r="H386" i="5"/>
  <c r="G386" i="5"/>
  <c r="F386" i="5"/>
  <c r="E386" i="5"/>
  <c r="D386" i="5"/>
  <c r="C386" i="5"/>
  <c r="B386" i="5"/>
  <c r="A386" i="5"/>
  <c r="T385" i="5"/>
  <c r="S385" i="5"/>
  <c r="R385" i="5"/>
  <c r="Q385" i="5"/>
  <c r="P385" i="5"/>
  <c r="O385" i="5"/>
  <c r="N385" i="5"/>
  <c r="M385" i="5"/>
  <c r="L385" i="5"/>
  <c r="K385" i="5"/>
  <c r="J385" i="5"/>
  <c r="I385" i="5"/>
  <c r="H385" i="5"/>
  <c r="G385" i="5"/>
  <c r="F385" i="5"/>
  <c r="E385" i="5"/>
  <c r="D385" i="5"/>
  <c r="C385" i="5"/>
  <c r="B385" i="5"/>
  <c r="A385" i="5"/>
  <c r="T384" i="5"/>
  <c r="S384" i="5"/>
  <c r="R384" i="5"/>
  <c r="Q384" i="5"/>
  <c r="P384" i="5"/>
  <c r="O384" i="5"/>
  <c r="N384" i="5"/>
  <c r="M384" i="5"/>
  <c r="L384" i="5"/>
  <c r="K384" i="5"/>
  <c r="J384" i="5"/>
  <c r="I384" i="5"/>
  <c r="H384" i="5"/>
  <c r="G384" i="5"/>
  <c r="F384" i="5"/>
  <c r="E384" i="5"/>
  <c r="D384" i="5"/>
  <c r="C384" i="5"/>
  <c r="B384" i="5"/>
  <c r="A384" i="5"/>
  <c r="T383" i="5"/>
  <c r="S383" i="5"/>
  <c r="R383" i="5"/>
  <c r="Q383" i="5"/>
  <c r="P383" i="5"/>
  <c r="O383" i="5"/>
  <c r="N383" i="5"/>
  <c r="M383" i="5"/>
  <c r="L383" i="5"/>
  <c r="K383" i="5"/>
  <c r="J383" i="5"/>
  <c r="I383" i="5"/>
  <c r="H383" i="5"/>
  <c r="G383" i="5"/>
  <c r="F383" i="5"/>
  <c r="E383" i="5"/>
  <c r="D383" i="5"/>
  <c r="C383" i="5"/>
  <c r="B383" i="5"/>
  <c r="A383" i="5"/>
  <c r="T382" i="5"/>
  <c r="S382" i="5"/>
  <c r="R382" i="5"/>
  <c r="Q382" i="5"/>
  <c r="P382" i="5"/>
  <c r="O382" i="5"/>
  <c r="N382" i="5"/>
  <c r="M382" i="5"/>
  <c r="L382" i="5"/>
  <c r="K382" i="5"/>
  <c r="J382" i="5"/>
  <c r="I382" i="5"/>
  <c r="H382" i="5"/>
  <c r="G382" i="5"/>
  <c r="F382" i="5"/>
  <c r="E382" i="5"/>
  <c r="D382" i="5"/>
  <c r="C382" i="5"/>
  <c r="B382" i="5"/>
  <c r="A382" i="5"/>
  <c r="T381" i="5"/>
  <c r="S381" i="5"/>
  <c r="R381" i="5"/>
  <c r="Q381" i="5"/>
  <c r="P381" i="5"/>
  <c r="O381" i="5"/>
  <c r="N381" i="5"/>
  <c r="M381" i="5"/>
  <c r="L381" i="5"/>
  <c r="K381" i="5"/>
  <c r="J381" i="5"/>
  <c r="I381" i="5"/>
  <c r="H381" i="5"/>
  <c r="G381" i="5"/>
  <c r="F381" i="5"/>
  <c r="E381" i="5"/>
  <c r="D381" i="5"/>
  <c r="C381" i="5"/>
  <c r="B381" i="5"/>
  <c r="A381" i="5"/>
  <c r="T380" i="5"/>
  <c r="S380" i="5"/>
  <c r="R380" i="5"/>
  <c r="Q380" i="5"/>
  <c r="P380" i="5"/>
  <c r="O380" i="5"/>
  <c r="N380" i="5"/>
  <c r="M380" i="5"/>
  <c r="L380" i="5"/>
  <c r="K380" i="5"/>
  <c r="J380" i="5"/>
  <c r="I380" i="5"/>
  <c r="H380" i="5"/>
  <c r="G380" i="5"/>
  <c r="F380" i="5"/>
  <c r="E380" i="5"/>
  <c r="D380" i="5"/>
  <c r="C380" i="5"/>
  <c r="B380" i="5"/>
  <c r="A380" i="5"/>
  <c r="T379" i="5"/>
  <c r="S379" i="5"/>
  <c r="R379" i="5"/>
  <c r="Q379" i="5"/>
  <c r="P379" i="5"/>
  <c r="O379" i="5"/>
  <c r="N379" i="5"/>
  <c r="M379" i="5"/>
  <c r="L379" i="5"/>
  <c r="K379" i="5"/>
  <c r="J379" i="5"/>
  <c r="I379" i="5"/>
  <c r="H379" i="5"/>
  <c r="G379" i="5"/>
  <c r="F379" i="5"/>
  <c r="E379" i="5"/>
  <c r="D379" i="5"/>
  <c r="C379" i="5"/>
  <c r="B379" i="5"/>
  <c r="A379" i="5"/>
  <c r="T378" i="5"/>
  <c r="S378" i="5"/>
  <c r="R378" i="5"/>
  <c r="Q378" i="5"/>
  <c r="P378" i="5"/>
  <c r="O378" i="5"/>
  <c r="N378" i="5"/>
  <c r="M378" i="5"/>
  <c r="L378" i="5"/>
  <c r="K378" i="5"/>
  <c r="J378" i="5"/>
  <c r="I378" i="5"/>
  <c r="H378" i="5"/>
  <c r="G378" i="5"/>
  <c r="F378" i="5"/>
  <c r="E378" i="5"/>
  <c r="D378" i="5"/>
  <c r="C378" i="5"/>
  <c r="B378" i="5"/>
  <c r="A378" i="5"/>
  <c r="T377" i="5"/>
  <c r="S377" i="5"/>
  <c r="R377" i="5"/>
  <c r="Q377" i="5"/>
  <c r="P377" i="5"/>
  <c r="O377" i="5"/>
  <c r="N377" i="5"/>
  <c r="M377" i="5"/>
  <c r="L377" i="5"/>
  <c r="K377" i="5"/>
  <c r="J377" i="5"/>
  <c r="I377" i="5"/>
  <c r="H377" i="5"/>
  <c r="G377" i="5"/>
  <c r="F377" i="5"/>
  <c r="E377" i="5"/>
  <c r="D377" i="5"/>
  <c r="C377" i="5"/>
  <c r="B377" i="5"/>
  <c r="A377" i="5"/>
  <c r="T376" i="5"/>
  <c r="S376" i="5"/>
  <c r="R376" i="5"/>
  <c r="Q376" i="5"/>
  <c r="P376" i="5"/>
  <c r="O376" i="5"/>
  <c r="N376" i="5"/>
  <c r="M376" i="5"/>
  <c r="L376" i="5"/>
  <c r="K376" i="5"/>
  <c r="J376" i="5"/>
  <c r="I376" i="5"/>
  <c r="H376" i="5"/>
  <c r="G376" i="5"/>
  <c r="F376" i="5"/>
  <c r="E376" i="5"/>
  <c r="D376" i="5"/>
  <c r="C376" i="5"/>
  <c r="B376" i="5"/>
  <c r="A376" i="5"/>
  <c r="T375" i="5"/>
  <c r="S375" i="5"/>
  <c r="R375" i="5"/>
  <c r="Q375" i="5"/>
  <c r="P375" i="5"/>
  <c r="O375" i="5"/>
  <c r="N375" i="5"/>
  <c r="M375" i="5"/>
  <c r="L375" i="5"/>
  <c r="K375" i="5"/>
  <c r="J375" i="5"/>
  <c r="I375" i="5"/>
  <c r="H375" i="5"/>
  <c r="G375" i="5"/>
  <c r="F375" i="5"/>
  <c r="E375" i="5"/>
  <c r="D375" i="5"/>
  <c r="C375" i="5"/>
  <c r="B375" i="5"/>
  <c r="A375" i="5"/>
  <c r="T374" i="5"/>
  <c r="S374" i="5"/>
  <c r="R374" i="5"/>
  <c r="Q374" i="5"/>
  <c r="P374" i="5"/>
  <c r="O374" i="5"/>
  <c r="N374" i="5"/>
  <c r="M374" i="5"/>
  <c r="L374" i="5"/>
  <c r="K374" i="5"/>
  <c r="J374" i="5"/>
  <c r="I374" i="5"/>
  <c r="H374" i="5"/>
  <c r="G374" i="5"/>
  <c r="F374" i="5"/>
  <c r="E374" i="5"/>
  <c r="D374" i="5"/>
  <c r="C374" i="5"/>
  <c r="B374" i="5"/>
  <c r="A374" i="5"/>
  <c r="T373" i="5"/>
  <c r="S373" i="5"/>
  <c r="R373" i="5"/>
  <c r="Q373" i="5"/>
  <c r="P373" i="5"/>
  <c r="O373" i="5"/>
  <c r="N373" i="5"/>
  <c r="M373" i="5"/>
  <c r="L373" i="5"/>
  <c r="K373" i="5"/>
  <c r="J373" i="5"/>
  <c r="I373" i="5"/>
  <c r="H373" i="5"/>
  <c r="G373" i="5"/>
  <c r="F373" i="5"/>
  <c r="E373" i="5"/>
  <c r="D373" i="5"/>
  <c r="C373" i="5"/>
  <c r="B373" i="5"/>
  <c r="A373" i="5"/>
  <c r="T372" i="5"/>
  <c r="S372" i="5"/>
  <c r="R372" i="5"/>
  <c r="Q372" i="5"/>
  <c r="P372" i="5"/>
  <c r="O372" i="5"/>
  <c r="N372" i="5"/>
  <c r="M372" i="5"/>
  <c r="L372" i="5"/>
  <c r="K372" i="5"/>
  <c r="J372" i="5"/>
  <c r="I372" i="5"/>
  <c r="H372" i="5"/>
  <c r="G372" i="5"/>
  <c r="F372" i="5"/>
  <c r="E372" i="5"/>
  <c r="D372" i="5"/>
  <c r="C372" i="5"/>
  <c r="B372" i="5"/>
  <c r="A372" i="5"/>
  <c r="T371" i="5"/>
  <c r="S371" i="5"/>
  <c r="R371" i="5"/>
  <c r="Q371" i="5"/>
  <c r="P371" i="5"/>
  <c r="O371" i="5"/>
  <c r="N371" i="5"/>
  <c r="M371" i="5"/>
  <c r="L371" i="5"/>
  <c r="K371" i="5"/>
  <c r="J371" i="5"/>
  <c r="I371" i="5"/>
  <c r="H371" i="5"/>
  <c r="G371" i="5"/>
  <c r="F371" i="5"/>
  <c r="E371" i="5"/>
  <c r="D371" i="5"/>
  <c r="C371" i="5"/>
  <c r="B371" i="5"/>
  <c r="A371" i="5"/>
  <c r="T370" i="5"/>
  <c r="S370" i="5"/>
  <c r="R370" i="5"/>
  <c r="Q370" i="5"/>
  <c r="P370" i="5"/>
  <c r="O370" i="5"/>
  <c r="N370" i="5"/>
  <c r="M370" i="5"/>
  <c r="L370" i="5"/>
  <c r="K370" i="5"/>
  <c r="J370" i="5"/>
  <c r="I370" i="5"/>
  <c r="H370" i="5"/>
  <c r="G370" i="5"/>
  <c r="F370" i="5"/>
  <c r="E370" i="5"/>
  <c r="D370" i="5"/>
  <c r="C370" i="5"/>
  <c r="B370" i="5"/>
  <c r="A370" i="5"/>
  <c r="T369" i="5"/>
  <c r="S369" i="5"/>
  <c r="R369" i="5"/>
  <c r="Q369" i="5"/>
  <c r="P369" i="5"/>
  <c r="O369" i="5"/>
  <c r="N369" i="5"/>
  <c r="M369" i="5"/>
  <c r="L369" i="5"/>
  <c r="K369" i="5"/>
  <c r="J369" i="5"/>
  <c r="I369" i="5"/>
  <c r="H369" i="5"/>
  <c r="G369" i="5"/>
  <c r="F369" i="5"/>
  <c r="E369" i="5"/>
  <c r="D369" i="5"/>
  <c r="C369" i="5"/>
  <c r="B369" i="5"/>
  <c r="A369" i="5"/>
  <c r="T368" i="5"/>
  <c r="S368" i="5"/>
  <c r="R368" i="5"/>
  <c r="Q368" i="5"/>
  <c r="P368" i="5"/>
  <c r="O368" i="5"/>
  <c r="N368" i="5"/>
  <c r="M368" i="5"/>
  <c r="L368" i="5"/>
  <c r="K368" i="5"/>
  <c r="J368" i="5"/>
  <c r="I368" i="5"/>
  <c r="H368" i="5"/>
  <c r="G368" i="5"/>
  <c r="F368" i="5"/>
  <c r="E368" i="5"/>
  <c r="D368" i="5"/>
  <c r="C368" i="5"/>
  <c r="B368" i="5"/>
  <c r="A368" i="5"/>
  <c r="T367" i="5"/>
  <c r="S367" i="5"/>
  <c r="R367" i="5"/>
  <c r="Q367" i="5"/>
  <c r="P367" i="5"/>
  <c r="O367" i="5"/>
  <c r="N367" i="5"/>
  <c r="M367" i="5"/>
  <c r="L367" i="5"/>
  <c r="K367" i="5"/>
  <c r="J367" i="5"/>
  <c r="I367" i="5"/>
  <c r="H367" i="5"/>
  <c r="G367" i="5"/>
  <c r="F367" i="5"/>
  <c r="E367" i="5"/>
  <c r="D367" i="5"/>
  <c r="C367" i="5"/>
  <c r="B367" i="5"/>
  <c r="A367" i="5"/>
  <c r="T366" i="5"/>
  <c r="S366" i="5"/>
  <c r="R366" i="5"/>
  <c r="Q366" i="5"/>
  <c r="P366" i="5"/>
  <c r="O366" i="5"/>
  <c r="N366" i="5"/>
  <c r="M366" i="5"/>
  <c r="L366" i="5"/>
  <c r="K366" i="5"/>
  <c r="J366" i="5"/>
  <c r="I366" i="5"/>
  <c r="H366" i="5"/>
  <c r="G366" i="5"/>
  <c r="F366" i="5"/>
  <c r="E366" i="5"/>
  <c r="D366" i="5"/>
  <c r="C366" i="5"/>
  <c r="B366" i="5"/>
  <c r="A366" i="5"/>
  <c r="T365" i="5"/>
  <c r="S365" i="5"/>
  <c r="R365" i="5"/>
  <c r="Q365" i="5"/>
  <c r="P365" i="5"/>
  <c r="O365" i="5"/>
  <c r="N365" i="5"/>
  <c r="M365" i="5"/>
  <c r="L365" i="5"/>
  <c r="K365" i="5"/>
  <c r="J365" i="5"/>
  <c r="I365" i="5"/>
  <c r="H365" i="5"/>
  <c r="G365" i="5"/>
  <c r="F365" i="5"/>
  <c r="E365" i="5"/>
  <c r="D365" i="5"/>
  <c r="C365" i="5"/>
  <c r="B365" i="5"/>
  <c r="A365" i="5"/>
  <c r="T364" i="5"/>
  <c r="S364" i="5"/>
  <c r="R364" i="5"/>
  <c r="Q364" i="5"/>
  <c r="P364" i="5"/>
  <c r="O364" i="5"/>
  <c r="N364" i="5"/>
  <c r="M364" i="5"/>
  <c r="L364" i="5"/>
  <c r="K364" i="5"/>
  <c r="J364" i="5"/>
  <c r="I364" i="5"/>
  <c r="H364" i="5"/>
  <c r="G364" i="5"/>
  <c r="F364" i="5"/>
  <c r="E364" i="5"/>
  <c r="D364" i="5"/>
  <c r="C364" i="5"/>
  <c r="B364" i="5"/>
  <c r="A364" i="5"/>
  <c r="T363" i="5"/>
  <c r="S363" i="5"/>
  <c r="R363" i="5"/>
  <c r="Q363" i="5"/>
  <c r="P363" i="5"/>
  <c r="O363" i="5"/>
  <c r="N363" i="5"/>
  <c r="M363" i="5"/>
  <c r="L363" i="5"/>
  <c r="K363" i="5"/>
  <c r="J363" i="5"/>
  <c r="I363" i="5"/>
  <c r="H363" i="5"/>
  <c r="G363" i="5"/>
  <c r="F363" i="5"/>
  <c r="E363" i="5"/>
  <c r="D363" i="5"/>
  <c r="C363" i="5"/>
  <c r="B363" i="5"/>
  <c r="A363" i="5"/>
  <c r="T362" i="5"/>
  <c r="S362" i="5"/>
  <c r="R362" i="5"/>
  <c r="Q362" i="5"/>
  <c r="P362" i="5"/>
  <c r="O362" i="5"/>
  <c r="N362" i="5"/>
  <c r="M362" i="5"/>
  <c r="L362" i="5"/>
  <c r="K362" i="5"/>
  <c r="J362" i="5"/>
  <c r="I362" i="5"/>
  <c r="H362" i="5"/>
  <c r="G362" i="5"/>
  <c r="F362" i="5"/>
  <c r="E362" i="5"/>
  <c r="D362" i="5"/>
  <c r="C362" i="5"/>
  <c r="B362" i="5"/>
  <c r="A362" i="5"/>
  <c r="T361" i="5"/>
  <c r="S361" i="5"/>
  <c r="R361" i="5"/>
  <c r="Q361" i="5"/>
  <c r="P361" i="5"/>
  <c r="O361" i="5"/>
  <c r="N361" i="5"/>
  <c r="M361" i="5"/>
  <c r="L361" i="5"/>
  <c r="K361" i="5"/>
  <c r="J361" i="5"/>
  <c r="I361" i="5"/>
  <c r="H361" i="5"/>
  <c r="G361" i="5"/>
  <c r="F361" i="5"/>
  <c r="E361" i="5"/>
  <c r="D361" i="5"/>
  <c r="C361" i="5"/>
  <c r="B361" i="5"/>
  <c r="A361" i="5"/>
  <c r="T360" i="5"/>
  <c r="S360" i="5"/>
  <c r="R360" i="5"/>
  <c r="Q360" i="5"/>
  <c r="P360" i="5"/>
  <c r="O360" i="5"/>
  <c r="N360" i="5"/>
  <c r="M360" i="5"/>
  <c r="L360" i="5"/>
  <c r="K360" i="5"/>
  <c r="J360" i="5"/>
  <c r="I360" i="5"/>
  <c r="H360" i="5"/>
  <c r="G360" i="5"/>
  <c r="F360" i="5"/>
  <c r="E360" i="5"/>
  <c r="D360" i="5"/>
  <c r="C360" i="5"/>
  <c r="B360" i="5"/>
  <c r="A360" i="5"/>
  <c r="T359" i="5"/>
  <c r="S359" i="5"/>
  <c r="R359" i="5"/>
  <c r="Q359" i="5"/>
  <c r="P359" i="5"/>
  <c r="O359" i="5"/>
  <c r="N359" i="5"/>
  <c r="M359" i="5"/>
  <c r="L359" i="5"/>
  <c r="K359" i="5"/>
  <c r="J359" i="5"/>
  <c r="I359" i="5"/>
  <c r="H359" i="5"/>
  <c r="G359" i="5"/>
  <c r="F359" i="5"/>
  <c r="E359" i="5"/>
  <c r="D359" i="5"/>
  <c r="C359" i="5"/>
  <c r="B359" i="5"/>
  <c r="A359" i="5"/>
  <c r="T358" i="5"/>
  <c r="S358" i="5"/>
  <c r="R358" i="5"/>
  <c r="Q358" i="5"/>
  <c r="P358" i="5"/>
  <c r="O358" i="5"/>
  <c r="N358" i="5"/>
  <c r="M358" i="5"/>
  <c r="L358" i="5"/>
  <c r="K358" i="5"/>
  <c r="J358" i="5"/>
  <c r="I358" i="5"/>
  <c r="H358" i="5"/>
  <c r="G358" i="5"/>
  <c r="F358" i="5"/>
  <c r="E358" i="5"/>
  <c r="D358" i="5"/>
  <c r="C358" i="5"/>
  <c r="B358" i="5"/>
  <c r="A358" i="5"/>
  <c r="T357" i="5"/>
  <c r="S357" i="5"/>
  <c r="R357" i="5"/>
  <c r="Q357" i="5"/>
  <c r="P357" i="5"/>
  <c r="O357" i="5"/>
  <c r="N357" i="5"/>
  <c r="M357" i="5"/>
  <c r="L357" i="5"/>
  <c r="K357" i="5"/>
  <c r="J357" i="5"/>
  <c r="I357" i="5"/>
  <c r="H357" i="5"/>
  <c r="G357" i="5"/>
  <c r="F357" i="5"/>
  <c r="E357" i="5"/>
  <c r="D357" i="5"/>
  <c r="C357" i="5"/>
  <c r="B357" i="5"/>
  <c r="A357" i="5"/>
  <c r="T356" i="5"/>
  <c r="S356" i="5"/>
  <c r="R356" i="5"/>
  <c r="Q356" i="5"/>
  <c r="P356" i="5"/>
  <c r="O356" i="5"/>
  <c r="N356" i="5"/>
  <c r="M356" i="5"/>
  <c r="L356" i="5"/>
  <c r="K356" i="5"/>
  <c r="J356" i="5"/>
  <c r="I356" i="5"/>
  <c r="H356" i="5"/>
  <c r="G356" i="5"/>
  <c r="F356" i="5"/>
  <c r="E356" i="5"/>
  <c r="D356" i="5"/>
  <c r="C356" i="5"/>
  <c r="B356" i="5"/>
  <c r="A356" i="5"/>
  <c r="T355" i="5"/>
  <c r="S355" i="5"/>
  <c r="R355" i="5"/>
  <c r="Q355" i="5"/>
  <c r="P355" i="5"/>
  <c r="O355" i="5"/>
  <c r="N355" i="5"/>
  <c r="M355" i="5"/>
  <c r="L355" i="5"/>
  <c r="K355" i="5"/>
  <c r="J355" i="5"/>
  <c r="I355" i="5"/>
  <c r="H355" i="5"/>
  <c r="G355" i="5"/>
  <c r="F355" i="5"/>
  <c r="E355" i="5"/>
  <c r="D355" i="5"/>
  <c r="C355" i="5"/>
  <c r="B355" i="5"/>
  <c r="A355" i="5"/>
  <c r="T354" i="5"/>
  <c r="S354" i="5"/>
  <c r="R354" i="5"/>
  <c r="Q354" i="5"/>
  <c r="P354" i="5"/>
  <c r="O354" i="5"/>
  <c r="N354" i="5"/>
  <c r="M354" i="5"/>
  <c r="L354" i="5"/>
  <c r="K354" i="5"/>
  <c r="J354" i="5"/>
  <c r="I354" i="5"/>
  <c r="H354" i="5"/>
  <c r="G354" i="5"/>
  <c r="F354" i="5"/>
  <c r="E354" i="5"/>
  <c r="D354" i="5"/>
  <c r="C354" i="5"/>
  <c r="B354" i="5"/>
  <c r="A354" i="5"/>
  <c r="T353" i="5"/>
  <c r="S353" i="5"/>
  <c r="R353" i="5"/>
  <c r="Q353" i="5"/>
  <c r="P353" i="5"/>
  <c r="O353" i="5"/>
  <c r="N353" i="5"/>
  <c r="M353" i="5"/>
  <c r="L353" i="5"/>
  <c r="K353" i="5"/>
  <c r="J353" i="5"/>
  <c r="I353" i="5"/>
  <c r="H353" i="5"/>
  <c r="G353" i="5"/>
  <c r="F353" i="5"/>
  <c r="E353" i="5"/>
  <c r="D353" i="5"/>
  <c r="C353" i="5"/>
  <c r="B353" i="5"/>
  <c r="A353" i="5"/>
  <c r="T352" i="5"/>
  <c r="S352" i="5"/>
  <c r="R352" i="5"/>
  <c r="Q352" i="5"/>
  <c r="P352" i="5"/>
  <c r="O352" i="5"/>
  <c r="N352" i="5"/>
  <c r="M352" i="5"/>
  <c r="L352" i="5"/>
  <c r="K352" i="5"/>
  <c r="J352" i="5"/>
  <c r="I352" i="5"/>
  <c r="H352" i="5"/>
  <c r="G352" i="5"/>
  <c r="F352" i="5"/>
  <c r="E352" i="5"/>
  <c r="D352" i="5"/>
  <c r="C352" i="5"/>
  <c r="B352" i="5"/>
  <c r="A352" i="5"/>
  <c r="T351" i="5"/>
  <c r="S351" i="5"/>
  <c r="R351" i="5"/>
  <c r="Q351" i="5"/>
  <c r="P351" i="5"/>
  <c r="O351" i="5"/>
  <c r="N351" i="5"/>
  <c r="M351" i="5"/>
  <c r="L351" i="5"/>
  <c r="K351" i="5"/>
  <c r="J351" i="5"/>
  <c r="I351" i="5"/>
  <c r="H351" i="5"/>
  <c r="G351" i="5"/>
  <c r="F351" i="5"/>
  <c r="E351" i="5"/>
  <c r="D351" i="5"/>
  <c r="C351" i="5"/>
  <c r="B351" i="5"/>
  <c r="A351" i="5"/>
  <c r="T350" i="5"/>
  <c r="S350" i="5"/>
  <c r="R350" i="5"/>
  <c r="Q350" i="5"/>
  <c r="P350" i="5"/>
  <c r="O350" i="5"/>
  <c r="N350" i="5"/>
  <c r="M350" i="5"/>
  <c r="L350" i="5"/>
  <c r="K350" i="5"/>
  <c r="J350" i="5"/>
  <c r="I350" i="5"/>
  <c r="H350" i="5"/>
  <c r="G350" i="5"/>
  <c r="F350" i="5"/>
  <c r="E350" i="5"/>
  <c r="D350" i="5"/>
  <c r="C350" i="5"/>
  <c r="B350" i="5"/>
  <c r="A350" i="5"/>
  <c r="T349" i="5"/>
  <c r="S349" i="5"/>
  <c r="R349" i="5"/>
  <c r="Q349" i="5"/>
  <c r="P349" i="5"/>
  <c r="O349" i="5"/>
  <c r="N349" i="5"/>
  <c r="M349" i="5"/>
  <c r="L349" i="5"/>
  <c r="K349" i="5"/>
  <c r="J349" i="5"/>
  <c r="I349" i="5"/>
  <c r="H349" i="5"/>
  <c r="G349" i="5"/>
  <c r="F349" i="5"/>
  <c r="E349" i="5"/>
  <c r="D349" i="5"/>
  <c r="C349" i="5"/>
  <c r="B349" i="5"/>
  <c r="A349" i="5"/>
  <c r="T348" i="5"/>
  <c r="S348" i="5"/>
  <c r="R348" i="5"/>
  <c r="Q348" i="5"/>
  <c r="P348" i="5"/>
  <c r="O348" i="5"/>
  <c r="N348" i="5"/>
  <c r="M348" i="5"/>
  <c r="L348" i="5"/>
  <c r="K348" i="5"/>
  <c r="J348" i="5"/>
  <c r="I348" i="5"/>
  <c r="H348" i="5"/>
  <c r="G348" i="5"/>
  <c r="F348" i="5"/>
  <c r="E348" i="5"/>
  <c r="D348" i="5"/>
  <c r="C348" i="5"/>
  <c r="B348" i="5"/>
  <c r="A348" i="5"/>
  <c r="T347" i="5"/>
  <c r="S347" i="5"/>
  <c r="R347" i="5"/>
  <c r="Q347" i="5"/>
  <c r="P347" i="5"/>
  <c r="O347" i="5"/>
  <c r="N347" i="5"/>
  <c r="M347" i="5"/>
  <c r="L347" i="5"/>
  <c r="K347" i="5"/>
  <c r="J347" i="5"/>
  <c r="I347" i="5"/>
  <c r="H347" i="5"/>
  <c r="G347" i="5"/>
  <c r="F347" i="5"/>
  <c r="E347" i="5"/>
  <c r="D347" i="5"/>
  <c r="C347" i="5"/>
  <c r="B347" i="5"/>
  <c r="A347" i="5"/>
  <c r="T346" i="5"/>
  <c r="S346" i="5"/>
  <c r="R346" i="5"/>
  <c r="Q346" i="5"/>
  <c r="P346" i="5"/>
  <c r="O346" i="5"/>
  <c r="N346" i="5"/>
  <c r="M346" i="5"/>
  <c r="L346" i="5"/>
  <c r="K346" i="5"/>
  <c r="J346" i="5"/>
  <c r="I346" i="5"/>
  <c r="H346" i="5"/>
  <c r="G346" i="5"/>
  <c r="F346" i="5"/>
  <c r="E346" i="5"/>
  <c r="D346" i="5"/>
  <c r="C346" i="5"/>
  <c r="B346" i="5"/>
  <c r="A346" i="5"/>
  <c r="T345" i="5"/>
  <c r="S345" i="5"/>
  <c r="R345" i="5"/>
  <c r="Q345" i="5"/>
  <c r="P345" i="5"/>
  <c r="O345" i="5"/>
  <c r="N345" i="5"/>
  <c r="M345" i="5"/>
  <c r="L345" i="5"/>
  <c r="K345" i="5"/>
  <c r="J345" i="5"/>
  <c r="I345" i="5"/>
  <c r="H345" i="5"/>
  <c r="G345" i="5"/>
  <c r="F345" i="5"/>
  <c r="E345" i="5"/>
  <c r="D345" i="5"/>
  <c r="C345" i="5"/>
  <c r="B345" i="5"/>
  <c r="A345" i="5"/>
  <c r="T344" i="5"/>
  <c r="S344" i="5"/>
  <c r="R344" i="5"/>
  <c r="Q344" i="5"/>
  <c r="P344" i="5"/>
  <c r="O344" i="5"/>
  <c r="N344" i="5"/>
  <c r="M344" i="5"/>
  <c r="L344" i="5"/>
  <c r="K344" i="5"/>
  <c r="J344" i="5"/>
  <c r="I344" i="5"/>
  <c r="H344" i="5"/>
  <c r="G344" i="5"/>
  <c r="F344" i="5"/>
  <c r="E344" i="5"/>
  <c r="D344" i="5"/>
  <c r="C344" i="5"/>
  <c r="B344" i="5"/>
  <c r="A344" i="5"/>
  <c r="T343" i="5"/>
  <c r="S343" i="5"/>
  <c r="R343" i="5"/>
  <c r="Q343" i="5"/>
  <c r="P343" i="5"/>
  <c r="O343" i="5"/>
  <c r="N343" i="5"/>
  <c r="M343" i="5"/>
  <c r="L343" i="5"/>
  <c r="K343" i="5"/>
  <c r="J343" i="5"/>
  <c r="I343" i="5"/>
  <c r="H343" i="5"/>
  <c r="G343" i="5"/>
  <c r="F343" i="5"/>
  <c r="E343" i="5"/>
  <c r="D343" i="5"/>
  <c r="C343" i="5"/>
  <c r="B343" i="5"/>
  <c r="A343" i="5"/>
  <c r="T342" i="5"/>
  <c r="S342" i="5"/>
  <c r="R342" i="5"/>
  <c r="Q342" i="5"/>
  <c r="P342" i="5"/>
  <c r="O342" i="5"/>
  <c r="N342" i="5"/>
  <c r="M342" i="5"/>
  <c r="L342" i="5"/>
  <c r="K342" i="5"/>
  <c r="J342" i="5"/>
  <c r="I342" i="5"/>
  <c r="H342" i="5"/>
  <c r="G342" i="5"/>
  <c r="F342" i="5"/>
  <c r="E342" i="5"/>
  <c r="D342" i="5"/>
  <c r="C342" i="5"/>
  <c r="B342" i="5"/>
  <c r="A342" i="5"/>
  <c r="T341" i="5"/>
  <c r="S341" i="5"/>
  <c r="R341" i="5"/>
  <c r="Q341" i="5"/>
  <c r="P341" i="5"/>
  <c r="O341" i="5"/>
  <c r="N341" i="5"/>
  <c r="M341" i="5"/>
  <c r="L341" i="5"/>
  <c r="K341" i="5"/>
  <c r="J341" i="5"/>
  <c r="I341" i="5"/>
  <c r="H341" i="5"/>
  <c r="G341" i="5"/>
  <c r="F341" i="5"/>
  <c r="E341" i="5"/>
  <c r="D341" i="5"/>
  <c r="C341" i="5"/>
  <c r="B341" i="5"/>
  <c r="A341" i="5"/>
  <c r="T340" i="5"/>
  <c r="S340" i="5"/>
  <c r="R340" i="5"/>
  <c r="Q340" i="5"/>
  <c r="P340" i="5"/>
  <c r="O340" i="5"/>
  <c r="N340" i="5"/>
  <c r="M340" i="5"/>
  <c r="L340" i="5"/>
  <c r="K340" i="5"/>
  <c r="J340" i="5"/>
  <c r="I340" i="5"/>
  <c r="H340" i="5"/>
  <c r="G340" i="5"/>
  <c r="F340" i="5"/>
  <c r="E340" i="5"/>
  <c r="D340" i="5"/>
  <c r="C340" i="5"/>
  <c r="B340" i="5"/>
  <c r="A340" i="5"/>
  <c r="T339" i="5"/>
  <c r="S339" i="5"/>
  <c r="R339" i="5"/>
  <c r="Q339" i="5"/>
  <c r="P339" i="5"/>
  <c r="O339" i="5"/>
  <c r="N339" i="5"/>
  <c r="M339" i="5"/>
  <c r="L339" i="5"/>
  <c r="K339" i="5"/>
  <c r="J339" i="5"/>
  <c r="I339" i="5"/>
  <c r="H339" i="5"/>
  <c r="G339" i="5"/>
  <c r="F339" i="5"/>
  <c r="E339" i="5"/>
  <c r="D339" i="5"/>
  <c r="C339" i="5"/>
  <c r="B339" i="5"/>
  <c r="A339" i="5"/>
  <c r="T338" i="5"/>
  <c r="S338" i="5"/>
  <c r="R338" i="5"/>
  <c r="Q338" i="5"/>
  <c r="P338" i="5"/>
  <c r="O338" i="5"/>
  <c r="N338" i="5"/>
  <c r="M338" i="5"/>
  <c r="L338" i="5"/>
  <c r="K338" i="5"/>
  <c r="J338" i="5"/>
  <c r="I338" i="5"/>
  <c r="H338" i="5"/>
  <c r="G338" i="5"/>
  <c r="F338" i="5"/>
  <c r="E338" i="5"/>
  <c r="D338" i="5"/>
  <c r="C338" i="5"/>
  <c r="B338" i="5"/>
  <c r="A338" i="5"/>
  <c r="T337" i="5"/>
  <c r="S337" i="5"/>
  <c r="R337" i="5"/>
  <c r="Q337" i="5"/>
  <c r="P337" i="5"/>
  <c r="O337" i="5"/>
  <c r="N337" i="5"/>
  <c r="M337" i="5"/>
  <c r="L337" i="5"/>
  <c r="K337" i="5"/>
  <c r="J337" i="5"/>
  <c r="I337" i="5"/>
  <c r="H337" i="5"/>
  <c r="G337" i="5"/>
  <c r="F337" i="5"/>
  <c r="E337" i="5"/>
  <c r="D337" i="5"/>
  <c r="C337" i="5"/>
  <c r="B337" i="5"/>
  <c r="A337" i="5"/>
  <c r="T336" i="5"/>
  <c r="S336" i="5"/>
  <c r="R336" i="5"/>
  <c r="Q336" i="5"/>
  <c r="P336" i="5"/>
  <c r="O336" i="5"/>
  <c r="N336" i="5"/>
  <c r="M336" i="5"/>
  <c r="L336" i="5"/>
  <c r="K336" i="5"/>
  <c r="J336" i="5"/>
  <c r="I336" i="5"/>
  <c r="H336" i="5"/>
  <c r="G336" i="5"/>
  <c r="F336" i="5"/>
  <c r="E336" i="5"/>
  <c r="D336" i="5"/>
  <c r="C336" i="5"/>
  <c r="B336" i="5"/>
  <c r="A336" i="5"/>
  <c r="T335" i="5"/>
  <c r="S335" i="5"/>
  <c r="R335" i="5"/>
  <c r="Q335" i="5"/>
  <c r="P335" i="5"/>
  <c r="O335" i="5"/>
  <c r="N335" i="5"/>
  <c r="M335" i="5"/>
  <c r="L335" i="5"/>
  <c r="K335" i="5"/>
  <c r="J335" i="5"/>
  <c r="I335" i="5"/>
  <c r="H335" i="5"/>
  <c r="G335" i="5"/>
  <c r="F335" i="5"/>
  <c r="E335" i="5"/>
  <c r="D335" i="5"/>
  <c r="C335" i="5"/>
  <c r="B335" i="5"/>
  <c r="A335" i="5"/>
  <c r="T334" i="5"/>
  <c r="S334" i="5"/>
  <c r="R334" i="5"/>
  <c r="Q334" i="5"/>
  <c r="P334" i="5"/>
  <c r="O334" i="5"/>
  <c r="N334" i="5"/>
  <c r="M334" i="5"/>
  <c r="L334" i="5"/>
  <c r="K334" i="5"/>
  <c r="J334" i="5"/>
  <c r="I334" i="5"/>
  <c r="H334" i="5"/>
  <c r="G334" i="5"/>
  <c r="F334" i="5"/>
  <c r="E334" i="5"/>
  <c r="D334" i="5"/>
  <c r="C334" i="5"/>
  <c r="B334" i="5"/>
  <c r="A334" i="5"/>
  <c r="T333" i="5"/>
  <c r="S333" i="5"/>
  <c r="R333" i="5"/>
  <c r="Q333" i="5"/>
  <c r="P333" i="5"/>
  <c r="O333" i="5"/>
  <c r="N333" i="5"/>
  <c r="M333" i="5"/>
  <c r="L333" i="5"/>
  <c r="K333" i="5"/>
  <c r="J333" i="5"/>
  <c r="I333" i="5"/>
  <c r="H333" i="5"/>
  <c r="G333" i="5"/>
  <c r="F333" i="5"/>
  <c r="E333" i="5"/>
  <c r="D333" i="5"/>
  <c r="C333" i="5"/>
  <c r="B333" i="5"/>
  <c r="A333" i="5"/>
  <c r="T332" i="5"/>
  <c r="S332" i="5"/>
  <c r="R332" i="5"/>
  <c r="Q332" i="5"/>
  <c r="P332" i="5"/>
  <c r="O332" i="5"/>
  <c r="N332" i="5"/>
  <c r="M332" i="5"/>
  <c r="L332" i="5"/>
  <c r="K332" i="5"/>
  <c r="J332" i="5"/>
  <c r="I332" i="5"/>
  <c r="H332" i="5"/>
  <c r="G332" i="5"/>
  <c r="F332" i="5"/>
  <c r="E332" i="5"/>
  <c r="D332" i="5"/>
  <c r="C332" i="5"/>
  <c r="B332" i="5"/>
  <c r="A332" i="5"/>
  <c r="T331" i="5"/>
  <c r="S331" i="5"/>
  <c r="R331" i="5"/>
  <c r="Q331" i="5"/>
  <c r="P331" i="5"/>
  <c r="O331" i="5"/>
  <c r="N331" i="5"/>
  <c r="M331" i="5"/>
  <c r="L331" i="5"/>
  <c r="K331" i="5"/>
  <c r="J331" i="5"/>
  <c r="I331" i="5"/>
  <c r="H331" i="5"/>
  <c r="G331" i="5"/>
  <c r="F331" i="5"/>
  <c r="E331" i="5"/>
  <c r="D331" i="5"/>
  <c r="C331" i="5"/>
  <c r="B331" i="5"/>
  <c r="A331" i="5"/>
  <c r="T330" i="5"/>
  <c r="S330" i="5"/>
  <c r="R330" i="5"/>
  <c r="Q330" i="5"/>
  <c r="P330" i="5"/>
  <c r="O330" i="5"/>
  <c r="N330" i="5"/>
  <c r="M330" i="5"/>
  <c r="L330" i="5"/>
  <c r="K330" i="5"/>
  <c r="J330" i="5"/>
  <c r="I330" i="5"/>
  <c r="H330" i="5"/>
  <c r="G330" i="5"/>
  <c r="F330" i="5"/>
  <c r="E330" i="5"/>
  <c r="D330" i="5"/>
  <c r="C330" i="5"/>
  <c r="B330" i="5"/>
  <c r="A330" i="5"/>
  <c r="T329" i="5"/>
  <c r="S329" i="5"/>
  <c r="R329" i="5"/>
  <c r="Q329" i="5"/>
  <c r="P329" i="5"/>
  <c r="O329" i="5"/>
  <c r="N329" i="5"/>
  <c r="M329" i="5"/>
  <c r="L329" i="5"/>
  <c r="K329" i="5"/>
  <c r="J329" i="5"/>
  <c r="I329" i="5"/>
  <c r="H329" i="5"/>
  <c r="G329" i="5"/>
  <c r="F329" i="5"/>
  <c r="E329" i="5"/>
  <c r="D329" i="5"/>
  <c r="C329" i="5"/>
  <c r="B329" i="5"/>
  <c r="A329" i="5"/>
  <c r="T328" i="5"/>
  <c r="S328" i="5"/>
  <c r="R328" i="5"/>
  <c r="Q328" i="5"/>
  <c r="P328" i="5"/>
  <c r="O328" i="5"/>
  <c r="N328" i="5"/>
  <c r="M328" i="5"/>
  <c r="L328" i="5"/>
  <c r="K328" i="5"/>
  <c r="J328" i="5"/>
  <c r="I328" i="5"/>
  <c r="H328" i="5"/>
  <c r="G328" i="5"/>
  <c r="F328" i="5"/>
  <c r="E328" i="5"/>
  <c r="D328" i="5"/>
  <c r="C328" i="5"/>
  <c r="B328" i="5"/>
  <c r="A328" i="5"/>
  <c r="T327" i="5"/>
  <c r="S327" i="5"/>
  <c r="R327" i="5"/>
  <c r="Q327" i="5"/>
  <c r="P327" i="5"/>
  <c r="O327" i="5"/>
  <c r="N327" i="5"/>
  <c r="M327" i="5"/>
  <c r="L327" i="5"/>
  <c r="K327" i="5"/>
  <c r="J327" i="5"/>
  <c r="I327" i="5"/>
  <c r="H327" i="5"/>
  <c r="G327" i="5"/>
  <c r="F327" i="5"/>
  <c r="E327" i="5"/>
  <c r="D327" i="5"/>
  <c r="C327" i="5"/>
  <c r="B327" i="5"/>
  <c r="A327" i="5"/>
  <c r="T326" i="5"/>
  <c r="S326" i="5"/>
  <c r="R326" i="5"/>
  <c r="Q326" i="5"/>
  <c r="P326" i="5"/>
  <c r="O326" i="5"/>
  <c r="N326" i="5"/>
  <c r="M326" i="5"/>
  <c r="L326" i="5"/>
  <c r="K326" i="5"/>
  <c r="J326" i="5"/>
  <c r="I326" i="5"/>
  <c r="H326" i="5"/>
  <c r="G326" i="5"/>
  <c r="F326" i="5"/>
  <c r="E326" i="5"/>
  <c r="D326" i="5"/>
  <c r="C326" i="5"/>
  <c r="B326" i="5"/>
  <c r="A326" i="5"/>
  <c r="T325" i="5"/>
  <c r="S325" i="5"/>
  <c r="R325" i="5"/>
  <c r="Q325" i="5"/>
  <c r="P325" i="5"/>
  <c r="O325" i="5"/>
  <c r="N325" i="5"/>
  <c r="M325" i="5"/>
  <c r="L325" i="5"/>
  <c r="K325" i="5"/>
  <c r="J325" i="5"/>
  <c r="I325" i="5"/>
  <c r="H325" i="5"/>
  <c r="G325" i="5"/>
  <c r="F325" i="5"/>
  <c r="E325" i="5"/>
  <c r="D325" i="5"/>
  <c r="C325" i="5"/>
  <c r="B325" i="5"/>
  <c r="A325" i="5"/>
  <c r="T324" i="5"/>
  <c r="S324" i="5"/>
  <c r="R324" i="5"/>
  <c r="Q324" i="5"/>
  <c r="P324" i="5"/>
  <c r="O324" i="5"/>
  <c r="N324" i="5"/>
  <c r="M324" i="5"/>
  <c r="L324" i="5"/>
  <c r="K324" i="5"/>
  <c r="J324" i="5"/>
  <c r="I324" i="5"/>
  <c r="H324" i="5"/>
  <c r="G324" i="5"/>
  <c r="F324" i="5"/>
  <c r="E324" i="5"/>
  <c r="D324" i="5"/>
  <c r="C324" i="5"/>
  <c r="B324" i="5"/>
  <c r="A324" i="5"/>
  <c r="T323" i="5"/>
  <c r="S323" i="5"/>
  <c r="R323" i="5"/>
  <c r="Q323" i="5"/>
  <c r="P323" i="5"/>
  <c r="O323" i="5"/>
  <c r="N323" i="5"/>
  <c r="M323" i="5"/>
  <c r="L323" i="5"/>
  <c r="K323" i="5"/>
  <c r="J323" i="5"/>
  <c r="I323" i="5"/>
  <c r="H323" i="5"/>
  <c r="G323" i="5"/>
  <c r="F323" i="5"/>
  <c r="E323" i="5"/>
  <c r="D323" i="5"/>
  <c r="C323" i="5"/>
  <c r="B323" i="5"/>
  <c r="A323" i="5"/>
  <c r="T322" i="5"/>
  <c r="S322" i="5"/>
  <c r="R322" i="5"/>
  <c r="Q322" i="5"/>
  <c r="P322" i="5"/>
  <c r="O322" i="5"/>
  <c r="N322" i="5"/>
  <c r="M322" i="5"/>
  <c r="L322" i="5"/>
  <c r="K322" i="5"/>
  <c r="J322" i="5"/>
  <c r="I322" i="5"/>
  <c r="H322" i="5"/>
  <c r="G322" i="5"/>
  <c r="F322" i="5"/>
  <c r="E322" i="5"/>
  <c r="D322" i="5"/>
  <c r="C322" i="5"/>
  <c r="B322" i="5"/>
  <c r="A322" i="5"/>
  <c r="T321" i="5"/>
  <c r="S321" i="5"/>
  <c r="R321" i="5"/>
  <c r="Q321" i="5"/>
  <c r="P321" i="5"/>
  <c r="O321" i="5"/>
  <c r="N321" i="5"/>
  <c r="M321" i="5"/>
  <c r="L321" i="5"/>
  <c r="K321" i="5"/>
  <c r="J321" i="5"/>
  <c r="I321" i="5"/>
  <c r="H321" i="5"/>
  <c r="G321" i="5"/>
  <c r="F321" i="5"/>
  <c r="E321" i="5"/>
  <c r="D321" i="5"/>
  <c r="C321" i="5"/>
  <c r="B321" i="5"/>
  <c r="A321" i="5"/>
  <c r="T320" i="5"/>
  <c r="S320" i="5"/>
  <c r="R320" i="5"/>
  <c r="Q320" i="5"/>
  <c r="P320" i="5"/>
  <c r="O320" i="5"/>
  <c r="N320" i="5"/>
  <c r="M320" i="5"/>
  <c r="L320" i="5"/>
  <c r="K320" i="5"/>
  <c r="J320" i="5"/>
  <c r="I320" i="5"/>
  <c r="H320" i="5"/>
  <c r="G320" i="5"/>
  <c r="F320" i="5"/>
  <c r="E320" i="5"/>
  <c r="D320" i="5"/>
  <c r="C320" i="5"/>
  <c r="B320" i="5"/>
  <c r="A320" i="5"/>
  <c r="T319" i="5"/>
  <c r="S319" i="5"/>
  <c r="R319" i="5"/>
  <c r="Q319" i="5"/>
  <c r="P319" i="5"/>
  <c r="O319" i="5"/>
  <c r="N319" i="5"/>
  <c r="M319" i="5"/>
  <c r="L319" i="5"/>
  <c r="K319" i="5"/>
  <c r="J319" i="5"/>
  <c r="I319" i="5"/>
  <c r="H319" i="5"/>
  <c r="G319" i="5"/>
  <c r="F319" i="5"/>
  <c r="E319" i="5"/>
  <c r="D319" i="5"/>
  <c r="C319" i="5"/>
  <c r="B319" i="5"/>
  <c r="A319" i="5"/>
  <c r="T318" i="5"/>
  <c r="S318" i="5"/>
  <c r="R318" i="5"/>
  <c r="Q318" i="5"/>
  <c r="P318" i="5"/>
  <c r="O318" i="5"/>
  <c r="N318" i="5"/>
  <c r="M318" i="5"/>
  <c r="L318" i="5"/>
  <c r="K318" i="5"/>
  <c r="J318" i="5"/>
  <c r="I318" i="5"/>
  <c r="H318" i="5"/>
  <c r="G318" i="5"/>
  <c r="F318" i="5"/>
  <c r="E318" i="5"/>
  <c r="D318" i="5"/>
  <c r="C318" i="5"/>
  <c r="B318" i="5"/>
  <c r="A318" i="5"/>
  <c r="T317" i="5"/>
  <c r="S317" i="5"/>
  <c r="R317" i="5"/>
  <c r="Q317" i="5"/>
  <c r="P317" i="5"/>
  <c r="O317" i="5"/>
  <c r="N317" i="5"/>
  <c r="M317" i="5"/>
  <c r="L317" i="5"/>
  <c r="K317" i="5"/>
  <c r="J317" i="5"/>
  <c r="I317" i="5"/>
  <c r="H317" i="5"/>
  <c r="G317" i="5"/>
  <c r="F317" i="5"/>
  <c r="E317" i="5"/>
  <c r="D317" i="5"/>
  <c r="C317" i="5"/>
  <c r="B317" i="5"/>
  <c r="A317" i="5"/>
  <c r="T316" i="5"/>
  <c r="S316" i="5"/>
  <c r="R316" i="5"/>
  <c r="Q316" i="5"/>
  <c r="P316" i="5"/>
  <c r="O316" i="5"/>
  <c r="N316" i="5"/>
  <c r="M316" i="5"/>
  <c r="L316" i="5"/>
  <c r="K316" i="5"/>
  <c r="J316" i="5"/>
  <c r="I316" i="5"/>
  <c r="H316" i="5"/>
  <c r="G316" i="5"/>
  <c r="F316" i="5"/>
  <c r="E316" i="5"/>
  <c r="D316" i="5"/>
  <c r="C316" i="5"/>
  <c r="B316" i="5"/>
  <c r="A316" i="5"/>
  <c r="T315" i="5"/>
  <c r="S315" i="5"/>
  <c r="R315" i="5"/>
  <c r="Q315" i="5"/>
  <c r="P315" i="5"/>
  <c r="O315" i="5"/>
  <c r="N315" i="5"/>
  <c r="M315" i="5"/>
  <c r="L315" i="5"/>
  <c r="K315" i="5"/>
  <c r="J315" i="5"/>
  <c r="I315" i="5"/>
  <c r="H315" i="5"/>
  <c r="G315" i="5"/>
  <c r="F315" i="5"/>
  <c r="E315" i="5"/>
  <c r="D315" i="5"/>
  <c r="C315" i="5"/>
  <c r="B315" i="5"/>
  <c r="A315" i="5"/>
  <c r="T314" i="5"/>
  <c r="S314" i="5"/>
  <c r="R314" i="5"/>
  <c r="Q314" i="5"/>
  <c r="P314" i="5"/>
  <c r="O314" i="5"/>
  <c r="N314" i="5"/>
  <c r="M314" i="5"/>
  <c r="L314" i="5"/>
  <c r="K314" i="5"/>
  <c r="J314" i="5"/>
  <c r="I314" i="5"/>
  <c r="H314" i="5"/>
  <c r="G314" i="5"/>
  <c r="F314" i="5"/>
  <c r="E314" i="5"/>
  <c r="D314" i="5"/>
  <c r="C314" i="5"/>
  <c r="B314" i="5"/>
  <c r="A314" i="5"/>
  <c r="T313" i="5"/>
  <c r="S313" i="5"/>
  <c r="R313" i="5"/>
  <c r="Q313" i="5"/>
  <c r="P313" i="5"/>
  <c r="O313" i="5"/>
  <c r="N313" i="5"/>
  <c r="M313" i="5"/>
  <c r="L313" i="5"/>
  <c r="K313" i="5"/>
  <c r="J313" i="5"/>
  <c r="I313" i="5"/>
  <c r="H313" i="5"/>
  <c r="G313" i="5"/>
  <c r="F313" i="5"/>
  <c r="E313" i="5"/>
  <c r="D313" i="5"/>
  <c r="C313" i="5"/>
  <c r="B313" i="5"/>
  <c r="A313" i="5"/>
  <c r="T312" i="5"/>
  <c r="S312" i="5"/>
  <c r="R312" i="5"/>
  <c r="Q312" i="5"/>
  <c r="P312" i="5"/>
  <c r="O312" i="5"/>
  <c r="N312" i="5"/>
  <c r="M312" i="5"/>
  <c r="L312" i="5"/>
  <c r="K312" i="5"/>
  <c r="J312" i="5"/>
  <c r="I312" i="5"/>
  <c r="H312" i="5"/>
  <c r="G312" i="5"/>
  <c r="F312" i="5"/>
  <c r="E312" i="5"/>
  <c r="D312" i="5"/>
  <c r="C312" i="5"/>
  <c r="B312" i="5"/>
  <c r="A312" i="5"/>
  <c r="T311" i="5"/>
  <c r="S311" i="5"/>
  <c r="R311" i="5"/>
  <c r="Q311" i="5"/>
  <c r="P311" i="5"/>
  <c r="O311" i="5"/>
  <c r="N311" i="5"/>
  <c r="M311" i="5"/>
  <c r="L311" i="5"/>
  <c r="K311" i="5"/>
  <c r="J311" i="5"/>
  <c r="I311" i="5"/>
  <c r="H311" i="5"/>
  <c r="G311" i="5"/>
  <c r="F311" i="5"/>
  <c r="E311" i="5"/>
  <c r="D311" i="5"/>
  <c r="C311" i="5"/>
  <c r="B311" i="5"/>
  <c r="A311" i="5"/>
  <c r="T310" i="5"/>
  <c r="S310" i="5"/>
  <c r="R310" i="5"/>
  <c r="Q310" i="5"/>
  <c r="P310" i="5"/>
  <c r="O310" i="5"/>
  <c r="N310" i="5"/>
  <c r="M310" i="5"/>
  <c r="L310" i="5"/>
  <c r="K310" i="5"/>
  <c r="J310" i="5"/>
  <c r="I310" i="5"/>
  <c r="H310" i="5"/>
  <c r="G310" i="5"/>
  <c r="F310" i="5"/>
  <c r="E310" i="5"/>
  <c r="D310" i="5"/>
  <c r="C310" i="5"/>
  <c r="B310" i="5"/>
  <c r="A310" i="5"/>
  <c r="T309" i="5"/>
  <c r="S309" i="5"/>
  <c r="R309" i="5"/>
  <c r="Q309" i="5"/>
  <c r="P309" i="5"/>
  <c r="O309" i="5"/>
  <c r="N309" i="5"/>
  <c r="M309" i="5"/>
  <c r="L309" i="5"/>
  <c r="K309" i="5"/>
  <c r="J309" i="5"/>
  <c r="I309" i="5"/>
  <c r="H309" i="5"/>
  <c r="G309" i="5"/>
  <c r="F309" i="5"/>
  <c r="E309" i="5"/>
  <c r="D309" i="5"/>
  <c r="C309" i="5"/>
  <c r="B309" i="5"/>
  <c r="A309" i="5"/>
  <c r="T308" i="5"/>
  <c r="S308" i="5"/>
  <c r="R308" i="5"/>
  <c r="Q308" i="5"/>
  <c r="P308" i="5"/>
  <c r="O308" i="5"/>
  <c r="N308" i="5"/>
  <c r="M308" i="5"/>
  <c r="L308" i="5"/>
  <c r="K308" i="5"/>
  <c r="J308" i="5"/>
  <c r="I308" i="5"/>
  <c r="H308" i="5"/>
  <c r="G308" i="5"/>
  <c r="F308" i="5"/>
  <c r="E308" i="5"/>
  <c r="D308" i="5"/>
  <c r="C308" i="5"/>
  <c r="B308" i="5"/>
  <c r="A308" i="5"/>
  <c r="T307" i="5"/>
  <c r="S307" i="5"/>
  <c r="R307" i="5"/>
  <c r="Q307" i="5"/>
  <c r="P307" i="5"/>
  <c r="O307" i="5"/>
  <c r="N307" i="5"/>
  <c r="M307" i="5"/>
  <c r="L307" i="5"/>
  <c r="K307" i="5"/>
  <c r="J307" i="5"/>
  <c r="I307" i="5"/>
  <c r="H307" i="5"/>
  <c r="G307" i="5"/>
  <c r="F307" i="5"/>
  <c r="E307" i="5"/>
  <c r="D307" i="5"/>
  <c r="C307" i="5"/>
  <c r="B307" i="5"/>
  <c r="A307" i="5"/>
  <c r="T306" i="5"/>
  <c r="S306" i="5"/>
  <c r="R306" i="5"/>
  <c r="Q306" i="5"/>
  <c r="P306" i="5"/>
  <c r="O306" i="5"/>
  <c r="N306" i="5"/>
  <c r="M306" i="5"/>
  <c r="L306" i="5"/>
  <c r="K306" i="5"/>
  <c r="J306" i="5"/>
  <c r="I306" i="5"/>
  <c r="H306" i="5"/>
  <c r="G306" i="5"/>
  <c r="F306" i="5"/>
  <c r="E306" i="5"/>
  <c r="D306" i="5"/>
  <c r="C306" i="5"/>
  <c r="B306" i="5"/>
  <c r="A306" i="5"/>
  <c r="T305" i="5"/>
  <c r="S305" i="5"/>
  <c r="R305" i="5"/>
  <c r="Q305" i="5"/>
  <c r="P305" i="5"/>
  <c r="O305" i="5"/>
  <c r="N305" i="5"/>
  <c r="M305" i="5"/>
  <c r="L305" i="5"/>
  <c r="K305" i="5"/>
  <c r="J305" i="5"/>
  <c r="I305" i="5"/>
  <c r="H305" i="5"/>
  <c r="G305" i="5"/>
  <c r="F305" i="5"/>
  <c r="E305" i="5"/>
  <c r="D305" i="5"/>
  <c r="C305" i="5"/>
  <c r="B305" i="5"/>
  <c r="A305" i="5"/>
  <c r="T304" i="5"/>
  <c r="S304" i="5"/>
  <c r="R304" i="5"/>
  <c r="Q304" i="5"/>
  <c r="P304" i="5"/>
  <c r="O304" i="5"/>
  <c r="N304" i="5"/>
  <c r="M304" i="5"/>
  <c r="L304" i="5"/>
  <c r="K304" i="5"/>
  <c r="J304" i="5"/>
  <c r="I304" i="5"/>
  <c r="H304" i="5"/>
  <c r="G304" i="5"/>
  <c r="F304" i="5"/>
  <c r="E304" i="5"/>
  <c r="D304" i="5"/>
  <c r="C304" i="5"/>
  <c r="B304" i="5"/>
  <c r="A304" i="5"/>
  <c r="T303" i="5"/>
  <c r="S303" i="5"/>
  <c r="R303" i="5"/>
  <c r="Q303" i="5"/>
  <c r="P303" i="5"/>
  <c r="O303" i="5"/>
  <c r="N303" i="5"/>
  <c r="M303" i="5"/>
  <c r="L303" i="5"/>
  <c r="K303" i="5"/>
  <c r="J303" i="5"/>
  <c r="I303" i="5"/>
  <c r="H303" i="5"/>
  <c r="G303" i="5"/>
  <c r="F303" i="5"/>
  <c r="E303" i="5"/>
  <c r="D303" i="5"/>
  <c r="C303" i="5"/>
  <c r="B303" i="5"/>
  <c r="A303" i="5"/>
  <c r="T302" i="5"/>
  <c r="S302" i="5"/>
  <c r="R302" i="5"/>
  <c r="Q302" i="5"/>
  <c r="P302" i="5"/>
  <c r="O302" i="5"/>
  <c r="N302" i="5"/>
  <c r="M302" i="5"/>
  <c r="L302" i="5"/>
  <c r="K302" i="5"/>
  <c r="J302" i="5"/>
  <c r="I302" i="5"/>
  <c r="H302" i="5"/>
  <c r="G302" i="5"/>
  <c r="F302" i="5"/>
  <c r="E302" i="5"/>
  <c r="D302" i="5"/>
  <c r="C302" i="5"/>
  <c r="B302" i="5"/>
  <c r="A302" i="5"/>
  <c r="T301" i="5"/>
  <c r="S301" i="5"/>
  <c r="R301" i="5"/>
  <c r="Q301" i="5"/>
  <c r="P301" i="5"/>
  <c r="O301" i="5"/>
  <c r="N301" i="5"/>
  <c r="M301" i="5"/>
  <c r="L301" i="5"/>
  <c r="K301" i="5"/>
  <c r="J301" i="5"/>
  <c r="I301" i="5"/>
  <c r="H301" i="5"/>
  <c r="G301" i="5"/>
  <c r="F301" i="5"/>
  <c r="E301" i="5"/>
  <c r="D301" i="5"/>
  <c r="C301" i="5"/>
  <c r="B301" i="5"/>
  <c r="A301" i="5"/>
  <c r="T300" i="5"/>
  <c r="S300" i="5"/>
  <c r="R300" i="5"/>
  <c r="Q300" i="5"/>
  <c r="P300" i="5"/>
  <c r="O300" i="5"/>
  <c r="N300" i="5"/>
  <c r="M300" i="5"/>
  <c r="L300" i="5"/>
  <c r="K300" i="5"/>
  <c r="J300" i="5"/>
  <c r="I300" i="5"/>
  <c r="H300" i="5"/>
  <c r="G300" i="5"/>
  <c r="F300" i="5"/>
  <c r="E300" i="5"/>
  <c r="D300" i="5"/>
  <c r="C300" i="5"/>
  <c r="B300" i="5"/>
  <c r="A300" i="5"/>
  <c r="T299" i="5"/>
  <c r="S299" i="5"/>
  <c r="R299" i="5"/>
  <c r="Q299" i="5"/>
  <c r="P299" i="5"/>
  <c r="O299" i="5"/>
  <c r="N299" i="5"/>
  <c r="M299" i="5"/>
  <c r="L299" i="5"/>
  <c r="K299" i="5"/>
  <c r="J299" i="5"/>
  <c r="I299" i="5"/>
  <c r="H299" i="5"/>
  <c r="G299" i="5"/>
  <c r="F299" i="5"/>
  <c r="E299" i="5"/>
  <c r="D299" i="5"/>
  <c r="C299" i="5"/>
  <c r="B299" i="5"/>
  <c r="A299" i="5"/>
  <c r="T298" i="5"/>
  <c r="S298" i="5"/>
  <c r="R298" i="5"/>
  <c r="Q298" i="5"/>
  <c r="P298" i="5"/>
  <c r="O298" i="5"/>
  <c r="N298" i="5"/>
  <c r="M298" i="5"/>
  <c r="L298" i="5"/>
  <c r="K298" i="5"/>
  <c r="J298" i="5"/>
  <c r="I298" i="5"/>
  <c r="H298" i="5"/>
  <c r="G298" i="5"/>
  <c r="F298" i="5"/>
  <c r="E298" i="5"/>
  <c r="D298" i="5"/>
  <c r="C298" i="5"/>
  <c r="B298" i="5"/>
  <c r="A298" i="5"/>
  <c r="T297" i="5"/>
  <c r="S297" i="5"/>
  <c r="R297" i="5"/>
  <c r="Q297" i="5"/>
  <c r="P297" i="5"/>
  <c r="O297" i="5"/>
  <c r="N297" i="5"/>
  <c r="M297" i="5"/>
  <c r="L297" i="5"/>
  <c r="K297" i="5"/>
  <c r="J297" i="5"/>
  <c r="I297" i="5"/>
  <c r="H297" i="5"/>
  <c r="G297" i="5"/>
  <c r="F297" i="5"/>
  <c r="E297" i="5"/>
  <c r="D297" i="5"/>
  <c r="C297" i="5"/>
  <c r="B297" i="5"/>
  <c r="A297" i="5"/>
  <c r="T296" i="5"/>
  <c r="S296" i="5"/>
  <c r="R296" i="5"/>
  <c r="Q296" i="5"/>
  <c r="P296" i="5"/>
  <c r="O296" i="5"/>
  <c r="N296" i="5"/>
  <c r="M296" i="5"/>
  <c r="L296" i="5"/>
  <c r="K296" i="5"/>
  <c r="J296" i="5"/>
  <c r="I296" i="5"/>
  <c r="H296" i="5"/>
  <c r="G296" i="5"/>
  <c r="F296" i="5"/>
  <c r="E296" i="5"/>
  <c r="D296" i="5"/>
  <c r="C296" i="5"/>
  <c r="B296" i="5"/>
  <c r="A296" i="5"/>
  <c r="T295" i="5"/>
  <c r="S295" i="5"/>
  <c r="R295" i="5"/>
  <c r="Q295" i="5"/>
  <c r="P295" i="5"/>
  <c r="O295" i="5"/>
  <c r="N295" i="5"/>
  <c r="M295" i="5"/>
  <c r="L295" i="5"/>
  <c r="K295" i="5"/>
  <c r="J295" i="5"/>
  <c r="I295" i="5"/>
  <c r="H295" i="5"/>
  <c r="G295" i="5"/>
  <c r="F295" i="5"/>
  <c r="E295" i="5"/>
  <c r="D295" i="5"/>
  <c r="C295" i="5"/>
  <c r="B295" i="5"/>
  <c r="A295" i="5"/>
  <c r="T294" i="5"/>
  <c r="S294" i="5"/>
  <c r="R294" i="5"/>
  <c r="Q294" i="5"/>
  <c r="P294" i="5"/>
  <c r="O294" i="5"/>
  <c r="N294" i="5"/>
  <c r="M294" i="5"/>
  <c r="L294" i="5"/>
  <c r="K294" i="5"/>
  <c r="J294" i="5"/>
  <c r="I294" i="5"/>
  <c r="H294" i="5"/>
  <c r="G294" i="5"/>
  <c r="F294" i="5"/>
  <c r="E294" i="5"/>
  <c r="D294" i="5"/>
  <c r="C294" i="5"/>
  <c r="B294" i="5"/>
  <c r="A294" i="5"/>
  <c r="T293" i="5"/>
  <c r="S293" i="5"/>
  <c r="R293" i="5"/>
  <c r="Q293" i="5"/>
  <c r="P293" i="5"/>
  <c r="O293" i="5"/>
  <c r="N293" i="5"/>
  <c r="M293" i="5"/>
  <c r="L293" i="5"/>
  <c r="K293" i="5"/>
  <c r="J293" i="5"/>
  <c r="I293" i="5"/>
  <c r="H293" i="5"/>
  <c r="G293" i="5"/>
  <c r="F293" i="5"/>
  <c r="E293" i="5"/>
  <c r="D293" i="5"/>
  <c r="C293" i="5"/>
  <c r="B293" i="5"/>
  <c r="A293" i="5"/>
  <c r="T292" i="5"/>
  <c r="S292" i="5"/>
  <c r="R292" i="5"/>
  <c r="Q292" i="5"/>
  <c r="P292" i="5"/>
  <c r="O292" i="5"/>
  <c r="N292" i="5"/>
  <c r="M292" i="5"/>
  <c r="L292" i="5"/>
  <c r="K292" i="5"/>
  <c r="J292" i="5"/>
  <c r="I292" i="5"/>
  <c r="H292" i="5"/>
  <c r="G292" i="5"/>
  <c r="F292" i="5"/>
  <c r="E292" i="5"/>
  <c r="D292" i="5"/>
  <c r="C292" i="5"/>
  <c r="B292" i="5"/>
  <c r="A292" i="5"/>
  <c r="T291" i="5"/>
  <c r="S291" i="5"/>
  <c r="R291" i="5"/>
  <c r="Q291" i="5"/>
  <c r="P291" i="5"/>
  <c r="O291" i="5"/>
  <c r="N291" i="5"/>
  <c r="M291" i="5"/>
  <c r="L291" i="5"/>
  <c r="K291" i="5"/>
  <c r="J291" i="5"/>
  <c r="I291" i="5"/>
  <c r="H291" i="5"/>
  <c r="G291" i="5"/>
  <c r="F291" i="5"/>
  <c r="E291" i="5"/>
  <c r="D291" i="5"/>
  <c r="C291" i="5"/>
  <c r="B291" i="5"/>
  <c r="A291" i="5"/>
  <c r="T290" i="5"/>
  <c r="S290" i="5"/>
  <c r="R290" i="5"/>
  <c r="Q290" i="5"/>
  <c r="P290" i="5"/>
  <c r="O290" i="5"/>
  <c r="N290" i="5"/>
  <c r="M290" i="5"/>
  <c r="L290" i="5"/>
  <c r="K290" i="5"/>
  <c r="J290" i="5"/>
  <c r="I290" i="5"/>
  <c r="H290" i="5"/>
  <c r="G290" i="5"/>
  <c r="F290" i="5"/>
  <c r="E290" i="5"/>
  <c r="D290" i="5"/>
  <c r="C290" i="5"/>
  <c r="B290" i="5"/>
  <c r="A290" i="5"/>
  <c r="T289" i="5"/>
  <c r="S289" i="5"/>
  <c r="R289" i="5"/>
  <c r="Q289" i="5"/>
  <c r="P289" i="5"/>
  <c r="O289" i="5"/>
  <c r="N289" i="5"/>
  <c r="M289" i="5"/>
  <c r="L289" i="5"/>
  <c r="K289" i="5"/>
  <c r="J289" i="5"/>
  <c r="I289" i="5"/>
  <c r="H289" i="5"/>
  <c r="G289" i="5"/>
  <c r="F289" i="5"/>
  <c r="E289" i="5"/>
  <c r="D289" i="5"/>
  <c r="C289" i="5"/>
  <c r="B289" i="5"/>
  <c r="A289" i="5"/>
  <c r="T288" i="5"/>
  <c r="S288" i="5"/>
  <c r="R288" i="5"/>
  <c r="Q288" i="5"/>
  <c r="P288" i="5"/>
  <c r="O288" i="5"/>
  <c r="N288" i="5"/>
  <c r="M288" i="5"/>
  <c r="L288" i="5"/>
  <c r="K288" i="5"/>
  <c r="J288" i="5"/>
  <c r="I288" i="5"/>
  <c r="H288" i="5"/>
  <c r="G288" i="5"/>
  <c r="F288" i="5"/>
  <c r="E288" i="5"/>
  <c r="D288" i="5"/>
  <c r="C288" i="5"/>
  <c r="B288" i="5"/>
  <c r="A288" i="5"/>
  <c r="T287" i="5"/>
  <c r="S287" i="5"/>
  <c r="R287" i="5"/>
  <c r="Q287" i="5"/>
  <c r="P287" i="5"/>
  <c r="O287" i="5"/>
  <c r="N287" i="5"/>
  <c r="M287" i="5"/>
  <c r="L287" i="5"/>
  <c r="K287" i="5"/>
  <c r="J287" i="5"/>
  <c r="I287" i="5"/>
  <c r="H287" i="5"/>
  <c r="G287" i="5"/>
  <c r="F287" i="5"/>
  <c r="E287" i="5"/>
  <c r="D287" i="5"/>
  <c r="C287" i="5"/>
  <c r="B287" i="5"/>
  <c r="A287" i="5"/>
  <c r="T286" i="5"/>
  <c r="S286" i="5"/>
  <c r="R286" i="5"/>
  <c r="Q286" i="5"/>
  <c r="P286" i="5"/>
  <c r="O286" i="5"/>
  <c r="N286" i="5"/>
  <c r="M286" i="5"/>
  <c r="L286" i="5"/>
  <c r="K286" i="5"/>
  <c r="J286" i="5"/>
  <c r="I286" i="5"/>
  <c r="H286" i="5"/>
  <c r="G286" i="5"/>
  <c r="F286" i="5"/>
  <c r="E286" i="5"/>
  <c r="D286" i="5"/>
  <c r="C286" i="5"/>
  <c r="B286" i="5"/>
  <c r="A286" i="5"/>
  <c r="T285" i="5"/>
  <c r="S285" i="5"/>
  <c r="R285" i="5"/>
  <c r="Q285" i="5"/>
  <c r="P285" i="5"/>
  <c r="O285" i="5"/>
  <c r="N285" i="5"/>
  <c r="M285" i="5"/>
  <c r="L285" i="5"/>
  <c r="K285" i="5"/>
  <c r="J285" i="5"/>
  <c r="I285" i="5"/>
  <c r="H285" i="5"/>
  <c r="G285" i="5"/>
  <c r="F285" i="5"/>
  <c r="E285" i="5"/>
  <c r="D285" i="5"/>
  <c r="C285" i="5"/>
  <c r="B285" i="5"/>
  <c r="A285" i="5"/>
  <c r="T284" i="5"/>
  <c r="S284" i="5"/>
  <c r="R284" i="5"/>
  <c r="Q284" i="5"/>
  <c r="P284" i="5"/>
  <c r="O284" i="5"/>
  <c r="N284" i="5"/>
  <c r="M284" i="5"/>
  <c r="L284" i="5"/>
  <c r="K284" i="5"/>
  <c r="J284" i="5"/>
  <c r="I284" i="5"/>
  <c r="H284" i="5"/>
  <c r="G284" i="5"/>
  <c r="F284" i="5"/>
  <c r="E284" i="5"/>
  <c r="D284" i="5"/>
  <c r="C284" i="5"/>
  <c r="B284" i="5"/>
  <c r="A284" i="5"/>
  <c r="T283" i="5"/>
  <c r="S283" i="5"/>
  <c r="R283" i="5"/>
  <c r="Q283" i="5"/>
  <c r="P283" i="5"/>
  <c r="O283" i="5"/>
  <c r="N283" i="5"/>
  <c r="M283" i="5"/>
  <c r="L283" i="5"/>
  <c r="K283" i="5"/>
  <c r="J283" i="5"/>
  <c r="I283" i="5"/>
  <c r="H283" i="5"/>
  <c r="G283" i="5"/>
  <c r="F283" i="5"/>
  <c r="E283" i="5"/>
  <c r="D283" i="5"/>
  <c r="C283" i="5"/>
  <c r="B283" i="5"/>
  <c r="A283" i="5"/>
  <c r="T282" i="5"/>
  <c r="S282" i="5"/>
  <c r="R282" i="5"/>
  <c r="Q282" i="5"/>
  <c r="P282" i="5"/>
  <c r="O282" i="5"/>
  <c r="N282" i="5"/>
  <c r="M282" i="5"/>
  <c r="L282" i="5"/>
  <c r="K282" i="5"/>
  <c r="J282" i="5"/>
  <c r="I282" i="5"/>
  <c r="H282" i="5"/>
  <c r="G282" i="5"/>
  <c r="F282" i="5"/>
  <c r="E282" i="5"/>
  <c r="D282" i="5"/>
  <c r="C282" i="5"/>
  <c r="B282" i="5"/>
  <c r="A282" i="5"/>
  <c r="T281" i="5"/>
  <c r="S281" i="5"/>
  <c r="R281" i="5"/>
  <c r="Q281" i="5"/>
  <c r="P281" i="5"/>
  <c r="O281" i="5"/>
  <c r="N281" i="5"/>
  <c r="M281" i="5"/>
  <c r="L281" i="5"/>
  <c r="K281" i="5"/>
  <c r="J281" i="5"/>
  <c r="I281" i="5"/>
  <c r="H281" i="5"/>
  <c r="G281" i="5"/>
  <c r="F281" i="5"/>
  <c r="E281" i="5"/>
  <c r="D281" i="5"/>
  <c r="C281" i="5"/>
  <c r="B281" i="5"/>
  <c r="A281" i="5"/>
  <c r="T280" i="5"/>
  <c r="S280" i="5"/>
  <c r="R280" i="5"/>
  <c r="Q280" i="5"/>
  <c r="P280" i="5"/>
  <c r="O280" i="5"/>
  <c r="N280" i="5"/>
  <c r="M280" i="5"/>
  <c r="L280" i="5"/>
  <c r="K280" i="5"/>
  <c r="J280" i="5"/>
  <c r="I280" i="5"/>
  <c r="H280" i="5"/>
  <c r="G280" i="5"/>
  <c r="F280" i="5"/>
  <c r="E280" i="5"/>
  <c r="D280" i="5"/>
  <c r="C280" i="5"/>
  <c r="B280" i="5"/>
  <c r="A280" i="5"/>
  <c r="T279" i="5"/>
  <c r="S279" i="5"/>
  <c r="R279" i="5"/>
  <c r="Q279" i="5"/>
  <c r="P279" i="5"/>
  <c r="O279" i="5"/>
  <c r="N279" i="5"/>
  <c r="M279" i="5"/>
  <c r="L279" i="5"/>
  <c r="K279" i="5"/>
  <c r="J279" i="5"/>
  <c r="I279" i="5"/>
  <c r="H279" i="5"/>
  <c r="G279" i="5"/>
  <c r="F279" i="5"/>
  <c r="E279" i="5"/>
  <c r="D279" i="5"/>
  <c r="C279" i="5"/>
  <c r="B279" i="5"/>
  <c r="A279" i="5"/>
  <c r="T278" i="5"/>
  <c r="S278" i="5"/>
  <c r="R278" i="5"/>
  <c r="Q278" i="5"/>
  <c r="P278" i="5"/>
  <c r="O278" i="5"/>
  <c r="N278" i="5"/>
  <c r="M278" i="5"/>
  <c r="L278" i="5"/>
  <c r="K278" i="5"/>
  <c r="J278" i="5"/>
  <c r="I278" i="5"/>
  <c r="H278" i="5"/>
  <c r="G278" i="5"/>
  <c r="F278" i="5"/>
  <c r="E278" i="5"/>
  <c r="D278" i="5"/>
  <c r="C278" i="5"/>
  <c r="B278" i="5"/>
  <c r="A278" i="5"/>
  <c r="T277" i="5"/>
  <c r="S277" i="5"/>
  <c r="R277" i="5"/>
  <c r="Q277" i="5"/>
  <c r="P277" i="5"/>
  <c r="O277" i="5"/>
  <c r="N277" i="5"/>
  <c r="M277" i="5"/>
  <c r="L277" i="5"/>
  <c r="K277" i="5"/>
  <c r="J277" i="5"/>
  <c r="I277" i="5"/>
  <c r="H277" i="5"/>
  <c r="G277" i="5"/>
  <c r="F277" i="5"/>
  <c r="E277" i="5"/>
  <c r="D277" i="5"/>
  <c r="C277" i="5"/>
  <c r="B277" i="5"/>
  <c r="A277" i="5"/>
  <c r="T276" i="5"/>
  <c r="S276" i="5"/>
  <c r="R276" i="5"/>
  <c r="Q276" i="5"/>
  <c r="P276" i="5"/>
  <c r="O276" i="5"/>
  <c r="N276" i="5"/>
  <c r="M276" i="5"/>
  <c r="L276" i="5"/>
  <c r="K276" i="5"/>
  <c r="J276" i="5"/>
  <c r="I276" i="5"/>
  <c r="H276" i="5"/>
  <c r="G276" i="5"/>
  <c r="F276" i="5"/>
  <c r="E276" i="5"/>
  <c r="D276" i="5"/>
  <c r="C276" i="5"/>
  <c r="B276" i="5"/>
  <c r="A276" i="5"/>
  <c r="T275" i="5"/>
  <c r="S275" i="5"/>
  <c r="R275" i="5"/>
  <c r="Q275" i="5"/>
  <c r="P275" i="5"/>
  <c r="O275" i="5"/>
  <c r="N275" i="5"/>
  <c r="M275" i="5"/>
  <c r="L275" i="5"/>
  <c r="K275" i="5"/>
  <c r="J275" i="5"/>
  <c r="I275" i="5"/>
  <c r="H275" i="5"/>
  <c r="G275" i="5"/>
  <c r="F275" i="5"/>
  <c r="E275" i="5"/>
  <c r="D275" i="5"/>
  <c r="C275" i="5"/>
  <c r="B275" i="5"/>
  <c r="A275" i="5"/>
  <c r="T274" i="5"/>
  <c r="S274" i="5"/>
  <c r="R274" i="5"/>
  <c r="Q274" i="5"/>
  <c r="P274" i="5"/>
  <c r="O274" i="5"/>
  <c r="N274" i="5"/>
  <c r="M274" i="5"/>
  <c r="L274" i="5"/>
  <c r="K274" i="5"/>
  <c r="J274" i="5"/>
  <c r="I274" i="5"/>
  <c r="H274" i="5"/>
  <c r="G274" i="5"/>
  <c r="F274" i="5"/>
  <c r="E274" i="5"/>
  <c r="D274" i="5"/>
  <c r="C274" i="5"/>
  <c r="B274" i="5"/>
  <c r="A274" i="5"/>
  <c r="T273" i="5"/>
  <c r="S273" i="5"/>
  <c r="R273" i="5"/>
  <c r="Q273" i="5"/>
  <c r="P273" i="5"/>
  <c r="O273" i="5"/>
  <c r="N273" i="5"/>
  <c r="M273" i="5"/>
  <c r="L273" i="5"/>
  <c r="K273" i="5"/>
  <c r="J273" i="5"/>
  <c r="I273" i="5"/>
  <c r="H273" i="5"/>
  <c r="G273" i="5"/>
  <c r="F273" i="5"/>
  <c r="E273" i="5"/>
  <c r="D273" i="5"/>
  <c r="C273" i="5"/>
  <c r="B273" i="5"/>
  <c r="A273" i="5"/>
  <c r="T272" i="5"/>
  <c r="S272" i="5"/>
  <c r="R272" i="5"/>
  <c r="Q272" i="5"/>
  <c r="P272" i="5"/>
  <c r="O272" i="5"/>
  <c r="N272" i="5"/>
  <c r="M272" i="5"/>
  <c r="L272" i="5"/>
  <c r="K272" i="5"/>
  <c r="J272" i="5"/>
  <c r="I272" i="5"/>
  <c r="H272" i="5"/>
  <c r="G272" i="5"/>
  <c r="F272" i="5"/>
  <c r="E272" i="5"/>
  <c r="D272" i="5"/>
  <c r="C272" i="5"/>
  <c r="B272" i="5"/>
  <c r="A272" i="5"/>
  <c r="T271" i="5"/>
  <c r="S271" i="5"/>
  <c r="R271" i="5"/>
  <c r="Q271" i="5"/>
  <c r="P271" i="5"/>
  <c r="O271" i="5"/>
  <c r="N271" i="5"/>
  <c r="M271" i="5"/>
  <c r="L271" i="5"/>
  <c r="K271" i="5"/>
  <c r="J271" i="5"/>
  <c r="I271" i="5"/>
  <c r="H271" i="5"/>
  <c r="G271" i="5"/>
  <c r="F271" i="5"/>
  <c r="E271" i="5"/>
  <c r="D271" i="5"/>
  <c r="C271" i="5"/>
  <c r="B271" i="5"/>
  <c r="A271" i="5"/>
  <c r="T270" i="5"/>
  <c r="S270" i="5"/>
  <c r="R270" i="5"/>
  <c r="Q270" i="5"/>
  <c r="P270" i="5"/>
  <c r="O270" i="5"/>
  <c r="N270" i="5"/>
  <c r="M270" i="5"/>
  <c r="L270" i="5"/>
  <c r="K270" i="5"/>
  <c r="J270" i="5"/>
  <c r="I270" i="5"/>
  <c r="H270" i="5"/>
  <c r="G270" i="5"/>
  <c r="F270" i="5"/>
  <c r="E270" i="5"/>
  <c r="D270" i="5"/>
  <c r="C270" i="5"/>
  <c r="B270" i="5"/>
  <c r="A270" i="5"/>
  <c r="T269" i="5"/>
  <c r="S269" i="5"/>
  <c r="R269" i="5"/>
  <c r="Q269" i="5"/>
  <c r="P269" i="5"/>
  <c r="O269" i="5"/>
  <c r="N269" i="5"/>
  <c r="M269" i="5"/>
  <c r="L269" i="5"/>
  <c r="K269" i="5"/>
  <c r="J269" i="5"/>
  <c r="I269" i="5"/>
  <c r="H269" i="5"/>
  <c r="G269" i="5"/>
  <c r="F269" i="5"/>
  <c r="E269" i="5"/>
  <c r="D269" i="5"/>
  <c r="C269" i="5"/>
  <c r="B269" i="5"/>
  <c r="A269" i="5"/>
  <c r="T268" i="5"/>
  <c r="S268" i="5"/>
  <c r="R268" i="5"/>
  <c r="Q268" i="5"/>
  <c r="P268" i="5"/>
  <c r="O268" i="5"/>
  <c r="N268" i="5"/>
  <c r="M268" i="5"/>
  <c r="L268" i="5"/>
  <c r="K268" i="5"/>
  <c r="J268" i="5"/>
  <c r="I268" i="5"/>
  <c r="H268" i="5"/>
  <c r="G268" i="5"/>
  <c r="F268" i="5"/>
  <c r="E268" i="5"/>
  <c r="D268" i="5"/>
  <c r="C268" i="5"/>
  <c r="B268" i="5"/>
  <c r="A268" i="5"/>
  <c r="T267" i="5"/>
  <c r="S267" i="5"/>
  <c r="R267" i="5"/>
  <c r="Q267" i="5"/>
  <c r="P267" i="5"/>
  <c r="O267" i="5"/>
  <c r="N267" i="5"/>
  <c r="M267" i="5"/>
  <c r="L267" i="5"/>
  <c r="K267" i="5"/>
  <c r="J267" i="5"/>
  <c r="I267" i="5"/>
  <c r="H267" i="5"/>
  <c r="G267" i="5"/>
  <c r="F267" i="5"/>
  <c r="E267" i="5"/>
  <c r="D267" i="5"/>
  <c r="C267" i="5"/>
  <c r="B267" i="5"/>
  <c r="A267" i="5"/>
  <c r="T266" i="5"/>
  <c r="S266" i="5"/>
  <c r="R266" i="5"/>
  <c r="Q266" i="5"/>
  <c r="P266" i="5"/>
  <c r="O266" i="5"/>
  <c r="N266" i="5"/>
  <c r="M266" i="5"/>
  <c r="L266" i="5"/>
  <c r="K266" i="5"/>
  <c r="J266" i="5"/>
  <c r="I266" i="5"/>
  <c r="H266" i="5"/>
  <c r="G266" i="5"/>
  <c r="F266" i="5"/>
  <c r="E266" i="5"/>
  <c r="D266" i="5"/>
  <c r="C266" i="5"/>
  <c r="B266" i="5"/>
  <c r="A266" i="5"/>
  <c r="T265" i="5"/>
  <c r="S265" i="5"/>
  <c r="R265" i="5"/>
  <c r="Q265" i="5"/>
  <c r="P265" i="5"/>
  <c r="O265" i="5"/>
  <c r="N265" i="5"/>
  <c r="M265" i="5"/>
  <c r="L265" i="5"/>
  <c r="K265" i="5"/>
  <c r="J265" i="5"/>
  <c r="I265" i="5"/>
  <c r="H265" i="5"/>
  <c r="G265" i="5"/>
  <c r="F265" i="5"/>
  <c r="E265" i="5"/>
  <c r="D265" i="5"/>
  <c r="C265" i="5"/>
  <c r="B265" i="5"/>
  <c r="A265" i="5"/>
  <c r="T264" i="5"/>
  <c r="S264" i="5"/>
  <c r="R264" i="5"/>
  <c r="Q264" i="5"/>
  <c r="P264" i="5"/>
  <c r="O264" i="5"/>
  <c r="N264" i="5"/>
  <c r="M264" i="5"/>
  <c r="L264" i="5"/>
  <c r="K264" i="5"/>
  <c r="J264" i="5"/>
  <c r="I264" i="5"/>
  <c r="H264" i="5"/>
  <c r="G264" i="5"/>
  <c r="F264" i="5"/>
  <c r="E264" i="5"/>
  <c r="D264" i="5"/>
  <c r="C264" i="5"/>
  <c r="B264" i="5"/>
  <c r="A264" i="5"/>
  <c r="T263" i="5"/>
  <c r="S263" i="5"/>
  <c r="R263" i="5"/>
  <c r="Q263" i="5"/>
  <c r="P263" i="5"/>
  <c r="O263" i="5"/>
  <c r="N263" i="5"/>
  <c r="M263" i="5"/>
  <c r="L263" i="5"/>
  <c r="K263" i="5"/>
  <c r="J263" i="5"/>
  <c r="I263" i="5"/>
  <c r="H263" i="5"/>
  <c r="G263" i="5"/>
  <c r="F263" i="5"/>
  <c r="E263" i="5"/>
  <c r="D263" i="5"/>
  <c r="C263" i="5"/>
  <c r="B263" i="5"/>
  <c r="A263" i="5"/>
  <c r="T262" i="5"/>
  <c r="S262" i="5"/>
  <c r="R262" i="5"/>
  <c r="Q262" i="5"/>
  <c r="P262" i="5"/>
  <c r="O262" i="5"/>
  <c r="N262" i="5"/>
  <c r="M262" i="5"/>
  <c r="L262" i="5"/>
  <c r="K262" i="5"/>
  <c r="J262" i="5"/>
  <c r="I262" i="5"/>
  <c r="H262" i="5"/>
  <c r="G262" i="5"/>
  <c r="F262" i="5"/>
  <c r="E262" i="5"/>
  <c r="D262" i="5"/>
  <c r="C262" i="5"/>
  <c r="B262" i="5"/>
  <c r="A262" i="5"/>
  <c r="T261" i="5"/>
  <c r="S261" i="5"/>
  <c r="R261" i="5"/>
  <c r="Q261" i="5"/>
  <c r="P261" i="5"/>
  <c r="O261" i="5"/>
  <c r="N261" i="5"/>
  <c r="M261" i="5"/>
  <c r="L261" i="5"/>
  <c r="K261" i="5"/>
  <c r="J261" i="5"/>
  <c r="I261" i="5"/>
  <c r="H261" i="5"/>
  <c r="G261" i="5"/>
  <c r="F261" i="5"/>
  <c r="E261" i="5"/>
  <c r="D261" i="5"/>
  <c r="C261" i="5"/>
  <c r="B261" i="5"/>
  <c r="A261" i="5"/>
  <c r="T260" i="5"/>
  <c r="S260" i="5"/>
  <c r="R260" i="5"/>
  <c r="Q260" i="5"/>
  <c r="P260" i="5"/>
  <c r="O260" i="5"/>
  <c r="N260" i="5"/>
  <c r="M260" i="5"/>
  <c r="L260" i="5"/>
  <c r="K260" i="5"/>
  <c r="J260" i="5"/>
  <c r="I260" i="5"/>
  <c r="H260" i="5"/>
  <c r="G260" i="5"/>
  <c r="F260" i="5"/>
  <c r="E260" i="5"/>
  <c r="D260" i="5"/>
  <c r="C260" i="5"/>
  <c r="B260" i="5"/>
  <c r="A260" i="5"/>
  <c r="T259" i="5"/>
  <c r="S259" i="5"/>
  <c r="R259" i="5"/>
  <c r="Q259" i="5"/>
  <c r="P259" i="5"/>
  <c r="O259" i="5"/>
  <c r="N259" i="5"/>
  <c r="M259" i="5"/>
  <c r="L259" i="5"/>
  <c r="K259" i="5"/>
  <c r="J259" i="5"/>
  <c r="I259" i="5"/>
  <c r="H259" i="5"/>
  <c r="G259" i="5"/>
  <c r="F259" i="5"/>
  <c r="E259" i="5"/>
  <c r="D259" i="5"/>
  <c r="C259" i="5"/>
  <c r="B259" i="5"/>
  <c r="A259" i="5"/>
  <c r="T258" i="5"/>
  <c r="S258" i="5"/>
  <c r="R258" i="5"/>
  <c r="Q258" i="5"/>
  <c r="P258" i="5"/>
  <c r="O258" i="5"/>
  <c r="N258" i="5"/>
  <c r="M258" i="5"/>
  <c r="L258" i="5"/>
  <c r="K258" i="5"/>
  <c r="J258" i="5"/>
  <c r="I258" i="5"/>
  <c r="H258" i="5"/>
  <c r="G258" i="5"/>
  <c r="F258" i="5"/>
  <c r="E258" i="5"/>
  <c r="D258" i="5"/>
  <c r="C258" i="5"/>
  <c r="B258" i="5"/>
  <c r="A258" i="5"/>
  <c r="T257" i="5"/>
  <c r="S257" i="5"/>
  <c r="R257" i="5"/>
  <c r="Q257" i="5"/>
  <c r="P257" i="5"/>
  <c r="O257" i="5"/>
  <c r="N257" i="5"/>
  <c r="M257" i="5"/>
  <c r="L257" i="5"/>
  <c r="K257" i="5"/>
  <c r="J257" i="5"/>
  <c r="I257" i="5"/>
  <c r="H257" i="5"/>
  <c r="G257" i="5"/>
  <c r="F257" i="5"/>
  <c r="E257" i="5"/>
  <c r="D257" i="5"/>
  <c r="C257" i="5"/>
  <c r="B257" i="5"/>
  <c r="A257" i="5"/>
  <c r="T256" i="5"/>
  <c r="S256" i="5"/>
  <c r="R256" i="5"/>
  <c r="Q256" i="5"/>
  <c r="P256" i="5"/>
  <c r="O256" i="5"/>
  <c r="N256" i="5"/>
  <c r="M256" i="5"/>
  <c r="L256" i="5"/>
  <c r="K256" i="5"/>
  <c r="J256" i="5"/>
  <c r="I256" i="5"/>
  <c r="H256" i="5"/>
  <c r="G256" i="5"/>
  <c r="F256" i="5"/>
  <c r="E256" i="5"/>
  <c r="D256" i="5"/>
  <c r="C256" i="5"/>
  <c r="B256" i="5"/>
  <c r="A256" i="5"/>
  <c r="T255" i="5"/>
  <c r="S255" i="5"/>
  <c r="R255" i="5"/>
  <c r="Q255" i="5"/>
  <c r="P255" i="5"/>
  <c r="O255" i="5"/>
  <c r="N255" i="5"/>
  <c r="M255" i="5"/>
  <c r="L255" i="5"/>
  <c r="K255" i="5"/>
  <c r="J255" i="5"/>
  <c r="I255" i="5"/>
  <c r="H255" i="5"/>
  <c r="G255" i="5"/>
  <c r="F255" i="5"/>
  <c r="E255" i="5"/>
  <c r="D255" i="5"/>
  <c r="C255" i="5"/>
  <c r="B255" i="5"/>
  <c r="A255" i="5"/>
  <c r="T254" i="5"/>
  <c r="S254" i="5"/>
  <c r="R254" i="5"/>
  <c r="Q254" i="5"/>
  <c r="P254" i="5"/>
  <c r="O254" i="5"/>
  <c r="N254" i="5"/>
  <c r="M254" i="5"/>
  <c r="L254" i="5"/>
  <c r="K254" i="5"/>
  <c r="J254" i="5"/>
  <c r="I254" i="5"/>
  <c r="H254" i="5"/>
  <c r="G254" i="5"/>
  <c r="F254" i="5"/>
  <c r="E254" i="5"/>
  <c r="D254" i="5"/>
  <c r="C254" i="5"/>
  <c r="B254" i="5"/>
  <c r="A254" i="5"/>
  <c r="T253" i="5"/>
  <c r="S253" i="5"/>
  <c r="R253" i="5"/>
  <c r="Q253" i="5"/>
  <c r="P253" i="5"/>
  <c r="O253" i="5"/>
  <c r="N253" i="5"/>
  <c r="M253" i="5"/>
  <c r="L253" i="5"/>
  <c r="K253" i="5"/>
  <c r="J253" i="5"/>
  <c r="I253" i="5"/>
  <c r="H253" i="5"/>
  <c r="G253" i="5"/>
  <c r="F253" i="5"/>
  <c r="E253" i="5"/>
  <c r="D253" i="5"/>
  <c r="C253" i="5"/>
  <c r="B253" i="5"/>
  <c r="A253" i="5"/>
  <c r="T252" i="5"/>
  <c r="S252" i="5"/>
  <c r="R252" i="5"/>
  <c r="Q252" i="5"/>
  <c r="P252" i="5"/>
  <c r="O252" i="5"/>
  <c r="N252" i="5"/>
  <c r="M252" i="5"/>
  <c r="L252" i="5"/>
  <c r="K252" i="5"/>
  <c r="J252" i="5"/>
  <c r="I252" i="5"/>
  <c r="H252" i="5"/>
  <c r="G252" i="5"/>
  <c r="F252" i="5"/>
  <c r="E252" i="5"/>
  <c r="D252" i="5"/>
  <c r="C252" i="5"/>
  <c r="B252" i="5"/>
  <c r="A252" i="5"/>
  <c r="T251" i="5"/>
  <c r="S251" i="5"/>
  <c r="R251" i="5"/>
  <c r="Q251" i="5"/>
  <c r="P251" i="5"/>
  <c r="O251" i="5"/>
  <c r="N251" i="5"/>
  <c r="M251" i="5"/>
  <c r="L251" i="5"/>
  <c r="K251" i="5"/>
  <c r="J251" i="5"/>
  <c r="I251" i="5"/>
  <c r="H251" i="5"/>
  <c r="G251" i="5"/>
  <c r="F251" i="5"/>
  <c r="E251" i="5"/>
  <c r="D251" i="5"/>
  <c r="C251" i="5"/>
  <c r="B251" i="5"/>
  <c r="A251" i="5"/>
  <c r="T250" i="5"/>
  <c r="S250" i="5"/>
  <c r="R250" i="5"/>
  <c r="Q250" i="5"/>
  <c r="P250" i="5"/>
  <c r="O250" i="5"/>
  <c r="N250" i="5"/>
  <c r="M250" i="5"/>
  <c r="L250" i="5"/>
  <c r="K250" i="5"/>
  <c r="J250" i="5"/>
  <c r="I250" i="5"/>
  <c r="H250" i="5"/>
  <c r="G250" i="5"/>
  <c r="F250" i="5"/>
  <c r="E250" i="5"/>
  <c r="D250" i="5"/>
  <c r="C250" i="5"/>
  <c r="B250" i="5"/>
  <c r="A250" i="5"/>
  <c r="T249" i="5"/>
  <c r="S249" i="5"/>
  <c r="R249" i="5"/>
  <c r="Q249" i="5"/>
  <c r="P249" i="5"/>
  <c r="O249" i="5"/>
  <c r="N249" i="5"/>
  <c r="M249" i="5"/>
  <c r="L249" i="5"/>
  <c r="K249" i="5"/>
  <c r="J249" i="5"/>
  <c r="I249" i="5"/>
  <c r="H249" i="5"/>
  <c r="G249" i="5"/>
  <c r="F249" i="5"/>
  <c r="E249" i="5"/>
  <c r="D249" i="5"/>
  <c r="C249" i="5"/>
  <c r="B249" i="5"/>
  <c r="A249" i="5"/>
  <c r="T248" i="5"/>
  <c r="S248" i="5"/>
  <c r="R248" i="5"/>
  <c r="Q248" i="5"/>
  <c r="P248" i="5"/>
  <c r="O248" i="5"/>
  <c r="N248" i="5"/>
  <c r="M248" i="5"/>
  <c r="L248" i="5"/>
  <c r="K248" i="5"/>
  <c r="J248" i="5"/>
  <c r="I248" i="5"/>
  <c r="H248" i="5"/>
  <c r="G248" i="5"/>
  <c r="F248" i="5"/>
  <c r="E248" i="5"/>
  <c r="D248" i="5"/>
  <c r="C248" i="5"/>
  <c r="B248" i="5"/>
  <c r="A248" i="5"/>
  <c r="T247" i="5"/>
  <c r="S247" i="5"/>
  <c r="R247" i="5"/>
  <c r="Q247" i="5"/>
  <c r="P247" i="5"/>
  <c r="O247" i="5"/>
  <c r="N247" i="5"/>
  <c r="M247" i="5"/>
  <c r="L247" i="5"/>
  <c r="K247" i="5"/>
  <c r="J247" i="5"/>
  <c r="I247" i="5"/>
  <c r="H247" i="5"/>
  <c r="G247" i="5"/>
  <c r="F247" i="5"/>
  <c r="E247" i="5"/>
  <c r="D247" i="5"/>
  <c r="C247" i="5"/>
  <c r="B247" i="5"/>
  <c r="A247" i="5"/>
  <c r="T246" i="5"/>
  <c r="S246" i="5"/>
  <c r="R246" i="5"/>
  <c r="Q246" i="5"/>
  <c r="P246" i="5"/>
  <c r="O246" i="5"/>
  <c r="N246" i="5"/>
  <c r="M246" i="5"/>
  <c r="L246" i="5"/>
  <c r="K246" i="5"/>
  <c r="J246" i="5"/>
  <c r="I246" i="5"/>
  <c r="H246" i="5"/>
  <c r="G246" i="5"/>
  <c r="F246" i="5"/>
  <c r="E246" i="5"/>
  <c r="D246" i="5"/>
  <c r="C246" i="5"/>
  <c r="B246" i="5"/>
  <c r="A246" i="5"/>
  <c r="T245" i="5"/>
  <c r="S245" i="5"/>
  <c r="R245" i="5"/>
  <c r="Q245" i="5"/>
  <c r="P245" i="5"/>
  <c r="O245" i="5"/>
  <c r="N245" i="5"/>
  <c r="M245" i="5"/>
  <c r="L245" i="5"/>
  <c r="K245" i="5"/>
  <c r="J245" i="5"/>
  <c r="I245" i="5"/>
  <c r="H245" i="5"/>
  <c r="G245" i="5"/>
  <c r="F245" i="5"/>
  <c r="E245" i="5"/>
  <c r="D245" i="5"/>
  <c r="C245" i="5"/>
  <c r="B245" i="5"/>
  <c r="A245" i="5"/>
  <c r="T244" i="5"/>
  <c r="S244" i="5"/>
  <c r="R244" i="5"/>
  <c r="Q244" i="5"/>
  <c r="P244" i="5"/>
  <c r="O244" i="5"/>
  <c r="N244" i="5"/>
  <c r="M244" i="5"/>
  <c r="L244" i="5"/>
  <c r="K244" i="5"/>
  <c r="J244" i="5"/>
  <c r="I244" i="5"/>
  <c r="H244" i="5"/>
  <c r="G244" i="5"/>
  <c r="F244" i="5"/>
  <c r="E244" i="5"/>
  <c r="D244" i="5"/>
  <c r="C244" i="5"/>
  <c r="B244" i="5"/>
  <c r="A244" i="5"/>
  <c r="T243" i="5"/>
  <c r="S243" i="5"/>
  <c r="R243" i="5"/>
  <c r="Q243" i="5"/>
  <c r="P243" i="5"/>
  <c r="O243" i="5"/>
  <c r="N243" i="5"/>
  <c r="M243" i="5"/>
  <c r="L243" i="5"/>
  <c r="K243" i="5"/>
  <c r="J243" i="5"/>
  <c r="I243" i="5"/>
  <c r="H243" i="5"/>
  <c r="G243" i="5"/>
  <c r="F243" i="5"/>
  <c r="E243" i="5"/>
  <c r="D243" i="5"/>
  <c r="C243" i="5"/>
  <c r="B243" i="5"/>
  <c r="A243" i="5"/>
  <c r="T242" i="5"/>
  <c r="S242" i="5"/>
  <c r="R242" i="5"/>
  <c r="Q242" i="5"/>
  <c r="P242" i="5"/>
  <c r="O242" i="5"/>
  <c r="N242" i="5"/>
  <c r="M242" i="5"/>
  <c r="L242" i="5"/>
  <c r="K242" i="5"/>
  <c r="J242" i="5"/>
  <c r="I242" i="5"/>
  <c r="H242" i="5"/>
  <c r="G242" i="5"/>
  <c r="F242" i="5"/>
  <c r="E242" i="5"/>
  <c r="D242" i="5"/>
  <c r="C242" i="5"/>
  <c r="B242" i="5"/>
  <c r="A242" i="5"/>
  <c r="T241" i="5"/>
  <c r="S241" i="5"/>
  <c r="R241" i="5"/>
  <c r="Q241" i="5"/>
  <c r="P241" i="5"/>
  <c r="O241" i="5"/>
  <c r="N241" i="5"/>
  <c r="M241" i="5"/>
  <c r="L241" i="5"/>
  <c r="K241" i="5"/>
  <c r="J241" i="5"/>
  <c r="I241" i="5"/>
  <c r="H241" i="5"/>
  <c r="G241" i="5"/>
  <c r="F241" i="5"/>
  <c r="E241" i="5"/>
  <c r="D241" i="5"/>
  <c r="C241" i="5"/>
  <c r="B241" i="5"/>
  <c r="A241" i="5"/>
  <c r="T240" i="5"/>
  <c r="S240" i="5"/>
  <c r="R240" i="5"/>
  <c r="Q240" i="5"/>
  <c r="P240" i="5"/>
  <c r="O240" i="5"/>
  <c r="N240" i="5"/>
  <c r="M240" i="5"/>
  <c r="L240" i="5"/>
  <c r="K240" i="5"/>
  <c r="J240" i="5"/>
  <c r="I240" i="5"/>
  <c r="H240" i="5"/>
  <c r="G240" i="5"/>
  <c r="F240" i="5"/>
  <c r="E240" i="5"/>
  <c r="D240" i="5"/>
  <c r="C240" i="5"/>
  <c r="B240" i="5"/>
  <c r="A240" i="5"/>
  <c r="T239" i="5"/>
  <c r="S239" i="5"/>
  <c r="R239" i="5"/>
  <c r="Q239" i="5"/>
  <c r="P239" i="5"/>
  <c r="O239" i="5"/>
  <c r="N239" i="5"/>
  <c r="M239" i="5"/>
  <c r="L239" i="5"/>
  <c r="K239" i="5"/>
  <c r="J239" i="5"/>
  <c r="I239" i="5"/>
  <c r="H239" i="5"/>
  <c r="G239" i="5"/>
  <c r="F239" i="5"/>
  <c r="E239" i="5"/>
  <c r="D239" i="5"/>
  <c r="C239" i="5"/>
  <c r="B239" i="5"/>
  <c r="A239" i="5"/>
  <c r="T238" i="5"/>
  <c r="S238" i="5"/>
  <c r="R238" i="5"/>
  <c r="Q238" i="5"/>
  <c r="P238" i="5"/>
  <c r="O238" i="5"/>
  <c r="N238" i="5"/>
  <c r="M238" i="5"/>
  <c r="L238" i="5"/>
  <c r="K238" i="5"/>
  <c r="J238" i="5"/>
  <c r="I238" i="5"/>
  <c r="H238" i="5"/>
  <c r="G238" i="5"/>
  <c r="F238" i="5"/>
  <c r="E238" i="5"/>
  <c r="D238" i="5"/>
  <c r="C238" i="5"/>
  <c r="B238" i="5"/>
  <c r="A238" i="5"/>
  <c r="T237" i="5"/>
  <c r="S237" i="5"/>
  <c r="R237" i="5"/>
  <c r="Q237" i="5"/>
  <c r="P237" i="5"/>
  <c r="O237" i="5"/>
  <c r="N237" i="5"/>
  <c r="M237" i="5"/>
  <c r="L237" i="5"/>
  <c r="K237" i="5"/>
  <c r="J237" i="5"/>
  <c r="I237" i="5"/>
  <c r="H237" i="5"/>
  <c r="G237" i="5"/>
  <c r="F237" i="5"/>
  <c r="E237" i="5"/>
  <c r="D237" i="5"/>
  <c r="C237" i="5"/>
  <c r="B237" i="5"/>
  <c r="A237" i="5"/>
  <c r="T236" i="5"/>
  <c r="S236" i="5"/>
  <c r="R236" i="5"/>
  <c r="Q236" i="5"/>
  <c r="P236" i="5"/>
  <c r="O236" i="5"/>
  <c r="N236" i="5"/>
  <c r="M236" i="5"/>
  <c r="L236" i="5"/>
  <c r="K236" i="5"/>
  <c r="J236" i="5"/>
  <c r="I236" i="5"/>
  <c r="H236" i="5"/>
  <c r="G236" i="5"/>
  <c r="F236" i="5"/>
  <c r="E236" i="5"/>
  <c r="D236" i="5"/>
  <c r="C236" i="5"/>
  <c r="B236" i="5"/>
  <c r="A236" i="5"/>
  <c r="T235" i="5"/>
  <c r="S235" i="5"/>
  <c r="R235" i="5"/>
  <c r="Q235" i="5"/>
  <c r="P235" i="5"/>
  <c r="O235" i="5"/>
  <c r="N235" i="5"/>
  <c r="M235" i="5"/>
  <c r="L235" i="5"/>
  <c r="K235" i="5"/>
  <c r="J235" i="5"/>
  <c r="I235" i="5"/>
  <c r="H235" i="5"/>
  <c r="G235" i="5"/>
  <c r="F235" i="5"/>
  <c r="E235" i="5"/>
  <c r="D235" i="5"/>
  <c r="C235" i="5"/>
  <c r="B235" i="5"/>
  <c r="A235" i="5"/>
  <c r="T234" i="5"/>
  <c r="S234" i="5"/>
  <c r="R234" i="5"/>
  <c r="Q234" i="5"/>
  <c r="P234" i="5"/>
  <c r="O234" i="5"/>
  <c r="N234" i="5"/>
  <c r="M234" i="5"/>
  <c r="L234" i="5"/>
  <c r="K234" i="5"/>
  <c r="J234" i="5"/>
  <c r="I234" i="5"/>
  <c r="H234" i="5"/>
  <c r="G234" i="5"/>
  <c r="F234" i="5"/>
  <c r="E234" i="5"/>
  <c r="D234" i="5"/>
  <c r="C234" i="5"/>
  <c r="B234" i="5"/>
  <c r="A234" i="5"/>
  <c r="T233" i="5"/>
  <c r="S233" i="5"/>
  <c r="R233" i="5"/>
  <c r="Q233" i="5"/>
  <c r="P233" i="5"/>
  <c r="O233" i="5"/>
  <c r="N233" i="5"/>
  <c r="M233" i="5"/>
  <c r="L233" i="5"/>
  <c r="K233" i="5"/>
  <c r="J233" i="5"/>
  <c r="I233" i="5"/>
  <c r="H233" i="5"/>
  <c r="G233" i="5"/>
  <c r="F233" i="5"/>
  <c r="E233" i="5"/>
  <c r="D233" i="5"/>
  <c r="C233" i="5"/>
  <c r="B233" i="5"/>
  <c r="A233" i="5"/>
  <c r="T232" i="5"/>
  <c r="S232" i="5"/>
  <c r="R232" i="5"/>
  <c r="Q232" i="5"/>
  <c r="P232" i="5"/>
  <c r="O232" i="5"/>
  <c r="N232" i="5"/>
  <c r="M232" i="5"/>
  <c r="L232" i="5"/>
  <c r="K232" i="5"/>
  <c r="J232" i="5"/>
  <c r="I232" i="5"/>
  <c r="H232" i="5"/>
  <c r="G232" i="5"/>
  <c r="F232" i="5"/>
  <c r="E232" i="5"/>
  <c r="D232" i="5"/>
  <c r="C232" i="5"/>
  <c r="B232" i="5"/>
  <c r="A232" i="5"/>
  <c r="T231" i="5"/>
  <c r="S231" i="5"/>
  <c r="R231" i="5"/>
  <c r="Q231" i="5"/>
  <c r="P231" i="5"/>
  <c r="O231" i="5"/>
  <c r="N231" i="5"/>
  <c r="M231" i="5"/>
  <c r="L231" i="5"/>
  <c r="K231" i="5"/>
  <c r="J231" i="5"/>
  <c r="I231" i="5"/>
  <c r="H231" i="5"/>
  <c r="G231" i="5"/>
  <c r="F231" i="5"/>
  <c r="E231" i="5"/>
  <c r="D231" i="5"/>
  <c r="C231" i="5"/>
  <c r="B231" i="5"/>
  <c r="A231" i="5"/>
  <c r="T230" i="5"/>
  <c r="S230" i="5"/>
  <c r="R230" i="5"/>
  <c r="Q230" i="5"/>
  <c r="P230" i="5"/>
  <c r="O230" i="5"/>
  <c r="N230" i="5"/>
  <c r="M230" i="5"/>
  <c r="L230" i="5"/>
  <c r="K230" i="5"/>
  <c r="J230" i="5"/>
  <c r="I230" i="5"/>
  <c r="H230" i="5"/>
  <c r="G230" i="5"/>
  <c r="F230" i="5"/>
  <c r="E230" i="5"/>
  <c r="D230" i="5"/>
  <c r="C230" i="5"/>
  <c r="B230" i="5"/>
  <c r="A230" i="5"/>
  <c r="T229" i="5"/>
  <c r="S229" i="5"/>
  <c r="R229" i="5"/>
  <c r="Q229" i="5"/>
  <c r="P229" i="5"/>
  <c r="O229" i="5"/>
  <c r="N229" i="5"/>
  <c r="M229" i="5"/>
  <c r="L229" i="5"/>
  <c r="K229" i="5"/>
  <c r="J229" i="5"/>
  <c r="I229" i="5"/>
  <c r="H229" i="5"/>
  <c r="G229" i="5"/>
  <c r="F229" i="5"/>
  <c r="E229" i="5"/>
  <c r="D229" i="5"/>
  <c r="C229" i="5"/>
  <c r="B229" i="5"/>
  <c r="A229" i="5"/>
  <c r="T228" i="5"/>
  <c r="S228" i="5"/>
  <c r="R228" i="5"/>
  <c r="Q228" i="5"/>
  <c r="P228" i="5"/>
  <c r="O228" i="5"/>
  <c r="N228" i="5"/>
  <c r="M228" i="5"/>
  <c r="L228" i="5"/>
  <c r="K228" i="5"/>
  <c r="J228" i="5"/>
  <c r="I228" i="5"/>
  <c r="H228" i="5"/>
  <c r="G228" i="5"/>
  <c r="F228" i="5"/>
  <c r="E228" i="5"/>
  <c r="D228" i="5"/>
  <c r="C228" i="5"/>
  <c r="B228" i="5"/>
  <c r="A228" i="5"/>
  <c r="T227" i="5"/>
  <c r="S227" i="5"/>
  <c r="R227" i="5"/>
  <c r="Q227" i="5"/>
  <c r="P227" i="5"/>
  <c r="O227" i="5"/>
  <c r="N227" i="5"/>
  <c r="M227" i="5"/>
  <c r="L227" i="5"/>
  <c r="K227" i="5"/>
  <c r="J227" i="5"/>
  <c r="I227" i="5"/>
  <c r="H227" i="5"/>
  <c r="G227" i="5"/>
  <c r="F227" i="5"/>
  <c r="E227" i="5"/>
  <c r="D227" i="5"/>
  <c r="C227" i="5"/>
  <c r="B227" i="5"/>
  <c r="A227" i="5"/>
  <c r="T226" i="5"/>
  <c r="S226" i="5"/>
  <c r="R226" i="5"/>
  <c r="Q226" i="5"/>
  <c r="P226" i="5"/>
  <c r="O226" i="5"/>
  <c r="N226" i="5"/>
  <c r="M226" i="5"/>
  <c r="L226" i="5"/>
  <c r="K226" i="5"/>
  <c r="J226" i="5"/>
  <c r="I226" i="5"/>
  <c r="H226" i="5"/>
  <c r="G226" i="5"/>
  <c r="F226" i="5"/>
  <c r="E226" i="5"/>
  <c r="D226" i="5"/>
  <c r="C226" i="5"/>
  <c r="B226" i="5"/>
  <c r="A226" i="5"/>
  <c r="T225" i="5"/>
  <c r="S225" i="5"/>
  <c r="R225" i="5"/>
  <c r="Q225" i="5"/>
  <c r="P225" i="5"/>
  <c r="O225" i="5"/>
  <c r="N225" i="5"/>
  <c r="M225" i="5"/>
  <c r="L225" i="5"/>
  <c r="K225" i="5"/>
  <c r="J225" i="5"/>
  <c r="I225" i="5"/>
  <c r="H225" i="5"/>
  <c r="G225" i="5"/>
  <c r="F225" i="5"/>
  <c r="E225" i="5"/>
  <c r="D225" i="5"/>
  <c r="C225" i="5"/>
  <c r="B225" i="5"/>
  <c r="A225" i="5"/>
  <c r="T224" i="5"/>
  <c r="S224" i="5"/>
  <c r="R224" i="5"/>
  <c r="Q224" i="5"/>
  <c r="P224" i="5"/>
  <c r="O224" i="5"/>
  <c r="N224" i="5"/>
  <c r="M224" i="5"/>
  <c r="L224" i="5"/>
  <c r="K224" i="5"/>
  <c r="J224" i="5"/>
  <c r="I224" i="5"/>
  <c r="H224" i="5"/>
  <c r="G224" i="5"/>
  <c r="F224" i="5"/>
  <c r="E224" i="5"/>
  <c r="D224" i="5"/>
  <c r="C224" i="5"/>
  <c r="B224" i="5"/>
  <c r="A224" i="5"/>
  <c r="T223" i="5"/>
  <c r="S223" i="5"/>
  <c r="R223" i="5"/>
  <c r="Q223" i="5"/>
  <c r="P223" i="5"/>
  <c r="O223" i="5"/>
  <c r="N223" i="5"/>
  <c r="M223" i="5"/>
  <c r="L223" i="5"/>
  <c r="K223" i="5"/>
  <c r="J223" i="5"/>
  <c r="I223" i="5"/>
  <c r="H223" i="5"/>
  <c r="G223" i="5"/>
  <c r="F223" i="5"/>
  <c r="E223" i="5"/>
  <c r="D223" i="5"/>
  <c r="C223" i="5"/>
  <c r="B223" i="5"/>
  <c r="A223" i="5"/>
  <c r="T222" i="5"/>
  <c r="S222" i="5"/>
  <c r="R222" i="5"/>
  <c r="Q222" i="5"/>
  <c r="P222" i="5"/>
  <c r="O222" i="5"/>
  <c r="N222" i="5"/>
  <c r="M222" i="5"/>
  <c r="L222" i="5"/>
  <c r="K222" i="5"/>
  <c r="J222" i="5"/>
  <c r="I222" i="5"/>
  <c r="H222" i="5"/>
  <c r="G222" i="5"/>
  <c r="F222" i="5"/>
  <c r="E222" i="5"/>
  <c r="D222" i="5"/>
  <c r="C222" i="5"/>
  <c r="B222" i="5"/>
  <c r="A222" i="5"/>
  <c r="T221" i="5"/>
  <c r="S221" i="5"/>
  <c r="R221" i="5"/>
  <c r="Q221" i="5"/>
  <c r="P221" i="5"/>
  <c r="O221" i="5"/>
  <c r="N221" i="5"/>
  <c r="M221" i="5"/>
  <c r="L221" i="5"/>
  <c r="K221" i="5"/>
  <c r="J221" i="5"/>
  <c r="I221" i="5"/>
  <c r="H221" i="5"/>
  <c r="G221" i="5"/>
  <c r="F221" i="5"/>
  <c r="E221" i="5"/>
  <c r="D221" i="5"/>
  <c r="C221" i="5"/>
  <c r="B221" i="5"/>
  <c r="A221" i="5"/>
  <c r="T220" i="5"/>
  <c r="S220" i="5"/>
  <c r="R220" i="5"/>
  <c r="Q220" i="5"/>
  <c r="P220" i="5"/>
  <c r="O220" i="5"/>
  <c r="N220" i="5"/>
  <c r="M220" i="5"/>
  <c r="L220" i="5"/>
  <c r="K220" i="5"/>
  <c r="J220" i="5"/>
  <c r="I220" i="5"/>
  <c r="H220" i="5"/>
  <c r="G220" i="5"/>
  <c r="F220" i="5"/>
  <c r="E220" i="5"/>
  <c r="D220" i="5"/>
  <c r="C220" i="5"/>
  <c r="B220" i="5"/>
  <c r="A220" i="5"/>
  <c r="T219" i="5"/>
  <c r="S219" i="5"/>
  <c r="R219" i="5"/>
  <c r="Q219" i="5"/>
  <c r="P219" i="5"/>
  <c r="O219" i="5"/>
  <c r="N219" i="5"/>
  <c r="M219" i="5"/>
  <c r="L219" i="5"/>
  <c r="K219" i="5"/>
  <c r="J219" i="5"/>
  <c r="I219" i="5"/>
  <c r="H219" i="5"/>
  <c r="G219" i="5"/>
  <c r="F219" i="5"/>
  <c r="E219" i="5"/>
  <c r="D219" i="5"/>
  <c r="C219" i="5"/>
  <c r="B219" i="5"/>
  <c r="A219" i="5"/>
  <c r="T218" i="5"/>
  <c r="S218" i="5"/>
  <c r="R218" i="5"/>
  <c r="Q218" i="5"/>
  <c r="P218" i="5"/>
  <c r="O218" i="5"/>
  <c r="N218" i="5"/>
  <c r="M218" i="5"/>
  <c r="L218" i="5"/>
  <c r="K218" i="5"/>
  <c r="J218" i="5"/>
  <c r="I218" i="5"/>
  <c r="H218" i="5"/>
  <c r="G218" i="5"/>
  <c r="F218" i="5"/>
  <c r="E218" i="5"/>
  <c r="D218" i="5"/>
  <c r="C218" i="5"/>
  <c r="B218" i="5"/>
  <c r="A218" i="5"/>
  <c r="T217" i="5"/>
  <c r="S217" i="5"/>
  <c r="R217" i="5"/>
  <c r="Q217" i="5"/>
  <c r="P217" i="5"/>
  <c r="O217" i="5"/>
  <c r="N217" i="5"/>
  <c r="M217" i="5"/>
  <c r="L217" i="5"/>
  <c r="K217" i="5"/>
  <c r="J217" i="5"/>
  <c r="I217" i="5"/>
  <c r="H217" i="5"/>
  <c r="G217" i="5"/>
  <c r="F217" i="5"/>
  <c r="E217" i="5"/>
  <c r="D217" i="5"/>
  <c r="C217" i="5"/>
  <c r="B217" i="5"/>
  <c r="A217" i="5"/>
  <c r="T216" i="5"/>
  <c r="S216" i="5"/>
  <c r="R216" i="5"/>
  <c r="Q216" i="5"/>
  <c r="P216" i="5"/>
  <c r="O216" i="5"/>
  <c r="N216" i="5"/>
  <c r="M216" i="5"/>
  <c r="L216" i="5"/>
  <c r="K216" i="5"/>
  <c r="J216" i="5"/>
  <c r="I216" i="5"/>
  <c r="H216" i="5"/>
  <c r="G216" i="5"/>
  <c r="F216" i="5"/>
  <c r="E216" i="5"/>
  <c r="D216" i="5"/>
  <c r="C216" i="5"/>
  <c r="B216" i="5"/>
  <c r="A216" i="5"/>
  <c r="T215" i="5"/>
  <c r="S215" i="5"/>
  <c r="R215" i="5"/>
  <c r="Q215" i="5"/>
  <c r="P215" i="5"/>
  <c r="O215" i="5"/>
  <c r="N215" i="5"/>
  <c r="M215" i="5"/>
  <c r="L215" i="5"/>
  <c r="K215" i="5"/>
  <c r="J215" i="5"/>
  <c r="I215" i="5"/>
  <c r="H215" i="5"/>
  <c r="G215" i="5"/>
  <c r="F215" i="5"/>
  <c r="E215" i="5"/>
  <c r="D215" i="5"/>
  <c r="C215" i="5"/>
  <c r="B215" i="5"/>
  <c r="A215" i="5"/>
  <c r="T214" i="5"/>
  <c r="S214" i="5"/>
  <c r="R214" i="5"/>
  <c r="Q214" i="5"/>
  <c r="P214" i="5"/>
  <c r="O214" i="5"/>
  <c r="N214" i="5"/>
  <c r="M214" i="5"/>
  <c r="L214" i="5"/>
  <c r="K214" i="5"/>
  <c r="J214" i="5"/>
  <c r="I214" i="5"/>
  <c r="H214" i="5"/>
  <c r="G214" i="5"/>
  <c r="F214" i="5"/>
  <c r="E214" i="5"/>
  <c r="D214" i="5"/>
  <c r="C214" i="5"/>
  <c r="B214" i="5"/>
  <c r="A214" i="5"/>
  <c r="T213" i="5"/>
  <c r="S213" i="5"/>
  <c r="R213" i="5"/>
  <c r="Q213" i="5"/>
  <c r="P213" i="5"/>
  <c r="O213" i="5"/>
  <c r="N213" i="5"/>
  <c r="M213" i="5"/>
  <c r="L213" i="5"/>
  <c r="K213" i="5"/>
  <c r="J213" i="5"/>
  <c r="I213" i="5"/>
  <c r="H213" i="5"/>
  <c r="G213" i="5"/>
  <c r="F213" i="5"/>
  <c r="E213" i="5"/>
  <c r="D213" i="5"/>
  <c r="C213" i="5"/>
  <c r="B213" i="5"/>
  <c r="A213" i="5"/>
  <c r="T212" i="5"/>
  <c r="S212" i="5"/>
  <c r="R212" i="5"/>
  <c r="Q212" i="5"/>
  <c r="P212" i="5"/>
  <c r="O212" i="5"/>
  <c r="N212" i="5"/>
  <c r="M212" i="5"/>
  <c r="L212" i="5"/>
  <c r="K212" i="5"/>
  <c r="J212" i="5"/>
  <c r="I212" i="5"/>
  <c r="H212" i="5"/>
  <c r="G212" i="5"/>
  <c r="F212" i="5"/>
  <c r="E212" i="5"/>
  <c r="D212" i="5"/>
  <c r="C212" i="5"/>
  <c r="B212" i="5"/>
  <c r="A212" i="5"/>
  <c r="T211" i="5"/>
  <c r="S211" i="5"/>
  <c r="R211" i="5"/>
  <c r="Q211" i="5"/>
  <c r="P211" i="5"/>
  <c r="O211" i="5"/>
  <c r="N211" i="5"/>
  <c r="M211" i="5"/>
  <c r="L211" i="5"/>
  <c r="K211" i="5"/>
  <c r="J211" i="5"/>
  <c r="I211" i="5"/>
  <c r="H211" i="5"/>
  <c r="G211" i="5"/>
  <c r="F211" i="5"/>
  <c r="E211" i="5"/>
  <c r="D211" i="5"/>
  <c r="C211" i="5"/>
  <c r="B211" i="5"/>
  <c r="A211" i="5"/>
  <c r="T210" i="5"/>
  <c r="S210" i="5"/>
  <c r="R210" i="5"/>
  <c r="Q210" i="5"/>
  <c r="P210" i="5"/>
  <c r="O210" i="5"/>
  <c r="N210" i="5"/>
  <c r="M210" i="5"/>
  <c r="L210" i="5"/>
  <c r="K210" i="5"/>
  <c r="J210" i="5"/>
  <c r="I210" i="5"/>
  <c r="H210" i="5"/>
  <c r="G210" i="5"/>
  <c r="F210" i="5"/>
  <c r="E210" i="5"/>
  <c r="D210" i="5"/>
  <c r="C210" i="5"/>
  <c r="B210" i="5"/>
  <c r="A210" i="5"/>
  <c r="T209" i="5"/>
  <c r="S209" i="5"/>
  <c r="R209" i="5"/>
  <c r="Q209" i="5"/>
  <c r="P209" i="5"/>
  <c r="O209" i="5"/>
  <c r="N209" i="5"/>
  <c r="M209" i="5"/>
  <c r="L209" i="5"/>
  <c r="K209" i="5"/>
  <c r="J209" i="5"/>
  <c r="I209" i="5"/>
  <c r="H209" i="5"/>
  <c r="G209" i="5"/>
  <c r="F209" i="5"/>
  <c r="E209" i="5"/>
  <c r="D209" i="5"/>
  <c r="C209" i="5"/>
  <c r="B209" i="5"/>
  <c r="A209" i="5"/>
  <c r="T208" i="5"/>
  <c r="S208" i="5"/>
  <c r="R208" i="5"/>
  <c r="Q208" i="5"/>
  <c r="P208" i="5"/>
  <c r="O208" i="5"/>
  <c r="N208" i="5"/>
  <c r="M208" i="5"/>
  <c r="L208" i="5"/>
  <c r="K208" i="5"/>
  <c r="J208" i="5"/>
  <c r="I208" i="5"/>
  <c r="H208" i="5"/>
  <c r="G208" i="5"/>
  <c r="F208" i="5"/>
  <c r="E208" i="5"/>
  <c r="D208" i="5"/>
  <c r="C208" i="5"/>
  <c r="B208" i="5"/>
  <c r="A208" i="5"/>
  <c r="T207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C207" i="5"/>
  <c r="B207" i="5"/>
  <c r="A207" i="5"/>
  <c r="T206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C206" i="5"/>
  <c r="B206" i="5"/>
  <c r="A206" i="5"/>
  <c r="T205" i="5"/>
  <c r="S205" i="5"/>
  <c r="R205" i="5"/>
  <c r="Q205" i="5"/>
  <c r="P205" i="5"/>
  <c r="O205" i="5"/>
  <c r="N205" i="5"/>
  <c r="M205" i="5"/>
  <c r="L205" i="5"/>
  <c r="K205" i="5"/>
  <c r="J205" i="5"/>
  <c r="I205" i="5"/>
  <c r="H205" i="5"/>
  <c r="G205" i="5"/>
  <c r="F205" i="5"/>
  <c r="E205" i="5"/>
  <c r="D205" i="5"/>
  <c r="C205" i="5"/>
  <c r="B205" i="5"/>
  <c r="A205" i="5"/>
  <c r="T204" i="5"/>
  <c r="S204" i="5"/>
  <c r="R204" i="5"/>
  <c r="Q204" i="5"/>
  <c r="P204" i="5"/>
  <c r="O204" i="5"/>
  <c r="N204" i="5"/>
  <c r="M204" i="5"/>
  <c r="L204" i="5"/>
  <c r="K204" i="5"/>
  <c r="J204" i="5"/>
  <c r="I204" i="5"/>
  <c r="H204" i="5"/>
  <c r="G204" i="5"/>
  <c r="F204" i="5"/>
  <c r="E204" i="5"/>
  <c r="D204" i="5"/>
  <c r="C204" i="5"/>
  <c r="B204" i="5"/>
  <c r="A204" i="5"/>
  <c r="T203" i="5"/>
  <c r="S203" i="5"/>
  <c r="R203" i="5"/>
  <c r="Q203" i="5"/>
  <c r="P203" i="5"/>
  <c r="O203" i="5"/>
  <c r="N203" i="5"/>
  <c r="M203" i="5"/>
  <c r="L203" i="5"/>
  <c r="K203" i="5"/>
  <c r="J203" i="5"/>
  <c r="I203" i="5"/>
  <c r="H203" i="5"/>
  <c r="G203" i="5"/>
  <c r="F203" i="5"/>
  <c r="E203" i="5"/>
  <c r="D203" i="5"/>
  <c r="C203" i="5"/>
  <c r="B203" i="5"/>
  <c r="A203" i="5"/>
  <c r="T202" i="5"/>
  <c r="S202" i="5"/>
  <c r="R202" i="5"/>
  <c r="Q202" i="5"/>
  <c r="P202" i="5"/>
  <c r="O202" i="5"/>
  <c r="N202" i="5"/>
  <c r="M202" i="5"/>
  <c r="L202" i="5"/>
  <c r="K202" i="5"/>
  <c r="J202" i="5"/>
  <c r="I202" i="5"/>
  <c r="H202" i="5"/>
  <c r="G202" i="5"/>
  <c r="F202" i="5"/>
  <c r="E202" i="5"/>
  <c r="D202" i="5"/>
  <c r="C202" i="5"/>
  <c r="B202" i="5"/>
  <c r="A202" i="5"/>
  <c r="T201" i="5"/>
  <c r="S201" i="5"/>
  <c r="R201" i="5"/>
  <c r="Q201" i="5"/>
  <c r="P201" i="5"/>
  <c r="O201" i="5"/>
  <c r="N201" i="5"/>
  <c r="M201" i="5"/>
  <c r="L201" i="5"/>
  <c r="K201" i="5"/>
  <c r="J201" i="5"/>
  <c r="I201" i="5"/>
  <c r="H201" i="5"/>
  <c r="G201" i="5"/>
  <c r="F201" i="5"/>
  <c r="E201" i="5"/>
  <c r="D201" i="5"/>
  <c r="C201" i="5"/>
  <c r="B201" i="5"/>
  <c r="A201" i="5"/>
  <c r="T200" i="5"/>
  <c r="S200" i="5"/>
  <c r="R200" i="5"/>
  <c r="Q200" i="5"/>
  <c r="P200" i="5"/>
  <c r="O200" i="5"/>
  <c r="N200" i="5"/>
  <c r="M200" i="5"/>
  <c r="L200" i="5"/>
  <c r="K200" i="5"/>
  <c r="J200" i="5"/>
  <c r="I200" i="5"/>
  <c r="H200" i="5"/>
  <c r="G200" i="5"/>
  <c r="F200" i="5"/>
  <c r="E200" i="5"/>
  <c r="D200" i="5"/>
  <c r="C200" i="5"/>
  <c r="B200" i="5"/>
  <c r="A200" i="5"/>
  <c r="T199" i="5"/>
  <c r="S199" i="5"/>
  <c r="R199" i="5"/>
  <c r="Q199" i="5"/>
  <c r="P199" i="5"/>
  <c r="O199" i="5"/>
  <c r="N199" i="5"/>
  <c r="M199" i="5"/>
  <c r="L199" i="5"/>
  <c r="K199" i="5"/>
  <c r="J199" i="5"/>
  <c r="I199" i="5"/>
  <c r="H199" i="5"/>
  <c r="G199" i="5"/>
  <c r="F199" i="5"/>
  <c r="E199" i="5"/>
  <c r="D199" i="5"/>
  <c r="C199" i="5"/>
  <c r="B199" i="5"/>
  <c r="A199" i="5"/>
  <c r="T198" i="5"/>
  <c r="S198" i="5"/>
  <c r="R198" i="5"/>
  <c r="Q198" i="5"/>
  <c r="P198" i="5"/>
  <c r="O198" i="5"/>
  <c r="N198" i="5"/>
  <c r="M198" i="5"/>
  <c r="L198" i="5"/>
  <c r="K198" i="5"/>
  <c r="J198" i="5"/>
  <c r="I198" i="5"/>
  <c r="H198" i="5"/>
  <c r="G198" i="5"/>
  <c r="F198" i="5"/>
  <c r="E198" i="5"/>
  <c r="D198" i="5"/>
  <c r="C198" i="5"/>
  <c r="B198" i="5"/>
  <c r="A198" i="5"/>
  <c r="T197" i="5"/>
  <c r="S197" i="5"/>
  <c r="R197" i="5"/>
  <c r="Q197" i="5"/>
  <c r="P197" i="5"/>
  <c r="O197" i="5"/>
  <c r="N197" i="5"/>
  <c r="M197" i="5"/>
  <c r="L197" i="5"/>
  <c r="K197" i="5"/>
  <c r="J197" i="5"/>
  <c r="I197" i="5"/>
  <c r="H197" i="5"/>
  <c r="G197" i="5"/>
  <c r="F197" i="5"/>
  <c r="E197" i="5"/>
  <c r="D197" i="5"/>
  <c r="C197" i="5"/>
  <c r="B197" i="5"/>
  <c r="A197" i="5"/>
  <c r="T196" i="5"/>
  <c r="S196" i="5"/>
  <c r="R196" i="5"/>
  <c r="Q196" i="5"/>
  <c r="P196" i="5"/>
  <c r="O196" i="5"/>
  <c r="N196" i="5"/>
  <c r="M196" i="5"/>
  <c r="L196" i="5"/>
  <c r="K196" i="5"/>
  <c r="J196" i="5"/>
  <c r="I196" i="5"/>
  <c r="H196" i="5"/>
  <c r="G196" i="5"/>
  <c r="F196" i="5"/>
  <c r="E196" i="5"/>
  <c r="D196" i="5"/>
  <c r="C196" i="5"/>
  <c r="B196" i="5"/>
  <c r="A196" i="5"/>
  <c r="T195" i="5"/>
  <c r="S195" i="5"/>
  <c r="R195" i="5"/>
  <c r="Q195" i="5"/>
  <c r="P195" i="5"/>
  <c r="O195" i="5"/>
  <c r="N195" i="5"/>
  <c r="M195" i="5"/>
  <c r="L195" i="5"/>
  <c r="K195" i="5"/>
  <c r="J195" i="5"/>
  <c r="I195" i="5"/>
  <c r="H195" i="5"/>
  <c r="G195" i="5"/>
  <c r="F195" i="5"/>
  <c r="E195" i="5"/>
  <c r="D195" i="5"/>
  <c r="C195" i="5"/>
  <c r="B195" i="5"/>
  <c r="A195" i="5"/>
  <c r="T194" i="5"/>
  <c r="S194" i="5"/>
  <c r="R194" i="5"/>
  <c r="Q194" i="5"/>
  <c r="P194" i="5"/>
  <c r="O194" i="5"/>
  <c r="N194" i="5"/>
  <c r="M194" i="5"/>
  <c r="L194" i="5"/>
  <c r="K194" i="5"/>
  <c r="J194" i="5"/>
  <c r="I194" i="5"/>
  <c r="H194" i="5"/>
  <c r="G194" i="5"/>
  <c r="F194" i="5"/>
  <c r="E194" i="5"/>
  <c r="D194" i="5"/>
  <c r="C194" i="5"/>
  <c r="B194" i="5"/>
  <c r="A194" i="5"/>
  <c r="T193" i="5"/>
  <c r="S193" i="5"/>
  <c r="R193" i="5"/>
  <c r="Q193" i="5"/>
  <c r="P193" i="5"/>
  <c r="O193" i="5"/>
  <c r="N193" i="5"/>
  <c r="M193" i="5"/>
  <c r="L193" i="5"/>
  <c r="K193" i="5"/>
  <c r="J193" i="5"/>
  <c r="I193" i="5"/>
  <c r="H193" i="5"/>
  <c r="G193" i="5"/>
  <c r="F193" i="5"/>
  <c r="E193" i="5"/>
  <c r="D193" i="5"/>
  <c r="C193" i="5"/>
  <c r="B193" i="5"/>
  <c r="A193" i="5"/>
  <c r="T192" i="5"/>
  <c r="S192" i="5"/>
  <c r="R192" i="5"/>
  <c r="Q192" i="5"/>
  <c r="P192" i="5"/>
  <c r="O192" i="5"/>
  <c r="N192" i="5"/>
  <c r="M192" i="5"/>
  <c r="L192" i="5"/>
  <c r="K192" i="5"/>
  <c r="J192" i="5"/>
  <c r="I192" i="5"/>
  <c r="H192" i="5"/>
  <c r="G192" i="5"/>
  <c r="F192" i="5"/>
  <c r="E192" i="5"/>
  <c r="D192" i="5"/>
  <c r="C192" i="5"/>
  <c r="B192" i="5"/>
  <c r="A192" i="5"/>
  <c r="T191" i="5"/>
  <c r="S191" i="5"/>
  <c r="R191" i="5"/>
  <c r="Q191" i="5"/>
  <c r="P191" i="5"/>
  <c r="O191" i="5"/>
  <c r="N191" i="5"/>
  <c r="M191" i="5"/>
  <c r="L191" i="5"/>
  <c r="K191" i="5"/>
  <c r="J191" i="5"/>
  <c r="I191" i="5"/>
  <c r="H191" i="5"/>
  <c r="G191" i="5"/>
  <c r="F191" i="5"/>
  <c r="E191" i="5"/>
  <c r="D191" i="5"/>
  <c r="C191" i="5"/>
  <c r="B191" i="5"/>
  <c r="A191" i="5"/>
  <c r="T190" i="5"/>
  <c r="S190" i="5"/>
  <c r="R190" i="5"/>
  <c r="Q190" i="5"/>
  <c r="P190" i="5"/>
  <c r="O190" i="5"/>
  <c r="N190" i="5"/>
  <c r="M190" i="5"/>
  <c r="L190" i="5"/>
  <c r="K190" i="5"/>
  <c r="J190" i="5"/>
  <c r="I190" i="5"/>
  <c r="H190" i="5"/>
  <c r="G190" i="5"/>
  <c r="F190" i="5"/>
  <c r="E190" i="5"/>
  <c r="D190" i="5"/>
  <c r="C190" i="5"/>
  <c r="B190" i="5"/>
  <c r="A190" i="5"/>
  <c r="T189" i="5"/>
  <c r="S189" i="5"/>
  <c r="R189" i="5"/>
  <c r="Q189" i="5"/>
  <c r="P189" i="5"/>
  <c r="O189" i="5"/>
  <c r="N189" i="5"/>
  <c r="M189" i="5"/>
  <c r="L189" i="5"/>
  <c r="K189" i="5"/>
  <c r="J189" i="5"/>
  <c r="I189" i="5"/>
  <c r="H189" i="5"/>
  <c r="G189" i="5"/>
  <c r="F189" i="5"/>
  <c r="E189" i="5"/>
  <c r="D189" i="5"/>
  <c r="C189" i="5"/>
  <c r="B189" i="5"/>
  <c r="A189" i="5"/>
  <c r="T188" i="5"/>
  <c r="S188" i="5"/>
  <c r="R188" i="5"/>
  <c r="Q188" i="5"/>
  <c r="P188" i="5"/>
  <c r="O188" i="5"/>
  <c r="N188" i="5"/>
  <c r="M188" i="5"/>
  <c r="L188" i="5"/>
  <c r="K188" i="5"/>
  <c r="J188" i="5"/>
  <c r="I188" i="5"/>
  <c r="H188" i="5"/>
  <c r="G188" i="5"/>
  <c r="F188" i="5"/>
  <c r="E188" i="5"/>
  <c r="D188" i="5"/>
  <c r="C188" i="5"/>
  <c r="B188" i="5"/>
  <c r="A188" i="5"/>
  <c r="T187" i="5"/>
  <c r="S187" i="5"/>
  <c r="R187" i="5"/>
  <c r="Q187" i="5"/>
  <c r="P187" i="5"/>
  <c r="O187" i="5"/>
  <c r="N187" i="5"/>
  <c r="M187" i="5"/>
  <c r="L187" i="5"/>
  <c r="K187" i="5"/>
  <c r="J187" i="5"/>
  <c r="I187" i="5"/>
  <c r="H187" i="5"/>
  <c r="G187" i="5"/>
  <c r="F187" i="5"/>
  <c r="E187" i="5"/>
  <c r="D187" i="5"/>
  <c r="C187" i="5"/>
  <c r="B187" i="5"/>
  <c r="A187" i="5"/>
  <c r="T186" i="5"/>
  <c r="S186" i="5"/>
  <c r="R186" i="5"/>
  <c r="Q186" i="5"/>
  <c r="P186" i="5"/>
  <c r="O186" i="5"/>
  <c r="N186" i="5"/>
  <c r="M186" i="5"/>
  <c r="L186" i="5"/>
  <c r="K186" i="5"/>
  <c r="J186" i="5"/>
  <c r="I186" i="5"/>
  <c r="H186" i="5"/>
  <c r="G186" i="5"/>
  <c r="F186" i="5"/>
  <c r="E186" i="5"/>
  <c r="D186" i="5"/>
  <c r="C186" i="5"/>
  <c r="B186" i="5"/>
  <c r="A186" i="5"/>
  <c r="T185" i="5"/>
  <c r="S185" i="5"/>
  <c r="R185" i="5"/>
  <c r="Q185" i="5"/>
  <c r="P185" i="5"/>
  <c r="O185" i="5"/>
  <c r="N185" i="5"/>
  <c r="M185" i="5"/>
  <c r="L185" i="5"/>
  <c r="K185" i="5"/>
  <c r="J185" i="5"/>
  <c r="I185" i="5"/>
  <c r="H185" i="5"/>
  <c r="G185" i="5"/>
  <c r="F185" i="5"/>
  <c r="E185" i="5"/>
  <c r="D185" i="5"/>
  <c r="C185" i="5"/>
  <c r="B185" i="5"/>
  <c r="A185" i="5"/>
  <c r="T184" i="5"/>
  <c r="S184" i="5"/>
  <c r="R184" i="5"/>
  <c r="Q184" i="5"/>
  <c r="P184" i="5"/>
  <c r="O184" i="5"/>
  <c r="N184" i="5"/>
  <c r="M184" i="5"/>
  <c r="L184" i="5"/>
  <c r="K184" i="5"/>
  <c r="J184" i="5"/>
  <c r="I184" i="5"/>
  <c r="H184" i="5"/>
  <c r="G184" i="5"/>
  <c r="F184" i="5"/>
  <c r="E184" i="5"/>
  <c r="D184" i="5"/>
  <c r="C184" i="5"/>
  <c r="B184" i="5"/>
  <c r="A184" i="5"/>
  <c r="T183" i="5"/>
  <c r="S183" i="5"/>
  <c r="R183" i="5"/>
  <c r="Q183" i="5"/>
  <c r="P183" i="5"/>
  <c r="O183" i="5"/>
  <c r="N183" i="5"/>
  <c r="M183" i="5"/>
  <c r="L183" i="5"/>
  <c r="K183" i="5"/>
  <c r="J183" i="5"/>
  <c r="I183" i="5"/>
  <c r="H183" i="5"/>
  <c r="G183" i="5"/>
  <c r="F183" i="5"/>
  <c r="E183" i="5"/>
  <c r="D183" i="5"/>
  <c r="C183" i="5"/>
  <c r="B183" i="5"/>
  <c r="A183" i="5"/>
  <c r="T182" i="5"/>
  <c r="S182" i="5"/>
  <c r="R182" i="5"/>
  <c r="Q182" i="5"/>
  <c r="P182" i="5"/>
  <c r="O182" i="5"/>
  <c r="N182" i="5"/>
  <c r="M182" i="5"/>
  <c r="L182" i="5"/>
  <c r="K182" i="5"/>
  <c r="J182" i="5"/>
  <c r="I182" i="5"/>
  <c r="H182" i="5"/>
  <c r="G182" i="5"/>
  <c r="F182" i="5"/>
  <c r="E182" i="5"/>
  <c r="D182" i="5"/>
  <c r="C182" i="5"/>
  <c r="B182" i="5"/>
  <c r="A182" i="5"/>
  <c r="T181" i="5"/>
  <c r="S181" i="5"/>
  <c r="R181" i="5"/>
  <c r="Q181" i="5"/>
  <c r="P181" i="5"/>
  <c r="O181" i="5"/>
  <c r="N181" i="5"/>
  <c r="M181" i="5"/>
  <c r="L181" i="5"/>
  <c r="K181" i="5"/>
  <c r="J181" i="5"/>
  <c r="I181" i="5"/>
  <c r="H181" i="5"/>
  <c r="G181" i="5"/>
  <c r="F181" i="5"/>
  <c r="E181" i="5"/>
  <c r="D181" i="5"/>
  <c r="C181" i="5"/>
  <c r="B181" i="5"/>
  <c r="A181" i="5"/>
  <c r="T180" i="5"/>
  <c r="S180" i="5"/>
  <c r="R180" i="5"/>
  <c r="Q180" i="5"/>
  <c r="P180" i="5"/>
  <c r="O180" i="5"/>
  <c r="N180" i="5"/>
  <c r="M180" i="5"/>
  <c r="L180" i="5"/>
  <c r="K180" i="5"/>
  <c r="J180" i="5"/>
  <c r="I180" i="5"/>
  <c r="H180" i="5"/>
  <c r="G180" i="5"/>
  <c r="F180" i="5"/>
  <c r="E180" i="5"/>
  <c r="D180" i="5"/>
  <c r="C180" i="5"/>
  <c r="B180" i="5"/>
  <c r="A180" i="5"/>
  <c r="T179" i="5"/>
  <c r="S179" i="5"/>
  <c r="R179" i="5"/>
  <c r="Q179" i="5"/>
  <c r="P179" i="5"/>
  <c r="O179" i="5"/>
  <c r="N179" i="5"/>
  <c r="M179" i="5"/>
  <c r="L179" i="5"/>
  <c r="K179" i="5"/>
  <c r="J179" i="5"/>
  <c r="I179" i="5"/>
  <c r="H179" i="5"/>
  <c r="G179" i="5"/>
  <c r="F179" i="5"/>
  <c r="E179" i="5"/>
  <c r="D179" i="5"/>
  <c r="C179" i="5"/>
  <c r="B179" i="5"/>
  <c r="A179" i="5"/>
  <c r="T178" i="5"/>
  <c r="S178" i="5"/>
  <c r="R178" i="5"/>
  <c r="Q178" i="5"/>
  <c r="P178" i="5"/>
  <c r="O178" i="5"/>
  <c r="N178" i="5"/>
  <c r="M178" i="5"/>
  <c r="L178" i="5"/>
  <c r="K178" i="5"/>
  <c r="J178" i="5"/>
  <c r="I178" i="5"/>
  <c r="H178" i="5"/>
  <c r="G178" i="5"/>
  <c r="F178" i="5"/>
  <c r="E178" i="5"/>
  <c r="D178" i="5"/>
  <c r="C178" i="5"/>
  <c r="B178" i="5"/>
  <c r="A178" i="5"/>
  <c r="T177" i="5"/>
  <c r="S177" i="5"/>
  <c r="R177" i="5"/>
  <c r="Q177" i="5"/>
  <c r="P177" i="5"/>
  <c r="O177" i="5"/>
  <c r="N177" i="5"/>
  <c r="M177" i="5"/>
  <c r="L177" i="5"/>
  <c r="K177" i="5"/>
  <c r="J177" i="5"/>
  <c r="I177" i="5"/>
  <c r="H177" i="5"/>
  <c r="G177" i="5"/>
  <c r="F177" i="5"/>
  <c r="E177" i="5"/>
  <c r="D177" i="5"/>
  <c r="C177" i="5"/>
  <c r="B177" i="5"/>
  <c r="A177" i="5"/>
  <c r="T176" i="5"/>
  <c r="S176" i="5"/>
  <c r="R176" i="5"/>
  <c r="Q176" i="5"/>
  <c r="P176" i="5"/>
  <c r="O176" i="5"/>
  <c r="N176" i="5"/>
  <c r="M176" i="5"/>
  <c r="L176" i="5"/>
  <c r="K176" i="5"/>
  <c r="J176" i="5"/>
  <c r="I176" i="5"/>
  <c r="H176" i="5"/>
  <c r="G176" i="5"/>
  <c r="F176" i="5"/>
  <c r="E176" i="5"/>
  <c r="D176" i="5"/>
  <c r="C176" i="5"/>
  <c r="B176" i="5"/>
  <c r="A176" i="5"/>
  <c r="T175" i="5"/>
  <c r="S175" i="5"/>
  <c r="R175" i="5"/>
  <c r="Q175" i="5"/>
  <c r="P175" i="5"/>
  <c r="O175" i="5"/>
  <c r="N175" i="5"/>
  <c r="M175" i="5"/>
  <c r="L175" i="5"/>
  <c r="K175" i="5"/>
  <c r="J175" i="5"/>
  <c r="I175" i="5"/>
  <c r="H175" i="5"/>
  <c r="G175" i="5"/>
  <c r="F175" i="5"/>
  <c r="E175" i="5"/>
  <c r="D175" i="5"/>
  <c r="C175" i="5"/>
  <c r="B175" i="5"/>
  <c r="A175" i="5"/>
  <c r="T174" i="5"/>
  <c r="S174" i="5"/>
  <c r="R174" i="5"/>
  <c r="Q174" i="5"/>
  <c r="P174" i="5"/>
  <c r="O174" i="5"/>
  <c r="N174" i="5"/>
  <c r="M174" i="5"/>
  <c r="L174" i="5"/>
  <c r="K174" i="5"/>
  <c r="J174" i="5"/>
  <c r="I174" i="5"/>
  <c r="H174" i="5"/>
  <c r="G174" i="5"/>
  <c r="F174" i="5"/>
  <c r="E174" i="5"/>
  <c r="D174" i="5"/>
  <c r="C174" i="5"/>
  <c r="B174" i="5"/>
  <c r="A174" i="5"/>
  <c r="T173" i="5"/>
  <c r="S173" i="5"/>
  <c r="R173" i="5"/>
  <c r="Q173" i="5"/>
  <c r="P173" i="5"/>
  <c r="O173" i="5"/>
  <c r="N173" i="5"/>
  <c r="M173" i="5"/>
  <c r="L173" i="5"/>
  <c r="K173" i="5"/>
  <c r="J173" i="5"/>
  <c r="I173" i="5"/>
  <c r="H173" i="5"/>
  <c r="G173" i="5"/>
  <c r="F173" i="5"/>
  <c r="E173" i="5"/>
  <c r="D173" i="5"/>
  <c r="C173" i="5"/>
  <c r="B173" i="5"/>
  <c r="A173" i="5"/>
  <c r="T172" i="5"/>
  <c r="S172" i="5"/>
  <c r="R172" i="5"/>
  <c r="Q172" i="5"/>
  <c r="P172" i="5"/>
  <c r="O172" i="5"/>
  <c r="N172" i="5"/>
  <c r="M172" i="5"/>
  <c r="L172" i="5"/>
  <c r="K172" i="5"/>
  <c r="J172" i="5"/>
  <c r="I172" i="5"/>
  <c r="H172" i="5"/>
  <c r="G172" i="5"/>
  <c r="F172" i="5"/>
  <c r="E172" i="5"/>
  <c r="D172" i="5"/>
  <c r="C172" i="5"/>
  <c r="B172" i="5"/>
  <c r="A172" i="5"/>
  <c r="T171" i="5"/>
  <c r="S171" i="5"/>
  <c r="R171" i="5"/>
  <c r="Q171" i="5"/>
  <c r="P171" i="5"/>
  <c r="O171" i="5"/>
  <c r="N171" i="5"/>
  <c r="M171" i="5"/>
  <c r="L171" i="5"/>
  <c r="K171" i="5"/>
  <c r="J171" i="5"/>
  <c r="I171" i="5"/>
  <c r="H171" i="5"/>
  <c r="G171" i="5"/>
  <c r="F171" i="5"/>
  <c r="E171" i="5"/>
  <c r="D171" i="5"/>
  <c r="C171" i="5"/>
  <c r="B171" i="5"/>
  <c r="A171" i="5"/>
  <c r="T170" i="5"/>
  <c r="S170" i="5"/>
  <c r="R170" i="5"/>
  <c r="Q170" i="5"/>
  <c r="P170" i="5"/>
  <c r="O170" i="5"/>
  <c r="N170" i="5"/>
  <c r="M170" i="5"/>
  <c r="L170" i="5"/>
  <c r="K170" i="5"/>
  <c r="J170" i="5"/>
  <c r="I170" i="5"/>
  <c r="H170" i="5"/>
  <c r="G170" i="5"/>
  <c r="F170" i="5"/>
  <c r="E170" i="5"/>
  <c r="D170" i="5"/>
  <c r="C170" i="5"/>
  <c r="B170" i="5"/>
  <c r="A170" i="5"/>
  <c r="T169" i="5"/>
  <c r="S169" i="5"/>
  <c r="R169" i="5"/>
  <c r="Q169" i="5"/>
  <c r="P169" i="5"/>
  <c r="O169" i="5"/>
  <c r="N169" i="5"/>
  <c r="M169" i="5"/>
  <c r="L169" i="5"/>
  <c r="K169" i="5"/>
  <c r="J169" i="5"/>
  <c r="I169" i="5"/>
  <c r="H169" i="5"/>
  <c r="G169" i="5"/>
  <c r="F169" i="5"/>
  <c r="E169" i="5"/>
  <c r="D169" i="5"/>
  <c r="C169" i="5"/>
  <c r="B169" i="5"/>
  <c r="A169" i="5"/>
  <c r="T168" i="5"/>
  <c r="S168" i="5"/>
  <c r="R168" i="5"/>
  <c r="Q168" i="5"/>
  <c r="P168" i="5"/>
  <c r="O168" i="5"/>
  <c r="N168" i="5"/>
  <c r="M168" i="5"/>
  <c r="L168" i="5"/>
  <c r="K168" i="5"/>
  <c r="J168" i="5"/>
  <c r="I168" i="5"/>
  <c r="H168" i="5"/>
  <c r="G168" i="5"/>
  <c r="F168" i="5"/>
  <c r="E168" i="5"/>
  <c r="D168" i="5"/>
  <c r="C168" i="5"/>
  <c r="B168" i="5"/>
  <c r="A168" i="5"/>
  <c r="T167" i="5"/>
  <c r="S167" i="5"/>
  <c r="R167" i="5"/>
  <c r="Q167" i="5"/>
  <c r="P167" i="5"/>
  <c r="O167" i="5"/>
  <c r="N167" i="5"/>
  <c r="M167" i="5"/>
  <c r="L167" i="5"/>
  <c r="K167" i="5"/>
  <c r="J167" i="5"/>
  <c r="I167" i="5"/>
  <c r="H167" i="5"/>
  <c r="G167" i="5"/>
  <c r="F167" i="5"/>
  <c r="E167" i="5"/>
  <c r="D167" i="5"/>
  <c r="C167" i="5"/>
  <c r="B167" i="5"/>
  <c r="A167" i="5"/>
  <c r="T166" i="5"/>
  <c r="S166" i="5"/>
  <c r="R166" i="5"/>
  <c r="Q166" i="5"/>
  <c r="P166" i="5"/>
  <c r="O166" i="5"/>
  <c r="N166" i="5"/>
  <c r="M166" i="5"/>
  <c r="L166" i="5"/>
  <c r="K166" i="5"/>
  <c r="J166" i="5"/>
  <c r="I166" i="5"/>
  <c r="H166" i="5"/>
  <c r="G166" i="5"/>
  <c r="F166" i="5"/>
  <c r="E166" i="5"/>
  <c r="D166" i="5"/>
  <c r="C166" i="5"/>
  <c r="B166" i="5"/>
  <c r="A166" i="5"/>
  <c r="T165" i="5"/>
  <c r="S165" i="5"/>
  <c r="R165" i="5"/>
  <c r="Q165" i="5"/>
  <c r="P165" i="5"/>
  <c r="O165" i="5"/>
  <c r="N165" i="5"/>
  <c r="M165" i="5"/>
  <c r="L165" i="5"/>
  <c r="K165" i="5"/>
  <c r="J165" i="5"/>
  <c r="I165" i="5"/>
  <c r="H165" i="5"/>
  <c r="G165" i="5"/>
  <c r="F165" i="5"/>
  <c r="E165" i="5"/>
  <c r="D165" i="5"/>
  <c r="C165" i="5"/>
  <c r="B165" i="5"/>
  <c r="A165" i="5"/>
  <c r="T164" i="5"/>
  <c r="S164" i="5"/>
  <c r="R164" i="5"/>
  <c r="Q164" i="5"/>
  <c r="P164" i="5"/>
  <c r="O164" i="5"/>
  <c r="N164" i="5"/>
  <c r="M164" i="5"/>
  <c r="L164" i="5"/>
  <c r="K164" i="5"/>
  <c r="J164" i="5"/>
  <c r="I164" i="5"/>
  <c r="H164" i="5"/>
  <c r="G164" i="5"/>
  <c r="F164" i="5"/>
  <c r="E164" i="5"/>
  <c r="D164" i="5"/>
  <c r="C164" i="5"/>
  <c r="B164" i="5"/>
  <c r="A164" i="5"/>
  <c r="T163" i="5"/>
  <c r="S163" i="5"/>
  <c r="R163" i="5"/>
  <c r="Q163" i="5"/>
  <c r="P163" i="5"/>
  <c r="O163" i="5"/>
  <c r="N163" i="5"/>
  <c r="M163" i="5"/>
  <c r="L163" i="5"/>
  <c r="K163" i="5"/>
  <c r="J163" i="5"/>
  <c r="I163" i="5"/>
  <c r="H163" i="5"/>
  <c r="G163" i="5"/>
  <c r="F163" i="5"/>
  <c r="E163" i="5"/>
  <c r="D163" i="5"/>
  <c r="C163" i="5"/>
  <c r="B163" i="5"/>
  <c r="A163" i="5"/>
  <c r="T162" i="5"/>
  <c r="S162" i="5"/>
  <c r="R162" i="5"/>
  <c r="Q162" i="5"/>
  <c r="P162" i="5"/>
  <c r="O162" i="5"/>
  <c r="N162" i="5"/>
  <c r="M162" i="5"/>
  <c r="L162" i="5"/>
  <c r="K162" i="5"/>
  <c r="J162" i="5"/>
  <c r="I162" i="5"/>
  <c r="H162" i="5"/>
  <c r="G162" i="5"/>
  <c r="F162" i="5"/>
  <c r="E162" i="5"/>
  <c r="D162" i="5"/>
  <c r="C162" i="5"/>
  <c r="B162" i="5"/>
  <c r="A162" i="5"/>
  <c r="T161" i="5"/>
  <c r="S161" i="5"/>
  <c r="R161" i="5"/>
  <c r="Q161" i="5"/>
  <c r="P161" i="5"/>
  <c r="O161" i="5"/>
  <c r="N161" i="5"/>
  <c r="M161" i="5"/>
  <c r="L161" i="5"/>
  <c r="K161" i="5"/>
  <c r="J161" i="5"/>
  <c r="I161" i="5"/>
  <c r="H161" i="5"/>
  <c r="G161" i="5"/>
  <c r="F161" i="5"/>
  <c r="E161" i="5"/>
  <c r="D161" i="5"/>
  <c r="C161" i="5"/>
  <c r="B161" i="5"/>
  <c r="A161" i="5"/>
  <c r="T160" i="5"/>
  <c r="S160" i="5"/>
  <c r="R160" i="5"/>
  <c r="Q160" i="5"/>
  <c r="P160" i="5"/>
  <c r="O160" i="5"/>
  <c r="N160" i="5"/>
  <c r="M160" i="5"/>
  <c r="L160" i="5"/>
  <c r="K160" i="5"/>
  <c r="J160" i="5"/>
  <c r="I160" i="5"/>
  <c r="H160" i="5"/>
  <c r="G160" i="5"/>
  <c r="F160" i="5"/>
  <c r="E160" i="5"/>
  <c r="D160" i="5"/>
  <c r="C160" i="5"/>
  <c r="B160" i="5"/>
  <c r="A160" i="5"/>
  <c r="T159" i="5"/>
  <c r="S159" i="5"/>
  <c r="R159" i="5"/>
  <c r="Q159" i="5"/>
  <c r="P159" i="5"/>
  <c r="O159" i="5"/>
  <c r="N159" i="5"/>
  <c r="M159" i="5"/>
  <c r="L159" i="5"/>
  <c r="K159" i="5"/>
  <c r="J159" i="5"/>
  <c r="I159" i="5"/>
  <c r="H159" i="5"/>
  <c r="G159" i="5"/>
  <c r="F159" i="5"/>
  <c r="E159" i="5"/>
  <c r="D159" i="5"/>
  <c r="C159" i="5"/>
  <c r="B159" i="5"/>
  <c r="A159" i="5"/>
  <c r="T158" i="5"/>
  <c r="S158" i="5"/>
  <c r="R158" i="5"/>
  <c r="Q158" i="5"/>
  <c r="P158" i="5"/>
  <c r="O158" i="5"/>
  <c r="N158" i="5"/>
  <c r="M158" i="5"/>
  <c r="L158" i="5"/>
  <c r="K158" i="5"/>
  <c r="J158" i="5"/>
  <c r="I158" i="5"/>
  <c r="H158" i="5"/>
  <c r="G158" i="5"/>
  <c r="F158" i="5"/>
  <c r="E158" i="5"/>
  <c r="D158" i="5"/>
  <c r="C158" i="5"/>
  <c r="B158" i="5"/>
  <c r="A158" i="5"/>
  <c r="T157" i="5"/>
  <c r="S157" i="5"/>
  <c r="R157" i="5"/>
  <c r="Q157" i="5"/>
  <c r="P157" i="5"/>
  <c r="O157" i="5"/>
  <c r="N157" i="5"/>
  <c r="M157" i="5"/>
  <c r="L157" i="5"/>
  <c r="K157" i="5"/>
  <c r="J157" i="5"/>
  <c r="I157" i="5"/>
  <c r="H157" i="5"/>
  <c r="G157" i="5"/>
  <c r="F157" i="5"/>
  <c r="E157" i="5"/>
  <c r="D157" i="5"/>
  <c r="C157" i="5"/>
  <c r="B157" i="5"/>
  <c r="A157" i="5"/>
  <c r="T156" i="5"/>
  <c r="S156" i="5"/>
  <c r="R156" i="5"/>
  <c r="Q156" i="5"/>
  <c r="P156" i="5"/>
  <c r="O156" i="5"/>
  <c r="N156" i="5"/>
  <c r="M156" i="5"/>
  <c r="L156" i="5"/>
  <c r="K156" i="5"/>
  <c r="J156" i="5"/>
  <c r="I156" i="5"/>
  <c r="H156" i="5"/>
  <c r="G156" i="5"/>
  <c r="F156" i="5"/>
  <c r="E156" i="5"/>
  <c r="D156" i="5"/>
  <c r="C156" i="5"/>
  <c r="B156" i="5"/>
  <c r="A156" i="5"/>
  <c r="T155" i="5"/>
  <c r="S155" i="5"/>
  <c r="R155" i="5"/>
  <c r="Q155" i="5"/>
  <c r="P155" i="5"/>
  <c r="O155" i="5"/>
  <c r="N155" i="5"/>
  <c r="M155" i="5"/>
  <c r="L155" i="5"/>
  <c r="K155" i="5"/>
  <c r="J155" i="5"/>
  <c r="I155" i="5"/>
  <c r="H155" i="5"/>
  <c r="G155" i="5"/>
  <c r="F155" i="5"/>
  <c r="E155" i="5"/>
  <c r="D155" i="5"/>
  <c r="C155" i="5"/>
  <c r="B155" i="5"/>
  <c r="A155" i="5"/>
  <c r="T154" i="5"/>
  <c r="S154" i="5"/>
  <c r="R154" i="5"/>
  <c r="Q154" i="5"/>
  <c r="P154" i="5"/>
  <c r="O154" i="5"/>
  <c r="N154" i="5"/>
  <c r="M154" i="5"/>
  <c r="L154" i="5"/>
  <c r="K154" i="5"/>
  <c r="J154" i="5"/>
  <c r="I154" i="5"/>
  <c r="H154" i="5"/>
  <c r="G154" i="5"/>
  <c r="F154" i="5"/>
  <c r="E154" i="5"/>
  <c r="D154" i="5"/>
  <c r="C154" i="5"/>
  <c r="B154" i="5"/>
  <c r="A154" i="5"/>
  <c r="T153" i="5"/>
  <c r="S153" i="5"/>
  <c r="R153" i="5"/>
  <c r="Q153" i="5"/>
  <c r="P153" i="5"/>
  <c r="O153" i="5"/>
  <c r="N153" i="5"/>
  <c r="M153" i="5"/>
  <c r="L153" i="5"/>
  <c r="K153" i="5"/>
  <c r="J153" i="5"/>
  <c r="I153" i="5"/>
  <c r="H153" i="5"/>
  <c r="G153" i="5"/>
  <c r="F153" i="5"/>
  <c r="E153" i="5"/>
  <c r="D153" i="5"/>
  <c r="C153" i="5"/>
  <c r="B153" i="5"/>
  <c r="A153" i="5"/>
  <c r="T152" i="5"/>
  <c r="S152" i="5"/>
  <c r="R152" i="5"/>
  <c r="Q152" i="5"/>
  <c r="P152" i="5"/>
  <c r="O152" i="5"/>
  <c r="N152" i="5"/>
  <c r="M152" i="5"/>
  <c r="L152" i="5"/>
  <c r="K152" i="5"/>
  <c r="J152" i="5"/>
  <c r="I152" i="5"/>
  <c r="H152" i="5"/>
  <c r="G152" i="5"/>
  <c r="F152" i="5"/>
  <c r="E152" i="5"/>
  <c r="D152" i="5"/>
  <c r="C152" i="5"/>
  <c r="B152" i="5"/>
  <c r="A152" i="5"/>
  <c r="T151" i="5"/>
  <c r="S151" i="5"/>
  <c r="R151" i="5"/>
  <c r="Q151" i="5"/>
  <c r="P151" i="5"/>
  <c r="O151" i="5"/>
  <c r="N151" i="5"/>
  <c r="M151" i="5"/>
  <c r="L151" i="5"/>
  <c r="K151" i="5"/>
  <c r="J151" i="5"/>
  <c r="I151" i="5"/>
  <c r="H151" i="5"/>
  <c r="G151" i="5"/>
  <c r="F151" i="5"/>
  <c r="E151" i="5"/>
  <c r="D151" i="5"/>
  <c r="C151" i="5"/>
  <c r="B151" i="5"/>
  <c r="A151" i="5"/>
  <c r="T150" i="5"/>
  <c r="S150" i="5"/>
  <c r="R150" i="5"/>
  <c r="Q150" i="5"/>
  <c r="P150" i="5"/>
  <c r="O150" i="5"/>
  <c r="N150" i="5"/>
  <c r="M150" i="5"/>
  <c r="L150" i="5"/>
  <c r="K150" i="5"/>
  <c r="J150" i="5"/>
  <c r="I150" i="5"/>
  <c r="H150" i="5"/>
  <c r="G150" i="5"/>
  <c r="F150" i="5"/>
  <c r="E150" i="5"/>
  <c r="D150" i="5"/>
  <c r="C150" i="5"/>
  <c r="B150" i="5"/>
  <c r="A150" i="5"/>
  <c r="T149" i="5"/>
  <c r="S149" i="5"/>
  <c r="R149" i="5"/>
  <c r="Q149" i="5"/>
  <c r="P149" i="5"/>
  <c r="O149" i="5"/>
  <c r="N149" i="5"/>
  <c r="M149" i="5"/>
  <c r="L149" i="5"/>
  <c r="K149" i="5"/>
  <c r="J149" i="5"/>
  <c r="I149" i="5"/>
  <c r="H149" i="5"/>
  <c r="G149" i="5"/>
  <c r="F149" i="5"/>
  <c r="E149" i="5"/>
  <c r="D149" i="5"/>
  <c r="C149" i="5"/>
  <c r="B149" i="5"/>
  <c r="A149" i="5"/>
  <c r="T148" i="5"/>
  <c r="S148" i="5"/>
  <c r="R148" i="5"/>
  <c r="Q148" i="5"/>
  <c r="P148" i="5"/>
  <c r="O148" i="5"/>
  <c r="N148" i="5"/>
  <c r="M148" i="5"/>
  <c r="L148" i="5"/>
  <c r="K148" i="5"/>
  <c r="J148" i="5"/>
  <c r="I148" i="5"/>
  <c r="H148" i="5"/>
  <c r="G148" i="5"/>
  <c r="F148" i="5"/>
  <c r="E148" i="5"/>
  <c r="D148" i="5"/>
  <c r="C148" i="5"/>
  <c r="B148" i="5"/>
  <c r="A148" i="5"/>
  <c r="T147" i="5"/>
  <c r="S147" i="5"/>
  <c r="R147" i="5"/>
  <c r="Q147" i="5"/>
  <c r="P147" i="5"/>
  <c r="O147" i="5"/>
  <c r="N147" i="5"/>
  <c r="M147" i="5"/>
  <c r="L147" i="5"/>
  <c r="K147" i="5"/>
  <c r="J147" i="5"/>
  <c r="I147" i="5"/>
  <c r="H147" i="5"/>
  <c r="G147" i="5"/>
  <c r="F147" i="5"/>
  <c r="E147" i="5"/>
  <c r="D147" i="5"/>
  <c r="C147" i="5"/>
  <c r="B147" i="5"/>
  <c r="A147" i="5"/>
  <c r="T146" i="5"/>
  <c r="S146" i="5"/>
  <c r="R146" i="5"/>
  <c r="Q146" i="5"/>
  <c r="P146" i="5"/>
  <c r="O146" i="5"/>
  <c r="N146" i="5"/>
  <c r="M146" i="5"/>
  <c r="L146" i="5"/>
  <c r="K146" i="5"/>
  <c r="J146" i="5"/>
  <c r="I146" i="5"/>
  <c r="H146" i="5"/>
  <c r="G146" i="5"/>
  <c r="F146" i="5"/>
  <c r="E146" i="5"/>
  <c r="D146" i="5"/>
  <c r="C146" i="5"/>
  <c r="B146" i="5"/>
  <c r="A146" i="5"/>
  <c r="T145" i="5"/>
  <c r="S145" i="5"/>
  <c r="R145" i="5"/>
  <c r="Q145" i="5"/>
  <c r="P145" i="5"/>
  <c r="O145" i="5"/>
  <c r="N145" i="5"/>
  <c r="M145" i="5"/>
  <c r="L145" i="5"/>
  <c r="K145" i="5"/>
  <c r="J145" i="5"/>
  <c r="I145" i="5"/>
  <c r="H145" i="5"/>
  <c r="G145" i="5"/>
  <c r="F145" i="5"/>
  <c r="E145" i="5"/>
  <c r="D145" i="5"/>
  <c r="C145" i="5"/>
  <c r="B145" i="5"/>
  <c r="A145" i="5"/>
  <c r="T144" i="5"/>
  <c r="S144" i="5"/>
  <c r="R144" i="5"/>
  <c r="Q144" i="5"/>
  <c r="P144" i="5"/>
  <c r="O144" i="5"/>
  <c r="N144" i="5"/>
  <c r="M144" i="5"/>
  <c r="L144" i="5"/>
  <c r="K144" i="5"/>
  <c r="J144" i="5"/>
  <c r="I144" i="5"/>
  <c r="H144" i="5"/>
  <c r="G144" i="5"/>
  <c r="F144" i="5"/>
  <c r="E144" i="5"/>
  <c r="D144" i="5"/>
  <c r="C144" i="5"/>
  <c r="B144" i="5"/>
  <c r="A144" i="5"/>
  <c r="T143" i="5"/>
  <c r="S143" i="5"/>
  <c r="R143" i="5"/>
  <c r="Q143" i="5"/>
  <c r="P143" i="5"/>
  <c r="O143" i="5"/>
  <c r="N143" i="5"/>
  <c r="M143" i="5"/>
  <c r="L143" i="5"/>
  <c r="K143" i="5"/>
  <c r="J143" i="5"/>
  <c r="I143" i="5"/>
  <c r="H143" i="5"/>
  <c r="G143" i="5"/>
  <c r="F143" i="5"/>
  <c r="E143" i="5"/>
  <c r="D143" i="5"/>
  <c r="C143" i="5"/>
  <c r="B143" i="5"/>
  <c r="A143" i="5"/>
  <c r="T142" i="5"/>
  <c r="S142" i="5"/>
  <c r="R142" i="5"/>
  <c r="Q142" i="5"/>
  <c r="P142" i="5"/>
  <c r="O142" i="5"/>
  <c r="N142" i="5"/>
  <c r="M142" i="5"/>
  <c r="L142" i="5"/>
  <c r="K142" i="5"/>
  <c r="J142" i="5"/>
  <c r="I142" i="5"/>
  <c r="H142" i="5"/>
  <c r="G142" i="5"/>
  <c r="F142" i="5"/>
  <c r="E142" i="5"/>
  <c r="D142" i="5"/>
  <c r="C142" i="5"/>
  <c r="B142" i="5"/>
  <c r="A142" i="5"/>
  <c r="T141" i="5"/>
  <c r="S141" i="5"/>
  <c r="R141" i="5"/>
  <c r="Q141" i="5"/>
  <c r="P141" i="5"/>
  <c r="O141" i="5"/>
  <c r="N141" i="5"/>
  <c r="M141" i="5"/>
  <c r="L141" i="5"/>
  <c r="K141" i="5"/>
  <c r="J141" i="5"/>
  <c r="I141" i="5"/>
  <c r="H141" i="5"/>
  <c r="G141" i="5"/>
  <c r="F141" i="5"/>
  <c r="E141" i="5"/>
  <c r="D141" i="5"/>
  <c r="C141" i="5"/>
  <c r="B141" i="5"/>
  <c r="A141" i="5"/>
  <c r="T140" i="5"/>
  <c r="S140" i="5"/>
  <c r="R140" i="5"/>
  <c r="Q140" i="5"/>
  <c r="P140" i="5"/>
  <c r="O140" i="5"/>
  <c r="N140" i="5"/>
  <c r="M140" i="5"/>
  <c r="L140" i="5"/>
  <c r="K140" i="5"/>
  <c r="J140" i="5"/>
  <c r="I140" i="5"/>
  <c r="H140" i="5"/>
  <c r="G140" i="5"/>
  <c r="F140" i="5"/>
  <c r="E140" i="5"/>
  <c r="D140" i="5"/>
  <c r="C140" i="5"/>
  <c r="B140" i="5"/>
  <c r="A140" i="5"/>
  <c r="T139" i="5"/>
  <c r="S139" i="5"/>
  <c r="R139" i="5"/>
  <c r="Q139" i="5"/>
  <c r="P139" i="5"/>
  <c r="O139" i="5"/>
  <c r="N139" i="5"/>
  <c r="M139" i="5"/>
  <c r="L139" i="5"/>
  <c r="K139" i="5"/>
  <c r="J139" i="5"/>
  <c r="I139" i="5"/>
  <c r="H139" i="5"/>
  <c r="G139" i="5"/>
  <c r="F139" i="5"/>
  <c r="E139" i="5"/>
  <c r="D139" i="5"/>
  <c r="C139" i="5"/>
  <c r="B139" i="5"/>
  <c r="A139" i="5"/>
  <c r="T138" i="5"/>
  <c r="S138" i="5"/>
  <c r="R138" i="5"/>
  <c r="Q138" i="5"/>
  <c r="P138" i="5"/>
  <c r="O138" i="5"/>
  <c r="N138" i="5"/>
  <c r="M138" i="5"/>
  <c r="L138" i="5"/>
  <c r="K138" i="5"/>
  <c r="J138" i="5"/>
  <c r="I138" i="5"/>
  <c r="H138" i="5"/>
  <c r="G138" i="5"/>
  <c r="F138" i="5"/>
  <c r="E138" i="5"/>
  <c r="D138" i="5"/>
  <c r="C138" i="5"/>
  <c r="B138" i="5"/>
  <c r="A138" i="5"/>
  <c r="T137" i="5"/>
  <c r="S137" i="5"/>
  <c r="R137" i="5"/>
  <c r="Q137" i="5"/>
  <c r="P137" i="5"/>
  <c r="O137" i="5"/>
  <c r="N137" i="5"/>
  <c r="M137" i="5"/>
  <c r="L137" i="5"/>
  <c r="K137" i="5"/>
  <c r="J137" i="5"/>
  <c r="I137" i="5"/>
  <c r="H137" i="5"/>
  <c r="G137" i="5"/>
  <c r="F137" i="5"/>
  <c r="E137" i="5"/>
  <c r="D137" i="5"/>
  <c r="C137" i="5"/>
  <c r="B137" i="5"/>
  <c r="A137" i="5"/>
  <c r="T136" i="5"/>
  <c r="S136" i="5"/>
  <c r="R136" i="5"/>
  <c r="Q136" i="5"/>
  <c r="P136" i="5"/>
  <c r="O136" i="5"/>
  <c r="N136" i="5"/>
  <c r="M136" i="5"/>
  <c r="L136" i="5"/>
  <c r="K136" i="5"/>
  <c r="J136" i="5"/>
  <c r="I136" i="5"/>
  <c r="H136" i="5"/>
  <c r="G136" i="5"/>
  <c r="F136" i="5"/>
  <c r="E136" i="5"/>
  <c r="D136" i="5"/>
  <c r="C136" i="5"/>
  <c r="B136" i="5"/>
  <c r="A136" i="5"/>
  <c r="T135" i="5"/>
  <c r="S135" i="5"/>
  <c r="R135" i="5"/>
  <c r="Q135" i="5"/>
  <c r="P135" i="5"/>
  <c r="O135" i="5"/>
  <c r="N135" i="5"/>
  <c r="M135" i="5"/>
  <c r="L135" i="5"/>
  <c r="K135" i="5"/>
  <c r="J135" i="5"/>
  <c r="I135" i="5"/>
  <c r="H135" i="5"/>
  <c r="G135" i="5"/>
  <c r="F135" i="5"/>
  <c r="E135" i="5"/>
  <c r="D135" i="5"/>
  <c r="C135" i="5"/>
  <c r="B135" i="5"/>
  <c r="A135" i="5"/>
  <c r="T134" i="5"/>
  <c r="S134" i="5"/>
  <c r="R134" i="5"/>
  <c r="Q134" i="5"/>
  <c r="P134" i="5"/>
  <c r="O134" i="5"/>
  <c r="N134" i="5"/>
  <c r="M134" i="5"/>
  <c r="L134" i="5"/>
  <c r="K134" i="5"/>
  <c r="J134" i="5"/>
  <c r="I134" i="5"/>
  <c r="H134" i="5"/>
  <c r="G134" i="5"/>
  <c r="F134" i="5"/>
  <c r="E134" i="5"/>
  <c r="D134" i="5"/>
  <c r="C134" i="5"/>
  <c r="B134" i="5"/>
  <c r="A134" i="5"/>
  <c r="T133" i="5"/>
  <c r="S133" i="5"/>
  <c r="R133" i="5"/>
  <c r="Q133" i="5"/>
  <c r="P133" i="5"/>
  <c r="O133" i="5"/>
  <c r="N133" i="5"/>
  <c r="M133" i="5"/>
  <c r="L133" i="5"/>
  <c r="K133" i="5"/>
  <c r="J133" i="5"/>
  <c r="I133" i="5"/>
  <c r="H133" i="5"/>
  <c r="G133" i="5"/>
  <c r="F133" i="5"/>
  <c r="E133" i="5"/>
  <c r="D133" i="5"/>
  <c r="C133" i="5"/>
  <c r="B133" i="5"/>
  <c r="A133" i="5"/>
  <c r="T132" i="5"/>
  <c r="S132" i="5"/>
  <c r="R132" i="5"/>
  <c r="Q132" i="5"/>
  <c r="P132" i="5"/>
  <c r="O132" i="5"/>
  <c r="N132" i="5"/>
  <c r="M132" i="5"/>
  <c r="L132" i="5"/>
  <c r="K132" i="5"/>
  <c r="J132" i="5"/>
  <c r="I132" i="5"/>
  <c r="H132" i="5"/>
  <c r="G132" i="5"/>
  <c r="F132" i="5"/>
  <c r="E132" i="5"/>
  <c r="D132" i="5"/>
  <c r="C132" i="5"/>
  <c r="B132" i="5"/>
  <c r="A132" i="5"/>
  <c r="T131" i="5"/>
  <c r="S131" i="5"/>
  <c r="R131" i="5"/>
  <c r="Q131" i="5"/>
  <c r="P131" i="5"/>
  <c r="O131" i="5"/>
  <c r="N131" i="5"/>
  <c r="M131" i="5"/>
  <c r="L131" i="5"/>
  <c r="K131" i="5"/>
  <c r="J131" i="5"/>
  <c r="I131" i="5"/>
  <c r="H131" i="5"/>
  <c r="G131" i="5"/>
  <c r="F131" i="5"/>
  <c r="E131" i="5"/>
  <c r="D131" i="5"/>
  <c r="C131" i="5"/>
  <c r="B131" i="5"/>
  <c r="A131" i="5"/>
  <c r="T130" i="5"/>
  <c r="S130" i="5"/>
  <c r="R130" i="5"/>
  <c r="Q130" i="5"/>
  <c r="P130" i="5"/>
  <c r="O130" i="5"/>
  <c r="N130" i="5"/>
  <c r="M130" i="5"/>
  <c r="L130" i="5"/>
  <c r="K130" i="5"/>
  <c r="J130" i="5"/>
  <c r="I130" i="5"/>
  <c r="H130" i="5"/>
  <c r="G130" i="5"/>
  <c r="F130" i="5"/>
  <c r="E130" i="5"/>
  <c r="D130" i="5"/>
  <c r="C130" i="5"/>
  <c r="B130" i="5"/>
  <c r="A130" i="5"/>
  <c r="T129" i="5"/>
  <c r="S129" i="5"/>
  <c r="R129" i="5"/>
  <c r="Q129" i="5"/>
  <c r="P129" i="5"/>
  <c r="O129" i="5"/>
  <c r="N129" i="5"/>
  <c r="M129" i="5"/>
  <c r="L129" i="5"/>
  <c r="K129" i="5"/>
  <c r="J129" i="5"/>
  <c r="I129" i="5"/>
  <c r="H129" i="5"/>
  <c r="G129" i="5"/>
  <c r="F129" i="5"/>
  <c r="E129" i="5"/>
  <c r="D129" i="5"/>
  <c r="C129" i="5"/>
  <c r="B129" i="5"/>
  <c r="A129" i="5"/>
  <c r="T128" i="5"/>
  <c r="S128" i="5"/>
  <c r="R128" i="5"/>
  <c r="Q128" i="5"/>
  <c r="P128" i="5"/>
  <c r="O128" i="5"/>
  <c r="N128" i="5"/>
  <c r="M128" i="5"/>
  <c r="L128" i="5"/>
  <c r="K128" i="5"/>
  <c r="J128" i="5"/>
  <c r="I128" i="5"/>
  <c r="H128" i="5"/>
  <c r="G128" i="5"/>
  <c r="F128" i="5"/>
  <c r="E128" i="5"/>
  <c r="D128" i="5"/>
  <c r="C128" i="5"/>
  <c r="B128" i="5"/>
  <c r="A128" i="5"/>
  <c r="T127" i="5"/>
  <c r="S127" i="5"/>
  <c r="R127" i="5"/>
  <c r="Q127" i="5"/>
  <c r="P127" i="5"/>
  <c r="O127" i="5"/>
  <c r="N127" i="5"/>
  <c r="M127" i="5"/>
  <c r="L127" i="5"/>
  <c r="K127" i="5"/>
  <c r="J127" i="5"/>
  <c r="I127" i="5"/>
  <c r="H127" i="5"/>
  <c r="G127" i="5"/>
  <c r="F127" i="5"/>
  <c r="E127" i="5"/>
  <c r="D127" i="5"/>
  <c r="C127" i="5"/>
  <c r="B127" i="5"/>
  <c r="A127" i="5"/>
  <c r="T126" i="5"/>
  <c r="S126" i="5"/>
  <c r="R126" i="5"/>
  <c r="Q126" i="5"/>
  <c r="P126" i="5"/>
  <c r="O126" i="5"/>
  <c r="N126" i="5"/>
  <c r="M126" i="5"/>
  <c r="L126" i="5"/>
  <c r="K126" i="5"/>
  <c r="J126" i="5"/>
  <c r="I126" i="5"/>
  <c r="H126" i="5"/>
  <c r="G126" i="5"/>
  <c r="F126" i="5"/>
  <c r="E126" i="5"/>
  <c r="D126" i="5"/>
  <c r="C126" i="5"/>
  <c r="B126" i="5"/>
  <c r="A126" i="5"/>
  <c r="T125" i="5"/>
  <c r="S125" i="5"/>
  <c r="R125" i="5"/>
  <c r="Q125" i="5"/>
  <c r="P125" i="5"/>
  <c r="O125" i="5"/>
  <c r="N125" i="5"/>
  <c r="M125" i="5"/>
  <c r="L125" i="5"/>
  <c r="K125" i="5"/>
  <c r="J125" i="5"/>
  <c r="I125" i="5"/>
  <c r="H125" i="5"/>
  <c r="G125" i="5"/>
  <c r="F125" i="5"/>
  <c r="E125" i="5"/>
  <c r="D125" i="5"/>
  <c r="C125" i="5"/>
  <c r="B125" i="5"/>
  <c r="A125" i="5"/>
  <c r="T124" i="5"/>
  <c r="S124" i="5"/>
  <c r="R124" i="5"/>
  <c r="Q124" i="5"/>
  <c r="P124" i="5"/>
  <c r="O124" i="5"/>
  <c r="N124" i="5"/>
  <c r="M124" i="5"/>
  <c r="L124" i="5"/>
  <c r="K124" i="5"/>
  <c r="J124" i="5"/>
  <c r="I124" i="5"/>
  <c r="H124" i="5"/>
  <c r="G124" i="5"/>
  <c r="F124" i="5"/>
  <c r="E124" i="5"/>
  <c r="D124" i="5"/>
  <c r="C124" i="5"/>
  <c r="B124" i="5"/>
  <c r="A124" i="5"/>
  <c r="T123" i="5"/>
  <c r="S123" i="5"/>
  <c r="R123" i="5"/>
  <c r="Q123" i="5"/>
  <c r="P123" i="5"/>
  <c r="O123" i="5"/>
  <c r="N123" i="5"/>
  <c r="M123" i="5"/>
  <c r="L123" i="5"/>
  <c r="K123" i="5"/>
  <c r="J123" i="5"/>
  <c r="I123" i="5"/>
  <c r="H123" i="5"/>
  <c r="G123" i="5"/>
  <c r="F123" i="5"/>
  <c r="E123" i="5"/>
  <c r="D123" i="5"/>
  <c r="C123" i="5"/>
  <c r="B123" i="5"/>
  <c r="A123" i="5"/>
  <c r="T122" i="5"/>
  <c r="S122" i="5"/>
  <c r="R122" i="5"/>
  <c r="Q122" i="5"/>
  <c r="P122" i="5"/>
  <c r="O122" i="5"/>
  <c r="N122" i="5"/>
  <c r="M122" i="5"/>
  <c r="L122" i="5"/>
  <c r="K122" i="5"/>
  <c r="J122" i="5"/>
  <c r="I122" i="5"/>
  <c r="H122" i="5"/>
  <c r="G122" i="5"/>
  <c r="F122" i="5"/>
  <c r="E122" i="5"/>
  <c r="D122" i="5"/>
  <c r="C122" i="5"/>
  <c r="B122" i="5"/>
  <c r="A122" i="5"/>
  <c r="T121" i="5"/>
  <c r="S121" i="5"/>
  <c r="R121" i="5"/>
  <c r="Q121" i="5"/>
  <c r="P121" i="5"/>
  <c r="O121" i="5"/>
  <c r="N121" i="5"/>
  <c r="M121" i="5"/>
  <c r="L121" i="5"/>
  <c r="K121" i="5"/>
  <c r="J121" i="5"/>
  <c r="I121" i="5"/>
  <c r="H121" i="5"/>
  <c r="G121" i="5"/>
  <c r="F121" i="5"/>
  <c r="E121" i="5"/>
  <c r="D121" i="5"/>
  <c r="C121" i="5"/>
  <c r="B121" i="5"/>
  <c r="A121" i="5"/>
  <c r="T120" i="5"/>
  <c r="S120" i="5"/>
  <c r="R120" i="5"/>
  <c r="Q120" i="5"/>
  <c r="P120" i="5"/>
  <c r="O120" i="5"/>
  <c r="N120" i="5"/>
  <c r="M120" i="5"/>
  <c r="L120" i="5"/>
  <c r="K120" i="5"/>
  <c r="J120" i="5"/>
  <c r="I120" i="5"/>
  <c r="H120" i="5"/>
  <c r="G120" i="5"/>
  <c r="F120" i="5"/>
  <c r="E120" i="5"/>
  <c r="D120" i="5"/>
  <c r="C120" i="5"/>
  <c r="B120" i="5"/>
  <c r="A120" i="5"/>
  <c r="T119" i="5"/>
  <c r="S119" i="5"/>
  <c r="R119" i="5"/>
  <c r="Q119" i="5"/>
  <c r="P119" i="5"/>
  <c r="O119" i="5"/>
  <c r="N119" i="5"/>
  <c r="M119" i="5"/>
  <c r="L119" i="5"/>
  <c r="K119" i="5"/>
  <c r="J119" i="5"/>
  <c r="I119" i="5"/>
  <c r="H119" i="5"/>
  <c r="G119" i="5"/>
  <c r="F119" i="5"/>
  <c r="E119" i="5"/>
  <c r="D119" i="5"/>
  <c r="C119" i="5"/>
  <c r="B119" i="5"/>
  <c r="A119" i="5"/>
  <c r="T118" i="5"/>
  <c r="S118" i="5"/>
  <c r="R118" i="5"/>
  <c r="Q118" i="5"/>
  <c r="P118" i="5"/>
  <c r="O118" i="5"/>
  <c r="N118" i="5"/>
  <c r="M118" i="5"/>
  <c r="L118" i="5"/>
  <c r="K118" i="5"/>
  <c r="J118" i="5"/>
  <c r="I118" i="5"/>
  <c r="H118" i="5"/>
  <c r="G118" i="5"/>
  <c r="F118" i="5"/>
  <c r="E118" i="5"/>
  <c r="D118" i="5"/>
  <c r="C118" i="5"/>
  <c r="B118" i="5"/>
  <c r="A118" i="5"/>
  <c r="T117" i="5"/>
  <c r="S117" i="5"/>
  <c r="R117" i="5"/>
  <c r="Q117" i="5"/>
  <c r="P117" i="5"/>
  <c r="O117" i="5"/>
  <c r="N117" i="5"/>
  <c r="M117" i="5"/>
  <c r="L117" i="5"/>
  <c r="K117" i="5"/>
  <c r="J117" i="5"/>
  <c r="I117" i="5"/>
  <c r="H117" i="5"/>
  <c r="G117" i="5"/>
  <c r="F117" i="5"/>
  <c r="E117" i="5"/>
  <c r="D117" i="5"/>
  <c r="C117" i="5"/>
  <c r="B117" i="5"/>
  <c r="A117" i="5"/>
  <c r="T116" i="5"/>
  <c r="S116" i="5"/>
  <c r="R116" i="5"/>
  <c r="Q116" i="5"/>
  <c r="P116" i="5"/>
  <c r="O116" i="5"/>
  <c r="N116" i="5"/>
  <c r="M116" i="5"/>
  <c r="L116" i="5"/>
  <c r="K116" i="5"/>
  <c r="J116" i="5"/>
  <c r="I116" i="5"/>
  <c r="H116" i="5"/>
  <c r="G116" i="5"/>
  <c r="F116" i="5"/>
  <c r="E116" i="5"/>
  <c r="D116" i="5"/>
  <c r="C116" i="5"/>
  <c r="B116" i="5"/>
  <c r="A116" i="5"/>
  <c r="T115" i="5"/>
  <c r="S115" i="5"/>
  <c r="R115" i="5"/>
  <c r="Q115" i="5"/>
  <c r="P115" i="5"/>
  <c r="O115" i="5"/>
  <c r="N115" i="5"/>
  <c r="M115" i="5"/>
  <c r="L115" i="5"/>
  <c r="K115" i="5"/>
  <c r="J115" i="5"/>
  <c r="I115" i="5"/>
  <c r="H115" i="5"/>
  <c r="G115" i="5"/>
  <c r="F115" i="5"/>
  <c r="E115" i="5"/>
  <c r="D115" i="5"/>
  <c r="C115" i="5"/>
  <c r="B115" i="5"/>
  <c r="A115" i="5"/>
  <c r="T114" i="5"/>
  <c r="S114" i="5"/>
  <c r="R114" i="5"/>
  <c r="Q114" i="5"/>
  <c r="P114" i="5"/>
  <c r="O114" i="5"/>
  <c r="N114" i="5"/>
  <c r="M114" i="5"/>
  <c r="L114" i="5"/>
  <c r="K114" i="5"/>
  <c r="J114" i="5"/>
  <c r="I114" i="5"/>
  <c r="H114" i="5"/>
  <c r="G114" i="5"/>
  <c r="F114" i="5"/>
  <c r="E114" i="5"/>
  <c r="D114" i="5"/>
  <c r="C114" i="5"/>
  <c r="B114" i="5"/>
  <c r="A114" i="5"/>
  <c r="T113" i="5"/>
  <c r="S113" i="5"/>
  <c r="R113" i="5"/>
  <c r="Q113" i="5"/>
  <c r="P113" i="5"/>
  <c r="O113" i="5"/>
  <c r="N113" i="5"/>
  <c r="M113" i="5"/>
  <c r="L113" i="5"/>
  <c r="K113" i="5"/>
  <c r="J113" i="5"/>
  <c r="I113" i="5"/>
  <c r="H113" i="5"/>
  <c r="G113" i="5"/>
  <c r="F113" i="5"/>
  <c r="E113" i="5"/>
  <c r="D113" i="5"/>
  <c r="C113" i="5"/>
  <c r="B113" i="5"/>
  <c r="A113" i="5"/>
  <c r="T112" i="5"/>
  <c r="S112" i="5"/>
  <c r="R112" i="5"/>
  <c r="Q112" i="5"/>
  <c r="P112" i="5"/>
  <c r="O112" i="5"/>
  <c r="N112" i="5"/>
  <c r="M112" i="5"/>
  <c r="L112" i="5"/>
  <c r="K112" i="5"/>
  <c r="J112" i="5"/>
  <c r="I112" i="5"/>
  <c r="H112" i="5"/>
  <c r="G112" i="5"/>
  <c r="F112" i="5"/>
  <c r="E112" i="5"/>
  <c r="D112" i="5"/>
  <c r="C112" i="5"/>
  <c r="B112" i="5"/>
  <c r="A112" i="5"/>
  <c r="T111" i="5"/>
  <c r="S111" i="5"/>
  <c r="R111" i="5"/>
  <c r="Q111" i="5"/>
  <c r="P111" i="5"/>
  <c r="O111" i="5"/>
  <c r="N111" i="5"/>
  <c r="M111" i="5"/>
  <c r="L111" i="5"/>
  <c r="K111" i="5"/>
  <c r="J111" i="5"/>
  <c r="I111" i="5"/>
  <c r="H111" i="5"/>
  <c r="G111" i="5"/>
  <c r="F111" i="5"/>
  <c r="E111" i="5"/>
  <c r="D111" i="5"/>
  <c r="C111" i="5"/>
  <c r="B111" i="5"/>
  <c r="A111" i="5"/>
  <c r="T110" i="5"/>
  <c r="S110" i="5"/>
  <c r="R110" i="5"/>
  <c r="Q110" i="5"/>
  <c r="P110" i="5"/>
  <c r="O110" i="5"/>
  <c r="N110" i="5"/>
  <c r="M110" i="5"/>
  <c r="L110" i="5"/>
  <c r="K110" i="5"/>
  <c r="J110" i="5"/>
  <c r="I110" i="5"/>
  <c r="H110" i="5"/>
  <c r="G110" i="5"/>
  <c r="F110" i="5"/>
  <c r="E110" i="5"/>
  <c r="D110" i="5"/>
  <c r="C110" i="5"/>
  <c r="B110" i="5"/>
  <c r="A110" i="5"/>
  <c r="T109" i="5"/>
  <c r="S109" i="5"/>
  <c r="R109" i="5"/>
  <c r="Q109" i="5"/>
  <c r="P109" i="5"/>
  <c r="O109" i="5"/>
  <c r="N109" i="5"/>
  <c r="M109" i="5"/>
  <c r="L109" i="5"/>
  <c r="K109" i="5"/>
  <c r="J109" i="5"/>
  <c r="I109" i="5"/>
  <c r="H109" i="5"/>
  <c r="G109" i="5"/>
  <c r="F109" i="5"/>
  <c r="E109" i="5"/>
  <c r="D109" i="5"/>
  <c r="C109" i="5"/>
  <c r="B109" i="5"/>
  <c r="A109" i="5"/>
  <c r="T108" i="5"/>
  <c r="S108" i="5"/>
  <c r="R108" i="5"/>
  <c r="Q108" i="5"/>
  <c r="P108" i="5"/>
  <c r="O108" i="5"/>
  <c r="N108" i="5"/>
  <c r="M108" i="5"/>
  <c r="L108" i="5"/>
  <c r="K108" i="5"/>
  <c r="J108" i="5"/>
  <c r="I108" i="5"/>
  <c r="H108" i="5"/>
  <c r="G108" i="5"/>
  <c r="F108" i="5"/>
  <c r="E108" i="5"/>
  <c r="D108" i="5"/>
  <c r="C108" i="5"/>
  <c r="B108" i="5"/>
  <c r="A108" i="5"/>
  <c r="T107" i="5"/>
  <c r="S107" i="5"/>
  <c r="R107" i="5"/>
  <c r="Q107" i="5"/>
  <c r="P107" i="5"/>
  <c r="O107" i="5"/>
  <c r="N107" i="5"/>
  <c r="M107" i="5"/>
  <c r="L107" i="5"/>
  <c r="K107" i="5"/>
  <c r="J107" i="5"/>
  <c r="I107" i="5"/>
  <c r="H107" i="5"/>
  <c r="G107" i="5"/>
  <c r="F107" i="5"/>
  <c r="E107" i="5"/>
  <c r="D107" i="5"/>
  <c r="C107" i="5"/>
  <c r="B107" i="5"/>
  <c r="A107" i="5"/>
  <c r="T106" i="5"/>
  <c r="S106" i="5"/>
  <c r="R106" i="5"/>
  <c r="Q106" i="5"/>
  <c r="P106" i="5"/>
  <c r="O106" i="5"/>
  <c r="N106" i="5"/>
  <c r="M106" i="5"/>
  <c r="L106" i="5"/>
  <c r="K106" i="5"/>
  <c r="J106" i="5"/>
  <c r="I106" i="5"/>
  <c r="H106" i="5"/>
  <c r="G106" i="5"/>
  <c r="F106" i="5"/>
  <c r="E106" i="5"/>
  <c r="D106" i="5"/>
  <c r="C106" i="5"/>
  <c r="B106" i="5"/>
  <c r="A106" i="5"/>
  <c r="T105" i="5"/>
  <c r="S105" i="5"/>
  <c r="R105" i="5"/>
  <c r="Q105" i="5"/>
  <c r="P105" i="5"/>
  <c r="O105" i="5"/>
  <c r="N105" i="5"/>
  <c r="M105" i="5"/>
  <c r="L105" i="5"/>
  <c r="K105" i="5"/>
  <c r="J105" i="5"/>
  <c r="I105" i="5"/>
  <c r="H105" i="5"/>
  <c r="G105" i="5"/>
  <c r="F105" i="5"/>
  <c r="E105" i="5"/>
  <c r="D105" i="5"/>
  <c r="C105" i="5"/>
  <c r="B105" i="5"/>
  <c r="A105" i="5"/>
  <c r="T104" i="5"/>
  <c r="S104" i="5"/>
  <c r="R104" i="5"/>
  <c r="Q104" i="5"/>
  <c r="P104" i="5"/>
  <c r="O104" i="5"/>
  <c r="N104" i="5"/>
  <c r="M104" i="5"/>
  <c r="L104" i="5"/>
  <c r="K104" i="5"/>
  <c r="J104" i="5"/>
  <c r="I104" i="5"/>
  <c r="H104" i="5"/>
  <c r="G104" i="5"/>
  <c r="F104" i="5"/>
  <c r="E104" i="5"/>
  <c r="D104" i="5"/>
  <c r="C104" i="5"/>
  <c r="B104" i="5"/>
  <c r="A104" i="5"/>
  <c r="T103" i="5"/>
  <c r="S103" i="5"/>
  <c r="R103" i="5"/>
  <c r="Q103" i="5"/>
  <c r="P103" i="5"/>
  <c r="O103" i="5"/>
  <c r="N103" i="5"/>
  <c r="M103" i="5"/>
  <c r="L103" i="5"/>
  <c r="K103" i="5"/>
  <c r="J103" i="5"/>
  <c r="I103" i="5"/>
  <c r="H103" i="5"/>
  <c r="G103" i="5"/>
  <c r="F103" i="5"/>
  <c r="E103" i="5"/>
  <c r="D103" i="5"/>
  <c r="C103" i="5"/>
  <c r="B103" i="5"/>
  <c r="A103" i="5"/>
  <c r="T102" i="5"/>
  <c r="S102" i="5"/>
  <c r="R102" i="5"/>
  <c r="Q102" i="5"/>
  <c r="P102" i="5"/>
  <c r="O102" i="5"/>
  <c r="N102" i="5"/>
  <c r="M102" i="5"/>
  <c r="L102" i="5"/>
  <c r="K102" i="5"/>
  <c r="J102" i="5"/>
  <c r="I102" i="5"/>
  <c r="H102" i="5"/>
  <c r="G102" i="5"/>
  <c r="F102" i="5"/>
  <c r="E102" i="5"/>
  <c r="D102" i="5"/>
  <c r="C102" i="5"/>
  <c r="B102" i="5"/>
  <c r="A102" i="5"/>
  <c r="T101" i="5"/>
  <c r="S101" i="5"/>
  <c r="R101" i="5"/>
  <c r="Q101" i="5"/>
  <c r="P101" i="5"/>
  <c r="O101" i="5"/>
  <c r="N101" i="5"/>
  <c r="M101" i="5"/>
  <c r="L101" i="5"/>
  <c r="K101" i="5"/>
  <c r="J101" i="5"/>
  <c r="I101" i="5"/>
  <c r="H101" i="5"/>
  <c r="G101" i="5"/>
  <c r="F101" i="5"/>
  <c r="E101" i="5"/>
  <c r="D101" i="5"/>
  <c r="C101" i="5"/>
  <c r="B101" i="5"/>
  <c r="A101" i="5"/>
  <c r="T100" i="5"/>
  <c r="S100" i="5"/>
  <c r="R100" i="5"/>
  <c r="Q100" i="5"/>
  <c r="P100" i="5"/>
  <c r="O100" i="5"/>
  <c r="N100" i="5"/>
  <c r="M100" i="5"/>
  <c r="L100" i="5"/>
  <c r="K100" i="5"/>
  <c r="J100" i="5"/>
  <c r="I100" i="5"/>
  <c r="H100" i="5"/>
  <c r="G100" i="5"/>
  <c r="F100" i="5"/>
  <c r="E100" i="5"/>
  <c r="D100" i="5"/>
  <c r="C100" i="5"/>
  <c r="B100" i="5"/>
  <c r="A100" i="5"/>
  <c r="T99" i="5"/>
  <c r="S99" i="5"/>
  <c r="R99" i="5"/>
  <c r="Q99" i="5"/>
  <c r="P99" i="5"/>
  <c r="O99" i="5"/>
  <c r="N99" i="5"/>
  <c r="M99" i="5"/>
  <c r="L99" i="5"/>
  <c r="K99" i="5"/>
  <c r="J99" i="5"/>
  <c r="I99" i="5"/>
  <c r="H99" i="5"/>
  <c r="G99" i="5"/>
  <c r="F99" i="5"/>
  <c r="E99" i="5"/>
  <c r="D99" i="5"/>
  <c r="C99" i="5"/>
  <c r="B99" i="5"/>
  <c r="A99" i="5"/>
  <c r="T98" i="5"/>
  <c r="S98" i="5"/>
  <c r="R98" i="5"/>
  <c r="Q98" i="5"/>
  <c r="P98" i="5"/>
  <c r="O98" i="5"/>
  <c r="N98" i="5"/>
  <c r="M98" i="5"/>
  <c r="L98" i="5"/>
  <c r="K98" i="5"/>
  <c r="J98" i="5"/>
  <c r="I98" i="5"/>
  <c r="H98" i="5"/>
  <c r="G98" i="5"/>
  <c r="F98" i="5"/>
  <c r="E98" i="5"/>
  <c r="D98" i="5"/>
  <c r="C98" i="5"/>
  <c r="B98" i="5"/>
  <c r="A98" i="5"/>
  <c r="T97" i="5"/>
  <c r="S97" i="5"/>
  <c r="R97" i="5"/>
  <c r="Q97" i="5"/>
  <c r="P97" i="5"/>
  <c r="O97" i="5"/>
  <c r="N97" i="5"/>
  <c r="M97" i="5"/>
  <c r="L97" i="5"/>
  <c r="K97" i="5"/>
  <c r="J97" i="5"/>
  <c r="I97" i="5"/>
  <c r="H97" i="5"/>
  <c r="G97" i="5"/>
  <c r="F97" i="5"/>
  <c r="E97" i="5"/>
  <c r="D97" i="5"/>
  <c r="C97" i="5"/>
  <c r="B97" i="5"/>
  <c r="A97" i="5"/>
  <c r="T96" i="5"/>
  <c r="S96" i="5"/>
  <c r="R96" i="5"/>
  <c r="Q96" i="5"/>
  <c r="P96" i="5"/>
  <c r="O96" i="5"/>
  <c r="N96" i="5"/>
  <c r="M96" i="5"/>
  <c r="L96" i="5"/>
  <c r="K96" i="5"/>
  <c r="J96" i="5"/>
  <c r="I96" i="5"/>
  <c r="H96" i="5"/>
  <c r="G96" i="5"/>
  <c r="F96" i="5"/>
  <c r="E96" i="5"/>
  <c r="D96" i="5"/>
  <c r="C96" i="5"/>
  <c r="B96" i="5"/>
  <c r="A96" i="5"/>
  <c r="T95" i="5"/>
  <c r="S95" i="5"/>
  <c r="R95" i="5"/>
  <c r="Q95" i="5"/>
  <c r="P95" i="5"/>
  <c r="O95" i="5"/>
  <c r="N95" i="5"/>
  <c r="M95" i="5"/>
  <c r="L95" i="5"/>
  <c r="K95" i="5"/>
  <c r="J95" i="5"/>
  <c r="I95" i="5"/>
  <c r="H95" i="5"/>
  <c r="G95" i="5"/>
  <c r="F95" i="5"/>
  <c r="E95" i="5"/>
  <c r="D95" i="5"/>
  <c r="C95" i="5"/>
  <c r="B95" i="5"/>
  <c r="A95" i="5"/>
  <c r="T94" i="5"/>
  <c r="S94" i="5"/>
  <c r="R94" i="5"/>
  <c r="Q94" i="5"/>
  <c r="P94" i="5"/>
  <c r="O94" i="5"/>
  <c r="N94" i="5"/>
  <c r="M94" i="5"/>
  <c r="L94" i="5"/>
  <c r="K94" i="5"/>
  <c r="J94" i="5"/>
  <c r="I94" i="5"/>
  <c r="H94" i="5"/>
  <c r="G94" i="5"/>
  <c r="F94" i="5"/>
  <c r="E94" i="5"/>
  <c r="D94" i="5"/>
  <c r="C94" i="5"/>
  <c r="B94" i="5"/>
  <c r="A94" i="5"/>
  <c r="T93" i="5"/>
  <c r="S93" i="5"/>
  <c r="R93" i="5"/>
  <c r="Q93" i="5"/>
  <c r="P93" i="5"/>
  <c r="O93" i="5"/>
  <c r="N93" i="5"/>
  <c r="M93" i="5"/>
  <c r="L93" i="5"/>
  <c r="K93" i="5"/>
  <c r="J93" i="5"/>
  <c r="I93" i="5"/>
  <c r="H93" i="5"/>
  <c r="G93" i="5"/>
  <c r="F93" i="5"/>
  <c r="E93" i="5"/>
  <c r="D93" i="5"/>
  <c r="C93" i="5"/>
  <c r="B93" i="5"/>
  <c r="A93" i="5"/>
  <c r="T92" i="5"/>
  <c r="S92" i="5"/>
  <c r="R92" i="5"/>
  <c r="Q92" i="5"/>
  <c r="P92" i="5"/>
  <c r="O92" i="5"/>
  <c r="N92" i="5"/>
  <c r="M92" i="5"/>
  <c r="L92" i="5"/>
  <c r="K92" i="5"/>
  <c r="J92" i="5"/>
  <c r="I92" i="5"/>
  <c r="H92" i="5"/>
  <c r="G92" i="5"/>
  <c r="F92" i="5"/>
  <c r="E92" i="5"/>
  <c r="D92" i="5"/>
  <c r="C92" i="5"/>
  <c r="B92" i="5"/>
  <c r="A92" i="5"/>
  <c r="T91" i="5"/>
  <c r="S91" i="5"/>
  <c r="R91" i="5"/>
  <c r="Q91" i="5"/>
  <c r="P91" i="5"/>
  <c r="O91" i="5"/>
  <c r="N91" i="5"/>
  <c r="M91" i="5"/>
  <c r="L91" i="5"/>
  <c r="K91" i="5"/>
  <c r="J91" i="5"/>
  <c r="I91" i="5"/>
  <c r="H91" i="5"/>
  <c r="G91" i="5"/>
  <c r="F91" i="5"/>
  <c r="E91" i="5"/>
  <c r="D91" i="5"/>
  <c r="C91" i="5"/>
  <c r="B91" i="5"/>
  <c r="A91" i="5"/>
  <c r="T90" i="5"/>
  <c r="S90" i="5"/>
  <c r="R90" i="5"/>
  <c r="Q90" i="5"/>
  <c r="P90" i="5"/>
  <c r="O90" i="5"/>
  <c r="N90" i="5"/>
  <c r="M90" i="5"/>
  <c r="L90" i="5"/>
  <c r="K90" i="5"/>
  <c r="J90" i="5"/>
  <c r="I90" i="5"/>
  <c r="H90" i="5"/>
  <c r="G90" i="5"/>
  <c r="F90" i="5"/>
  <c r="E90" i="5"/>
  <c r="D90" i="5"/>
  <c r="C90" i="5"/>
  <c r="B90" i="5"/>
  <c r="A90" i="5"/>
  <c r="T89" i="5"/>
  <c r="S89" i="5"/>
  <c r="R89" i="5"/>
  <c r="Q89" i="5"/>
  <c r="P89" i="5"/>
  <c r="O89" i="5"/>
  <c r="N89" i="5"/>
  <c r="M89" i="5"/>
  <c r="L89" i="5"/>
  <c r="K89" i="5"/>
  <c r="J89" i="5"/>
  <c r="I89" i="5"/>
  <c r="H89" i="5"/>
  <c r="G89" i="5"/>
  <c r="F89" i="5"/>
  <c r="E89" i="5"/>
  <c r="D89" i="5"/>
  <c r="C89" i="5"/>
  <c r="B89" i="5"/>
  <c r="A89" i="5"/>
  <c r="T88" i="5"/>
  <c r="S88" i="5"/>
  <c r="R88" i="5"/>
  <c r="Q88" i="5"/>
  <c r="P88" i="5"/>
  <c r="O88" i="5"/>
  <c r="N88" i="5"/>
  <c r="M88" i="5"/>
  <c r="L88" i="5"/>
  <c r="K88" i="5"/>
  <c r="J88" i="5"/>
  <c r="I88" i="5"/>
  <c r="H88" i="5"/>
  <c r="G88" i="5"/>
  <c r="F88" i="5"/>
  <c r="E88" i="5"/>
  <c r="D88" i="5"/>
  <c r="C88" i="5"/>
  <c r="B88" i="5"/>
  <c r="A88" i="5"/>
  <c r="T87" i="5"/>
  <c r="S87" i="5"/>
  <c r="R87" i="5"/>
  <c r="Q87" i="5"/>
  <c r="P87" i="5"/>
  <c r="O87" i="5"/>
  <c r="N87" i="5"/>
  <c r="M87" i="5"/>
  <c r="L87" i="5"/>
  <c r="K87" i="5"/>
  <c r="J87" i="5"/>
  <c r="I87" i="5"/>
  <c r="H87" i="5"/>
  <c r="G87" i="5"/>
  <c r="F87" i="5"/>
  <c r="E87" i="5"/>
  <c r="D87" i="5"/>
  <c r="C87" i="5"/>
  <c r="B87" i="5"/>
  <c r="A87" i="5"/>
  <c r="T86" i="5"/>
  <c r="S86" i="5"/>
  <c r="R86" i="5"/>
  <c r="Q86" i="5"/>
  <c r="P86" i="5"/>
  <c r="O86" i="5"/>
  <c r="N86" i="5"/>
  <c r="M86" i="5"/>
  <c r="L86" i="5"/>
  <c r="K86" i="5"/>
  <c r="J86" i="5"/>
  <c r="I86" i="5"/>
  <c r="H86" i="5"/>
  <c r="G86" i="5"/>
  <c r="F86" i="5"/>
  <c r="E86" i="5"/>
  <c r="D86" i="5"/>
  <c r="C86" i="5"/>
  <c r="B86" i="5"/>
  <c r="A86" i="5"/>
  <c r="T85" i="5"/>
  <c r="S85" i="5"/>
  <c r="R85" i="5"/>
  <c r="Q85" i="5"/>
  <c r="P85" i="5"/>
  <c r="O85" i="5"/>
  <c r="N85" i="5"/>
  <c r="M85" i="5"/>
  <c r="L85" i="5"/>
  <c r="K85" i="5"/>
  <c r="J85" i="5"/>
  <c r="I85" i="5"/>
  <c r="H85" i="5"/>
  <c r="G85" i="5"/>
  <c r="F85" i="5"/>
  <c r="E85" i="5"/>
  <c r="D85" i="5"/>
  <c r="C85" i="5"/>
  <c r="B85" i="5"/>
  <c r="A85" i="5"/>
  <c r="T84" i="5"/>
  <c r="S84" i="5"/>
  <c r="R84" i="5"/>
  <c r="Q84" i="5"/>
  <c r="P84" i="5"/>
  <c r="O84" i="5"/>
  <c r="N84" i="5"/>
  <c r="M84" i="5"/>
  <c r="L84" i="5"/>
  <c r="K84" i="5"/>
  <c r="J84" i="5"/>
  <c r="I84" i="5"/>
  <c r="H84" i="5"/>
  <c r="G84" i="5"/>
  <c r="F84" i="5"/>
  <c r="E84" i="5"/>
  <c r="D84" i="5"/>
  <c r="C84" i="5"/>
  <c r="B84" i="5"/>
  <c r="A84" i="5"/>
  <c r="T83" i="5"/>
  <c r="S83" i="5"/>
  <c r="R83" i="5"/>
  <c r="Q83" i="5"/>
  <c r="P83" i="5"/>
  <c r="O83" i="5"/>
  <c r="N83" i="5"/>
  <c r="M83" i="5"/>
  <c r="L83" i="5"/>
  <c r="K83" i="5"/>
  <c r="J83" i="5"/>
  <c r="I83" i="5"/>
  <c r="H83" i="5"/>
  <c r="G83" i="5"/>
  <c r="F83" i="5"/>
  <c r="E83" i="5"/>
  <c r="D83" i="5"/>
  <c r="C83" i="5"/>
  <c r="B83" i="5"/>
  <c r="A83" i="5"/>
  <c r="T82" i="5"/>
  <c r="S82" i="5"/>
  <c r="R82" i="5"/>
  <c r="Q82" i="5"/>
  <c r="P82" i="5"/>
  <c r="O82" i="5"/>
  <c r="N82" i="5"/>
  <c r="M82" i="5"/>
  <c r="L82" i="5"/>
  <c r="K82" i="5"/>
  <c r="J82" i="5"/>
  <c r="I82" i="5"/>
  <c r="H82" i="5"/>
  <c r="G82" i="5"/>
  <c r="F82" i="5"/>
  <c r="E82" i="5"/>
  <c r="D82" i="5"/>
  <c r="C82" i="5"/>
  <c r="B82" i="5"/>
  <c r="A82" i="5"/>
  <c r="T81" i="5"/>
  <c r="S81" i="5"/>
  <c r="R81" i="5"/>
  <c r="Q81" i="5"/>
  <c r="P81" i="5"/>
  <c r="O81" i="5"/>
  <c r="N81" i="5"/>
  <c r="M81" i="5"/>
  <c r="L81" i="5"/>
  <c r="K81" i="5"/>
  <c r="J81" i="5"/>
  <c r="I81" i="5"/>
  <c r="H81" i="5"/>
  <c r="G81" i="5"/>
  <c r="F81" i="5"/>
  <c r="E81" i="5"/>
  <c r="D81" i="5"/>
  <c r="C81" i="5"/>
  <c r="B81" i="5"/>
  <c r="A81" i="5"/>
  <c r="T80" i="5"/>
  <c r="S80" i="5"/>
  <c r="R80" i="5"/>
  <c r="Q80" i="5"/>
  <c r="P80" i="5"/>
  <c r="O80" i="5"/>
  <c r="N80" i="5"/>
  <c r="M80" i="5"/>
  <c r="L80" i="5"/>
  <c r="K80" i="5"/>
  <c r="J80" i="5"/>
  <c r="I80" i="5"/>
  <c r="H80" i="5"/>
  <c r="G80" i="5"/>
  <c r="F80" i="5"/>
  <c r="E80" i="5"/>
  <c r="D80" i="5"/>
  <c r="C80" i="5"/>
  <c r="B80" i="5"/>
  <c r="A80" i="5"/>
  <c r="T79" i="5"/>
  <c r="S79" i="5"/>
  <c r="R79" i="5"/>
  <c r="Q79" i="5"/>
  <c r="P79" i="5"/>
  <c r="O79" i="5"/>
  <c r="N79" i="5"/>
  <c r="M79" i="5"/>
  <c r="L79" i="5"/>
  <c r="K79" i="5"/>
  <c r="J79" i="5"/>
  <c r="I79" i="5"/>
  <c r="H79" i="5"/>
  <c r="G79" i="5"/>
  <c r="F79" i="5"/>
  <c r="E79" i="5"/>
  <c r="D79" i="5"/>
  <c r="C79" i="5"/>
  <c r="B79" i="5"/>
  <c r="A79" i="5"/>
  <c r="T78" i="5"/>
  <c r="S78" i="5"/>
  <c r="R78" i="5"/>
  <c r="Q78" i="5"/>
  <c r="P78" i="5"/>
  <c r="O78" i="5"/>
  <c r="N78" i="5"/>
  <c r="M78" i="5"/>
  <c r="L78" i="5"/>
  <c r="K78" i="5"/>
  <c r="J78" i="5"/>
  <c r="I78" i="5"/>
  <c r="H78" i="5"/>
  <c r="G78" i="5"/>
  <c r="F78" i="5"/>
  <c r="E78" i="5"/>
  <c r="D78" i="5"/>
  <c r="C78" i="5"/>
  <c r="B78" i="5"/>
  <c r="A78" i="5"/>
  <c r="T77" i="5"/>
  <c r="S77" i="5"/>
  <c r="R77" i="5"/>
  <c r="Q77" i="5"/>
  <c r="P77" i="5"/>
  <c r="O77" i="5"/>
  <c r="N77" i="5"/>
  <c r="M77" i="5"/>
  <c r="L77" i="5"/>
  <c r="K77" i="5"/>
  <c r="J77" i="5"/>
  <c r="I77" i="5"/>
  <c r="H77" i="5"/>
  <c r="G77" i="5"/>
  <c r="F77" i="5"/>
  <c r="E77" i="5"/>
  <c r="D77" i="5"/>
  <c r="C77" i="5"/>
  <c r="B77" i="5"/>
  <c r="A77" i="5"/>
  <c r="T76" i="5"/>
  <c r="S76" i="5"/>
  <c r="R76" i="5"/>
  <c r="Q76" i="5"/>
  <c r="P76" i="5"/>
  <c r="O76" i="5"/>
  <c r="N76" i="5"/>
  <c r="M76" i="5"/>
  <c r="L76" i="5"/>
  <c r="K76" i="5"/>
  <c r="J76" i="5"/>
  <c r="I76" i="5"/>
  <c r="H76" i="5"/>
  <c r="G76" i="5"/>
  <c r="F76" i="5"/>
  <c r="E76" i="5"/>
  <c r="D76" i="5"/>
  <c r="C76" i="5"/>
  <c r="B76" i="5"/>
  <c r="A76" i="5"/>
  <c r="T75" i="5"/>
  <c r="S75" i="5"/>
  <c r="R75" i="5"/>
  <c r="Q75" i="5"/>
  <c r="P75" i="5"/>
  <c r="O75" i="5"/>
  <c r="N75" i="5"/>
  <c r="M75" i="5"/>
  <c r="L75" i="5"/>
  <c r="K75" i="5"/>
  <c r="J75" i="5"/>
  <c r="I75" i="5"/>
  <c r="H75" i="5"/>
  <c r="G75" i="5"/>
  <c r="F75" i="5"/>
  <c r="E75" i="5"/>
  <c r="D75" i="5"/>
  <c r="C75" i="5"/>
  <c r="B75" i="5"/>
  <c r="A75" i="5"/>
  <c r="T74" i="5"/>
  <c r="S74" i="5"/>
  <c r="R74" i="5"/>
  <c r="Q74" i="5"/>
  <c r="P74" i="5"/>
  <c r="O74" i="5"/>
  <c r="N74" i="5"/>
  <c r="M74" i="5"/>
  <c r="L74" i="5"/>
  <c r="K74" i="5"/>
  <c r="J74" i="5"/>
  <c r="I74" i="5"/>
  <c r="H74" i="5"/>
  <c r="G74" i="5"/>
  <c r="F74" i="5"/>
  <c r="E74" i="5"/>
  <c r="D74" i="5"/>
  <c r="C74" i="5"/>
  <c r="B74" i="5"/>
  <c r="A74" i="5"/>
  <c r="T73" i="5"/>
  <c r="S73" i="5"/>
  <c r="R73" i="5"/>
  <c r="Q73" i="5"/>
  <c r="P73" i="5"/>
  <c r="O73" i="5"/>
  <c r="N73" i="5"/>
  <c r="M73" i="5"/>
  <c r="L73" i="5"/>
  <c r="K73" i="5"/>
  <c r="J73" i="5"/>
  <c r="I73" i="5"/>
  <c r="H73" i="5"/>
  <c r="G73" i="5"/>
  <c r="F73" i="5"/>
  <c r="E73" i="5"/>
  <c r="D73" i="5"/>
  <c r="C73" i="5"/>
  <c r="B73" i="5"/>
  <c r="A73" i="5"/>
  <c r="T72" i="5"/>
  <c r="S72" i="5"/>
  <c r="R72" i="5"/>
  <c r="Q72" i="5"/>
  <c r="P72" i="5"/>
  <c r="O72" i="5"/>
  <c r="N72" i="5"/>
  <c r="M72" i="5"/>
  <c r="L72" i="5"/>
  <c r="K72" i="5"/>
  <c r="J72" i="5"/>
  <c r="I72" i="5"/>
  <c r="H72" i="5"/>
  <c r="G72" i="5"/>
  <c r="F72" i="5"/>
  <c r="E72" i="5"/>
  <c r="D72" i="5"/>
  <c r="C72" i="5"/>
  <c r="B72" i="5"/>
  <c r="A72" i="5"/>
  <c r="T71" i="5"/>
  <c r="S71" i="5"/>
  <c r="R71" i="5"/>
  <c r="Q71" i="5"/>
  <c r="P71" i="5"/>
  <c r="O71" i="5"/>
  <c r="N71" i="5"/>
  <c r="M71" i="5"/>
  <c r="L71" i="5"/>
  <c r="K71" i="5"/>
  <c r="J71" i="5"/>
  <c r="I71" i="5"/>
  <c r="H71" i="5"/>
  <c r="G71" i="5"/>
  <c r="F71" i="5"/>
  <c r="E71" i="5"/>
  <c r="D71" i="5"/>
  <c r="C71" i="5"/>
  <c r="B71" i="5"/>
  <c r="A71" i="5"/>
  <c r="T70" i="5"/>
  <c r="S70" i="5"/>
  <c r="R70" i="5"/>
  <c r="Q70" i="5"/>
  <c r="P70" i="5"/>
  <c r="O70" i="5"/>
  <c r="N70" i="5"/>
  <c r="M70" i="5"/>
  <c r="L70" i="5"/>
  <c r="K70" i="5"/>
  <c r="J70" i="5"/>
  <c r="I70" i="5"/>
  <c r="H70" i="5"/>
  <c r="G70" i="5"/>
  <c r="F70" i="5"/>
  <c r="E70" i="5"/>
  <c r="D70" i="5"/>
  <c r="C70" i="5"/>
  <c r="B70" i="5"/>
  <c r="A70" i="5"/>
  <c r="T69" i="5"/>
  <c r="S69" i="5"/>
  <c r="R69" i="5"/>
  <c r="Q69" i="5"/>
  <c r="P69" i="5"/>
  <c r="O69" i="5"/>
  <c r="N69" i="5"/>
  <c r="M69" i="5"/>
  <c r="L69" i="5"/>
  <c r="K69" i="5"/>
  <c r="J69" i="5"/>
  <c r="I69" i="5"/>
  <c r="H69" i="5"/>
  <c r="G69" i="5"/>
  <c r="F69" i="5"/>
  <c r="E69" i="5"/>
  <c r="D69" i="5"/>
  <c r="C69" i="5"/>
  <c r="B69" i="5"/>
  <c r="A69" i="5"/>
  <c r="T68" i="5"/>
  <c r="S68" i="5"/>
  <c r="R68" i="5"/>
  <c r="Q68" i="5"/>
  <c r="P68" i="5"/>
  <c r="O68" i="5"/>
  <c r="N68" i="5"/>
  <c r="M68" i="5"/>
  <c r="L68" i="5"/>
  <c r="K68" i="5"/>
  <c r="J68" i="5"/>
  <c r="I68" i="5"/>
  <c r="H68" i="5"/>
  <c r="G68" i="5"/>
  <c r="F68" i="5"/>
  <c r="E68" i="5"/>
  <c r="D68" i="5"/>
  <c r="C68" i="5"/>
  <c r="B68" i="5"/>
  <c r="A68" i="5"/>
  <c r="T67" i="5"/>
  <c r="S67" i="5"/>
  <c r="R67" i="5"/>
  <c r="Q67" i="5"/>
  <c r="P67" i="5"/>
  <c r="O67" i="5"/>
  <c r="N67" i="5"/>
  <c r="M67" i="5"/>
  <c r="L67" i="5"/>
  <c r="K67" i="5"/>
  <c r="J67" i="5"/>
  <c r="I67" i="5"/>
  <c r="H67" i="5"/>
  <c r="G67" i="5"/>
  <c r="F67" i="5"/>
  <c r="E67" i="5"/>
  <c r="D67" i="5"/>
  <c r="C67" i="5"/>
  <c r="B67" i="5"/>
  <c r="A67" i="5"/>
  <c r="T66" i="5"/>
  <c r="S66" i="5"/>
  <c r="R66" i="5"/>
  <c r="Q66" i="5"/>
  <c r="P66" i="5"/>
  <c r="O66" i="5"/>
  <c r="N66" i="5"/>
  <c r="M66" i="5"/>
  <c r="L66" i="5"/>
  <c r="K66" i="5"/>
  <c r="J66" i="5"/>
  <c r="I66" i="5"/>
  <c r="H66" i="5"/>
  <c r="G66" i="5"/>
  <c r="F66" i="5"/>
  <c r="E66" i="5"/>
  <c r="D66" i="5"/>
  <c r="C66" i="5"/>
  <c r="B66" i="5"/>
  <c r="A66" i="5"/>
  <c r="T65" i="5"/>
  <c r="S65" i="5"/>
  <c r="R65" i="5"/>
  <c r="Q65" i="5"/>
  <c r="P65" i="5"/>
  <c r="O65" i="5"/>
  <c r="N65" i="5"/>
  <c r="M65" i="5"/>
  <c r="L65" i="5"/>
  <c r="K65" i="5"/>
  <c r="J65" i="5"/>
  <c r="I65" i="5"/>
  <c r="H65" i="5"/>
  <c r="G65" i="5"/>
  <c r="F65" i="5"/>
  <c r="E65" i="5"/>
  <c r="D65" i="5"/>
  <c r="C65" i="5"/>
  <c r="B65" i="5"/>
  <c r="A65" i="5"/>
  <c r="T64" i="5"/>
  <c r="S64" i="5"/>
  <c r="R64" i="5"/>
  <c r="Q64" i="5"/>
  <c r="P64" i="5"/>
  <c r="O64" i="5"/>
  <c r="N64" i="5"/>
  <c r="M64" i="5"/>
  <c r="L64" i="5"/>
  <c r="K64" i="5"/>
  <c r="J64" i="5"/>
  <c r="I64" i="5"/>
  <c r="H64" i="5"/>
  <c r="G64" i="5"/>
  <c r="F64" i="5"/>
  <c r="E64" i="5"/>
  <c r="D64" i="5"/>
  <c r="C64" i="5"/>
  <c r="B64" i="5"/>
  <c r="A64" i="5"/>
  <c r="T63" i="5"/>
  <c r="S63" i="5"/>
  <c r="R63" i="5"/>
  <c r="Q63" i="5"/>
  <c r="P63" i="5"/>
  <c r="O63" i="5"/>
  <c r="N63" i="5"/>
  <c r="M63" i="5"/>
  <c r="L63" i="5"/>
  <c r="K63" i="5"/>
  <c r="J63" i="5"/>
  <c r="I63" i="5"/>
  <c r="H63" i="5"/>
  <c r="G63" i="5"/>
  <c r="F63" i="5"/>
  <c r="E63" i="5"/>
  <c r="D63" i="5"/>
  <c r="C63" i="5"/>
  <c r="B63" i="5"/>
  <c r="A63" i="5"/>
  <c r="T62" i="5"/>
  <c r="S62" i="5"/>
  <c r="R62" i="5"/>
  <c r="Q62" i="5"/>
  <c r="P62" i="5"/>
  <c r="O62" i="5"/>
  <c r="N62" i="5"/>
  <c r="M62" i="5"/>
  <c r="L62" i="5"/>
  <c r="K62" i="5"/>
  <c r="J62" i="5"/>
  <c r="I62" i="5"/>
  <c r="H62" i="5"/>
  <c r="G62" i="5"/>
  <c r="F62" i="5"/>
  <c r="E62" i="5"/>
  <c r="D62" i="5"/>
  <c r="C62" i="5"/>
  <c r="B62" i="5"/>
  <c r="A62" i="5"/>
  <c r="T61" i="5"/>
  <c r="S61" i="5"/>
  <c r="R61" i="5"/>
  <c r="Q61" i="5"/>
  <c r="P61" i="5"/>
  <c r="O61" i="5"/>
  <c r="N61" i="5"/>
  <c r="M61" i="5"/>
  <c r="L61" i="5"/>
  <c r="K61" i="5"/>
  <c r="J61" i="5"/>
  <c r="I61" i="5"/>
  <c r="H61" i="5"/>
  <c r="G61" i="5"/>
  <c r="F61" i="5"/>
  <c r="E61" i="5"/>
  <c r="D61" i="5"/>
  <c r="C61" i="5"/>
  <c r="B61" i="5"/>
  <c r="A61" i="5"/>
  <c r="T60" i="5"/>
  <c r="S60" i="5"/>
  <c r="R60" i="5"/>
  <c r="Q60" i="5"/>
  <c r="P60" i="5"/>
  <c r="O60" i="5"/>
  <c r="N60" i="5"/>
  <c r="M60" i="5"/>
  <c r="L60" i="5"/>
  <c r="K60" i="5"/>
  <c r="J60" i="5"/>
  <c r="I60" i="5"/>
  <c r="H60" i="5"/>
  <c r="G60" i="5"/>
  <c r="F60" i="5"/>
  <c r="E60" i="5"/>
  <c r="D60" i="5"/>
  <c r="C60" i="5"/>
  <c r="B60" i="5"/>
  <c r="A60" i="5"/>
  <c r="T59" i="5"/>
  <c r="S59" i="5"/>
  <c r="R59" i="5"/>
  <c r="Q59" i="5"/>
  <c r="P59" i="5"/>
  <c r="O59" i="5"/>
  <c r="N59" i="5"/>
  <c r="M59" i="5"/>
  <c r="L59" i="5"/>
  <c r="K59" i="5"/>
  <c r="J59" i="5"/>
  <c r="I59" i="5"/>
  <c r="H59" i="5"/>
  <c r="G59" i="5"/>
  <c r="F59" i="5"/>
  <c r="E59" i="5"/>
  <c r="D59" i="5"/>
  <c r="C59" i="5"/>
  <c r="B59" i="5"/>
  <c r="A59" i="5"/>
  <c r="T58" i="5"/>
  <c r="S58" i="5"/>
  <c r="R58" i="5"/>
  <c r="Q58" i="5"/>
  <c r="P58" i="5"/>
  <c r="O58" i="5"/>
  <c r="N58" i="5"/>
  <c r="M58" i="5"/>
  <c r="L58" i="5"/>
  <c r="K58" i="5"/>
  <c r="J58" i="5"/>
  <c r="I58" i="5"/>
  <c r="H58" i="5"/>
  <c r="G58" i="5"/>
  <c r="F58" i="5"/>
  <c r="E58" i="5"/>
  <c r="D58" i="5"/>
  <c r="C58" i="5"/>
  <c r="B58" i="5"/>
  <c r="A58" i="5"/>
  <c r="T57" i="5"/>
  <c r="S57" i="5"/>
  <c r="R57" i="5"/>
  <c r="Q57" i="5"/>
  <c r="P57" i="5"/>
  <c r="O57" i="5"/>
  <c r="N57" i="5"/>
  <c r="M57" i="5"/>
  <c r="L57" i="5"/>
  <c r="K57" i="5"/>
  <c r="J57" i="5"/>
  <c r="I57" i="5"/>
  <c r="H57" i="5"/>
  <c r="G57" i="5"/>
  <c r="F57" i="5"/>
  <c r="E57" i="5"/>
  <c r="D57" i="5"/>
  <c r="C57" i="5"/>
  <c r="B57" i="5"/>
  <c r="A57" i="5"/>
  <c r="T56" i="5"/>
  <c r="S56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D56" i="5"/>
  <c r="C56" i="5"/>
  <c r="B56" i="5"/>
  <c r="A56" i="5"/>
  <c r="T55" i="5"/>
  <c r="S55" i="5"/>
  <c r="R55" i="5"/>
  <c r="Q55" i="5"/>
  <c r="P55" i="5"/>
  <c r="O55" i="5"/>
  <c r="N55" i="5"/>
  <c r="M55" i="5"/>
  <c r="L55" i="5"/>
  <c r="K55" i="5"/>
  <c r="J55" i="5"/>
  <c r="I55" i="5"/>
  <c r="H55" i="5"/>
  <c r="G55" i="5"/>
  <c r="F55" i="5"/>
  <c r="E55" i="5"/>
  <c r="D55" i="5"/>
  <c r="C55" i="5"/>
  <c r="B55" i="5"/>
  <c r="A55" i="5"/>
  <c r="T54" i="5"/>
  <c r="S54" i="5"/>
  <c r="R54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D54" i="5"/>
  <c r="C54" i="5"/>
  <c r="B54" i="5"/>
  <c r="A54" i="5"/>
  <c r="T53" i="5"/>
  <c r="S53" i="5"/>
  <c r="R53" i="5"/>
  <c r="Q53" i="5"/>
  <c r="P53" i="5"/>
  <c r="O53" i="5"/>
  <c r="N53" i="5"/>
  <c r="M53" i="5"/>
  <c r="L53" i="5"/>
  <c r="K53" i="5"/>
  <c r="J53" i="5"/>
  <c r="I53" i="5"/>
  <c r="H53" i="5"/>
  <c r="G53" i="5"/>
  <c r="F53" i="5"/>
  <c r="E53" i="5"/>
  <c r="D53" i="5"/>
  <c r="C53" i="5"/>
  <c r="B53" i="5"/>
  <c r="A53" i="5"/>
  <c r="T52" i="5"/>
  <c r="S52" i="5"/>
  <c r="R52" i="5"/>
  <c r="Q52" i="5"/>
  <c r="P52" i="5"/>
  <c r="O52" i="5"/>
  <c r="N52" i="5"/>
  <c r="M52" i="5"/>
  <c r="L52" i="5"/>
  <c r="K52" i="5"/>
  <c r="J52" i="5"/>
  <c r="I52" i="5"/>
  <c r="H52" i="5"/>
  <c r="G52" i="5"/>
  <c r="F52" i="5"/>
  <c r="E52" i="5"/>
  <c r="D52" i="5"/>
  <c r="C52" i="5"/>
  <c r="B52" i="5"/>
  <c r="A52" i="5"/>
  <c r="T51" i="5"/>
  <c r="S51" i="5"/>
  <c r="R51" i="5"/>
  <c r="Q51" i="5"/>
  <c r="P51" i="5"/>
  <c r="O51" i="5"/>
  <c r="N51" i="5"/>
  <c r="M51" i="5"/>
  <c r="L51" i="5"/>
  <c r="K51" i="5"/>
  <c r="J51" i="5"/>
  <c r="I51" i="5"/>
  <c r="H51" i="5"/>
  <c r="G51" i="5"/>
  <c r="F51" i="5"/>
  <c r="E51" i="5"/>
  <c r="D51" i="5"/>
  <c r="C51" i="5"/>
  <c r="B51" i="5"/>
  <c r="A51" i="5"/>
  <c r="T50" i="5"/>
  <c r="S50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D50" i="5"/>
  <c r="C50" i="5"/>
  <c r="B50" i="5"/>
  <c r="A50" i="5"/>
  <c r="T49" i="5"/>
  <c r="S49" i="5"/>
  <c r="R49" i="5"/>
  <c r="Q49" i="5"/>
  <c r="P49" i="5"/>
  <c r="O49" i="5"/>
  <c r="N49" i="5"/>
  <c r="M49" i="5"/>
  <c r="L49" i="5"/>
  <c r="K49" i="5"/>
  <c r="J49" i="5"/>
  <c r="I49" i="5"/>
  <c r="H49" i="5"/>
  <c r="G49" i="5"/>
  <c r="F49" i="5"/>
  <c r="E49" i="5"/>
  <c r="D49" i="5"/>
  <c r="C49" i="5"/>
  <c r="B49" i="5"/>
  <c r="A49" i="5"/>
  <c r="T48" i="5"/>
  <c r="S48" i="5"/>
  <c r="R48" i="5"/>
  <c r="Q48" i="5"/>
  <c r="P48" i="5"/>
  <c r="O48" i="5"/>
  <c r="N48" i="5"/>
  <c r="M48" i="5"/>
  <c r="L48" i="5"/>
  <c r="K48" i="5"/>
  <c r="J48" i="5"/>
  <c r="I48" i="5"/>
  <c r="H48" i="5"/>
  <c r="G48" i="5"/>
  <c r="F48" i="5"/>
  <c r="E48" i="5"/>
  <c r="D48" i="5"/>
  <c r="C48" i="5"/>
  <c r="B48" i="5"/>
  <c r="A48" i="5"/>
  <c r="T47" i="5"/>
  <c r="S47" i="5"/>
  <c r="R47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C47" i="5"/>
  <c r="B47" i="5"/>
  <c r="A47" i="5"/>
  <c r="T46" i="5"/>
  <c r="S46" i="5"/>
  <c r="R46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C46" i="5"/>
  <c r="B46" i="5"/>
  <c r="A46" i="5"/>
  <c r="T45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C45" i="5"/>
  <c r="B45" i="5"/>
  <c r="A45" i="5"/>
  <c r="T44" i="5"/>
  <c r="S44" i="5"/>
  <c r="R44" i="5"/>
  <c r="Q44" i="5"/>
  <c r="P44" i="5"/>
  <c r="O44" i="5"/>
  <c r="N44" i="5"/>
  <c r="M44" i="5"/>
  <c r="L44" i="5"/>
  <c r="K44" i="5"/>
  <c r="J44" i="5"/>
  <c r="I44" i="5"/>
  <c r="H44" i="5"/>
  <c r="G44" i="5"/>
  <c r="F44" i="5"/>
  <c r="E44" i="5"/>
  <c r="D44" i="5"/>
  <c r="C44" i="5"/>
  <c r="B44" i="5"/>
  <c r="A44" i="5"/>
  <c r="T43" i="5"/>
  <c r="S43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D43" i="5"/>
  <c r="C43" i="5"/>
  <c r="B43" i="5"/>
  <c r="A43" i="5"/>
  <c r="T42" i="5"/>
  <c r="S42" i="5"/>
  <c r="R42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C42" i="5"/>
  <c r="B42" i="5"/>
  <c r="A42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D41" i="5"/>
  <c r="C41" i="5"/>
  <c r="B41" i="5"/>
  <c r="A41" i="5"/>
  <c r="T40" i="5"/>
  <c r="S40" i="5"/>
  <c r="R40" i="5"/>
  <c r="Q40" i="5"/>
  <c r="P40" i="5"/>
  <c r="O40" i="5"/>
  <c r="N40" i="5"/>
  <c r="M40" i="5"/>
  <c r="L40" i="5"/>
  <c r="K40" i="5"/>
  <c r="J40" i="5"/>
  <c r="I40" i="5"/>
  <c r="H40" i="5"/>
  <c r="G40" i="5"/>
  <c r="F40" i="5"/>
  <c r="E40" i="5"/>
  <c r="D40" i="5"/>
  <c r="C40" i="5"/>
  <c r="B40" i="5"/>
  <c r="A40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C39" i="5"/>
  <c r="B39" i="5"/>
  <c r="A39" i="5"/>
  <c r="T38" i="5"/>
  <c r="S38" i="5"/>
  <c r="R38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C38" i="5"/>
  <c r="B38" i="5"/>
  <c r="A38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F37" i="5"/>
  <c r="E37" i="5"/>
  <c r="D37" i="5"/>
  <c r="C37" i="5"/>
  <c r="B37" i="5"/>
  <c r="A37" i="5"/>
  <c r="T36" i="5"/>
  <c r="S36" i="5"/>
  <c r="R36" i="5"/>
  <c r="Q36" i="5"/>
  <c r="P36" i="5"/>
  <c r="O36" i="5"/>
  <c r="N36" i="5"/>
  <c r="M36" i="5"/>
  <c r="L36" i="5"/>
  <c r="K36" i="5"/>
  <c r="J36" i="5"/>
  <c r="I36" i="5"/>
  <c r="H36" i="5"/>
  <c r="G36" i="5"/>
  <c r="F36" i="5"/>
  <c r="E36" i="5"/>
  <c r="D36" i="5"/>
  <c r="C36" i="5"/>
  <c r="B36" i="5"/>
  <c r="A36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C35" i="5"/>
  <c r="B35" i="5"/>
  <c r="A35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B34" i="5"/>
  <c r="A34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B33" i="5"/>
  <c r="A33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C32" i="5"/>
  <c r="B32" i="5"/>
  <c r="A32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C31" i="5"/>
  <c r="B31" i="5"/>
  <c r="A31" i="5"/>
  <c r="T30" i="5"/>
  <c r="S30" i="5"/>
  <c r="R30" i="5"/>
  <c r="Q30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C30" i="5"/>
  <c r="B30" i="5"/>
  <c r="A30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B29" i="5"/>
  <c r="A29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B28" i="5"/>
  <c r="A28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C27" i="5"/>
  <c r="B27" i="5"/>
  <c r="A27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B26" i="5"/>
  <c r="A26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C25" i="5"/>
  <c r="B25" i="5"/>
  <c r="A25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B24" i="5"/>
  <c r="A24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B23" i="5"/>
  <c r="A23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B22" i="5"/>
  <c r="A22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C21" i="5"/>
  <c r="B21" i="5"/>
  <c r="A21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B20" i="5"/>
  <c r="A20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B19" i="5"/>
  <c r="A19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B18" i="5"/>
  <c r="A18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B17" i="5"/>
  <c r="A17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B16" i="5"/>
  <c r="A16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B15" i="5"/>
  <c r="A15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B14" i="5"/>
  <c r="A14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B13" i="5"/>
  <c r="A13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B12" i="5"/>
  <c r="A12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B11" i="5"/>
  <c r="A11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B10" i="5"/>
  <c r="A10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B9" i="5"/>
  <c r="A9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B8" i="5"/>
  <c r="A8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B7" i="5"/>
  <c r="A7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B6" i="5"/>
  <c r="A6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B5" i="5"/>
  <c r="A5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B4" i="5"/>
  <c r="A4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B3" i="5"/>
  <c r="A3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B2" i="5"/>
  <c r="A2" i="5"/>
  <c r="G13" i="4"/>
  <c r="F13" i="4"/>
  <c r="G12" i="4"/>
  <c r="F12" i="4"/>
  <c r="G11" i="4"/>
  <c r="F11" i="4"/>
  <c r="D668" i="3"/>
  <c r="G668" i="3" s="1"/>
  <c r="D667" i="3"/>
  <c r="E667" i="3" s="1"/>
  <c r="H667" i="3" s="1"/>
  <c r="D666" i="3"/>
  <c r="G666" i="3" s="1"/>
  <c r="D665" i="3"/>
  <c r="E665" i="3" s="1"/>
  <c r="H665" i="3" s="1"/>
  <c r="D664" i="3"/>
  <c r="D663" i="3"/>
  <c r="D662" i="3"/>
  <c r="D661" i="3"/>
  <c r="E661" i="3" s="1"/>
  <c r="H661" i="3" s="1"/>
  <c r="D660" i="3"/>
  <c r="E660" i="3" s="1"/>
  <c r="H660" i="3" s="1"/>
  <c r="D659" i="3"/>
  <c r="G659" i="3" s="1"/>
  <c r="D658" i="3"/>
  <c r="G658" i="3" s="1"/>
  <c r="D657" i="3"/>
  <c r="D656" i="3"/>
  <c r="G656" i="3" s="1"/>
  <c r="D655" i="3"/>
  <c r="D654" i="3"/>
  <c r="G654" i="3" s="1"/>
  <c r="D653" i="3"/>
  <c r="E653" i="3" s="1"/>
  <c r="H653" i="3" s="1"/>
  <c r="D652" i="3"/>
  <c r="E652" i="3" s="1"/>
  <c r="H652" i="3" s="1"/>
  <c r="D651" i="3"/>
  <c r="D650" i="3"/>
  <c r="D649" i="3"/>
  <c r="D648" i="3"/>
  <c r="D647" i="3"/>
  <c r="D646" i="3"/>
  <c r="D645" i="3"/>
  <c r="D644" i="3"/>
  <c r="E644" i="3" s="1"/>
  <c r="H644" i="3" s="1"/>
  <c r="D643" i="3"/>
  <c r="D642" i="3"/>
  <c r="D641" i="3"/>
  <c r="E641" i="3" s="1"/>
  <c r="H641" i="3" s="1"/>
  <c r="D640" i="3"/>
  <c r="D639" i="3"/>
  <c r="G639" i="3" s="1"/>
  <c r="D638" i="3"/>
  <c r="D637" i="3"/>
  <c r="D636" i="3"/>
  <c r="E636" i="3" s="1"/>
  <c r="H636" i="3" s="1"/>
  <c r="D635" i="3"/>
  <c r="D634" i="3"/>
  <c r="D633" i="3"/>
  <c r="D632" i="3"/>
  <c r="D631" i="3"/>
  <c r="E631" i="3" s="1"/>
  <c r="H631" i="3" s="1"/>
  <c r="D630" i="3"/>
  <c r="G630" i="3" s="1"/>
  <c r="D629" i="3"/>
  <c r="E629" i="3" s="1"/>
  <c r="H629" i="3" s="1"/>
  <c r="D628" i="3"/>
  <c r="E628" i="3" s="1"/>
  <c r="H628" i="3" s="1"/>
  <c r="D627" i="3"/>
  <c r="D626" i="3"/>
  <c r="D625" i="3"/>
  <c r="E625" i="3" s="1"/>
  <c r="H625" i="3" s="1"/>
  <c r="D624" i="3"/>
  <c r="D623" i="3"/>
  <c r="E623" i="3" s="1"/>
  <c r="H623" i="3" s="1"/>
  <c r="D622" i="3"/>
  <c r="E622" i="3" s="1"/>
  <c r="H622" i="3" s="1"/>
  <c r="D621" i="3"/>
  <c r="D620" i="3"/>
  <c r="E620" i="3" s="1"/>
  <c r="H620" i="3" s="1"/>
  <c r="D619" i="3"/>
  <c r="D618" i="3"/>
  <c r="D617" i="3"/>
  <c r="E617" i="3" s="1"/>
  <c r="H617" i="3" s="1"/>
  <c r="D616" i="3"/>
  <c r="E616" i="3" s="1"/>
  <c r="H616" i="3" s="1"/>
  <c r="D615" i="3"/>
  <c r="G615" i="3" s="1"/>
  <c r="D614" i="3"/>
  <c r="D613" i="3"/>
  <c r="D612" i="3"/>
  <c r="G612" i="3" s="1"/>
  <c r="D611" i="3"/>
  <c r="D610" i="3"/>
  <c r="D609" i="3"/>
  <c r="E609" i="3" s="1"/>
  <c r="H609" i="3" s="1"/>
  <c r="D608" i="3"/>
  <c r="D607" i="3"/>
  <c r="D606" i="3"/>
  <c r="D605" i="3"/>
  <c r="G605" i="3" s="1"/>
  <c r="D604" i="3"/>
  <c r="D603" i="3"/>
  <c r="D602" i="3"/>
  <c r="D601" i="3"/>
  <c r="E601" i="3" s="1"/>
  <c r="H601" i="3" s="1"/>
  <c r="D600" i="3"/>
  <c r="D599" i="3"/>
  <c r="E599" i="3" s="1"/>
  <c r="H599" i="3" s="1"/>
  <c r="D598" i="3"/>
  <c r="E598" i="3" s="1"/>
  <c r="H598" i="3" s="1"/>
  <c r="D597" i="3"/>
  <c r="D596" i="3"/>
  <c r="G596" i="3" s="1"/>
  <c r="D595" i="3"/>
  <c r="D594" i="3"/>
  <c r="D593" i="3"/>
  <c r="E593" i="3" s="1"/>
  <c r="H593" i="3" s="1"/>
  <c r="D592" i="3"/>
  <c r="G592" i="3" s="1"/>
  <c r="D591" i="3"/>
  <c r="G591" i="3" s="1"/>
  <c r="D590" i="3"/>
  <c r="D589" i="3"/>
  <c r="E589" i="3" s="1"/>
  <c r="H589" i="3" s="1"/>
  <c r="D588" i="3"/>
  <c r="G588" i="3" s="1"/>
  <c r="D587" i="3"/>
  <c r="D586" i="3"/>
  <c r="D585" i="3"/>
  <c r="D584" i="3"/>
  <c r="E584" i="3" s="1"/>
  <c r="H584" i="3" s="1"/>
  <c r="D583" i="3"/>
  <c r="D582" i="3"/>
  <c r="D581" i="3"/>
  <c r="E581" i="3" s="1"/>
  <c r="H581" i="3" s="1"/>
  <c r="D580" i="3"/>
  <c r="E580" i="3" s="1"/>
  <c r="H580" i="3" s="1"/>
  <c r="D579" i="3"/>
  <c r="G579" i="3" s="1"/>
  <c r="D578" i="3"/>
  <c r="D577" i="3"/>
  <c r="E577" i="3" s="1"/>
  <c r="H577" i="3" s="1"/>
  <c r="D576" i="3"/>
  <c r="E576" i="3" s="1"/>
  <c r="H576" i="3" s="1"/>
  <c r="D575" i="3"/>
  <c r="G575" i="3" s="1"/>
  <c r="D574" i="3"/>
  <c r="E574" i="3" s="1"/>
  <c r="H574" i="3" s="1"/>
  <c r="D573" i="3"/>
  <c r="D572" i="3"/>
  <c r="D571" i="3"/>
  <c r="E571" i="3" s="1"/>
  <c r="H571" i="3" s="1"/>
  <c r="D570" i="3"/>
  <c r="D569" i="3"/>
  <c r="G569" i="3" s="1"/>
  <c r="D568" i="3"/>
  <c r="E568" i="3" s="1"/>
  <c r="H568" i="3" s="1"/>
  <c r="D567" i="3"/>
  <c r="G567" i="3" s="1"/>
  <c r="D566" i="3"/>
  <c r="D565" i="3"/>
  <c r="D564" i="3"/>
  <c r="G564" i="3" s="1"/>
  <c r="D563" i="3"/>
  <c r="D562" i="3"/>
  <c r="E562" i="3" s="1"/>
  <c r="H562" i="3" s="1"/>
  <c r="D561" i="3"/>
  <c r="D560" i="3"/>
  <c r="E560" i="3" s="1"/>
  <c r="H560" i="3" s="1"/>
  <c r="D559" i="3"/>
  <c r="G559" i="3" s="1"/>
  <c r="D558" i="3"/>
  <c r="G558" i="3" s="1"/>
  <c r="D557" i="3"/>
  <c r="D556" i="3"/>
  <c r="E556" i="3" s="1"/>
  <c r="H556" i="3" s="1"/>
  <c r="D555" i="3"/>
  <c r="D554" i="3"/>
  <c r="D553" i="3"/>
  <c r="E553" i="3" s="1"/>
  <c r="H553" i="3" s="1"/>
  <c r="D552" i="3"/>
  <c r="G552" i="3" s="1"/>
  <c r="D551" i="3"/>
  <c r="D550" i="3"/>
  <c r="D549" i="3"/>
  <c r="D548" i="3"/>
  <c r="E548" i="3" s="1"/>
  <c r="H548" i="3" s="1"/>
  <c r="D547" i="3"/>
  <c r="D546" i="3"/>
  <c r="D545" i="3"/>
  <c r="E545" i="3" s="1"/>
  <c r="H545" i="3" s="1"/>
  <c r="D544" i="3"/>
  <c r="E544" i="3" s="1"/>
  <c r="H544" i="3" s="1"/>
  <c r="D543" i="3"/>
  <c r="D542" i="3"/>
  <c r="D541" i="3"/>
  <c r="D540" i="3"/>
  <c r="G540" i="3" s="1"/>
  <c r="D539" i="3"/>
  <c r="D538" i="3"/>
  <c r="E538" i="3" s="1"/>
  <c r="H538" i="3" s="1"/>
  <c r="D537" i="3"/>
  <c r="D536" i="3"/>
  <c r="G536" i="3" s="1"/>
  <c r="D535" i="3"/>
  <c r="G535" i="3" s="1"/>
  <c r="D534" i="3"/>
  <c r="D533" i="3"/>
  <c r="E533" i="3" s="1"/>
  <c r="H533" i="3" s="1"/>
  <c r="D532" i="3"/>
  <c r="D531" i="3"/>
  <c r="G531" i="3" s="1"/>
  <c r="D530" i="3"/>
  <c r="D529" i="3"/>
  <c r="E529" i="3" s="1"/>
  <c r="H529" i="3" s="1"/>
  <c r="D528" i="3"/>
  <c r="G528" i="3" s="1"/>
  <c r="D527" i="3"/>
  <c r="D526" i="3"/>
  <c r="D525" i="3"/>
  <c r="D524" i="3"/>
  <c r="E524" i="3" s="1"/>
  <c r="H524" i="3" s="1"/>
  <c r="D523" i="3"/>
  <c r="E523" i="3" s="1"/>
  <c r="H523" i="3" s="1"/>
  <c r="D522" i="3"/>
  <c r="D521" i="3"/>
  <c r="E521" i="3" s="1"/>
  <c r="H521" i="3" s="1"/>
  <c r="D520" i="3"/>
  <c r="E520" i="3" s="1"/>
  <c r="H520" i="3" s="1"/>
  <c r="D519" i="3"/>
  <c r="G519" i="3" s="1"/>
  <c r="D518" i="3"/>
  <c r="D517" i="3"/>
  <c r="E517" i="3" s="1"/>
  <c r="H517" i="3" s="1"/>
  <c r="D516" i="3"/>
  <c r="D515" i="3"/>
  <c r="D514" i="3"/>
  <c r="D513" i="3"/>
  <c r="E513" i="3" s="1"/>
  <c r="H513" i="3" s="1"/>
  <c r="D512" i="3"/>
  <c r="D511" i="3"/>
  <c r="G511" i="3" s="1"/>
  <c r="D510" i="3"/>
  <c r="D509" i="3"/>
  <c r="E509" i="3" s="1"/>
  <c r="H509" i="3" s="1"/>
  <c r="D508" i="3"/>
  <c r="E508" i="3" s="1"/>
  <c r="H508" i="3" s="1"/>
  <c r="D507" i="3"/>
  <c r="D506" i="3"/>
  <c r="D505" i="3"/>
  <c r="D504" i="3"/>
  <c r="D503" i="3"/>
  <c r="D502" i="3"/>
  <c r="E502" i="3" s="1"/>
  <c r="H502" i="3" s="1"/>
  <c r="D501" i="3"/>
  <c r="D500" i="3"/>
  <c r="D499" i="3"/>
  <c r="D498" i="3"/>
  <c r="G498" i="3" s="1"/>
  <c r="D497" i="3"/>
  <c r="D496" i="3"/>
  <c r="D495" i="3"/>
  <c r="D494" i="3"/>
  <c r="D493" i="3"/>
  <c r="D492" i="3"/>
  <c r="D491" i="3"/>
  <c r="G491" i="3" s="1"/>
  <c r="D490" i="3"/>
  <c r="D489" i="3"/>
  <c r="G489" i="3" s="1"/>
  <c r="D488" i="3"/>
  <c r="D487" i="3"/>
  <c r="D486" i="3"/>
  <c r="D485" i="3"/>
  <c r="E485" i="3" s="1"/>
  <c r="H485" i="3" s="1"/>
  <c r="D484" i="3"/>
  <c r="D483" i="3"/>
  <c r="G483" i="3" s="1"/>
  <c r="D482" i="3"/>
  <c r="D481" i="3"/>
  <c r="D480" i="3"/>
  <c r="G480" i="3" s="1"/>
  <c r="D479" i="3"/>
  <c r="D478" i="3"/>
  <c r="E478" i="3" s="1"/>
  <c r="H478" i="3" s="1"/>
  <c r="D477" i="3"/>
  <c r="G477" i="3" s="1"/>
  <c r="D476" i="3"/>
  <c r="D475" i="3"/>
  <c r="D474" i="3"/>
  <c r="D473" i="3"/>
  <c r="E473" i="3" s="1"/>
  <c r="H473" i="3" s="1"/>
  <c r="D472" i="3"/>
  <c r="D471" i="3"/>
  <c r="G471" i="3" s="1"/>
  <c r="D470" i="3"/>
  <c r="D469" i="3"/>
  <c r="D468" i="3"/>
  <c r="E468" i="3" s="1"/>
  <c r="H468" i="3" s="1"/>
  <c r="D467" i="3"/>
  <c r="G467" i="3" s="1"/>
  <c r="D466" i="3"/>
  <c r="E466" i="3" s="1"/>
  <c r="H466" i="3" s="1"/>
  <c r="D465" i="3"/>
  <c r="E465" i="3" s="1"/>
  <c r="H465" i="3" s="1"/>
  <c r="D464" i="3"/>
  <c r="D463" i="3"/>
  <c r="G463" i="3" s="1"/>
  <c r="D462" i="3"/>
  <c r="G462" i="3" s="1"/>
  <c r="D461" i="3"/>
  <c r="E461" i="3" s="1"/>
  <c r="H461" i="3" s="1"/>
  <c r="D460" i="3"/>
  <c r="D459" i="3"/>
  <c r="E459" i="3" s="1"/>
  <c r="H459" i="3" s="1"/>
  <c r="D458" i="3"/>
  <c r="E458" i="3" s="1"/>
  <c r="H458" i="3" s="1"/>
  <c r="D457" i="3"/>
  <c r="E457" i="3" s="1"/>
  <c r="H457" i="3" s="1"/>
  <c r="D456" i="3"/>
  <c r="D455" i="3"/>
  <c r="D454" i="3"/>
  <c r="D453" i="3"/>
  <c r="D452" i="3"/>
  <c r="D451" i="3"/>
  <c r="G451" i="3" s="1"/>
  <c r="D450" i="3"/>
  <c r="E450" i="3" s="1"/>
  <c r="H450" i="3" s="1"/>
  <c r="D449" i="3"/>
  <c r="E449" i="3" s="1"/>
  <c r="H449" i="3" s="1"/>
  <c r="D448" i="3"/>
  <c r="D447" i="3"/>
  <c r="D446" i="3"/>
  <c r="E446" i="3" s="1"/>
  <c r="H446" i="3" s="1"/>
  <c r="D445" i="3"/>
  <c r="D444" i="3"/>
  <c r="D443" i="3"/>
  <c r="D442" i="3"/>
  <c r="D441" i="3"/>
  <c r="D440" i="3"/>
  <c r="D439" i="3"/>
  <c r="E439" i="3" s="1"/>
  <c r="H439" i="3" s="1"/>
  <c r="D438" i="3"/>
  <c r="E438" i="3" s="1"/>
  <c r="H438" i="3" s="1"/>
  <c r="D437" i="3"/>
  <c r="D436" i="3"/>
  <c r="D435" i="3"/>
  <c r="E435" i="3" s="1"/>
  <c r="H435" i="3" s="1"/>
  <c r="D434" i="3"/>
  <c r="D433" i="3"/>
  <c r="E433" i="3" s="1"/>
  <c r="H433" i="3" s="1"/>
  <c r="D432" i="3"/>
  <c r="G432" i="3" s="1"/>
  <c r="D431" i="3"/>
  <c r="E431" i="3" s="1"/>
  <c r="H431" i="3" s="1"/>
  <c r="D430" i="3"/>
  <c r="D429" i="3"/>
  <c r="E429" i="3" s="1"/>
  <c r="H429" i="3" s="1"/>
  <c r="D428" i="3"/>
  <c r="D427" i="3"/>
  <c r="E427" i="3" s="1"/>
  <c r="H427" i="3" s="1"/>
  <c r="D426" i="3"/>
  <c r="D425" i="3"/>
  <c r="E425" i="3" s="1"/>
  <c r="H425" i="3" s="1"/>
  <c r="D424" i="3"/>
  <c r="D423" i="3"/>
  <c r="E423" i="3" s="1"/>
  <c r="H423" i="3" s="1"/>
  <c r="D422" i="3"/>
  <c r="D421" i="3"/>
  <c r="D420" i="3"/>
  <c r="E420" i="3" s="1"/>
  <c r="H420" i="3" s="1"/>
  <c r="D419" i="3"/>
  <c r="D418" i="3"/>
  <c r="D417" i="3"/>
  <c r="G417" i="3" s="1"/>
  <c r="D416" i="3"/>
  <c r="E416" i="3" s="1"/>
  <c r="H416" i="3" s="1"/>
  <c r="D415" i="3"/>
  <c r="E415" i="3" s="1"/>
  <c r="H415" i="3" s="1"/>
  <c r="D414" i="3"/>
  <c r="D413" i="3"/>
  <c r="D412" i="3"/>
  <c r="D411" i="3"/>
  <c r="D410" i="3"/>
  <c r="D409" i="3"/>
  <c r="D408" i="3"/>
  <c r="G408" i="3" s="1"/>
  <c r="D407" i="3"/>
  <c r="D406" i="3"/>
  <c r="D405" i="3"/>
  <c r="D404" i="3"/>
  <c r="D403" i="3"/>
  <c r="D402" i="3"/>
  <c r="G402" i="3" s="1"/>
  <c r="D401" i="3"/>
  <c r="D400" i="3"/>
  <c r="D399" i="3"/>
  <c r="D398" i="3"/>
  <c r="D397" i="3"/>
  <c r="D396" i="3"/>
  <c r="G396" i="3" s="1"/>
  <c r="D395" i="3"/>
  <c r="E395" i="3" s="1"/>
  <c r="H395" i="3" s="1"/>
  <c r="D394" i="3"/>
  <c r="D393" i="3"/>
  <c r="G393" i="3" s="1"/>
  <c r="D392" i="3"/>
  <c r="G392" i="3" s="1"/>
  <c r="D391" i="3"/>
  <c r="E391" i="3" s="1"/>
  <c r="H391" i="3" s="1"/>
  <c r="D390" i="3"/>
  <c r="D389" i="3"/>
  <c r="D388" i="3"/>
  <c r="D387" i="3"/>
  <c r="D386" i="3"/>
  <c r="D385" i="3"/>
  <c r="D384" i="3"/>
  <c r="D383" i="3"/>
  <c r="D382" i="3"/>
  <c r="D381" i="3"/>
  <c r="D380" i="3"/>
  <c r="E380" i="3" s="1"/>
  <c r="H380" i="3" s="1"/>
  <c r="D379" i="3"/>
  <c r="D378" i="3"/>
  <c r="G378" i="3" s="1"/>
  <c r="D377" i="3"/>
  <c r="E377" i="3" s="1"/>
  <c r="H377" i="3" s="1"/>
  <c r="D376" i="3"/>
  <c r="D375" i="3"/>
  <c r="D374" i="3"/>
  <c r="D373" i="3"/>
  <c r="D372" i="3"/>
  <c r="E372" i="3" s="1"/>
  <c r="H372" i="3" s="1"/>
  <c r="D371" i="3"/>
  <c r="D370" i="3"/>
  <c r="D369" i="3"/>
  <c r="G369" i="3" s="1"/>
  <c r="D368" i="3"/>
  <c r="D367" i="3"/>
  <c r="E367" i="3" s="1"/>
  <c r="H367" i="3" s="1"/>
  <c r="D366" i="3"/>
  <c r="D365" i="3"/>
  <c r="D364" i="3"/>
  <c r="G364" i="3" s="1"/>
  <c r="D363" i="3"/>
  <c r="D362" i="3"/>
  <c r="D361" i="3"/>
  <c r="G361" i="3" s="1"/>
  <c r="D360" i="3"/>
  <c r="E360" i="3" s="1"/>
  <c r="H360" i="3" s="1"/>
  <c r="D359" i="3"/>
  <c r="G359" i="3" s="1"/>
  <c r="D358" i="3"/>
  <c r="G358" i="3" s="1"/>
  <c r="D357" i="3"/>
  <c r="D356" i="3"/>
  <c r="G356" i="3" s="1"/>
  <c r="D355" i="3"/>
  <c r="G355" i="3" s="1"/>
  <c r="D354" i="3"/>
  <c r="E354" i="3" s="1"/>
  <c r="H354" i="3" s="1"/>
  <c r="D353" i="3"/>
  <c r="E353" i="3" s="1"/>
  <c r="H353" i="3" s="1"/>
  <c r="D352" i="3"/>
  <c r="D351" i="3"/>
  <c r="D350" i="3"/>
  <c r="G350" i="3" s="1"/>
  <c r="D349" i="3"/>
  <c r="E349" i="3" s="1"/>
  <c r="H349" i="3" s="1"/>
  <c r="D348" i="3"/>
  <c r="G348" i="3" s="1"/>
  <c r="D347" i="3"/>
  <c r="E347" i="3" s="1"/>
  <c r="H347" i="3" s="1"/>
  <c r="D346" i="3"/>
  <c r="E346" i="3" s="1"/>
  <c r="H346" i="3" s="1"/>
  <c r="D345" i="3"/>
  <c r="G345" i="3" s="1"/>
  <c r="D344" i="3"/>
  <c r="G344" i="3" s="1"/>
  <c r="D343" i="3"/>
  <c r="D342" i="3"/>
  <c r="G342" i="3" s="1"/>
  <c r="D341" i="3"/>
  <c r="D340" i="3"/>
  <c r="D339" i="3"/>
  <c r="E339" i="3" s="1"/>
  <c r="H339" i="3" s="1"/>
  <c r="D338" i="3"/>
  <c r="D337" i="3"/>
  <c r="G337" i="3" s="1"/>
  <c r="D336" i="3"/>
  <c r="D335" i="3"/>
  <c r="D334" i="3"/>
  <c r="D333" i="3"/>
  <c r="D332" i="3"/>
  <c r="D331" i="3"/>
  <c r="G331" i="3" s="1"/>
  <c r="D330" i="3"/>
  <c r="D329" i="3"/>
  <c r="G329" i="3" s="1"/>
  <c r="D328" i="3"/>
  <c r="D327" i="3"/>
  <c r="D326" i="3"/>
  <c r="D325" i="3"/>
  <c r="D324" i="3"/>
  <c r="D323" i="3"/>
  <c r="G323" i="3" s="1"/>
  <c r="D322" i="3"/>
  <c r="G322" i="3" s="1"/>
  <c r="D321" i="3"/>
  <c r="G321" i="3" s="1"/>
  <c r="D320" i="3"/>
  <c r="G320" i="3" s="1"/>
  <c r="D319" i="3"/>
  <c r="G319" i="3" s="1"/>
  <c r="D318" i="3"/>
  <c r="D317" i="3"/>
  <c r="D316" i="3"/>
  <c r="D315" i="3"/>
  <c r="E315" i="3" s="1"/>
  <c r="H315" i="3" s="1"/>
  <c r="D314" i="3"/>
  <c r="D313" i="3"/>
  <c r="G313" i="3" s="1"/>
  <c r="D312" i="3"/>
  <c r="D311" i="3"/>
  <c r="D310" i="3"/>
  <c r="E310" i="3" s="1"/>
  <c r="H310" i="3" s="1"/>
  <c r="D309" i="3"/>
  <c r="D308" i="3"/>
  <c r="G308" i="3" s="1"/>
  <c r="D307" i="3"/>
  <c r="D306" i="3"/>
  <c r="D305" i="3"/>
  <c r="E305" i="3" s="1"/>
  <c r="H305" i="3" s="1"/>
  <c r="D304" i="3"/>
  <c r="D303" i="3"/>
  <c r="D302" i="3"/>
  <c r="D301" i="3"/>
  <c r="D300" i="3"/>
  <c r="D299" i="3"/>
  <c r="E299" i="3" s="1"/>
  <c r="H299" i="3" s="1"/>
  <c r="D298" i="3"/>
  <c r="G298" i="3" s="1"/>
  <c r="D297" i="3"/>
  <c r="D296" i="3"/>
  <c r="G296" i="3" s="1"/>
  <c r="D295" i="3"/>
  <c r="E295" i="3" s="1"/>
  <c r="H295" i="3" s="1"/>
  <c r="D294" i="3"/>
  <c r="D293" i="3"/>
  <c r="G293" i="3" s="1"/>
  <c r="D292" i="3"/>
  <c r="D291" i="3"/>
  <c r="E291" i="3" s="1"/>
  <c r="H291" i="3" s="1"/>
  <c r="D290" i="3"/>
  <c r="D289" i="3"/>
  <c r="D288" i="3"/>
  <c r="D287" i="3"/>
  <c r="D286" i="3"/>
  <c r="G286" i="3" s="1"/>
  <c r="D285" i="3"/>
  <c r="D284" i="3"/>
  <c r="D283" i="3"/>
  <c r="G283" i="3" s="1"/>
  <c r="D282" i="3"/>
  <c r="D281" i="3"/>
  <c r="G281" i="3" s="1"/>
  <c r="D280" i="3"/>
  <c r="D279" i="3"/>
  <c r="D278" i="3"/>
  <c r="D277" i="3"/>
  <c r="D276" i="3"/>
  <c r="D275" i="3"/>
  <c r="E275" i="3" s="1"/>
  <c r="H275" i="3" s="1"/>
  <c r="D274" i="3"/>
  <c r="D273" i="3"/>
  <c r="D272" i="3"/>
  <c r="D271" i="3"/>
  <c r="D270" i="3"/>
  <c r="D269" i="3"/>
  <c r="E269" i="3" s="1"/>
  <c r="H269" i="3" s="1"/>
  <c r="D268" i="3"/>
  <c r="D267" i="3"/>
  <c r="E267" i="3" s="1"/>
  <c r="H267" i="3" s="1"/>
  <c r="D266" i="3"/>
  <c r="D265" i="3"/>
  <c r="D264" i="3"/>
  <c r="E264" i="3" s="1"/>
  <c r="H264" i="3" s="1"/>
  <c r="D263" i="3"/>
  <c r="E263" i="3" s="1"/>
  <c r="H263" i="3" s="1"/>
  <c r="D262" i="3"/>
  <c r="D261" i="3"/>
  <c r="D260" i="3"/>
  <c r="G260" i="3" s="1"/>
  <c r="D259" i="3"/>
  <c r="E259" i="3" s="1"/>
  <c r="H259" i="3" s="1"/>
  <c r="D258" i="3"/>
  <c r="G258" i="3" s="1"/>
  <c r="D257" i="3"/>
  <c r="D256" i="3"/>
  <c r="D255" i="3"/>
  <c r="D254" i="3"/>
  <c r="E254" i="3" s="1"/>
  <c r="H254" i="3" s="1"/>
  <c r="D253" i="3"/>
  <c r="G253" i="3" s="1"/>
  <c r="D252" i="3"/>
  <c r="E252" i="3" s="1"/>
  <c r="H252" i="3" s="1"/>
  <c r="D251" i="3"/>
  <c r="G251" i="3" s="1"/>
  <c r="D250" i="3"/>
  <c r="D249" i="3"/>
  <c r="D248" i="3"/>
  <c r="D247" i="3"/>
  <c r="D246" i="3"/>
  <c r="D245" i="3"/>
  <c r="G245" i="3" s="1"/>
  <c r="D244" i="3"/>
  <c r="E244" i="3" s="1"/>
  <c r="H244" i="3" s="1"/>
  <c r="D243" i="3"/>
  <c r="D242" i="3"/>
  <c r="D241" i="3"/>
  <c r="D240" i="3"/>
  <c r="G240" i="3" s="1"/>
  <c r="D239" i="3"/>
  <c r="G239" i="3" s="1"/>
  <c r="D238" i="3"/>
  <c r="D237" i="3"/>
  <c r="D236" i="3"/>
  <c r="G236" i="3" s="1"/>
  <c r="D235" i="3"/>
  <c r="D234" i="3"/>
  <c r="D233" i="3"/>
  <c r="G233" i="3" s="1"/>
  <c r="D232" i="3"/>
  <c r="D231" i="3"/>
  <c r="D230" i="3"/>
  <c r="G230" i="3" s="1"/>
  <c r="D229" i="3"/>
  <c r="D228" i="3"/>
  <c r="G228" i="3" s="1"/>
  <c r="D227" i="3"/>
  <c r="D226" i="3"/>
  <c r="E226" i="3" s="1"/>
  <c r="H226" i="3" s="1"/>
  <c r="D225" i="3"/>
  <c r="D224" i="3"/>
  <c r="D223" i="3"/>
  <c r="D222" i="3"/>
  <c r="D221" i="3"/>
  <c r="G221" i="3" s="1"/>
  <c r="D220" i="3"/>
  <c r="E220" i="3" s="1"/>
  <c r="H220" i="3" s="1"/>
  <c r="D219" i="3"/>
  <c r="D218" i="3"/>
  <c r="D217" i="3"/>
  <c r="D216" i="3"/>
  <c r="D215" i="3"/>
  <c r="D214" i="3"/>
  <c r="D213" i="3"/>
  <c r="D212" i="3"/>
  <c r="D211" i="3"/>
  <c r="D210" i="3"/>
  <c r="E210" i="3" s="1"/>
  <c r="H210" i="3" s="1"/>
  <c r="D209" i="3"/>
  <c r="E209" i="3" s="1"/>
  <c r="H209" i="3" s="1"/>
  <c r="D208" i="3"/>
  <c r="G208" i="3" s="1"/>
  <c r="D207" i="3"/>
  <c r="D206" i="3"/>
  <c r="D205" i="3"/>
  <c r="D204" i="3"/>
  <c r="D203" i="3"/>
  <c r="D202" i="3"/>
  <c r="E202" i="3" s="1"/>
  <c r="H202" i="3" s="1"/>
  <c r="D201" i="3"/>
  <c r="E201" i="3" s="1"/>
  <c r="H201" i="3" s="1"/>
  <c r="D200" i="3"/>
  <c r="D199" i="3"/>
  <c r="D198" i="3"/>
  <c r="D197" i="3"/>
  <c r="D196" i="3"/>
  <c r="D195" i="3"/>
  <c r="D194" i="3"/>
  <c r="G194" i="3" s="1"/>
  <c r="D193" i="3"/>
  <c r="D192" i="3"/>
  <c r="G192" i="3" s="1"/>
  <c r="D191" i="3"/>
  <c r="D190" i="3"/>
  <c r="D189" i="3"/>
  <c r="D188" i="3"/>
  <c r="D187" i="3"/>
  <c r="D186" i="3"/>
  <c r="D185" i="3"/>
  <c r="E185" i="3" s="1"/>
  <c r="H185" i="3" s="1"/>
  <c r="D184" i="3"/>
  <c r="D183" i="3"/>
  <c r="D182" i="3"/>
  <c r="D181" i="3"/>
  <c r="D180" i="3"/>
  <c r="G180" i="3" s="1"/>
  <c r="D179" i="3"/>
  <c r="G179" i="3" s="1"/>
  <c r="D178" i="3"/>
  <c r="E178" i="3" s="1"/>
  <c r="H178" i="3" s="1"/>
  <c r="D177" i="3"/>
  <c r="E177" i="3" s="1"/>
  <c r="H177" i="3" s="1"/>
  <c r="D176" i="3"/>
  <c r="D175" i="3"/>
  <c r="D174" i="3"/>
  <c r="D173" i="3"/>
  <c r="E173" i="3" s="1"/>
  <c r="H173" i="3" s="1"/>
  <c r="D172" i="3"/>
  <c r="G172" i="3" s="1"/>
  <c r="D171" i="3"/>
  <c r="D170" i="3"/>
  <c r="D169" i="3"/>
  <c r="G169" i="3" s="1"/>
  <c r="D168" i="3"/>
  <c r="G168" i="3" s="1"/>
  <c r="D167" i="3"/>
  <c r="D166" i="3"/>
  <c r="D165" i="3"/>
  <c r="E165" i="3" s="1"/>
  <c r="H165" i="3" s="1"/>
  <c r="D164" i="3"/>
  <c r="D163" i="3"/>
  <c r="D162" i="3"/>
  <c r="D161" i="3"/>
  <c r="G161" i="3" s="1"/>
  <c r="D160" i="3"/>
  <c r="E160" i="3" s="1"/>
  <c r="H160" i="3" s="1"/>
  <c r="D159" i="3"/>
  <c r="D158" i="3"/>
  <c r="G158" i="3" s="1"/>
  <c r="D157" i="3"/>
  <c r="G157" i="3" s="1"/>
  <c r="D156" i="3"/>
  <c r="G156" i="3" s="1"/>
  <c r="D155" i="3"/>
  <c r="D154" i="3"/>
  <c r="E154" i="3" s="1"/>
  <c r="H154" i="3" s="1"/>
  <c r="D153" i="3"/>
  <c r="E153" i="3" s="1"/>
  <c r="H153" i="3" s="1"/>
  <c r="D152" i="3"/>
  <c r="G152" i="3" s="1"/>
  <c r="D151" i="3"/>
  <c r="D150" i="3"/>
  <c r="D149" i="3"/>
  <c r="D148" i="3"/>
  <c r="G148" i="3" s="1"/>
  <c r="D147" i="3"/>
  <c r="G147" i="3" s="1"/>
  <c r="D146" i="3"/>
  <c r="G146" i="3" s="1"/>
  <c r="D145" i="3"/>
  <c r="D144" i="3"/>
  <c r="G144" i="3" s="1"/>
  <c r="D143" i="3"/>
  <c r="D142" i="3"/>
  <c r="D141" i="3"/>
  <c r="D140" i="3"/>
  <c r="E140" i="3" s="1"/>
  <c r="H140" i="3" s="1"/>
  <c r="D139" i="3"/>
  <c r="E139" i="3" s="1"/>
  <c r="H139" i="3" s="1"/>
  <c r="D138" i="3"/>
  <c r="G138" i="3" s="1"/>
  <c r="D137" i="3"/>
  <c r="D136" i="3"/>
  <c r="D135" i="3"/>
  <c r="D134" i="3"/>
  <c r="D133" i="3"/>
  <c r="D132" i="3"/>
  <c r="G132" i="3" s="1"/>
  <c r="D131" i="3"/>
  <c r="D130" i="3"/>
  <c r="D129" i="3"/>
  <c r="D128" i="3"/>
  <c r="G128" i="3" s="1"/>
  <c r="D127" i="3"/>
  <c r="D126" i="3"/>
  <c r="D125" i="3"/>
  <c r="D124" i="3"/>
  <c r="D123" i="3"/>
  <c r="G123" i="3" s="1"/>
  <c r="D122" i="3"/>
  <c r="G122" i="3" s="1"/>
  <c r="D121" i="3"/>
  <c r="G121" i="3" s="1"/>
  <c r="D120" i="3"/>
  <c r="D119" i="3"/>
  <c r="D118" i="3"/>
  <c r="E118" i="3" s="1"/>
  <c r="H118" i="3" s="1"/>
  <c r="D117" i="3"/>
  <c r="E117" i="3" s="1"/>
  <c r="H117" i="3" s="1"/>
  <c r="D116" i="3"/>
  <c r="D115" i="3"/>
  <c r="E115" i="3" s="1"/>
  <c r="H115" i="3" s="1"/>
  <c r="D114" i="3"/>
  <c r="E114" i="3" s="1"/>
  <c r="H114" i="3" s="1"/>
  <c r="D113" i="3"/>
  <c r="D112" i="3"/>
  <c r="D111" i="3"/>
  <c r="D110" i="3"/>
  <c r="D109" i="3"/>
  <c r="G109" i="3" s="1"/>
  <c r="D108" i="3"/>
  <c r="D107" i="3"/>
  <c r="D106" i="3"/>
  <c r="D105" i="3"/>
  <c r="D104" i="3"/>
  <c r="G104" i="3" s="1"/>
  <c r="D103" i="3"/>
  <c r="E103" i="3" s="1"/>
  <c r="H103" i="3" s="1"/>
  <c r="D102" i="3"/>
  <c r="D101" i="3"/>
  <c r="G101" i="3" s="1"/>
  <c r="D100" i="3"/>
  <c r="G100" i="3" s="1"/>
  <c r="D99" i="3"/>
  <c r="G99" i="3" s="1"/>
  <c r="D98" i="3"/>
  <c r="D97" i="3"/>
  <c r="D96" i="3"/>
  <c r="D95" i="3"/>
  <c r="E95" i="3" s="1"/>
  <c r="H95" i="3" s="1"/>
  <c r="D94" i="3"/>
  <c r="E94" i="3" s="1"/>
  <c r="H94" i="3" s="1"/>
  <c r="D93" i="3"/>
  <c r="D92" i="3"/>
  <c r="D91" i="3"/>
  <c r="E91" i="3" s="1"/>
  <c r="H91" i="3" s="1"/>
  <c r="D90" i="3"/>
  <c r="G90" i="3" s="1"/>
  <c r="D89" i="3"/>
  <c r="D88" i="3"/>
  <c r="E88" i="3" s="1"/>
  <c r="H88" i="3" s="1"/>
  <c r="D87" i="3"/>
  <c r="G87" i="3" s="1"/>
  <c r="D86" i="3"/>
  <c r="G86" i="3" s="1"/>
  <c r="D85" i="3"/>
  <c r="G85" i="3" s="1"/>
  <c r="D84" i="3"/>
  <c r="D83" i="3"/>
  <c r="D82" i="3"/>
  <c r="D81" i="3"/>
  <c r="D80" i="3"/>
  <c r="G80" i="3" s="1"/>
  <c r="D79" i="3"/>
  <c r="D78" i="3"/>
  <c r="G78" i="3" s="1"/>
  <c r="D77" i="3"/>
  <c r="G77" i="3" s="1"/>
  <c r="D76" i="3"/>
  <c r="G76" i="3" s="1"/>
  <c r="D75" i="3"/>
  <c r="G75" i="3" s="1"/>
  <c r="D74" i="3"/>
  <c r="D73" i="3"/>
  <c r="D72" i="3"/>
  <c r="D71" i="3"/>
  <c r="G71" i="3" s="1"/>
  <c r="D70" i="3"/>
  <c r="D69" i="3"/>
  <c r="D68" i="3"/>
  <c r="D67" i="3"/>
  <c r="D66" i="3"/>
  <c r="G66" i="3" s="1"/>
  <c r="D65" i="3"/>
  <c r="E65" i="3" s="1"/>
  <c r="H65" i="3" s="1"/>
  <c r="D64" i="3"/>
  <c r="D63" i="3"/>
  <c r="G63" i="3" s="1"/>
  <c r="D62" i="3"/>
  <c r="D61" i="3"/>
  <c r="D60" i="3"/>
  <c r="E60" i="3" s="1"/>
  <c r="H60" i="3" s="1"/>
  <c r="D59" i="3"/>
  <c r="D58" i="3"/>
  <c r="D57" i="3"/>
  <c r="E57" i="3" s="1"/>
  <c r="H57" i="3" s="1"/>
  <c r="D56" i="3"/>
  <c r="G56" i="3" s="1"/>
  <c r="D55" i="3"/>
  <c r="D54" i="3"/>
  <c r="D53" i="3"/>
  <c r="E53" i="3" s="1"/>
  <c r="H53" i="3" s="1"/>
  <c r="D52" i="3"/>
  <c r="D51" i="3"/>
  <c r="D50" i="3"/>
  <c r="G50" i="3" s="1"/>
  <c r="D49" i="3"/>
  <c r="D48" i="3"/>
  <c r="G48" i="3" s="1"/>
  <c r="D47" i="3"/>
  <c r="D46" i="3"/>
  <c r="D45" i="3"/>
  <c r="E45" i="3" s="1"/>
  <c r="H45" i="3" s="1"/>
  <c r="D44" i="3"/>
  <c r="G44" i="3" s="1"/>
  <c r="D43" i="3"/>
  <c r="G43" i="3" s="1"/>
  <c r="D42" i="3"/>
  <c r="G42" i="3" s="1"/>
  <c r="D41" i="3"/>
  <c r="E41" i="3" s="1"/>
  <c r="H41" i="3" s="1"/>
  <c r="D40" i="3"/>
  <c r="D39" i="3"/>
  <c r="D38" i="3"/>
  <c r="G38" i="3" s="1"/>
  <c r="D37" i="3"/>
  <c r="D36" i="3"/>
  <c r="G36" i="3" s="1"/>
  <c r="D35" i="3"/>
  <c r="D34" i="3"/>
  <c r="D33" i="3"/>
  <c r="E33" i="3" s="1"/>
  <c r="H33" i="3" s="1"/>
  <c r="D32" i="3"/>
  <c r="E32" i="3" s="1"/>
  <c r="H32" i="3" s="1"/>
  <c r="D31" i="3"/>
  <c r="G31" i="3" s="1"/>
  <c r="D30" i="3"/>
  <c r="G30" i="3" s="1"/>
  <c r="D29" i="3"/>
  <c r="D28" i="3"/>
  <c r="D27" i="3"/>
  <c r="D26" i="3"/>
  <c r="D25" i="3"/>
  <c r="D24" i="3"/>
  <c r="G24" i="3" s="1"/>
  <c r="D23" i="3"/>
  <c r="D22" i="3"/>
  <c r="D21" i="3"/>
  <c r="D20" i="3"/>
  <c r="G20" i="3" s="1"/>
  <c r="D19" i="3"/>
  <c r="G19" i="3" s="1"/>
  <c r="D18" i="3"/>
  <c r="G18" i="3" s="1"/>
  <c r="D17" i="3"/>
  <c r="G17" i="3" s="1"/>
  <c r="D16" i="3"/>
  <c r="E16" i="3" s="1"/>
  <c r="H16" i="3" s="1"/>
  <c r="D15" i="3"/>
  <c r="G15" i="3" s="1"/>
  <c r="D14" i="3"/>
  <c r="D13" i="3"/>
  <c r="D12" i="3"/>
  <c r="E12" i="3" s="1"/>
  <c r="H12" i="3" s="1"/>
  <c r="D11" i="3"/>
  <c r="D10" i="3"/>
  <c r="D9" i="3"/>
  <c r="E9" i="3" s="1"/>
  <c r="H9" i="3" s="1"/>
  <c r="D8" i="3"/>
  <c r="D7" i="3"/>
  <c r="D6" i="3"/>
  <c r="D5" i="3"/>
  <c r="D4" i="3"/>
  <c r="D3" i="3"/>
  <c r="E3" i="3" s="1"/>
  <c r="H3" i="3" s="1"/>
  <c r="D2" i="3"/>
  <c r="G2" i="3" s="1"/>
  <c r="D668" i="2"/>
  <c r="D667" i="2"/>
  <c r="D666" i="2"/>
  <c r="E666" i="2" s="1"/>
  <c r="H666" i="2" s="1"/>
  <c r="D665" i="2"/>
  <c r="E665" i="2" s="1"/>
  <c r="H665" i="2" s="1"/>
  <c r="D664" i="2"/>
  <c r="D663" i="2"/>
  <c r="D662" i="2"/>
  <c r="D661" i="2"/>
  <c r="E661" i="2" s="1"/>
  <c r="H661" i="2" s="1"/>
  <c r="D660" i="2"/>
  <c r="D659" i="2"/>
  <c r="D658" i="2"/>
  <c r="G658" i="2" s="1"/>
  <c r="D657" i="2"/>
  <c r="G657" i="2" s="1"/>
  <c r="D656" i="2"/>
  <c r="G656" i="2" s="1"/>
  <c r="D655" i="2"/>
  <c r="D654" i="2"/>
  <c r="E654" i="2" s="1"/>
  <c r="H654" i="2" s="1"/>
  <c r="D653" i="2"/>
  <c r="G653" i="2" s="1"/>
  <c r="D652" i="2"/>
  <c r="E652" i="2" s="1"/>
  <c r="H652" i="2" s="1"/>
  <c r="D651" i="2"/>
  <c r="D650" i="2"/>
  <c r="D649" i="2"/>
  <c r="G649" i="2" s="1"/>
  <c r="D648" i="2"/>
  <c r="G648" i="2" s="1"/>
  <c r="D647" i="2"/>
  <c r="G647" i="2" s="1"/>
  <c r="D646" i="2"/>
  <c r="D645" i="2"/>
  <c r="D644" i="2"/>
  <c r="G644" i="2" s="1"/>
  <c r="D643" i="2"/>
  <c r="D642" i="2"/>
  <c r="D641" i="2"/>
  <c r="G641" i="2" s="1"/>
  <c r="D640" i="2"/>
  <c r="E640" i="2" s="1"/>
  <c r="H640" i="2" s="1"/>
  <c r="D639" i="2"/>
  <c r="D638" i="2"/>
  <c r="D637" i="2"/>
  <c r="G637" i="2" s="1"/>
  <c r="D636" i="2"/>
  <c r="D635" i="2"/>
  <c r="D634" i="2"/>
  <c r="D633" i="2"/>
  <c r="G633" i="2" s="1"/>
  <c r="D632" i="2"/>
  <c r="D631" i="2"/>
  <c r="D630" i="2"/>
  <c r="D629" i="2"/>
  <c r="G629" i="2" s="1"/>
  <c r="D628" i="2"/>
  <c r="G628" i="2" s="1"/>
  <c r="D627" i="2"/>
  <c r="D626" i="2"/>
  <c r="E626" i="2" s="1"/>
  <c r="H626" i="2" s="1"/>
  <c r="D625" i="2"/>
  <c r="E625" i="2" s="1"/>
  <c r="H625" i="2" s="1"/>
  <c r="D624" i="2"/>
  <c r="D623" i="2"/>
  <c r="D622" i="2"/>
  <c r="G622" i="2" s="1"/>
  <c r="D621" i="2"/>
  <c r="D620" i="2"/>
  <c r="D619" i="2"/>
  <c r="D618" i="2"/>
  <c r="E618" i="2" s="1"/>
  <c r="H618" i="2" s="1"/>
  <c r="D617" i="2"/>
  <c r="G617" i="2" s="1"/>
  <c r="D616" i="2"/>
  <c r="D615" i="2"/>
  <c r="D614" i="2"/>
  <c r="D613" i="2"/>
  <c r="G613" i="2" s="1"/>
  <c r="D612" i="2"/>
  <c r="G612" i="2" s="1"/>
  <c r="D611" i="2"/>
  <c r="G611" i="2" s="1"/>
  <c r="D610" i="2"/>
  <c r="E610" i="2" s="1"/>
  <c r="H610" i="2" s="1"/>
  <c r="D609" i="2"/>
  <c r="E609" i="2" s="1"/>
  <c r="H609" i="2" s="1"/>
  <c r="D608" i="2"/>
  <c r="G608" i="2" s="1"/>
  <c r="D607" i="2"/>
  <c r="D606" i="2"/>
  <c r="E606" i="2" s="1"/>
  <c r="H606" i="2" s="1"/>
  <c r="D605" i="2"/>
  <c r="D604" i="2"/>
  <c r="E604" i="2" s="1"/>
  <c r="H604" i="2" s="1"/>
  <c r="D603" i="2"/>
  <c r="D602" i="2"/>
  <c r="D601" i="2"/>
  <c r="D600" i="2"/>
  <c r="D599" i="2"/>
  <c r="G599" i="2" s="1"/>
  <c r="D598" i="2"/>
  <c r="D597" i="2"/>
  <c r="D596" i="2"/>
  <c r="D595" i="2"/>
  <c r="D594" i="2"/>
  <c r="D593" i="2"/>
  <c r="E593" i="2" s="1"/>
  <c r="H593" i="2" s="1"/>
  <c r="D592" i="2"/>
  <c r="E592" i="2" s="1"/>
  <c r="H592" i="2" s="1"/>
  <c r="D591" i="2"/>
  <c r="D590" i="2"/>
  <c r="E590" i="2" s="1"/>
  <c r="H590" i="2" s="1"/>
  <c r="D589" i="2"/>
  <c r="G589" i="2" s="1"/>
  <c r="D588" i="2"/>
  <c r="D587" i="2"/>
  <c r="G587" i="2" s="1"/>
  <c r="D586" i="2"/>
  <c r="D585" i="2"/>
  <c r="E585" i="2" s="1"/>
  <c r="H585" i="2" s="1"/>
  <c r="D584" i="2"/>
  <c r="D583" i="2"/>
  <c r="D582" i="2"/>
  <c r="E582" i="2" s="1"/>
  <c r="H582" i="2" s="1"/>
  <c r="D581" i="2"/>
  <c r="D580" i="2"/>
  <c r="G580" i="2" s="1"/>
  <c r="D579" i="2"/>
  <c r="D578" i="2"/>
  <c r="E578" i="2" s="1"/>
  <c r="H578" i="2" s="1"/>
  <c r="D577" i="2"/>
  <c r="G577" i="2" s="1"/>
  <c r="D576" i="2"/>
  <c r="G576" i="2" s="1"/>
  <c r="D575" i="2"/>
  <c r="D574" i="2"/>
  <c r="E574" i="2" s="1"/>
  <c r="H574" i="2" s="1"/>
  <c r="D573" i="2"/>
  <c r="G573" i="2" s="1"/>
  <c r="D572" i="2"/>
  <c r="D571" i="2"/>
  <c r="D570" i="2"/>
  <c r="D569" i="2"/>
  <c r="D568" i="2"/>
  <c r="D567" i="2"/>
  <c r="D566" i="2"/>
  <c r="E566" i="2" s="1"/>
  <c r="H566" i="2" s="1"/>
  <c r="D565" i="2"/>
  <c r="G565" i="2" s="1"/>
  <c r="D564" i="2"/>
  <c r="D563" i="2"/>
  <c r="G563" i="2" s="1"/>
  <c r="D562" i="2"/>
  <c r="E562" i="2" s="1"/>
  <c r="H562" i="2" s="1"/>
  <c r="D561" i="2"/>
  <c r="D560" i="2"/>
  <c r="G560" i="2" s="1"/>
  <c r="D559" i="2"/>
  <c r="D558" i="2"/>
  <c r="E558" i="2" s="1"/>
  <c r="H558" i="2" s="1"/>
  <c r="D557" i="2"/>
  <c r="D556" i="2"/>
  <c r="D555" i="2"/>
  <c r="D554" i="2"/>
  <c r="E554" i="2" s="1"/>
  <c r="H554" i="2" s="1"/>
  <c r="D553" i="2"/>
  <c r="E553" i="2" s="1"/>
  <c r="H553" i="2" s="1"/>
  <c r="D552" i="2"/>
  <c r="D551" i="2"/>
  <c r="D550" i="2"/>
  <c r="G550" i="2" s="1"/>
  <c r="D549" i="2"/>
  <c r="E549" i="2" s="1"/>
  <c r="H549" i="2" s="1"/>
  <c r="D548" i="2"/>
  <c r="D547" i="2"/>
  <c r="D546" i="2"/>
  <c r="E546" i="2" s="1"/>
  <c r="H546" i="2" s="1"/>
  <c r="D545" i="2"/>
  <c r="D544" i="2"/>
  <c r="E544" i="2" s="1"/>
  <c r="H544" i="2" s="1"/>
  <c r="D543" i="2"/>
  <c r="D542" i="2"/>
  <c r="E542" i="2" s="1"/>
  <c r="H542" i="2" s="1"/>
  <c r="D541" i="2"/>
  <c r="G541" i="2" s="1"/>
  <c r="D540" i="2"/>
  <c r="G540" i="2" s="1"/>
  <c r="D539" i="2"/>
  <c r="D538" i="2"/>
  <c r="G538" i="2" s="1"/>
  <c r="D537" i="2"/>
  <c r="E537" i="2" s="1"/>
  <c r="H537" i="2" s="1"/>
  <c r="D536" i="2"/>
  <c r="D535" i="2"/>
  <c r="D534" i="2"/>
  <c r="D533" i="2"/>
  <c r="G533" i="2" s="1"/>
  <c r="D532" i="2"/>
  <c r="D531" i="2"/>
  <c r="D530" i="2"/>
  <c r="D529" i="2"/>
  <c r="G529" i="2" s="1"/>
  <c r="D528" i="2"/>
  <c r="D527" i="2"/>
  <c r="D526" i="2"/>
  <c r="E526" i="2" s="1"/>
  <c r="H526" i="2" s="1"/>
  <c r="D525" i="2"/>
  <c r="D524" i="2"/>
  <c r="D523" i="2"/>
  <c r="D522" i="2"/>
  <c r="E522" i="2" s="1"/>
  <c r="H522" i="2" s="1"/>
  <c r="D521" i="2"/>
  <c r="D520" i="2"/>
  <c r="D519" i="2"/>
  <c r="D518" i="2"/>
  <c r="D517" i="2"/>
  <c r="D516" i="2"/>
  <c r="G516" i="2" s="1"/>
  <c r="D515" i="2"/>
  <c r="G515" i="2" s="1"/>
  <c r="D514" i="2"/>
  <c r="G514" i="2" s="1"/>
  <c r="D513" i="2"/>
  <c r="E513" i="2" s="1"/>
  <c r="H513" i="2" s="1"/>
  <c r="D512" i="2"/>
  <c r="D511" i="2"/>
  <c r="D510" i="2"/>
  <c r="D509" i="2"/>
  <c r="D508" i="2"/>
  <c r="D507" i="2"/>
  <c r="E507" i="2" s="1"/>
  <c r="H507" i="2" s="1"/>
  <c r="D506" i="2"/>
  <c r="E506" i="2" s="1"/>
  <c r="H506" i="2" s="1"/>
  <c r="D505" i="2"/>
  <c r="D504" i="2"/>
  <c r="D503" i="2"/>
  <c r="G503" i="2" s="1"/>
  <c r="D502" i="2"/>
  <c r="D501" i="2"/>
  <c r="G501" i="2" s="1"/>
  <c r="D500" i="2"/>
  <c r="D499" i="2"/>
  <c r="G499" i="2" s="1"/>
  <c r="D498" i="2"/>
  <c r="D497" i="2"/>
  <c r="D496" i="2"/>
  <c r="D495" i="2"/>
  <c r="D494" i="2"/>
  <c r="D493" i="2"/>
  <c r="D492" i="2"/>
  <c r="D491" i="2"/>
  <c r="G491" i="2" s="1"/>
  <c r="D490" i="2"/>
  <c r="G490" i="2" s="1"/>
  <c r="D489" i="2"/>
  <c r="D488" i="2"/>
  <c r="G488" i="2" s="1"/>
  <c r="D487" i="2"/>
  <c r="D486" i="2"/>
  <c r="D485" i="2"/>
  <c r="E485" i="2" s="1"/>
  <c r="H485" i="2" s="1"/>
  <c r="D484" i="2"/>
  <c r="D483" i="2"/>
  <c r="D482" i="2"/>
  <c r="D481" i="2"/>
  <c r="E481" i="2" s="1"/>
  <c r="H481" i="2" s="1"/>
  <c r="D480" i="2"/>
  <c r="G480" i="2" s="1"/>
  <c r="D479" i="2"/>
  <c r="E479" i="2" s="1"/>
  <c r="H479" i="2" s="1"/>
  <c r="D478" i="2"/>
  <c r="G478" i="2" s="1"/>
  <c r="D477" i="2"/>
  <c r="D476" i="2"/>
  <c r="D475" i="2"/>
  <c r="D474" i="2"/>
  <c r="D473" i="2"/>
  <c r="D472" i="2"/>
  <c r="D471" i="2"/>
  <c r="D470" i="2"/>
  <c r="G470" i="2" s="1"/>
  <c r="D469" i="2"/>
  <c r="D468" i="2"/>
  <c r="G468" i="2" s="1"/>
  <c r="D467" i="2"/>
  <c r="G467" i="2" s="1"/>
  <c r="D466" i="2"/>
  <c r="D465" i="2"/>
  <c r="E465" i="2" s="1"/>
  <c r="H465" i="2" s="1"/>
  <c r="D464" i="2"/>
  <c r="D463" i="2"/>
  <c r="D462" i="2"/>
  <c r="E462" i="2" s="1"/>
  <c r="H462" i="2" s="1"/>
  <c r="D461" i="2"/>
  <c r="D460" i="2"/>
  <c r="D459" i="2"/>
  <c r="D458" i="2"/>
  <c r="G458" i="2" s="1"/>
  <c r="D457" i="2"/>
  <c r="D456" i="2"/>
  <c r="D455" i="2"/>
  <c r="G455" i="2" s="1"/>
  <c r="D454" i="2"/>
  <c r="G454" i="2" s="1"/>
  <c r="D453" i="2"/>
  <c r="G453" i="2" s="1"/>
  <c r="D452" i="2"/>
  <c r="D451" i="2"/>
  <c r="D450" i="2"/>
  <c r="D449" i="2"/>
  <c r="D448" i="2"/>
  <c r="D447" i="2"/>
  <c r="G447" i="2" s="1"/>
  <c r="D446" i="2"/>
  <c r="E446" i="2" s="1"/>
  <c r="H446" i="2" s="1"/>
  <c r="D445" i="2"/>
  <c r="E445" i="2" s="1"/>
  <c r="H445" i="2" s="1"/>
  <c r="D444" i="2"/>
  <c r="G444" i="2" s="1"/>
  <c r="D443" i="2"/>
  <c r="E443" i="2" s="1"/>
  <c r="H443" i="2" s="1"/>
  <c r="D442" i="2"/>
  <c r="D441" i="2"/>
  <c r="D440" i="2"/>
  <c r="D439" i="2"/>
  <c r="D438" i="2"/>
  <c r="D437" i="2"/>
  <c r="D436" i="2"/>
  <c r="G436" i="2" s="1"/>
  <c r="D435" i="2"/>
  <c r="D434" i="2"/>
  <c r="D433" i="2"/>
  <c r="D432" i="2"/>
  <c r="G432" i="2" s="1"/>
  <c r="D431" i="2"/>
  <c r="G431" i="2" s="1"/>
  <c r="D430" i="2"/>
  <c r="G430" i="2" s="1"/>
  <c r="D429" i="2"/>
  <c r="G429" i="2" s="1"/>
  <c r="D428" i="2"/>
  <c r="D427" i="2"/>
  <c r="D426" i="2"/>
  <c r="D425" i="2"/>
  <c r="D424" i="2"/>
  <c r="D423" i="2"/>
  <c r="G423" i="2" s="1"/>
  <c r="D422" i="2"/>
  <c r="E422" i="2" s="1"/>
  <c r="H422" i="2" s="1"/>
  <c r="D421" i="2"/>
  <c r="D420" i="2"/>
  <c r="D419" i="2"/>
  <c r="D418" i="2"/>
  <c r="E418" i="2" s="1"/>
  <c r="H418" i="2" s="1"/>
  <c r="D417" i="2"/>
  <c r="G417" i="2" s="1"/>
  <c r="D416" i="2"/>
  <c r="E416" i="2" s="1"/>
  <c r="H416" i="2" s="1"/>
  <c r="D415" i="2"/>
  <c r="E415" i="2" s="1"/>
  <c r="H415" i="2" s="1"/>
  <c r="D414" i="2"/>
  <c r="D413" i="2"/>
  <c r="D412" i="2"/>
  <c r="D411" i="2"/>
  <c r="G411" i="2" s="1"/>
  <c r="D410" i="2"/>
  <c r="G410" i="2" s="1"/>
  <c r="D409" i="2"/>
  <c r="E409" i="2" s="1"/>
  <c r="H409" i="2" s="1"/>
  <c r="D408" i="2"/>
  <c r="D407" i="2"/>
  <c r="D406" i="2"/>
  <c r="E406" i="2" s="1"/>
  <c r="H406" i="2" s="1"/>
  <c r="D405" i="2"/>
  <c r="D404" i="2"/>
  <c r="E404" i="2" s="1"/>
  <c r="H404" i="2" s="1"/>
  <c r="D403" i="2"/>
  <c r="E403" i="2" s="1"/>
  <c r="H403" i="2" s="1"/>
  <c r="D402" i="2"/>
  <c r="D401" i="2"/>
  <c r="D400" i="2"/>
  <c r="D399" i="2"/>
  <c r="E399" i="2" s="1"/>
  <c r="H399" i="2" s="1"/>
  <c r="D398" i="2"/>
  <c r="E398" i="2" s="1"/>
  <c r="H398" i="2" s="1"/>
  <c r="D397" i="2"/>
  <c r="E397" i="2" s="1"/>
  <c r="H397" i="2" s="1"/>
  <c r="D396" i="2"/>
  <c r="D395" i="2"/>
  <c r="D394" i="2"/>
  <c r="D393" i="2"/>
  <c r="D392" i="2"/>
  <c r="D391" i="2"/>
  <c r="D390" i="2"/>
  <c r="D389" i="2"/>
  <c r="D388" i="2"/>
  <c r="D387" i="2"/>
  <c r="G387" i="2" s="1"/>
  <c r="D386" i="2"/>
  <c r="D385" i="2"/>
  <c r="E385" i="2" s="1"/>
  <c r="H385" i="2" s="1"/>
  <c r="D384" i="2"/>
  <c r="D383" i="2"/>
  <c r="G383" i="2" s="1"/>
  <c r="D382" i="2"/>
  <c r="D381" i="2"/>
  <c r="D380" i="2"/>
  <c r="D379" i="2"/>
  <c r="G379" i="2" s="1"/>
  <c r="D378" i="2"/>
  <c r="D377" i="2"/>
  <c r="D376" i="2"/>
  <c r="D375" i="2"/>
  <c r="D374" i="2"/>
  <c r="G374" i="2" s="1"/>
  <c r="D373" i="2"/>
  <c r="D372" i="2"/>
  <c r="D371" i="2"/>
  <c r="D370" i="2"/>
  <c r="D369" i="2"/>
  <c r="D368" i="2"/>
  <c r="E368" i="2" s="1"/>
  <c r="H368" i="2" s="1"/>
  <c r="D367" i="2"/>
  <c r="G367" i="2" s="1"/>
  <c r="D366" i="2"/>
  <c r="D365" i="2"/>
  <c r="G365" i="2" s="1"/>
  <c r="D364" i="2"/>
  <c r="G364" i="2" s="1"/>
  <c r="D363" i="2"/>
  <c r="D362" i="2"/>
  <c r="D361" i="2"/>
  <c r="E361" i="2" s="1"/>
  <c r="H361" i="2" s="1"/>
  <c r="D360" i="2"/>
  <c r="D359" i="2"/>
  <c r="G359" i="2" s="1"/>
  <c r="D358" i="2"/>
  <c r="G358" i="2" s="1"/>
  <c r="D357" i="2"/>
  <c r="E357" i="2" s="1"/>
  <c r="H357" i="2" s="1"/>
  <c r="D356" i="2"/>
  <c r="E356" i="2" s="1"/>
  <c r="H356" i="2" s="1"/>
  <c r="D355" i="2"/>
  <c r="G355" i="2" s="1"/>
  <c r="D354" i="2"/>
  <c r="D353" i="2"/>
  <c r="D352" i="2"/>
  <c r="D351" i="2"/>
  <c r="E351" i="2" s="1"/>
  <c r="H351" i="2" s="1"/>
  <c r="D350" i="2"/>
  <c r="D349" i="2"/>
  <c r="D348" i="2"/>
  <c r="D347" i="2"/>
  <c r="G347" i="2" s="1"/>
  <c r="D346" i="2"/>
  <c r="D345" i="2"/>
  <c r="G345" i="2" s="1"/>
  <c r="D344" i="2"/>
  <c r="D343" i="2"/>
  <c r="G343" i="2" s="1"/>
  <c r="D342" i="2"/>
  <c r="D341" i="2"/>
  <c r="D340" i="2"/>
  <c r="G340" i="2" s="1"/>
  <c r="D339" i="2"/>
  <c r="G339" i="2" s="1"/>
  <c r="D338" i="2"/>
  <c r="D337" i="2"/>
  <c r="E337" i="2" s="1"/>
  <c r="H337" i="2" s="1"/>
  <c r="D336" i="2"/>
  <c r="D335" i="2"/>
  <c r="D334" i="2"/>
  <c r="G334" i="2" s="1"/>
  <c r="D333" i="2"/>
  <c r="D332" i="2"/>
  <c r="E332" i="2" s="1"/>
  <c r="H332" i="2" s="1"/>
  <c r="D331" i="2"/>
  <c r="E331" i="2" s="1"/>
  <c r="H331" i="2" s="1"/>
  <c r="D330" i="2"/>
  <c r="D329" i="2"/>
  <c r="D328" i="2"/>
  <c r="D327" i="2"/>
  <c r="D326" i="2"/>
  <c r="G326" i="2" s="1"/>
  <c r="D325" i="2"/>
  <c r="D324" i="2"/>
  <c r="D323" i="2"/>
  <c r="G323" i="2" s="1"/>
  <c r="D322" i="2"/>
  <c r="D321" i="2"/>
  <c r="D320" i="2"/>
  <c r="D319" i="2"/>
  <c r="D318" i="2"/>
  <c r="D317" i="2"/>
  <c r="D316" i="2"/>
  <c r="E316" i="2" s="1"/>
  <c r="H316" i="2" s="1"/>
  <c r="D315" i="2"/>
  <c r="G315" i="2" s="1"/>
  <c r="D314" i="2"/>
  <c r="D313" i="2"/>
  <c r="E313" i="2" s="1"/>
  <c r="H313" i="2" s="1"/>
  <c r="D312" i="2"/>
  <c r="E312" i="2" s="1"/>
  <c r="H312" i="2" s="1"/>
  <c r="D311" i="2"/>
  <c r="D310" i="2"/>
  <c r="E310" i="2" s="1"/>
  <c r="H310" i="2" s="1"/>
  <c r="D309" i="2"/>
  <c r="D308" i="2"/>
  <c r="G308" i="2" s="1"/>
  <c r="D307" i="2"/>
  <c r="G307" i="2" s="1"/>
  <c r="D306" i="2"/>
  <c r="D305" i="2"/>
  <c r="G305" i="2" s="1"/>
  <c r="D304" i="2"/>
  <c r="D303" i="2"/>
  <c r="G303" i="2" s="1"/>
  <c r="D302" i="2"/>
  <c r="D301" i="2"/>
  <c r="D300" i="2"/>
  <c r="E300" i="2" s="1"/>
  <c r="H300" i="2" s="1"/>
  <c r="D299" i="2"/>
  <c r="D298" i="2"/>
  <c r="G298" i="2" s="1"/>
  <c r="D297" i="2"/>
  <c r="G297" i="2" s="1"/>
  <c r="D296" i="2"/>
  <c r="D295" i="2"/>
  <c r="E295" i="2" s="1"/>
  <c r="H295" i="2" s="1"/>
  <c r="D294" i="2"/>
  <c r="D293" i="2"/>
  <c r="D292" i="2"/>
  <c r="G292" i="2" s="1"/>
  <c r="D291" i="2"/>
  <c r="G291" i="2" s="1"/>
  <c r="D290" i="2"/>
  <c r="D289" i="2"/>
  <c r="E289" i="2" s="1"/>
  <c r="H289" i="2" s="1"/>
  <c r="D288" i="2"/>
  <c r="D287" i="2"/>
  <c r="G287" i="2" s="1"/>
  <c r="D286" i="2"/>
  <c r="D285" i="2"/>
  <c r="G285" i="2" s="1"/>
  <c r="D284" i="2"/>
  <c r="G284" i="2" s="1"/>
  <c r="D283" i="2"/>
  <c r="G283" i="2" s="1"/>
  <c r="D282" i="2"/>
  <c r="D281" i="2"/>
  <c r="D280" i="2"/>
  <c r="D279" i="2"/>
  <c r="G279" i="2" s="1"/>
  <c r="D278" i="2"/>
  <c r="D277" i="2"/>
  <c r="E277" i="2" s="1"/>
  <c r="H277" i="2" s="1"/>
  <c r="D276" i="2"/>
  <c r="E276" i="2" s="1"/>
  <c r="H276" i="2" s="1"/>
  <c r="D275" i="2"/>
  <c r="G275" i="2" s="1"/>
  <c r="D274" i="2"/>
  <c r="G274" i="2" s="1"/>
  <c r="D273" i="2"/>
  <c r="D272" i="2"/>
  <c r="G272" i="2" s="1"/>
  <c r="D271" i="2"/>
  <c r="G271" i="2" s="1"/>
  <c r="D270" i="2"/>
  <c r="D269" i="2"/>
  <c r="D268" i="2"/>
  <c r="D267" i="2"/>
  <c r="D266" i="2"/>
  <c r="D265" i="2"/>
  <c r="D264" i="2"/>
  <c r="G264" i="2" s="1"/>
  <c r="D263" i="2"/>
  <c r="G263" i="2" s="1"/>
  <c r="D262" i="2"/>
  <c r="G262" i="2" s="1"/>
  <c r="D261" i="2"/>
  <c r="G261" i="2" s="1"/>
  <c r="D260" i="2"/>
  <c r="G260" i="2" s="1"/>
  <c r="D259" i="2"/>
  <c r="D258" i="2"/>
  <c r="E258" i="2" s="1"/>
  <c r="H258" i="2" s="1"/>
  <c r="D257" i="2"/>
  <c r="D256" i="2"/>
  <c r="G256" i="2" s="1"/>
  <c r="D255" i="2"/>
  <c r="D254" i="2"/>
  <c r="E254" i="2" s="1"/>
  <c r="H254" i="2" s="1"/>
  <c r="D253" i="2"/>
  <c r="G253" i="2" s="1"/>
  <c r="D252" i="2"/>
  <c r="G252" i="2" s="1"/>
  <c r="D251" i="2"/>
  <c r="D250" i="2"/>
  <c r="G250" i="2" s="1"/>
  <c r="D249" i="2"/>
  <c r="G249" i="2" s="1"/>
  <c r="D248" i="2"/>
  <c r="D247" i="2"/>
  <c r="G247" i="2" s="1"/>
  <c r="D246" i="2"/>
  <c r="G246" i="2" s="1"/>
  <c r="D245" i="2"/>
  <c r="D244" i="2"/>
  <c r="G244" i="2" s="1"/>
  <c r="D243" i="2"/>
  <c r="G243" i="2" s="1"/>
  <c r="D242" i="2"/>
  <c r="D241" i="2"/>
  <c r="D240" i="2"/>
  <c r="E240" i="2" s="1"/>
  <c r="H240" i="2" s="1"/>
  <c r="D239" i="2"/>
  <c r="D238" i="2"/>
  <c r="G238" i="2" s="1"/>
  <c r="D237" i="2"/>
  <c r="D236" i="2"/>
  <c r="D235" i="2"/>
  <c r="D234" i="2"/>
  <c r="D233" i="2"/>
  <c r="D232" i="2"/>
  <c r="D231" i="2"/>
  <c r="E231" i="2" s="1"/>
  <c r="H231" i="2" s="1"/>
  <c r="D230" i="2"/>
  <c r="G230" i="2" s="1"/>
  <c r="D229" i="2"/>
  <c r="G229" i="2" s="1"/>
  <c r="D228" i="2"/>
  <c r="G228" i="2" s="1"/>
  <c r="D227" i="2"/>
  <c r="D226" i="2"/>
  <c r="D225" i="2"/>
  <c r="G225" i="2" s="1"/>
  <c r="D224" i="2"/>
  <c r="D223" i="2"/>
  <c r="G223" i="2" s="1"/>
  <c r="D222" i="2"/>
  <c r="D221" i="2"/>
  <c r="D220" i="2"/>
  <c r="G220" i="2" s="1"/>
  <c r="D219" i="2"/>
  <c r="G219" i="2" s="1"/>
  <c r="D218" i="2"/>
  <c r="E218" i="2" s="1"/>
  <c r="H218" i="2" s="1"/>
  <c r="D217" i="2"/>
  <c r="D216" i="2"/>
  <c r="E216" i="2" s="1"/>
  <c r="H216" i="2" s="1"/>
  <c r="D215" i="2"/>
  <c r="D214" i="2"/>
  <c r="G214" i="2" s="1"/>
  <c r="D213" i="2"/>
  <c r="G213" i="2" s="1"/>
  <c r="D212" i="2"/>
  <c r="G212" i="2" s="1"/>
  <c r="D211" i="2"/>
  <c r="E211" i="2" s="1"/>
  <c r="H211" i="2" s="1"/>
  <c r="D210" i="2"/>
  <c r="G210" i="2" s="1"/>
  <c r="D209" i="2"/>
  <c r="D208" i="2"/>
  <c r="G208" i="2" s="1"/>
  <c r="D207" i="2"/>
  <c r="D206" i="2"/>
  <c r="G206" i="2" s="1"/>
  <c r="D205" i="2"/>
  <c r="E205" i="2" s="1"/>
  <c r="H205" i="2" s="1"/>
  <c r="D204" i="2"/>
  <c r="G204" i="2" s="1"/>
  <c r="D203" i="2"/>
  <c r="D202" i="2"/>
  <c r="G202" i="2" s="1"/>
  <c r="D201" i="2"/>
  <c r="E201" i="2" s="1"/>
  <c r="H201" i="2" s="1"/>
  <c r="D200" i="2"/>
  <c r="E200" i="2" s="1"/>
  <c r="H200" i="2" s="1"/>
  <c r="D199" i="2"/>
  <c r="D198" i="2"/>
  <c r="E198" i="2" s="1"/>
  <c r="H198" i="2" s="1"/>
  <c r="D197" i="2"/>
  <c r="D196" i="2"/>
  <c r="G196" i="2" s="1"/>
  <c r="D195" i="2"/>
  <c r="G195" i="2" s="1"/>
  <c r="D194" i="2"/>
  <c r="D193" i="2"/>
  <c r="G193" i="2" s="1"/>
  <c r="D192" i="2"/>
  <c r="D191" i="2"/>
  <c r="D190" i="2"/>
  <c r="G190" i="2" s="1"/>
  <c r="D189" i="2"/>
  <c r="G189" i="2" s="1"/>
  <c r="D188" i="2"/>
  <c r="G188" i="2" s="1"/>
  <c r="D187" i="2"/>
  <c r="E187" i="2" s="1"/>
  <c r="H187" i="2" s="1"/>
  <c r="D186" i="2"/>
  <c r="G186" i="2" s="1"/>
  <c r="D185" i="2"/>
  <c r="D184" i="2"/>
  <c r="G184" i="2" s="1"/>
  <c r="D183" i="2"/>
  <c r="D182" i="2"/>
  <c r="G182" i="2" s="1"/>
  <c r="D181" i="2"/>
  <c r="G181" i="2" s="1"/>
  <c r="D180" i="2"/>
  <c r="D179" i="2"/>
  <c r="D178" i="2"/>
  <c r="G178" i="2" s="1"/>
  <c r="D177" i="2"/>
  <c r="D176" i="2"/>
  <c r="D175" i="2"/>
  <c r="G175" i="2" s="1"/>
  <c r="D174" i="2"/>
  <c r="D173" i="2"/>
  <c r="D172" i="2"/>
  <c r="D171" i="2"/>
  <c r="G171" i="2" s="1"/>
  <c r="D170" i="2"/>
  <c r="D169" i="2"/>
  <c r="E169" i="2" s="1"/>
  <c r="H169" i="2" s="1"/>
  <c r="D168" i="2"/>
  <c r="G168" i="2" s="1"/>
  <c r="D167" i="2"/>
  <c r="D166" i="2"/>
  <c r="G166" i="2" s="1"/>
  <c r="D165" i="2"/>
  <c r="G165" i="2" s="1"/>
  <c r="D164" i="2"/>
  <c r="D163" i="2"/>
  <c r="G163" i="2" s="1"/>
  <c r="D162" i="2"/>
  <c r="D161" i="2"/>
  <c r="D160" i="2"/>
  <c r="D159" i="2"/>
  <c r="D158" i="2"/>
  <c r="D157" i="2"/>
  <c r="G157" i="2" s="1"/>
  <c r="D156" i="2"/>
  <c r="D155" i="2"/>
  <c r="D154" i="2"/>
  <c r="G154" i="2" s="1"/>
  <c r="D153" i="2"/>
  <c r="E153" i="2" s="1"/>
  <c r="H153" i="2" s="1"/>
  <c r="D152" i="2"/>
  <c r="D151" i="2"/>
  <c r="E151" i="2" s="1"/>
  <c r="H151" i="2" s="1"/>
  <c r="D150" i="2"/>
  <c r="E150" i="2" s="1"/>
  <c r="H150" i="2" s="1"/>
  <c r="D149" i="2"/>
  <c r="D148" i="2"/>
  <c r="G148" i="2" s="1"/>
  <c r="D147" i="2"/>
  <c r="G147" i="2" s="1"/>
  <c r="D146" i="2"/>
  <c r="D145" i="2"/>
  <c r="D144" i="2"/>
  <c r="D143" i="2"/>
  <c r="D142" i="2"/>
  <c r="G142" i="2" s="1"/>
  <c r="D141" i="2"/>
  <c r="E141" i="2" s="1"/>
  <c r="H141" i="2" s="1"/>
  <c r="D140" i="2"/>
  <c r="D139" i="2"/>
  <c r="G139" i="2" s="1"/>
  <c r="D138" i="2"/>
  <c r="D137" i="2"/>
  <c r="D136" i="2"/>
  <c r="D135" i="2"/>
  <c r="D134" i="2"/>
  <c r="E134" i="2" s="1"/>
  <c r="H134" i="2" s="1"/>
  <c r="D133" i="2"/>
  <c r="D132" i="2"/>
  <c r="D131" i="2"/>
  <c r="D130" i="2"/>
  <c r="G130" i="2" s="1"/>
  <c r="D129" i="2"/>
  <c r="G129" i="2" s="1"/>
  <c r="D128" i="2"/>
  <c r="D127" i="2"/>
  <c r="D126" i="2"/>
  <c r="E126" i="2" s="1"/>
  <c r="H126" i="2" s="1"/>
  <c r="D125" i="2"/>
  <c r="D124" i="2"/>
  <c r="G124" i="2" s="1"/>
  <c r="D123" i="2"/>
  <c r="G123" i="2" s="1"/>
  <c r="D122" i="2"/>
  <c r="G122" i="2" s="1"/>
  <c r="D121" i="2"/>
  <c r="E121" i="2" s="1"/>
  <c r="H121" i="2" s="1"/>
  <c r="D120" i="2"/>
  <c r="D119" i="2"/>
  <c r="D118" i="2"/>
  <c r="G118" i="2" s="1"/>
  <c r="D117" i="2"/>
  <c r="D116" i="2"/>
  <c r="E116" i="2" s="1"/>
  <c r="H116" i="2" s="1"/>
  <c r="D115" i="2"/>
  <c r="E115" i="2" s="1"/>
  <c r="H115" i="2" s="1"/>
  <c r="D114" i="2"/>
  <c r="G114" i="2" s="1"/>
  <c r="D113" i="2"/>
  <c r="D112" i="2"/>
  <c r="G112" i="2" s="1"/>
  <c r="D111" i="2"/>
  <c r="D110" i="2"/>
  <c r="E110" i="2" s="1"/>
  <c r="H110" i="2" s="1"/>
  <c r="D109" i="2"/>
  <c r="E109" i="2" s="1"/>
  <c r="H109" i="2" s="1"/>
  <c r="D108" i="2"/>
  <c r="E108" i="2" s="1"/>
  <c r="H108" i="2" s="1"/>
  <c r="D107" i="2"/>
  <c r="D106" i="2"/>
  <c r="G106" i="2" s="1"/>
  <c r="D105" i="2"/>
  <c r="G105" i="2" s="1"/>
  <c r="D104" i="2"/>
  <c r="E104" i="2" s="1"/>
  <c r="H104" i="2" s="1"/>
  <c r="D103" i="2"/>
  <c r="E103" i="2" s="1"/>
  <c r="H103" i="2" s="1"/>
  <c r="D102" i="2"/>
  <c r="D101" i="2"/>
  <c r="D100" i="2"/>
  <c r="D99" i="2"/>
  <c r="G99" i="2" s="1"/>
  <c r="D98" i="2"/>
  <c r="E98" i="2" s="1"/>
  <c r="H98" i="2" s="1"/>
  <c r="D97" i="2"/>
  <c r="D96" i="2"/>
  <c r="G96" i="2" s="1"/>
  <c r="D95" i="2"/>
  <c r="D94" i="2"/>
  <c r="G94" i="2" s="1"/>
  <c r="D93" i="2"/>
  <c r="E93" i="2" s="1"/>
  <c r="H93" i="2" s="1"/>
  <c r="D92" i="2"/>
  <c r="E92" i="2" s="1"/>
  <c r="H92" i="2" s="1"/>
  <c r="D91" i="2"/>
  <c r="G91" i="2" s="1"/>
  <c r="D90" i="2"/>
  <c r="E90" i="2" s="1"/>
  <c r="H90" i="2" s="1"/>
  <c r="D89" i="2"/>
  <c r="D88" i="2"/>
  <c r="G88" i="2" s="1"/>
  <c r="D87" i="2"/>
  <c r="D86" i="2"/>
  <c r="G86" i="2" s="1"/>
  <c r="D85" i="2"/>
  <c r="G85" i="2" s="1"/>
  <c r="D84" i="2"/>
  <c r="D83" i="2"/>
  <c r="D82" i="2"/>
  <c r="G82" i="2" s="1"/>
  <c r="D81" i="2"/>
  <c r="E81" i="2" s="1"/>
  <c r="H81" i="2" s="1"/>
  <c r="D80" i="2"/>
  <c r="D79" i="2"/>
  <c r="D78" i="2"/>
  <c r="E78" i="2" s="1"/>
  <c r="H78" i="2" s="1"/>
  <c r="D77" i="2"/>
  <c r="D76" i="2"/>
  <c r="G76" i="2" s="1"/>
  <c r="D75" i="2"/>
  <c r="D74" i="2"/>
  <c r="D73" i="2"/>
  <c r="E73" i="2" s="1"/>
  <c r="H73" i="2" s="1"/>
  <c r="D72" i="2"/>
  <c r="D71" i="2"/>
  <c r="D70" i="2"/>
  <c r="G70" i="2" s="1"/>
  <c r="D69" i="2"/>
  <c r="G69" i="2" s="1"/>
  <c r="D68" i="2"/>
  <c r="G68" i="2" s="1"/>
  <c r="D67" i="2"/>
  <c r="D66" i="2"/>
  <c r="E66" i="2" s="1"/>
  <c r="H66" i="2" s="1"/>
  <c r="D65" i="2"/>
  <c r="D64" i="2"/>
  <c r="G64" i="2" s="1"/>
  <c r="D63" i="2"/>
  <c r="E63" i="2" s="1"/>
  <c r="H63" i="2" s="1"/>
  <c r="D62" i="2"/>
  <c r="G62" i="2" s="1"/>
  <c r="D61" i="2"/>
  <c r="G61" i="2" s="1"/>
  <c r="D60" i="2"/>
  <c r="E60" i="2" s="1"/>
  <c r="H60" i="2" s="1"/>
  <c r="D59" i="2"/>
  <c r="D58" i="2"/>
  <c r="G58" i="2" s="1"/>
  <c r="D57" i="2"/>
  <c r="G57" i="2" s="1"/>
  <c r="D56" i="2"/>
  <c r="E56" i="2" s="1"/>
  <c r="H56" i="2" s="1"/>
  <c r="D55" i="2"/>
  <c r="E55" i="2" s="1"/>
  <c r="H55" i="2" s="1"/>
  <c r="D54" i="2"/>
  <c r="E54" i="2" s="1"/>
  <c r="H54" i="2" s="1"/>
  <c r="D53" i="2"/>
  <c r="D52" i="2"/>
  <c r="G52" i="2" s="1"/>
  <c r="D51" i="2"/>
  <c r="G51" i="2" s="1"/>
  <c r="D50" i="2"/>
  <c r="G50" i="2" s="1"/>
  <c r="D49" i="2"/>
  <c r="G49" i="2" s="1"/>
  <c r="D48" i="2"/>
  <c r="D47" i="2"/>
  <c r="D46" i="2"/>
  <c r="D45" i="2"/>
  <c r="E45" i="2" s="1"/>
  <c r="H45" i="2" s="1"/>
  <c r="D44" i="2"/>
  <c r="G44" i="2" s="1"/>
  <c r="D43" i="2"/>
  <c r="E43" i="2" s="1"/>
  <c r="H43" i="2" s="1"/>
  <c r="D42" i="2"/>
  <c r="E42" i="2" s="1"/>
  <c r="H42" i="2" s="1"/>
  <c r="D41" i="2"/>
  <c r="E41" i="2" s="1"/>
  <c r="H41" i="2" s="1"/>
  <c r="D40" i="2"/>
  <c r="G40" i="2" s="1"/>
  <c r="D39" i="2"/>
  <c r="E39" i="2" s="1"/>
  <c r="H39" i="2" s="1"/>
  <c r="D38" i="2"/>
  <c r="E38" i="2" s="1"/>
  <c r="H38" i="2" s="1"/>
  <c r="D37" i="2"/>
  <c r="D36" i="2"/>
  <c r="G36" i="2" s="1"/>
  <c r="D35" i="2"/>
  <c r="E35" i="2" s="1"/>
  <c r="H35" i="2" s="1"/>
  <c r="D34" i="2"/>
  <c r="G34" i="2" s="1"/>
  <c r="D33" i="2"/>
  <c r="D32" i="2"/>
  <c r="D31" i="2"/>
  <c r="G31" i="2" s="1"/>
  <c r="D30" i="2"/>
  <c r="D29" i="2"/>
  <c r="E29" i="2" s="1"/>
  <c r="H29" i="2" s="1"/>
  <c r="D28" i="2"/>
  <c r="D27" i="2"/>
  <c r="E27" i="2" s="1"/>
  <c r="H27" i="2" s="1"/>
  <c r="D26" i="2"/>
  <c r="D25" i="2"/>
  <c r="G25" i="2" s="1"/>
  <c r="D24" i="2"/>
  <c r="E24" i="2" s="1"/>
  <c r="H24" i="2" s="1"/>
  <c r="D23" i="2"/>
  <c r="D22" i="2"/>
  <c r="G22" i="2" s="1"/>
  <c r="D21" i="2"/>
  <c r="E21" i="2" s="1"/>
  <c r="H21" i="2" s="1"/>
  <c r="D20" i="2"/>
  <c r="E20" i="2" s="1"/>
  <c r="H20" i="2" s="1"/>
  <c r="D19" i="2"/>
  <c r="E19" i="2" s="1"/>
  <c r="H19" i="2" s="1"/>
  <c r="D18" i="2"/>
  <c r="E18" i="2" s="1"/>
  <c r="H18" i="2" s="1"/>
  <c r="D17" i="2"/>
  <c r="D16" i="2"/>
  <c r="E16" i="2" s="1"/>
  <c r="H16" i="2" s="1"/>
  <c r="D15" i="2"/>
  <c r="D14" i="2"/>
  <c r="D13" i="2"/>
  <c r="D12" i="2"/>
  <c r="G12" i="2" s="1"/>
  <c r="D11" i="2"/>
  <c r="E11" i="2" s="1"/>
  <c r="H11" i="2" s="1"/>
  <c r="D10" i="2"/>
  <c r="D9" i="2"/>
  <c r="G9" i="2" s="1"/>
  <c r="D8" i="2"/>
  <c r="G8" i="2" s="1"/>
  <c r="D7" i="2"/>
  <c r="G7" i="2" s="1"/>
  <c r="D6" i="2"/>
  <c r="D5" i="2"/>
  <c r="D4" i="2"/>
  <c r="G4" i="2" s="1"/>
  <c r="D3" i="2"/>
  <c r="E3" i="2" s="1"/>
  <c r="H3" i="2" s="1"/>
  <c r="D2" i="2"/>
  <c r="D325" i="1"/>
  <c r="D324" i="1"/>
  <c r="E324" i="1" s="1"/>
  <c r="D323" i="1"/>
  <c r="E323" i="1" s="1"/>
  <c r="D322" i="1"/>
  <c r="E322" i="1" s="1"/>
  <c r="D321" i="1"/>
  <c r="D320" i="1"/>
  <c r="E320" i="1" s="1"/>
  <c r="C320" i="1" s="1"/>
  <c r="D319" i="1"/>
  <c r="D318" i="1"/>
  <c r="E318" i="1" s="1"/>
  <c r="D317" i="1"/>
  <c r="E317" i="1" s="1"/>
  <c r="D316" i="1"/>
  <c r="D315" i="1"/>
  <c r="D314" i="1"/>
  <c r="D313" i="1"/>
  <c r="E313" i="1" s="1"/>
  <c r="C313" i="1" s="1"/>
  <c r="D312" i="1"/>
  <c r="D311" i="1"/>
  <c r="D310" i="1"/>
  <c r="E310" i="1" s="1"/>
  <c r="D309" i="1"/>
  <c r="E309" i="1" s="1"/>
  <c r="C309" i="1" s="1"/>
  <c r="D308" i="1"/>
  <c r="E308" i="1" s="1"/>
  <c r="C308" i="1" s="1"/>
  <c r="D307" i="1"/>
  <c r="D306" i="1"/>
  <c r="E306" i="1" s="1"/>
  <c r="D305" i="1"/>
  <c r="D304" i="1"/>
  <c r="D303" i="1"/>
  <c r="D302" i="1"/>
  <c r="E302" i="1" s="1"/>
  <c r="C302" i="1" s="1"/>
  <c r="D301" i="1"/>
  <c r="E301" i="1" s="1"/>
  <c r="C301" i="1" s="1"/>
  <c r="D300" i="1"/>
  <c r="E300" i="1" s="1"/>
  <c r="D299" i="1"/>
  <c r="D298" i="1"/>
  <c r="D297" i="1"/>
  <c r="E297" i="1" s="1"/>
  <c r="D296" i="1"/>
  <c r="D295" i="1"/>
  <c r="E295" i="1" s="1"/>
  <c r="C295" i="1" s="1"/>
  <c r="D294" i="1"/>
  <c r="E294" i="1" s="1"/>
  <c r="D293" i="1"/>
  <c r="E293" i="1" s="1"/>
  <c r="D292" i="1"/>
  <c r="D291" i="1"/>
  <c r="D290" i="1"/>
  <c r="E290" i="1" s="1"/>
  <c r="C290" i="1" s="1"/>
  <c r="D289" i="1"/>
  <c r="D288" i="1"/>
  <c r="E288" i="1" s="1"/>
  <c r="D287" i="1"/>
  <c r="E287" i="1" s="1"/>
  <c r="D286" i="1"/>
  <c r="E286" i="1" s="1"/>
  <c r="D285" i="1"/>
  <c r="E285" i="1" s="1"/>
  <c r="B285" i="1" s="1"/>
  <c r="D284" i="1"/>
  <c r="D283" i="1"/>
  <c r="E283" i="1" s="1"/>
  <c r="C283" i="1" s="1"/>
  <c r="D282" i="1"/>
  <c r="E282" i="1" s="1"/>
  <c r="D281" i="1"/>
  <c r="E281" i="1" s="1"/>
  <c r="D280" i="1"/>
  <c r="D279" i="1"/>
  <c r="D278" i="1"/>
  <c r="E278" i="1" s="1"/>
  <c r="C278" i="1" s="1"/>
  <c r="D277" i="1"/>
  <c r="E277" i="1" s="1"/>
  <c r="C277" i="1" s="1"/>
  <c r="D276" i="1"/>
  <c r="E276" i="1" s="1"/>
  <c r="D275" i="1"/>
  <c r="D274" i="1"/>
  <c r="E274" i="1" s="1"/>
  <c r="D273" i="1"/>
  <c r="E273" i="1" s="1"/>
  <c r="C273" i="1" s="1"/>
  <c r="D272" i="1"/>
  <c r="E272" i="1" s="1"/>
  <c r="C272" i="1" s="1"/>
  <c r="D271" i="1"/>
  <c r="E271" i="1" s="1"/>
  <c r="C271" i="1" s="1"/>
  <c r="D270" i="1"/>
  <c r="E270" i="1" s="1"/>
  <c r="D269" i="1"/>
  <c r="E269" i="1" s="1"/>
  <c r="D268" i="1"/>
  <c r="D267" i="1"/>
  <c r="D266" i="1"/>
  <c r="E266" i="1" s="1"/>
  <c r="C266" i="1" s="1"/>
  <c r="D265" i="1"/>
  <c r="E265" i="1" s="1"/>
  <c r="D264" i="1"/>
  <c r="E264" i="1" s="1"/>
  <c r="D263" i="1"/>
  <c r="D262" i="1"/>
  <c r="D261" i="1"/>
  <c r="E261" i="1" s="1"/>
  <c r="D260" i="1"/>
  <c r="E260" i="1" s="1"/>
  <c r="B260" i="1" s="1"/>
  <c r="D259" i="1"/>
  <c r="E259" i="1" s="1"/>
  <c r="C259" i="1" s="1"/>
  <c r="D258" i="1"/>
  <c r="E258" i="1" s="1"/>
  <c r="D257" i="1"/>
  <c r="E257" i="1" s="1"/>
  <c r="D256" i="1"/>
  <c r="D255" i="1"/>
  <c r="D254" i="1"/>
  <c r="E254" i="1" s="1"/>
  <c r="C254" i="1" s="1"/>
  <c r="D253" i="1"/>
  <c r="D252" i="1"/>
  <c r="E252" i="1" s="1"/>
  <c r="D251" i="1"/>
  <c r="E251" i="1" s="1"/>
  <c r="D250" i="1"/>
  <c r="E250" i="1" s="1"/>
  <c r="D249" i="1"/>
  <c r="E249" i="1" s="1"/>
  <c r="B249" i="1" s="1"/>
  <c r="D248" i="1"/>
  <c r="E248" i="1" s="1"/>
  <c r="C248" i="1" s="1"/>
  <c r="D247" i="1"/>
  <c r="D246" i="1"/>
  <c r="E246" i="1" s="1"/>
  <c r="D245" i="1"/>
  <c r="D244" i="1"/>
  <c r="D243" i="1"/>
  <c r="E243" i="1" s="1"/>
  <c r="D242" i="1"/>
  <c r="E242" i="1" s="1"/>
  <c r="C242" i="1" s="1"/>
  <c r="D241" i="1"/>
  <c r="E241" i="1" s="1"/>
  <c r="D240" i="1"/>
  <c r="E240" i="1" s="1"/>
  <c r="D239" i="1"/>
  <c r="D238" i="1"/>
  <c r="D237" i="1"/>
  <c r="E237" i="1" s="1"/>
  <c r="B237" i="1" s="1"/>
  <c r="D236" i="1"/>
  <c r="E236" i="1" s="1"/>
  <c r="C236" i="1" s="1"/>
  <c r="D235" i="1"/>
  <c r="E235" i="1" s="1"/>
  <c r="C235" i="1" s="1"/>
  <c r="D234" i="1"/>
  <c r="E234" i="1" s="1"/>
  <c r="D233" i="1"/>
  <c r="D232" i="1"/>
  <c r="E232" i="1" s="1"/>
  <c r="C232" i="1" s="1"/>
  <c r="D231" i="1"/>
  <c r="D230" i="1"/>
  <c r="E230" i="1" s="1"/>
  <c r="B230" i="1" s="1"/>
  <c r="D229" i="1"/>
  <c r="E229" i="1" s="1"/>
  <c r="D228" i="1"/>
  <c r="E228" i="1" s="1"/>
  <c r="D227" i="1"/>
  <c r="E227" i="1" s="1"/>
  <c r="D226" i="1"/>
  <c r="E226" i="1" s="1"/>
  <c r="C226" i="1" s="1"/>
  <c r="D225" i="1"/>
  <c r="E225" i="1" s="1"/>
  <c r="C225" i="1" s="1"/>
  <c r="D224" i="1"/>
  <c r="D223" i="1"/>
  <c r="D222" i="1"/>
  <c r="E222" i="1" s="1"/>
  <c r="D221" i="1"/>
  <c r="E221" i="1" s="1"/>
  <c r="D220" i="1"/>
  <c r="E220" i="1" s="1"/>
  <c r="C220" i="1" s="1"/>
  <c r="D219" i="1"/>
  <c r="D218" i="1"/>
  <c r="D217" i="1"/>
  <c r="D216" i="1"/>
  <c r="E216" i="1" s="1"/>
  <c r="D215" i="1"/>
  <c r="E215" i="1" s="1"/>
  <c r="D214" i="1"/>
  <c r="E214" i="1" s="1"/>
  <c r="D213" i="1"/>
  <c r="E213" i="1" s="1"/>
  <c r="B213" i="1" s="1"/>
  <c r="D212" i="1"/>
  <c r="E212" i="1" s="1"/>
  <c r="D211" i="1"/>
  <c r="E211" i="1" s="1"/>
  <c r="C211" i="1" s="1"/>
  <c r="D210" i="1"/>
  <c r="E210" i="1" s="1"/>
  <c r="D209" i="1"/>
  <c r="E209" i="1" s="1"/>
  <c r="D208" i="1"/>
  <c r="E208" i="1" s="1"/>
  <c r="D207" i="1"/>
  <c r="E207" i="1" s="1"/>
  <c r="D206" i="1"/>
  <c r="E206" i="1" s="1"/>
  <c r="D205" i="1"/>
  <c r="E205" i="1" s="1"/>
  <c r="D204" i="1"/>
  <c r="D203" i="1"/>
  <c r="E203" i="1" s="1"/>
  <c r="D202" i="1"/>
  <c r="D201" i="1"/>
  <c r="E201" i="1" s="1"/>
  <c r="D200" i="1"/>
  <c r="E200" i="1" s="1"/>
  <c r="C200" i="1" s="1"/>
  <c r="D199" i="1"/>
  <c r="E199" i="1" s="1"/>
  <c r="C199" i="1" s="1"/>
  <c r="D198" i="1"/>
  <c r="D197" i="1"/>
  <c r="E197" i="1" s="1"/>
  <c r="D196" i="1"/>
  <c r="D195" i="1"/>
  <c r="E195" i="1" s="1"/>
  <c r="D194" i="1"/>
  <c r="E194" i="1" s="1"/>
  <c r="C194" i="1" s="1"/>
  <c r="D193" i="1"/>
  <c r="E193" i="1" s="1"/>
  <c r="C193" i="1" s="1"/>
  <c r="D192" i="1"/>
  <c r="D191" i="1"/>
  <c r="E191" i="1" s="1"/>
  <c r="D190" i="1"/>
  <c r="D189" i="1"/>
  <c r="E189" i="1" s="1"/>
  <c r="D188" i="1"/>
  <c r="E188" i="1" s="1"/>
  <c r="C188" i="1" s="1"/>
  <c r="D187" i="1"/>
  <c r="E187" i="1" s="1"/>
  <c r="C187" i="1" s="1"/>
  <c r="D186" i="1"/>
  <c r="E186" i="1" s="1"/>
  <c r="D185" i="1"/>
  <c r="D184" i="1"/>
  <c r="D183" i="1"/>
  <c r="E183" i="1" s="1"/>
  <c r="D182" i="1"/>
  <c r="E182" i="1" s="1"/>
  <c r="C182" i="1" s="1"/>
  <c r="D181" i="1"/>
  <c r="D180" i="1"/>
  <c r="D179" i="1"/>
  <c r="D178" i="1"/>
  <c r="D177" i="1"/>
  <c r="E177" i="1" s="1"/>
  <c r="D176" i="1"/>
  <c r="E176" i="1" s="1"/>
  <c r="C176" i="1" s="1"/>
  <c r="D175" i="1"/>
  <c r="D174" i="1"/>
  <c r="E174" i="1" s="1"/>
  <c r="D173" i="1"/>
  <c r="D172" i="1"/>
  <c r="D171" i="1"/>
  <c r="E171" i="1" s="1"/>
  <c r="C171" i="1" s="1"/>
  <c r="D170" i="1"/>
  <c r="E170" i="1" s="1"/>
  <c r="C170" i="1" s="1"/>
  <c r="D169" i="1"/>
  <c r="E169" i="1" s="1"/>
  <c r="D168" i="1"/>
  <c r="E168" i="1" s="1"/>
  <c r="D167" i="1"/>
  <c r="D166" i="1"/>
  <c r="E166" i="1" s="1"/>
  <c r="D165" i="1"/>
  <c r="E165" i="1" s="1"/>
  <c r="D164" i="1"/>
  <c r="E164" i="1" s="1"/>
  <c r="C164" i="1" s="1"/>
  <c r="D163" i="1"/>
  <c r="D162" i="1"/>
  <c r="E162" i="1" s="1"/>
  <c r="D161" i="1"/>
  <c r="D160" i="1"/>
  <c r="E160" i="1" s="1"/>
  <c r="D159" i="1"/>
  <c r="E159" i="1" s="1"/>
  <c r="D158" i="1"/>
  <c r="D157" i="1"/>
  <c r="E157" i="1" s="1"/>
  <c r="D156" i="1"/>
  <c r="E156" i="1" s="1"/>
  <c r="D155" i="1"/>
  <c r="D154" i="1"/>
  <c r="D153" i="1"/>
  <c r="E153" i="1" s="1"/>
  <c r="C153" i="1" s="1"/>
  <c r="D152" i="1"/>
  <c r="E152" i="1" s="1"/>
  <c r="C152" i="1" s="1"/>
  <c r="D151" i="1"/>
  <c r="E151" i="1" s="1"/>
  <c r="C151" i="1" s="1"/>
  <c r="D150" i="1"/>
  <c r="D149" i="1"/>
  <c r="D148" i="1"/>
  <c r="E148" i="1" s="1"/>
  <c r="B148" i="1" s="1"/>
  <c r="D147" i="1"/>
  <c r="E147" i="1" s="1"/>
  <c r="D146" i="1"/>
  <c r="D145" i="1"/>
  <c r="E145" i="1" s="1"/>
  <c r="C145" i="1" s="1"/>
  <c r="D144" i="1"/>
  <c r="D143" i="1"/>
  <c r="E143" i="1" s="1"/>
  <c r="D142" i="1"/>
  <c r="E142" i="1" s="1"/>
  <c r="C142" i="1" s="1"/>
  <c r="D141" i="1"/>
  <c r="E141" i="1" s="1"/>
  <c r="D140" i="1"/>
  <c r="D139" i="1"/>
  <c r="E139" i="1" s="1"/>
  <c r="C139" i="1" s="1"/>
  <c r="D138" i="1"/>
  <c r="E138" i="1" s="1"/>
  <c r="D137" i="1"/>
  <c r="E137" i="1" s="1"/>
  <c r="C137" i="1" s="1"/>
  <c r="D136" i="1"/>
  <c r="E136" i="1" s="1"/>
  <c r="D135" i="1"/>
  <c r="D134" i="1"/>
  <c r="D133" i="1"/>
  <c r="E133" i="1" s="1"/>
  <c r="B133" i="1" s="1"/>
  <c r="D132" i="1"/>
  <c r="D131" i="1"/>
  <c r="E131" i="1" s="1"/>
  <c r="C131" i="1" s="1"/>
  <c r="D130" i="1"/>
  <c r="E130" i="1" s="1"/>
  <c r="D129" i="1"/>
  <c r="E129" i="1" s="1"/>
  <c r="D128" i="1"/>
  <c r="D127" i="1"/>
  <c r="E127" i="1" s="1"/>
  <c r="C127" i="1" s="1"/>
  <c r="D126" i="1"/>
  <c r="E126" i="1" s="1"/>
  <c r="D125" i="1"/>
  <c r="E125" i="1" s="1"/>
  <c r="D124" i="1"/>
  <c r="E124" i="1" s="1"/>
  <c r="B124" i="1" s="1"/>
  <c r="D123" i="1"/>
  <c r="D122" i="1"/>
  <c r="D121" i="1"/>
  <c r="E121" i="1" s="1"/>
  <c r="C121" i="1" s="1"/>
  <c r="D120" i="1"/>
  <c r="E120" i="1" s="1"/>
  <c r="B120" i="1" s="1"/>
  <c r="D119" i="1"/>
  <c r="D118" i="1"/>
  <c r="E118" i="1" s="1"/>
  <c r="D117" i="1"/>
  <c r="E117" i="1" s="1"/>
  <c r="B117" i="1" s="1"/>
  <c r="D116" i="1"/>
  <c r="E116" i="1" s="1"/>
  <c r="D115" i="1"/>
  <c r="E115" i="1" s="1"/>
  <c r="C115" i="1" s="1"/>
  <c r="D114" i="1"/>
  <c r="D113" i="1"/>
  <c r="D112" i="1"/>
  <c r="E112" i="1" s="1"/>
  <c r="B112" i="1" s="1"/>
  <c r="D111" i="1"/>
  <c r="D110" i="1"/>
  <c r="D109" i="1"/>
  <c r="E109" i="1" s="1"/>
  <c r="C109" i="1" s="1"/>
  <c r="D108" i="1"/>
  <c r="D107" i="1"/>
  <c r="D106" i="1"/>
  <c r="E106" i="1" s="1"/>
  <c r="B106" i="1" s="1"/>
  <c r="D105" i="1"/>
  <c r="E105" i="1" s="1"/>
  <c r="D104" i="1"/>
  <c r="E104" i="1" s="1"/>
  <c r="D103" i="1"/>
  <c r="E103" i="1" s="1"/>
  <c r="B103" i="1" s="1"/>
  <c r="D102" i="1"/>
  <c r="D101" i="1"/>
  <c r="E101" i="1" s="1"/>
  <c r="D100" i="1"/>
  <c r="D99" i="1"/>
  <c r="E99" i="1" s="1"/>
  <c r="B99" i="1" s="1"/>
  <c r="D98" i="1"/>
  <c r="E98" i="1" s="1"/>
  <c r="C98" i="1" s="1"/>
  <c r="D97" i="1"/>
  <c r="E97" i="1" s="1"/>
  <c r="B97" i="1" s="1"/>
  <c r="D96" i="1"/>
  <c r="D95" i="1"/>
  <c r="E95" i="1" s="1"/>
  <c r="C95" i="1" s="1"/>
  <c r="D94" i="1"/>
  <c r="E94" i="1" s="1"/>
  <c r="D93" i="1"/>
  <c r="E93" i="1" s="1"/>
  <c r="D92" i="1"/>
  <c r="D91" i="1"/>
  <c r="E91" i="1" s="1"/>
  <c r="C91" i="1" s="1"/>
  <c r="D90" i="1"/>
  <c r="E90" i="1" s="1"/>
  <c r="B90" i="1" s="1"/>
  <c r="D89" i="1"/>
  <c r="E89" i="1" s="1"/>
  <c r="C89" i="1" s="1"/>
  <c r="D88" i="1"/>
  <c r="D87" i="1"/>
  <c r="E87" i="1" s="1"/>
  <c r="B87" i="1" s="1"/>
  <c r="D86" i="1"/>
  <c r="E86" i="1" s="1"/>
  <c r="D85" i="1"/>
  <c r="E85" i="1" s="1"/>
  <c r="B85" i="1" s="1"/>
  <c r="D84" i="1"/>
  <c r="E84" i="1" s="1"/>
  <c r="D83" i="1"/>
  <c r="E83" i="1" s="1"/>
  <c r="B83" i="1" s="1"/>
  <c r="D82" i="1"/>
  <c r="E82" i="1" s="1"/>
  <c r="D81" i="1"/>
  <c r="E81" i="1" s="1"/>
  <c r="D80" i="1"/>
  <c r="D79" i="1"/>
  <c r="D78" i="1"/>
  <c r="D77" i="1"/>
  <c r="E77" i="1" s="1"/>
  <c r="B77" i="1" s="1"/>
  <c r="D76" i="1"/>
  <c r="E76" i="1" s="1"/>
  <c r="C76" i="1" s="1"/>
  <c r="D75" i="1"/>
  <c r="E75" i="1" s="1"/>
  <c r="B75" i="1" s="1"/>
  <c r="D74" i="1"/>
  <c r="D73" i="1"/>
  <c r="E73" i="1" s="1"/>
  <c r="D72" i="1"/>
  <c r="D71" i="1"/>
  <c r="E71" i="1" s="1"/>
  <c r="B71" i="1" s="1"/>
  <c r="D70" i="1"/>
  <c r="E70" i="1" s="1"/>
  <c r="D69" i="1"/>
  <c r="E69" i="1" s="1"/>
  <c r="D68" i="1"/>
  <c r="D67" i="1"/>
  <c r="E67" i="1" s="1"/>
  <c r="D66" i="1"/>
  <c r="E66" i="1" s="1"/>
  <c r="C66" i="1" s="1"/>
  <c r="D65" i="1"/>
  <c r="E65" i="1" s="1"/>
  <c r="B65" i="1" s="1"/>
  <c r="D64" i="1"/>
  <c r="E64" i="1" s="1"/>
  <c r="C64" i="1" s="1"/>
  <c r="D63" i="1"/>
  <c r="E63" i="1" s="1"/>
  <c r="B63" i="1" s="1"/>
  <c r="D62" i="1"/>
  <c r="D61" i="1"/>
  <c r="E61" i="1" s="1"/>
  <c r="D60" i="1"/>
  <c r="D59" i="1"/>
  <c r="E59" i="1" s="1"/>
  <c r="B59" i="1" s="1"/>
  <c r="D58" i="1"/>
  <c r="E58" i="1" s="1"/>
  <c r="D57" i="1"/>
  <c r="E57" i="1" s="1"/>
  <c r="D56" i="1"/>
  <c r="D55" i="1"/>
  <c r="E55" i="1" s="1"/>
  <c r="D54" i="1"/>
  <c r="E54" i="1" s="1"/>
  <c r="D53" i="1"/>
  <c r="E53" i="1" s="1"/>
  <c r="B53" i="1" s="1"/>
  <c r="D52" i="1"/>
  <c r="E52" i="1" s="1"/>
  <c r="C52" i="1" s="1"/>
  <c r="D51" i="1"/>
  <c r="E51" i="1" s="1"/>
  <c r="B51" i="1" s="1"/>
  <c r="D50" i="1"/>
  <c r="D49" i="1"/>
  <c r="E49" i="1" s="1"/>
  <c r="D48" i="1"/>
  <c r="D47" i="1"/>
  <c r="E47" i="1" s="1"/>
  <c r="B47" i="1" s="1"/>
  <c r="D46" i="1"/>
  <c r="E46" i="1" s="1"/>
  <c r="D45" i="1"/>
  <c r="E45" i="1" s="1"/>
  <c r="D44" i="1"/>
  <c r="D43" i="1"/>
  <c r="E43" i="1" s="1"/>
  <c r="D42" i="1"/>
  <c r="E42" i="1" s="1"/>
  <c r="C42" i="1" s="1"/>
  <c r="D41" i="1"/>
  <c r="E41" i="1" s="1"/>
  <c r="B41" i="1" s="1"/>
  <c r="D40" i="1"/>
  <c r="E40" i="1" s="1"/>
  <c r="C40" i="1" s="1"/>
  <c r="D39" i="1"/>
  <c r="E39" i="1" s="1"/>
  <c r="B39" i="1" s="1"/>
  <c r="D38" i="1"/>
  <c r="D37" i="1"/>
  <c r="E37" i="1" s="1"/>
  <c r="D36" i="1"/>
  <c r="D35" i="1"/>
  <c r="E35" i="1" s="1"/>
  <c r="B35" i="1" s="1"/>
  <c r="D34" i="1"/>
  <c r="E34" i="1" s="1"/>
  <c r="D33" i="1"/>
  <c r="E33" i="1" s="1"/>
  <c r="D32" i="1"/>
  <c r="D31" i="1"/>
  <c r="E31" i="1" s="1"/>
  <c r="D30" i="1"/>
  <c r="E30" i="1" s="1"/>
  <c r="D29" i="1"/>
  <c r="E29" i="1" s="1"/>
  <c r="B29" i="1" s="1"/>
  <c r="D28" i="1"/>
  <c r="E28" i="1" s="1"/>
  <c r="C28" i="1" s="1"/>
  <c r="D27" i="1"/>
  <c r="D26" i="1"/>
  <c r="D25" i="1"/>
  <c r="E25" i="1" s="1"/>
  <c r="D24" i="1"/>
  <c r="D23" i="1"/>
  <c r="E23" i="1" s="1"/>
  <c r="B23" i="1" s="1"/>
  <c r="D22" i="1"/>
  <c r="E22" i="1" s="1"/>
  <c r="D21" i="1"/>
  <c r="E21" i="1" s="1"/>
  <c r="D20" i="1"/>
  <c r="D19" i="1"/>
  <c r="E19" i="1" s="1"/>
  <c r="D18" i="1"/>
  <c r="D17" i="1"/>
  <c r="E17" i="1" s="1"/>
  <c r="B17" i="1" s="1"/>
  <c r="D16" i="1"/>
  <c r="E16" i="1" s="1"/>
  <c r="C16" i="1" s="1"/>
  <c r="D15" i="1"/>
  <c r="E15" i="1" s="1"/>
  <c r="B15" i="1" s="1"/>
  <c r="D14" i="1"/>
  <c r="D13" i="1"/>
  <c r="E13" i="1" s="1"/>
  <c r="D12" i="1"/>
  <c r="D11" i="1"/>
  <c r="E11" i="1" s="1"/>
  <c r="B11" i="1" s="1"/>
  <c r="D10" i="1"/>
  <c r="E10" i="1" s="1"/>
  <c r="D9" i="1"/>
  <c r="E9" i="1" s="1"/>
  <c r="D8" i="1"/>
  <c r="D7" i="1"/>
  <c r="D6" i="1"/>
  <c r="E6" i="1" s="1"/>
  <c r="B6" i="1" s="1"/>
  <c r="D5" i="1"/>
  <c r="E5" i="1" s="1"/>
  <c r="C5" i="1" s="1"/>
  <c r="D4" i="1"/>
  <c r="E4" i="1" s="1"/>
  <c r="C4" i="1" s="1"/>
  <c r="D3" i="1"/>
  <c r="E3" i="1" s="1"/>
  <c r="D2" i="1"/>
  <c r="E163" i="2" l="1"/>
  <c r="H163" i="2" s="1"/>
  <c r="B163" i="2" s="1"/>
  <c r="G258" i="2"/>
  <c r="C258" i="2" s="1"/>
  <c r="G141" i="2"/>
  <c r="C141" i="2" s="1"/>
  <c r="E653" i="2"/>
  <c r="H653" i="2" s="1"/>
  <c r="B653" i="2" s="1"/>
  <c r="G153" i="2"/>
  <c r="G466" i="3"/>
  <c r="E668" i="3"/>
  <c r="H668" i="3" s="1"/>
  <c r="C668" i="3" s="1"/>
  <c r="E87" i="3"/>
  <c r="H87" i="3" s="1"/>
  <c r="B87" i="3" s="1"/>
  <c r="G458" i="3"/>
  <c r="C458" i="3" s="1"/>
  <c r="G461" i="3"/>
  <c r="B461" i="3" s="1"/>
  <c r="E322" i="3"/>
  <c r="H322" i="3" s="1"/>
  <c r="C322" i="3" s="1"/>
  <c r="E146" i="3"/>
  <c r="H146" i="3" s="1"/>
  <c r="C146" i="3" s="1"/>
  <c r="E249" i="2"/>
  <c r="H249" i="2" s="1"/>
  <c r="G459" i="3"/>
  <c r="G623" i="3"/>
  <c r="B623" i="3" s="1"/>
  <c r="E157" i="2"/>
  <c r="H157" i="2" s="1"/>
  <c r="C157" i="2" s="1"/>
  <c r="E285" i="2"/>
  <c r="H285" i="2" s="1"/>
  <c r="G332" i="2"/>
  <c r="G665" i="2"/>
  <c r="C665" i="2" s="1"/>
  <c r="G42" i="2"/>
  <c r="B42" i="2" s="1"/>
  <c r="G465" i="2"/>
  <c r="B465" i="2" s="1"/>
  <c r="B147" i="1"/>
  <c r="G231" i="2"/>
  <c r="B231" i="2" s="1"/>
  <c r="G108" i="2"/>
  <c r="C108" i="2" s="1"/>
  <c r="G462" i="2"/>
  <c r="C462" i="2" s="1"/>
  <c r="G544" i="2"/>
  <c r="G312" i="2"/>
  <c r="C312" i="2" s="1"/>
  <c r="E189" i="2"/>
  <c r="H189" i="2" s="1"/>
  <c r="E246" i="2"/>
  <c r="H246" i="2" s="1"/>
  <c r="B246" i="2" s="1"/>
  <c r="E358" i="2"/>
  <c r="H358" i="2" s="1"/>
  <c r="E531" i="3"/>
  <c r="H531" i="3" s="1"/>
  <c r="C531" i="3" s="1"/>
  <c r="E617" i="2"/>
  <c r="H617" i="2" s="1"/>
  <c r="C617" i="2" s="1"/>
  <c r="G315" i="3"/>
  <c r="C315" i="3" s="1"/>
  <c r="G661" i="3"/>
  <c r="B661" i="3" s="1"/>
  <c r="G443" i="2"/>
  <c r="C443" i="2" s="1"/>
  <c r="E514" i="2"/>
  <c r="H514" i="2" s="1"/>
  <c r="B514" i="2" s="1"/>
  <c r="G295" i="3"/>
  <c r="G641" i="3"/>
  <c r="B641" i="3" s="1"/>
  <c r="E480" i="3"/>
  <c r="H480" i="3" s="1"/>
  <c r="B480" i="3" s="1"/>
  <c r="E491" i="3"/>
  <c r="H491" i="3" s="1"/>
  <c r="E331" i="3"/>
  <c r="H331" i="3" s="1"/>
  <c r="C331" i="3" s="1"/>
  <c r="G220" i="3"/>
  <c r="E303" i="2"/>
  <c r="H303" i="2" s="1"/>
  <c r="C303" i="2" s="1"/>
  <c r="E367" i="2"/>
  <c r="H367" i="2" s="1"/>
  <c r="C367" i="2" s="1"/>
  <c r="G626" i="2"/>
  <c r="C626" i="2" s="1"/>
  <c r="E649" i="2"/>
  <c r="H649" i="2" s="1"/>
  <c r="C649" i="2" s="1"/>
  <c r="G12" i="3"/>
  <c r="B12" i="3" s="1"/>
  <c r="E323" i="3"/>
  <c r="H323" i="3" s="1"/>
  <c r="C323" i="3" s="1"/>
  <c r="E344" i="3"/>
  <c r="H344" i="3" s="1"/>
  <c r="C344" i="3" s="1"/>
  <c r="E467" i="3"/>
  <c r="H467" i="3" s="1"/>
  <c r="C467" i="3" s="1"/>
  <c r="G556" i="3"/>
  <c r="B556" i="3" s="1"/>
  <c r="E184" i="2"/>
  <c r="H184" i="2" s="1"/>
  <c r="C184" i="2" s="1"/>
  <c r="E271" i="2"/>
  <c r="H271" i="2" s="1"/>
  <c r="C271" i="2" s="1"/>
  <c r="E2" i="3"/>
  <c r="H2" i="3" s="1"/>
  <c r="C2" i="3" s="1"/>
  <c r="E36" i="3"/>
  <c r="H36" i="3" s="1"/>
  <c r="B36" i="3" s="1"/>
  <c r="E100" i="3"/>
  <c r="H100" i="3" s="1"/>
  <c r="C100" i="3" s="1"/>
  <c r="G380" i="3"/>
  <c r="B380" i="3" s="1"/>
  <c r="G415" i="3"/>
  <c r="C415" i="3" s="1"/>
  <c r="E85" i="2"/>
  <c r="H85" i="2" s="1"/>
  <c r="C85" i="2" s="1"/>
  <c r="G295" i="2"/>
  <c r="C295" i="2" s="1"/>
  <c r="E447" i="2"/>
  <c r="H447" i="2" s="1"/>
  <c r="G618" i="2"/>
  <c r="C618" i="2" s="1"/>
  <c r="G91" i="3"/>
  <c r="B91" i="3" s="1"/>
  <c r="E307" i="1"/>
  <c r="C307" i="1" s="1"/>
  <c r="E417" i="2"/>
  <c r="H417" i="2" s="1"/>
  <c r="C417" i="2" s="1"/>
  <c r="G610" i="2"/>
  <c r="C610" i="2" s="1"/>
  <c r="E50" i="3"/>
  <c r="H50" i="3" s="1"/>
  <c r="B50" i="3" s="1"/>
  <c r="E71" i="3"/>
  <c r="H71" i="3" s="1"/>
  <c r="C71" i="3" s="1"/>
  <c r="G160" i="3"/>
  <c r="B160" i="3" s="1"/>
  <c r="E194" i="3"/>
  <c r="H194" i="3" s="1"/>
  <c r="C194" i="3" s="1"/>
  <c r="G372" i="3"/>
  <c r="C372" i="3" s="1"/>
  <c r="G429" i="3"/>
  <c r="C429" i="3" s="1"/>
  <c r="E596" i="3"/>
  <c r="H596" i="3" s="1"/>
  <c r="B596" i="3" s="1"/>
  <c r="E565" i="2"/>
  <c r="H565" i="2" s="1"/>
  <c r="C565" i="2" s="1"/>
  <c r="E319" i="3"/>
  <c r="H319" i="3" s="1"/>
  <c r="C319" i="3" s="1"/>
  <c r="G397" i="2"/>
  <c r="C397" i="2" s="1"/>
  <c r="G41" i="3"/>
  <c r="B41" i="3" s="1"/>
  <c r="G620" i="3"/>
  <c r="C620" i="3" s="1"/>
  <c r="G310" i="2"/>
  <c r="B310" i="2" s="1"/>
  <c r="E431" i="2"/>
  <c r="H431" i="2" s="1"/>
  <c r="C431" i="2" s="1"/>
  <c r="E63" i="3"/>
  <c r="H63" i="3" s="1"/>
  <c r="B63" i="3" s="1"/>
  <c r="G95" i="3"/>
  <c r="B95" i="3" s="1"/>
  <c r="E253" i="3"/>
  <c r="H253" i="3" s="1"/>
  <c r="C253" i="3" s="1"/>
  <c r="G398" i="2"/>
  <c r="C398" i="2" s="1"/>
  <c r="G53" i="3"/>
  <c r="C53" i="3" s="1"/>
  <c r="G209" i="3"/>
  <c r="B209" i="3" s="1"/>
  <c r="B225" i="1"/>
  <c r="A225" i="1" s="1"/>
  <c r="G205" i="2"/>
  <c r="C205" i="2" s="1"/>
  <c r="E538" i="2"/>
  <c r="H538" i="2" s="1"/>
  <c r="B538" i="2" s="1"/>
  <c r="G590" i="2"/>
  <c r="B590" i="2" s="1"/>
  <c r="G16" i="3"/>
  <c r="B16" i="3" s="1"/>
  <c r="G139" i="3"/>
  <c r="B139" i="3" s="1"/>
  <c r="E298" i="3"/>
  <c r="H298" i="3" s="1"/>
  <c r="C298" i="3" s="1"/>
  <c r="G347" i="3"/>
  <c r="B347" i="3" s="1"/>
  <c r="G367" i="3"/>
  <c r="C367" i="3" s="1"/>
  <c r="G291" i="3"/>
  <c r="E359" i="3"/>
  <c r="H359" i="3" s="1"/>
  <c r="C359" i="3" s="1"/>
  <c r="E378" i="3"/>
  <c r="H378" i="3" s="1"/>
  <c r="B378" i="3" s="1"/>
  <c r="E558" i="3"/>
  <c r="H558" i="3" s="1"/>
  <c r="C558" i="3" s="1"/>
  <c r="G110" i="2"/>
  <c r="B110" i="2" s="1"/>
  <c r="G403" i="2"/>
  <c r="B403" i="2" s="1"/>
  <c r="G103" i="2"/>
  <c r="B103" i="2" s="1"/>
  <c r="G187" i="2"/>
  <c r="B187" i="2" s="1"/>
  <c r="E206" i="2"/>
  <c r="H206" i="2" s="1"/>
  <c r="C206" i="2" s="1"/>
  <c r="E326" i="2"/>
  <c r="H326" i="2" s="1"/>
  <c r="B326" i="2" s="1"/>
  <c r="E334" i="2"/>
  <c r="H334" i="2" s="1"/>
  <c r="B334" i="2" s="1"/>
  <c r="E345" i="2"/>
  <c r="H345" i="2" s="1"/>
  <c r="C345" i="2" s="1"/>
  <c r="E364" i="2"/>
  <c r="H364" i="2" s="1"/>
  <c r="C364" i="2" s="1"/>
  <c r="E444" i="2"/>
  <c r="H444" i="2" s="1"/>
  <c r="C444" i="2" s="1"/>
  <c r="E453" i="2"/>
  <c r="H453" i="2" s="1"/>
  <c r="B453" i="2" s="1"/>
  <c r="G485" i="2"/>
  <c r="B485" i="2" s="1"/>
  <c r="E563" i="2"/>
  <c r="H563" i="2" s="1"/>
  <c r="B563" i="2" s="1"/>
  <c r="G604" i="2"/>
  <c r="B604" i="2" s="1"/>
  <c r="E613" i="2"/>
  <c r="H613" i="2" s="1"/>
  <c r="B613" i="2" s="1"/>
  <c r="E629" i="2"/>
  <c r="H629" i="2" s="1"/>
  <c r="C629" i="2" s="1"/>
  <c r="E637" i="2"/>
  <c r="H637" i="2" s="1"/>
  <c r="C637" i="2" s="1"/>
  <c r="E648" i="2"/>
  <c r="H648" i="2" s="1"/>
  <c r="C648" i="2" s="1"/>
  <c r="G666" i="2"/>
  <c r="B666" i="2" s="1"/>
  <c r="E48" i="3"/>
  <c r="H48" i="3" s="1"/>
  <c r="B48" i="3" s="1"/>
  <c r="E56" i="3"/>
  <c r="H56" i="3" s="1"/>
  <c r="C56" i="3" s="1"/>
  <c r="G88" i="3"/>
  <c r="C88" i="3" s="1"/>
  <c r="G259" i="3"/>
  <c r="B259" i="3" s="1"/>
  <c r="G299" i="3"/>
  <c r="C299" i="3" s="1"/>
  <c r="E369" i="3"/>
  <c r="H369" i="3" s="1"/>
  <c r="C369" i="3" s="1"/>
  <c r="E483" i="3"/>
  <c r="H483" i="3" s="1"/>
  <c r="B483" i="3" s="1"/>
  <c r="G660" i="3"/>
  <c r="B660" i="3" s="1"/>
  <c r="E228" i="2"/>
  <c r="H228" i="2" s="1"/>
  <c r="C228" i="2" s="1"/>
  <c r="E247" i="2"/>
  <c r="H247" i="2" s="1"/>
  <c r="B247" i="2" s="1"/>
  <c r="E287" i="2"/>
  <c r="H287" i="2" s="1"/>
  <c r="C287" i="2" s="1"/>
  <c r="E374" i="2"/>
  <c r="H374" i="2" s="1"/>
  <c r="B374" i="2" s="1"/>
  <c r="G404" i="2"/>
  <c r="C404" i="2" s="1"/>
  <c r="G585" i="2"/>
  <c r="C585" i="2" s="1"/>
  <c r="G153" i="3"/>
  <c r="C153" i="3" s="1"/>
  <c r="E208" i="3"/>
  <c r="H208" i="3" s="1"/>
  <c r="C208" i="3" s="1"/>
  <c r="E402" i="3"/>
  <c r="H402" i="3" s="1"/>
  <c r="C402" i="3" s="1"/>
  <c r="G121" i="2"/>
  <c r="B121" i="2" s="1"/>
  <c r="G276" i="2"/>
  <c r="C276" i="2" s="1"/>
  <c r="E38" i="3"/>
  <c r="H38" i="3" s="1"/>
  <c r="B38" i="3" s="1"/>
  <c r="G548" i="3"/>
  <c r="B548" i="3" s="1"/>
  <c r="E18" i="1"/>
  <c r="C18" i="1" s="1"/>
  <c r="C297" i="1"/>
  <c r="G104" i="2"/>
  <c r="C104" i="2" s="1"/>
  <c r="G218" i="2"/>
  <c r="C218" i="2" s="1"/>
  <c r="E298" i="2"/>
  <c r="H298" i="2" s="1"/>
  <c r="B298" i="2" s="1"/>
  <c r="E308" i="2"/>
  <c r="H308" i="2" s="1"/>
  <c r="C308" i="2" s="1"/>
  <c r="E365" i="2"/>
  <c r="H365" i="2" s="1"/>
  <c r="C365" i="2" s="1"/>
  <c r="E622" i="2"/>
  <c r="H622" i="2" s="1"/>
  <c r="C622" i="2" s="1"/>
  <c r="E293" i="3"/>
  <c r="H293" i="3" s="1"/>
  <c r="C293" i="3" s="1"/>
  <c r="B98" i="1"/>
  <c r="A98" i="1" s="1"/>
  <c r="B278" i="1"/>
  <c r="A278" i="1" s="1"/>
  <c r="E31" i="2"/>
  <c r="H31" i="2" s="1"/>
  <c r="C31" i="2" s="1"/>
  <c r="G41" i="2"/>
  <c r="C41" i="2" s="1"/>
  <c r="E243" i="2"/>
  <c r="H243" i="2" s="1"/>
  <c r="B243" i="2" s="1"/>
  <c r="E359" i="2"/>
  <c r="H359" i="2" s="1"/>
  <c r="B359" i="2" s="1"/>
  <c r="G399" i="2"/>
  <c r="C399" i="2" s="1"/>
  <c r="G418" i="2"/>
  <c r="B418" i="2" s="1"/>
  <c r="E490" i="2"/>
  <c r="H490" i="2" s="1"/>
  <c r="C490" i="2" s="1"/>
  <c r="E501" i="2"/>
  <c r="H501" i="2" s="1"/>
  <c r="C501" i="2" s="1"/>
  <c r="E589" i="2"/>
  <c r="H589" i="2" s="1"/>
  <c r="C589" i="2" s="1"/>
  <c r="G625" i="2"/>
  <c r="B625" i="2" s="1"/>
  <c r="E633" i="2"/>
  <c r="H633" i="2" s="1"/>
  <c r="B633" i="2" s="1"/>
  <c r="G3" i="3"/>
  <c r="B3" i="3" s="1"/>
  <c r="E24" i="3"/>
  <c r="H24" i="3" s="1"/>
  <c r="B24" i="3" s="1"/>
  <c r="E233" i="3"/>
  <c r="H233" i="3" s="1"/>
  <c r="B233" i="3" s="1"/>
  <c r="G244" i="3"/>
  <c r="C244" i="3" s="1"/>
  <c r="E355" i="3"/>
  <c r="H355" i="3" s="1"/>
  <c r="B355" i="3" s="1"/>
  <c r="E417" i="3"/>
  <c r="H417" i="3" s="1"/>
  <c r="B417" i="3" s="1"/>
  <c r="G450" i="3"/>
  <c r="B450" i="3" s="1"/>
  <c r="G521" i="3"/>
  <c r="B521" i="3" s="1"/>
  <c r="C101" i="1"/>
  <c r="C165" i="1"/>
  <c r="B176" i="1"/>
  <c r="A176" i="1" s="1"/>
  <c r="E212" i="2"/>
  <c r="H212" i="2" s="1"/>
  <c r="C212" i="2" s="1"/>
  <c r="G351" i="2"/>
  <c r="C351" i="2" s="1"/>
  <c r="G409" i="2"/>
  <c r="B409" i="2" s="1"/>
  <c r="G481" i="2"/>
  <c r="C481" i="2" s="1"/>
  <c r="E44" i="3"/>
  <c r="H44" i="3" s="1"/>
  <c r="C44" i="3" s="1"/>
  <c r="E138" i="3"/>
  <c r="H138" i="3" s="1"/>
  <c r="C138" i="3" s="1"/>
  <c r="G346" i="3"/>
  <c r="C346" i="3" s="1"/>
  <c r="E489" i="3"/>
  <c r="H489" i="3" s="1"/>
  <c r="B489" i="3" s="1"/>
  <c r="G644" i="3"/>
  <c r="C644" i="3" s="1"/>
  <c r="C205" i="1"/>
  <c r="B205" i="1"/>
  <c r="G126" i="2"/>
  <c r="B126" i="2" s="1"/>
  <c r="C230" i="1"/>
  <c r="A230" i="1" s="1"/>
  <c r="C260" i="1"/>
  <c r="A260" i="1" s="1"/>
  <c r="G24" i="2"/>
  <c r="C24" i="2" s="1"/>
  <c r="G60" i="2"/>
  <c r="C60" i="2" s="1"/>
  <c r="E68" i="2"/>
  <c r="H68" i="2" s="1"/>
  <c r="C68" i="2" s="1"/>
  <c r="G78" i="2"/>
  <c r="C78" i="2" s="1"/>
  <c r="G150" i="2"/>
  <c r="C150" i="2" s="1"/>
  <c r="E355" i="2"/>
  <c r="H355" i="2" s="1"/>
  <c r="C355" i="2" s="1"/>
  <c r="E533" i="2"/>
  <c r="H533" i="2" s="1"/>
  <c r="C533" i="2" s="1"/>
  <c r="G32" i="3"/>
  <c r="C32" i="3" s="1"/>
  <c r="E320" i="3"/>
  <c r="H320" i="3" s="1"/>
  <c r="C320" i="3" s="1"/>
  <c r="E348" i="3"/>
  <c r="H348" i="3" s="1"/>
  <c r="C348" i="3" s="1"/>
  <c r="E356" i="3"/>
  <c r="H356" i="3" s="1"/>
  <c r="C356" i="3" s="1"/>
  <c r="G433" i="3"/>
  <c r="C433" i="3" s="1"/>
  <c r="G508" i="3"/>
  <c r="B508" i="3" s="1"/>
  <c r="E528" i="3"/>
  <c r="H528" i="3" s="1"/>
  <c r="B528" i="3" s="1"/>
  <c r="E536" i="3"/>
  <c r="H536" i="3" s="1"/>
  <c r="C536" i="3" s="1"/>
  <c r="G544" i="3"/>
  <c r="B544" i="3" s="1"/>
  <c r="G636" i="3"/>
  <c r="C636" i="3" s="1"/>
  <c r="C30" i="1"/>
  <c r="E25" i="2"/>
  <c r="H25" i="2" s="1"/>
  <c r="C25" i="2" s="1"/>
  <c r="E61" i="2"/>
  <c r="H61" i="2" s="1"/>
  <c r="C61" i="2" s="1"/>
  <c r="E69" i="2"/>
  <c r="H69" i="2" s="1"/>
  <c r="B69" i="2" s="1"/>
  <c r="G151" i="2"/>
  <c r="B151" i="2" s="1"/>
  <c r="E181" i="2"/>
  <c r="H181" i="2" s="1"/>
  <c r="C181" i="2" s="1"/>
  <c r="E188" i="2"/>
  <c r="H188" i="2" s="1"/>
  <c r="C188" i="2" s="1"/>
  <c r="E196" i="2"/>
  <c r="H196" i="2" s="1"/>
  <c r="B196" i="2" s="1"/>
  <c r="E204" i="2"/>
  <c r="H204" i="2" s="1"/>
  <c r="C204" i="2" s="1"/>
  <c r="G211" i="2"/>
  <c r="B211" i="2" s="1"/>
  <c r="E229" i="2"/>
  <c r="H229" i="2" s="1"/>
  <c r="B229" i="2" s="1"/>
  <c r="E274" i="2"/>
  <c r="H274" i="2" s="1"/>
  <c r="C274" i="2" s="1"/>
  <c r="G337" i="2"/>
  <c r="C337" i="2" s="1"/>
  <c r="E410" i="2"/>
  <c r="H410" i="2" s="1"/>
  <c r="B410" i="2" s="1"/>
  <c r="E436" i="2"/>
  <c r="H436" i="2" s="1"/>
  <c r="C436" i="2" s="1"/>
  <c r="E470" i="2"/>
  <c r="H470" i="2" s="1"/>
  <c r="B470" i="2" s="1"/>
  <c r="E480" i="2"/>
  <c r="H480" i="2" s="1"/>
  <c r="B480" i="2" s="1"/>
  <c r="E488" i="2"/>
  <c r="H488" i="2" s="1"/>
  <c r="C488" i="2" s="1"/>
  <c r="G506" i="2"/>
  <c r="C506" i="2" s="1"/>
  <c r="G553" i="2"/>
  <c r="C553" i="2" s="1"/>
  <c r="E599" i="2"/>
  <c r="H599" i="2" s="1"/>
  <c r="C599" i="2" s="1"/>
  <c r="E42" i="3"/>
  <c r="H42" i="3" s="1"/>
  <c r="B42" i="3" s="1"/>
  <c r="G185" i="3"/>
  <c r="B185" i="3" s="1"/>
  <c r="G349" i="3"/>
  <c r="B349" i="3" s="1"/>
  <c r="G395" i="3"/>
  <c r="C395" i="3" s="1"/>
  <c r="G473" i="3"/>
  <c r="C473" i="3" s="1"/>
  <c r="G509" i="3"/>
  <c r="C509" i="3" s="1"/>
  <c r="G520" i="3"/>
  <c r="C520" i="3" s="1"/>
  <c r="E34" i="2"/>
  <c r="H34" i="2" s="1"/>
  <c r="C34" i="2" s="1"/>
  <c r="E220" i="2"/>
  <c r="H220" i="2" s="1"/>
  <c r="B220" i="2" s="1"/>
  <c r="E168" i="3"/>
  <c r="H168" i="3" s="1"/>
  <c r="B168" i="3" s="1"/>
  <c r="G177" i="3"/>
  <c r="C177" i="3" s="1"/>
  <c r="G226" i="3"/>
  <c r="B226" i="3" s="1"/>
  <c r="G538" i="3"/>
  <c r="B538" i="3" s="1"/>
  <c r="E62" i="2"/>
  <c r="H62" i="2" s="1"/>
  <c r="C62" i="2" s="1"/>
  <c r="G98" i="2"/>
  <c r="C98" i="2" s="1"/>
  <c r="E124" i="2"/>
  <c r="H124" i="2" s="1"/>
  <c r="C124" i="2" s="1"/>
  <c r="E275" i="2"/>
  <c r="H275" i="2" s="1"/>
  <c r="B275" i="2" s="1"/>
  <c r="G385" i="2"/>
  <c r="C385" i="2" s="1"/>
  <c r="E430" i="2"/>
  <c r="H430" i="2" s="1"/>
  <c r="C430" i="2" s="1"/>
  <c r="G446" i="2"/>
  <c r="B446" i="2" s="1"/>
  <c r="E455" i="2"/>
  <c r="H455" i="2" s="1"/>
  <c r="B455" i="2" s="1"/>
  <c r="G507" i="2"/>
  <c r="C507" i="2" s="1"/>
  <c r="E516" i="2"/>
  <c r="H516" i="2" s="1"/>
  <c r="B516" i="2" s="1"/>
  <c r="G526" i="2"/>
  <c r="B526" i="2" s="1"/>
  <c r="G554" i="2"/>
  <c r="B554" i="2" s="1"/>
  <c r="G640" i="2"/>
  <c r="C640" i="2" s="1"/>
  <c r="E656" i="2"/>
  <c r="H656" i="2" s="1"/>
  <c r="B656" i="2" s="1"/>
  <c r="G254" i="3"/>
  <c r="B254" i="3" s="1"/>
  <c r="E630" i="3"/>
  <c r="H630" i="3" s="1"/>
  <c r="C630" i="3" s="1"/>
  <c r="B153" i="1"/>
  <c r="A153" i="1" s="1"/>
  <c r="G35" i="2"/>
  <c r="C35" i="2" s="1"/>
  <c r="G43" i="2"/>
  <c r="C43" i="2" s="1"/>
  <c r="G81" i="2"/>
  <c r="C81" i="2" s="1"/>
  <c r="G115" i="2"/>
  <c r="B115" i="2" s="1"/>
  <c r="G198" i="2"/>
  <c r="B198" i="2" s="1"/>
  <c r="G11" i="2"/>
  <c r="B11" i="2" s="1"/>
  <c r="E175" i="2"/>
  <c r="H175" i="2" s="1"/>
  <c r="B175" i="2" s="1"/>
  <c r="E387" i="2"/>
  <c r="H387" i="2" s="1"/>
  <c r="C387" i="2" s="1"/>
  <c r="E491" i="2"/>
  <c r="H491" i="2" s="1"/>
  <c r="C491" i="2" s="1"/>
  <c r="E576" i="2"/>
  <c r="H576" i="2" s="1"/>
  <c r="C576" i="2" s="1"/>
  <c r="G593" i="2"/>
  <c r="B593" i="2" s="1"/>
  <c r="E611" i="2"/>
  <c r="H611" i="2" s="1"/>
  <c r="B611" i="2" s="1"/>
  <c r="E658" i="2"/>
  <c r="H658" i="2" s="1"/>
  <c r="C658" i="2" s="1"/>
  <c r="E85" i="3"/>
  <c r="H85" i="3" s="1"/>
  <c r="B85" i="3" s="1"/>
  <c r="E101" i="3"/>
  <c r="H101" i="3" s="1"/>
  <c r="C101" i="3" s="1"/>
  <c r="E121" i="3"/>
  <c r="H121" i="3" s="1"/>
  <c r="B121" i="3" s="1"/>
  <c r="E161" i="3"/>
  <c r="H161" i="3" s="1"/>
  <c r="C161" i="3" s="1"/>
  <c r="G360" i="3"/>
  <c r="B360" i="3" s="1"/>
  <c r="E477" i="3"/>
  <c r="H477" i="3" s="1"/>
  <c r="C477" i="3" s="1"/>
  <c r="G568" i="3"/>
  <c r="C568" i="3" s="1"/>
  <c r="G21" i="2"/>
  <c r="C21" i="2" s="1"/>
  <c r="G200" i="2"/>
  <c r="B200" i="2" s="1"/>
  <c r="G368" i="2"/>
  <c r="B368" i="2" s="1"/>
  <c r="E467" i="2"/>
  <c r="H467" i="2" s="1"/>
  <c r="C467" i="2" s="1"/>
  <c r="G652" i="2"/>
  <c r="C652" i="2" s="1"/>
  <c r="E20" i="3"/>
  <c r="H20" i="3" s="1"/>
  <c r="C20" i="3" s="1"/>
  <c r="G94" i="3"/>
  <c r="B94" i="3" s="1"/>
  <c r="E172" i="3"/>
  <c r="H172" i="3" s="1"/>
  <c r="C172" i="3" s="1"/>
  <c r="E221" i="3"/>
  <c r="H221" i="3" s="1"/>
  <c r="C221" i="3" s="1"/>
  <c r="E230" i="3"/>
  <c r="H230" i="3" s="1"/>
  <c r="B230" i="3" s="1"/>
  <c r="C237" i="1"/>
  <c r="A237" i="1" s="1"/>
  <c r="G38" i="2"/>
  <c r="B38" i="2" s="1"/>
  <c r="G92" i="2"/>
  <c r="C92" i="2" s="1"/>
  <c r="G109" i="2"/>
  <c r="C109" i="2" s="1"/>
  <c r="E186" i="2"/>
  <c r="H186" i="2" s="1"/>
  <c r="B186" i="2" s="1"/>
  <c r="E252" i="2"/>
  <c r="H252" i="2" s="1"/>
  <c r="B252" i="2" s="1"/>
  <c r="E315" i="2"/>
  <c r="H315" i="2" s="1"/>
  <c r="C315" i="2" s="1"/>
  <c r="G361" i="2"/>
  <c r="C361" i="2" s="1"/>
  <c r="G415" i="2"/>
  <c r="B415" i="2" s="1"/>
  <c r="E432" i="2"/>
  <c r="H432" i="2" s="1"/>
  <c r="B432" i="2" s="1"/>
  <c r="E503" i="2"/>
  <c r="H503" i="2" s="1"/>
  <c r="C503" i="2" s="1"/>
  <c r="E540" i="2"/>
  <c r="H540" i="2" s="1"/>
  <c r="C540" i="2" s="1"/>
  <c r="G549" i="2"/>
  <c r="B549" i="2" s="1"/>
  <c r="E577" i="2"/>
  <c r="H577" i="2" s="1"/>
  <c r="B577" i="2" s="1"/>
  <c r="E587" i="2"/>
  <c r="H587" i="2" s="1"/>
  <c r="B587" i="2" s="1"/>
  <c r="E628" i="2"/>
  <c r="H628" i="2" s="1"/>
  <c r="C628" i="2" s="1"/>
  <c r="E30" i="3"/>
  <c r="H30" i="3" s="1"/>
  <c r="B30" i="3" s="1"/>
  <c r="G65" i="3"/>
  <c r="B65" i="3" s="1"/>
  <c r="E251" i="3"/>
  <c r="H251" i="3" s="1"/>
  <c r="C251" i="3" s="1"/>
  <c r="G269" i="3"/>
  <c r="B269" i="3" s="1"/>
  <c r="E392" i="3"/>
  <c r="H392" i="3" s="1"/>
  <c r="C392" i="3" s="1"/>
  <c r="E535" i="3"/>
  <c r="H535" i="3" s="1"/>
  <c r="B535" i="3" s="1"/>
  <c r="G593" i="3"/>
  <c r="B593" i="3" s="1"/>
  <c r="G3" i="2"/>
  <c r="B3" i="2" s="1"/>
  <c r="E12" i="2"/>
  <c r="H12" i="2" s="1"/>
  <c r="C12" i="2" s="1"/>
  <c r="E139" i="2"/>
  <c r="H139" i="2" s="1"/>
  <c r="C139" i="2" s="1"/>
  <c r="E193" i="2"/>
  <c r="H193" i="2" s="1"/>
  <c r="B193" i="2" s="1"/>
  <c r="G201" i="2"/>
  <c r="C201" i="2" s="1"/>
  <c r="C177" i="1"/>
  <c r="B199" i="1"/>
  <c r="A199" i="1" s="1"/>
  <c r="E168" i="2"/>
  <c r="H168" i="2" s="1"/>
  <c r="C168" i="2" s="1"/>
  <c r="E253" i="2"/>
  <c r="H253" i="2" s="1"/>
  <c r="B253" i="2" s="1"/>
  <c r="E272" i="2"/>
  <c r="H272" i="2" s="1"/>
  <c r="C272" i="2" s="1"/>
  <c r="G289" i="2"/>
  <c r="C289" i="2" s="1"/>
  <c r="G316" i="2"/>
  <c r="C316" i="2" s="1"/>
  <c r="G416" i="2"/>
  <c r="B416" i="2" s="1"/>
  <c r="E468" i="2"/>
  <c r="H468" i="2" s="1"/>
  <c r="B468" i="2" s="1"/>
  <c r="E478" i="2"/>
  <c r="H478" i="2" s="1"/>
  <c r="B478" i="2" s="1"/>
  <c r="G513" i="2"/>
  <c r="B513" i="2" s="1"/>
  <c r="G522" i="2"/>
  <c r="B522" i="2" s="1"/>
  <c r="E541" i="2"/>
  <c r="H541" i="2" s="1"/>
  <c r="B541" i="2" s="1"/>
  <c r="G661" i="2"/>
  <c r="C661" i="2" s="1"/>
  <c r="G103" i="3"/>
  <c r="B103" i="3" s="1"/>
  <c r="G114" i="3"/>
  <c r="B114" i="3" s="1"/>
  <c r="G310" i="3"/>
  <c r="C310" i="3" s="1"/>
  <c r="E393" i="3"/>
  <c r="H393" i="3" s="1"/>
  <c r="B393" i="3" s="1"/>
  <c r="E462" i="3"/>
  <c r="H462" i="3" s="1"/>
  <c r="C462" i="3" s="1"/>
  <c r="G562" i="3"/>
  <c r="B562" i="3" s="1"/>
  <c r="G146" i="2"/>
  <c r="E146" i="2"/>
  <c r="H146" i="2" s="1"/>
  <c r="G232" i="2"/>
  <c r="E232" i="2"/>
  <c r="H232" i="2" s="1"/>
  <c r="E489" i="2"/>
  <c r="H489" i="2" s="1"/>
  <c r="G489" i="2"/>
  <c r="B19" i="1"/>
  <c r="C54" i="1"/>
  <c r="C63" i="1"/>
  <c r="A63" i="1" s="1"/>
  <c r="E78" i="1"/>
  <c r="C78" i="1" s="1"/>
  <c r="E231" i="1"/>
  <c r="C231" i="1" s="1"/>
  <c r="E13" i="2"/>
  <c r="H13" i="2" s="1"/>
  <c r="G13" i="2"/>
  <c r="G134" i="2"/>
  <c r="C134" i="2" s="1"/>
  <c r="G152" i="2"/>
  <c r="E152" i="2"/>
  <c r="H152" i="2" s="1"/>
  <c r="G401" i="2"/>
  <c r="E401" i="2"/>
  <c r="H401" i="2" s="1"/>
  <c r="G586" i="2"/>
  <c r="E586" i="2"/>
  <c r="H586" i="2" s="1"/>
  <c r="E237" i="3"/>
  <c r="H237" i="3" s="1"/>
  <c r="G237" i="3"/>
  <c r="G387" i="3"/>
  <c r="E387" i="3"/>
  <c r="H387" i="3" s="1"/>
  <c r="E64" i="3"/>
  <c r="H64" i="3" s="1"/>
  <c r="G64" i="3"/>
  <c r="E647" i="3"/>
  <c r="H647" i="3" s="1"/>
  <c r="G647" i="3"/>
  <c r="C39" i="1"/>
  <c r="A39" i="1" s="1"/>
  <c r="E79" i="1"/>
  <c r="B79" i="1" s="1"/>
  <c r="E223" i="1"/>
  <c r="C223" i="1" s="1"/>
  <c r="E48" i="2"/>
  <c r="H48" i="2" s="1"/>
  <c r="G48" i="2"/>
  <c r="G117" i="2"/>
  <c r="E117" i="2"/>
  <c r="H117" i="2" s="1"/>
  <c r="G144" i="2"/>
  <c r="E144" i="2"/>
  <c r="H144" i="2" s="1"/>
  <c r="E242" i="2"/>
  <c r="H242" i="2" s="1"/>
  <c r="G242" i="2"/>
  <c r="E394" i="2"/>
  <c r="H394" i="2" s="1"/>
  <c r="G394" i="2"/>
  <c r="G505" i="2"/>
  <c r="E505" i="2"/>
  <c r="H505" i="2" s="1"/>
  <c r="G289" i="3"/>
  <c r="E289" i="3"/>
  <c r="H289" i="3" s="1"/>
  <c r="G557" i="3"/>
  <c r="E557" i="3"/>
  <c r="H557" i="3" s="1"/>
  <c r="E648" i="3"/>
  <c r="H648" i="3" s="1"/>
  <c r="G648" i="3"/>
  <c r="E23" i="2"/>
  <c r="H23" i="2" s="1"/>
  <c r="G23" i="2"/>
  <c r="B30" i="1"/>
  <c r="B55" i="1"/>
  <c r="E134" i="1"/>
  <c r="B134" i="1" s="1"/>
  <c r="B283" i="1"/>
  <c r="A283" i="1" s="1"/>
  <c r="E67" i="2"/>
  <c r="H67" i="2" s="1"/>
  <c r="G67" i="2"/>
  <c r="G145" i="2"/>
  <c r="E145" i="2"/>
  <c r="H145" i="2" s="1"/>
  <c r="E164" i="2"/>
  <c r="H164" i="2" s="1"/>
  <c r="G164" i="2"/>
  <c r="G199" i="2"/>
  <c r="E199" i="2"/>
  <c r="H199" i="2" s="1"/>
  <c r="G222" i="2"/>
  <c r="E222" i="2"/>
  <c r="H222" i="2" s="1"/>
  <c r="G621" i="2"/>
  <c r="E621" i="2"/>
  <c r="H621" i="2" s="1"/>
  <c r="G645" i="2"/>
  <c r="E645" i="2"/>
  <c r="H645" i="2" s="1"/>
  <c r="G143" i="3"/>
  <c r="E143" i="3"/>
  <c r="H143" i="3" s="1"/>
  <c r="E379" i="3"/>
  <c r="H379" i="3" s="1"/>
  <c r="G379" i="3"/>
  <c r="E410" i="3"/>
  <c r="H410" i="3" s="1"/>
  <c r="G410" i="3"/>
  <c r="G476" i="3"/>
  <c r="E476" i="3"/>
  <c r="H476" i="3" s="1"/>
  <c r="G512" i="3"/>
  <c r="E512" i="3"/>
  <c r="H512" i="3" s="1"/>
  <c r="B54" i="1"/>
  <c r="C103" i="1"/>
  <c r="A103" i="1" s="1"/>
  <c r="E253" i="1"/>
  <c r="C253" i="1" s="1"/>
  <c r="G319" i="2"/>
  <c r="E319" i="2"/>
  <c r="H319" i="2" s="1"/>
  <c r="G393" i="2"/>
  <c r="E393" i="2"/>
  <c r="H393" i="2" s="1"/>
  <c r="E428" i="2"/>
  <c r="H428" i="2" s="1"/>
  <c r="G428" i="2"/>
  <c r="G74" i="3"/>
  <c r="E74" i="3"/>
  <c r="H74" i="3" s="1"/>
  <c r="E189" i="3"/>
  <c r="H189" i="3" s="1"/>
  <c r="G189" i="3"/>
  <c r="G17" i="2"/>
  <c r="E17" i="2"/>
  <c r="H17" i="2" s="1"/>
  <c r="E120" i="2"/>
  <c r="H120" i="2" s="1"/>
  <c r="G120" i="2"/>
  <c r="E156" i="2"/>
  <c r="H156" i="2" s="1"/>
  <c r="G156" i="2"/>
  <c r="E192" i="2"/>
  <c r="H192" i="2" s="1"/>
  <c r="G192" i="2"/>
  <c r="E224" i="2"/>
  <c r="H224" i="2" s="1"/>
  <c r="G224" i="2"/>
  <c r="E13" i="3"/>
  <c r="H13" i="3" s="1"/>
  <c r="G13" i="3"/>
  <c r="G67" i="3"/>
  <c r="E67" i="3"/>
  <c r="H67" i="3" s="1"/>
  <c r="G124" i="3"/>
  <c r="E124" i="3"/>
  <c r="H124" i="3" s="1"/>
  <c r="G193" i="3"/>
  <c r="E193" i="3"/>
  <c r="H193" i="3" s="1"/>
  <c r="G318" i="3"/>
  <c r="E318" i="3"/>
  <c r="H318" i="3" s="1"/>
  <c r="E401" i="3"/>
  <c r="H401" i="3" s="1"/>
  <c r="G401" i="3"/>
  <c r="G420" i="3"/>
  <c r="C420" i="3" s="1"/>
  <c r="E514" i="3"/>
  <c r="H514" i="3" s="1"/>
  <c r="G514" i="3"/>
  <c r="E541" i="3"/>
  <c r="H541" i="3" s="1"/>
  <c r="G541" i="3"/>
  <c r="E600" i="3"/>
  <c r="H600" i="3" s="1"/>
  <c r="G600" i="3"/>
  <c r="E373" i="2"/>
  <c r="H373" i="2" s="1"/>
  <c r="G373" i="2"/>
  <c r="E29" i="3"/>
  <c r="H29" i="3" s="1"/>
  <c r="G29" i="3"/>
  <c r="E213" i="3"/>
  <c r="H213" i="3" s="1"/>
  <c r="G213" i="3"/>
  <c r="E10" i="2"/>
  <c r="H10" i="2" s="1"/>
  <c r="G10" i="2"/>
  <c r="E234" i="2"/>
  <c r="H234" i="2" s="1"/>
  <c r="G234" i="2"/>
  <c r="E296" i="2"/>
  <c r="H296" i="2" s="1"/>
  <c r="G296" i="2"/>
  <c r="G440" i="2"/>
  <c r="E440" i="2"/>
  <c r="H440" i="2" s="1"/>
  <c r="G562" i="2"/>
  <c r="C562" i="2" s="1"/>
  <c r="E174" i="3"/>
  <c r="H174" i="3" s="1"/>
  <c r="G174" i="3"/>
  <c r="G232" i="3"/>
  <c r="E232" i="3"/>
  <c r="H232" i="3" s="1"/>
  <c r="G362" i="3"/>
  <c r="E362" i="3"/>
  <c r="H362" i="3" s="1"/>
  <c r="G580" i="3"/>
  <c r="B580" i="3" s="1"/>
  <c r="E613" i="3"/>
  <c r="H613" i="3" s="1"/>
  <c r="G613" i="3"/>
  <c r="G632" i="3"/>
  <c r="E632" i="3"/>
  <c r="H632" i="3" s="1"/>
  <c r="C15" i="1"/>
  <c r="A15" i="1" s="1"/>
  <c r="E525" i="2"/>
  <c r="H525" i="2" s="1"/>
  <c r="G525" i="2"/>
  <c r="E102" i="3"/>
  <c r="H102" i="3" s="1"/>
  <c r="G102" i="3"/>
  <c r="G181" i="3"/>
  <c r="E181" i="3"/>
  <c r="H181" i="3" s="1"/>
  <c r="B31" i="1"/>
  <c r="E284" i="1"/>
  <c r="C284" i="1" s="1"/>
  <c r="E296" i="1"/>
  <c r="B296" i="1" s="1"/>
  <c r="G18" i="2"/>
  <c r="B18" i="2" s="1"/>
  <c r="G26" i="2"/>
  <c r="E26" i="2"/>
  <c r="H26" i="2" s="1"/>
  <c r="G405" i="2"/>
  <c r="E405" i="2"/>
  <c r="H405" i="2" s="1"/>
  <c r="G456" i="2"/>
  <c r="E456" i="2"/>
  <c r="H456" i="2" s="1"/>
  <c r="G474" i="2"/>
  <c r="E474" i="2"/>
  <c r="H474" i="2" s="1"/>
  <c r="G4" i="3"/>
  <c r="E4" i="3"/>
  <c r="H4" i="3" s="1"/>
  <c r="G89" i="3"/>
  <c r="E89" i="3"/>
  <c r="H89" i="3" s="1"/>
  <c r="G97" i="3"/>
  <c r="E97" i="3"/>
  <c r="H97" i="3" s="1"/>
  <c r="G184" i="3"/>
  <c r="E184" i="3"/>
  <c r="H184" i="3" s="1"/>
  <c r="G261" i="3"/>
  <c r="E261" i="3"/>
  <c r="H261" i="3" s="1"/>
  <c r="G414" i="3"/>
  <c r="E414" i="3"/>
  <c r="H414" i="3" s="1"/>
  <c r="E453" i="3"/>
  <c r="H453" i="3" s="1"/>
  <c r="G453" i="3"/>
  <c r="G543" i="3"/>
  <c r="E543" i="3"/>
  <c r="H543" i="3" s="1"/>
  <c r="E646" i="2"/>
  <c r="H646" i="2" s="1"/>
  <c r="G646" i="2"/>
  <c r="G33" i="2"/>
  <c r="E33" i="2"/>
  <c r="H33" i="2" s="1"/>
  <c r="B66" i="1"/>
  <c r="A66" i="1" s="1"/>
  <c r="E247" i="1"/>
  <c r="C247" i="1" s="1"/>
  <c r="E314" i="1"/>
  <c r="C314" i="1" s="1"/>
  <c r="E7" i="1"/>
  <c r="C7" i="1" s="1"/>
  <c r="B42" i="1"/>
  <c r="A42" i="1" s="1"/>
  <c r="B67" i="1"/>
  <c r="E217" i="1"/>
  <c r="C217" i="1" s="1"/>
  <c r="E2" i="2"/>
  <c r="H2" i="2" s="1"/>
  <c r="G2" i="2"/>
  <c r="E79" i="2"/>
  <c r="H79" i="2" s="1"/>
  <c r="G79" i="2"/>
  <c r="G140" i="2"/>
  <c r="E140" i="2"/>
  <c r="H140" i="2" s="1"/>
  <c r="G158" i="2"/>
  <c r="E158" i="2"/>
  <c r="H158" i="2" s="1"/>
  <c r="G217" i="2"/>
  <c r="E217" i="2"/>
  <c r="H217" i="2" s="1"/>
  <c r="E236" i="2"/>
  <c r="H236" i="2" s="1"/>
  <c r="G236" i="2"/>
  <c r="G388" i="2"/>
  <c r="E388" i="2"/>
  <c r="H388" i="2" s="1"/>
  <c r="E483" i="2"/>
  <c r="H483" i="2" s="1"/>
  <c r="G483" i="2"/>
  <c r="E509" i="2"/>
  <c r="H509" i="2" s="1"/>
  <c r="G509" i="2"/>
  <c r="E518" i="2"/>
  <c r="H518" i="2" s="1"/>
  <c r="G518" i="2"/>
  <c r="E545" i="2"/>
  <c r="H545" i="2" s="1"/>
  <c r="G545" i="2"/>
  <c r="G5" i="3"/>
  <c r="E5" i="3"/>
  <c r="H5" i="3" s="1"/>
  <c r="G217" i="3"/>
  <c r="E217" i="3"/>
  <c r="H217" i="3" s="1"/>
  <c r="E443" i="3"/>
  <c r="H443" i="3" s="1"/>
  <c r="G443" i="3"/>
  <c r="G132" i="2"/>
  <c r="E132" i="2"/>
  <c r="H132" i="2" s="1"/>
  <c r="G6" i="3"/>
  <c r="E6" i="3"/>
  <c r="H6" i="3" s="1"/>
  <c r="G52" i="3"/>
  <c r="E52" i="3"/>
  <c r="H52" i="3" s="1"/>
  <c r="G196" i="3"/>
  <c r="E196" i="3"/>
  <c r="H196" i="3" s="1"/>
  <c r="G311" i="3"/>
  <c r="E311" i="3"/>
  <c r="H311" i="3" s="1"/>
  <c r="E444" i="3"/>
  <c r="H444" i="3" s="1"/>
  <c r="G444" i="3"/>
  <c r="E655" i="3"/>
  <c r="H655" i="3" s="1"/>
  <c r="G655" i="3"/>
  <c r="E141" i="3"/>
  <c r="H141" i="3" s="1"/>
  <c r="G141" i="3"/>
  <c r="E238" i="3"/>
  <c r="H238" i="3" s="1"/>
  <c r="G238" i="3"/>
  <c r="E135" i="1"/>
  <c r="B135" i="1" s="1"/>
  <c r="E32" i="2"/>
  <c r="H32" i="2" s="1"/>
  <c r="G32" i="2"/>
  <c r="G322" i="2"/>
  <c r="E322" i="2"/>
  <c r="H322" i="2" s="1"/>
  <c r="C75" i="1"/>
  <c r="A75" i="1" s="1"/>
  <c r="E238" i="1"/>
  <c r="C238" i="1" s="1"/>
  <c r="G180" i="2"/>
  <c r="E180" i="2"/>
  <c r="H180" i="2" s="1"/>
  <c r="G344" i="2"/>
  <c r="E344" i="2"/>
  <c r="H344" i="2" s="1"/>
  <c r="E369" i="2"/>
  <c r="H369" i="2" s="1"/>
  <c r="G369" i="2"/>
  <c r="E27" i="1"/>
  <c r="B27" i="1" s="1"/>
  <c r="B43" i="1"/>
  <c r="E219" i="1"/>
  <c r="B219" i="1" s="1"/>
  <c r="G55" i="2"/>
  <c r="B55" i="2" s="1"/>
  <c r="E72" i="2"/>
  <c r="H72" i="2" s="1"/>
  <c r="G72" i="2"/>
  <c r="G160" i="2"/>
  <c r="E160" i="2"/>
  <c r="H160" i="2" s="1"/>
  <c r="E170" i="2"/>
  <c r="H170" i="2" s="1"/>
  <c r="G170" i="2"/>
  <c r="G281" i="2"/>
  <c r="E281" i="2"/>
  <c r="H281" i="2" s="1"/>
  <c r="G309" i="2"/>
  <c r="E309" i="2"/>
  <c r="H309" i="2" s="1"/>
  <c r="G362" i="2"/>
  <c r="E362" i="2"/>
  <c r="H362" i="2" s="1"/>
  <c r="G370" i="2"/>
  <c r="E370" i="2"/>
  <c r="H370" i="2" s="1"/>
  <c r="E380" i="2"/>
  <c r="H380" i="2" s="1"/>
  <c r="G380" i="2"/>
  <c r="G425" i="2"/>
  <c r="E425" i="2"/>
  <c r="H425" i="2" s="1"/>
  <c r="E477" i="2"/>
  <c r="H477" i="2" s="1"/>
  <c r="G477" i="2"/>
  <c r="G492" i="2"/>
  <c r="E492" i="2"/>
  <c r="H492" i="2" s="1"/>
  <c r="G539" i="2"/>
  <c r="E539" i="2"/>
  <c r="H539" i="2" s="1"/>
  <c r="G575" i="2"/>
  <c r="E575" i="2"/>
  <c r="H575" i="2" s="1"/>
  <c r="E602" i="2"/>
  <c r="H602" i="2" s="1"/>
  <c r="G602" i="2"/>
  <c r="G26" i="3"/>
  <c r="E26" i="3"/>
  <c r="H26" i="3" s="1"/>
  <c r="E107" i="3"/>
  <c r="H107" i="3" s="1"/>
  <c r="G107" i="3"/>
  <c r="E197" i="3"/>
  <c r="H197" i="3" s="1"/>
  <c r="G197" i="3"/>
  <c r="G263" i="3"/>
  <c r="B263" i="3" s="1"/>
  <c r="E469" i="2"/>
  <c r="H469" i="2" s="1"/>
  <c r="G469" i="2"/>
  <c r="G110" i="3"/>
  <c r="E110" i="3"/>
  <c r="H110" i="3" s="1"/>
  <c r="E138" i="2"/>
  <c r="H138" i="2" s="1"/>
  <c r="G138" i="2"/>
  <c r="G304" i="2"/>
  <c r="E304" i="2"/>
  <c r="H304" i="2" s="1"/>
  <c r="E218" i="1"/>
  <c r="B218" i="1" s="1"/>
  <c r="E140" i="1"/>
  <c r="C140" i="1" s="1"/>
  <c r="E158" i="1"/>
  <c r="C158" i="1" s="1"/>
  <c r="E319" i="1"/>
  <c r="C319" i="1" s="1"/>
  <c r="E30" i="2"/>
  <c r="H30" i="2" s="1"/>
  <c r="G30" i="2"/>
  <c r="E37" i="2"/>
  <c r="H37" i="2" s="1"/>
  <c r="G37" i="2"/>
  <c r="G255" i="2"/>
  <c r="E255" i="2"/>
  <c r="H255" i="2" s="1"/>
  <c r="G317" i="2"/>
  <c r="E317" i="2"/>
  <c r="H317" i="2" s="1"/>
  <c r="G363" i="2"/>
  <c r="E363" i="2"/>
  <c r="H363" i="2" s="1"/>
  <c r="G381" i="2"/>
  <c r="E381" i="2"/>
  <c r="H381" i="2" s="1"/>
  <c r="E391" i="2"/>
  <c r="H391" i="2" s="1"/>
  <c r="G391" i="2"/>
  <c r="E400" i="2"/>
  <c r="H400" i="2" s="1"/>
  <c r="G400" i="2"/>
  <c r="G460" i="2"/>
  <c r="E460" i="2"/>
  <c r="H460" i="2" s="1"/>
  <c r="E530" i="2"/>
  <c r="H530" i="2" s="1"/>
  <c r="G530" i="2"/>
  <c r="E84" i="3"/>
  <c r="H84" i="3" s="1"/>
  <c r="G84" i="3"/>
  <c r="G287" i="3"/>
  <c r="E287" i="3"/>
  <c r="H287" i="3" s="1"/>
  <c r="E426" i="3"/>
  <c r="H426" i="3" s="1"/>
  <c r="G426" i="3"/>
  <c r="E499" i="3"/>
  <c r="H499" i="3" s="1"/>
  <c r="G499" i="3"/>
  <c r="G16" i="2"/>
  <c r="B16" i="2" s="1"/>
  <c r="E22" i="2"/>
  <c r="H22" i="2" s="1"/>
  <c r="C22" i="2" s="1"/>
  <c r="E86" i="2"/>
  <c r="H86" i="2" s="1"/>
  <c r="C86" i="2" s="1"/>
  <c r="G116" i="2"/>
  <c r="C116" i="2" s="1"/>
  <c r="E454" i="2"/>
  <c r="H454" i="2" s="1"/>
  <c r="C454" i="2" s="1"/>
  <c r="E550" i="2"/>
  <c r="H550" i="2" s="1"/>
  <c r="C550" i="2" s="1"/>
  <c r="G558" i="2"/>
  <c r="C558" i="2" s="1"/>
  <c r="G582" i="2"/>
  <c r="C582" i="2" s="1"/>
  <c r="E641" i="2"/>
  <c r="H641" i="2" s="1"/>
  <c r="B641" i="2" s="1"/>
  <c r="E17" i="3"/>
  <c r="H17" i="3" s="1"/>
  <c r="B17" i="3" s="1"/>
  <c r="G140" i="3"/>
  <c r="B140" i="3" s="1"/>
  <c r="G173" i="3"/>
  <c r="C173" i="3" s="1"/>
  <c r="E180" i="3"/>
  <c r="H180" i="3" s="1"/>
  <c r="C180" i="3" s="1"/>
  <c r="G275" i="3"/>
  <c r="B275" i="3" s="1"/>
  <c r="E286" i="3"/>
  <c r="H286" i="3" s="1"/>
  <c r="B286" i="3" s="1"/>
  <c r="E308" i="3"/>
  <c r="H308" i="3" s="1"/>
  <c r="B308" i="3" s="1"/>
  <c r="E471" i="3"/>
  <c r="H471" i="3" s="1"/>
  <c r="C471" i="3" s="1"/>
  <c r="G485" i="3"/>
  <c r="C485" i="3" s="1"/>
  <c r="E511" i="3"/>
  <c r="H511" i="3" s="1"/>
  <c r="B511" i="3" s="1"/>
  <c r="G533" i="3"/>
  <c r="B533" i="3" s="1"/>
  <c r="G545" i="3"/>
  <c r="C545" i="3" s="1"/>
  <c r="G560" i="3"/>
  <c r="B560" i="3" s="1"/>
  <c r="G576" i="3"/>
  <c r="B576" i="3" s="1"/>
  <c r="G584" i="3"/>
  <c r="C584" i="3" s="1"/>
  <c r="G599" i="3"/>
  <c r="C599" i="3" s="1"/>
  <c r="G652" i="3"/>
  <c r="B652" i="3" s="1"/>
  <c r="E4" i="2"/>
  <c r="H4" i="2" s="1"/>
  <c r="B4" i="2" s="1"/>
  <c r="G29" i="2"/>
  <c r="B29" i="2" s="1"/>
  <c r="G39" i="2"/>
  <c r="C39" i="2" s="1"/>
  <c r="G54" i="2"/>
  <c r="B54" i="2" s="1"/>
  <c r="B297" i="1"/>
  <c r="C214" i="1"/>
  <c r="B235" i="1"/>
  <c r="A235" i="1" s="1"/>
  <c r="B259" i="1"/>
  <c r="A259" i="1" s="1"/>
  <c r="E36" i="2"/>
  <c r="H36" i="2" s="1"/>
  <c r="C36" i="2" s="1"/>
  <c r="E114" i="2"/>
  <c r="H114" i="2" s="1"/>
  <c r="B114" i="2" s="1"/>
  <c r="G216" i="2"/>
  <c r="B216" i="2" s="1"/>
  <c r="E238" i="2"/>
  <c r="H238" i="2" s="1"/>
  <c r="B238" i="2" s="1"/>
  <c r="E279" i="2"/>
  <c r="H279" i="2" s="1"/>
  <c r="B279" i="2" s="1"/>
  <c r="E15" i="3"/>
  <c r="H15" i="3" s="1"/>
  <c r="C15" i="3" s="1"/>
  <c r="E76" i="3"/>
  <c r="H76" i="3" s="1"/>
  <c r="C76" i="3" s="1"/>
  <c r="E240" i="3"/>
  <c r="H240" i="3" s="1"/>
  <c r="C240" i="3" s="1"/>
  <c r="G305" i="3"/>
  <c r="B305" i="3" s="1"/>
  <c r="E396" i="3"/>
  <c r="H396" i="3" s="1"/>
  <c r="B396" i="3" s="1"/>
  <c r="E591" i="3"/>
  <c r="H591" i="3" s="1"/>
  <c r="B591" i="3" s="1"/>
  <c r="G665" i="3"/>
  <c r="C665" i="3" s="1"/>
  <c r="E49" i="2"/>
  <c r="H49" i="2" s="1"/>
  <c r="B49" i="2" s="1"/>
  <c r="G391" i="3"/>
  <c r="B391" i="3" s="1"/>
  <c r="G423" i="3"/>
  <c r="B423" i="3" s="1"/>
  <c r="G457" i="3"/>
  <c r="B457" i="3" s="1"/>
  <c r="E567" i="3"/>
  <c r="H567" i="3" s="1"/>
  <c r="B567" i="3" s="1"/>
  <c r="E592" i="3"/>
  <c r="H592" i="3" s="1"/>
  <c r="C592" i="3" s="1"/>
  <c r="E659" i="3"/>
  <c r="H659" i="3" s="1"/>
  <c r="B659" i="3" s="1"/>
  <c r="C136" i="1"/>
  <c r="G445" i="2"/>
  <c r="B445" i="2" s="1"/>
  <c r="E458" i="2"/>
  <c r="H458" i="2" s="1"/>
  <c r="C458" i="2" s="1"/>
  <c r="G479" i="2"/>
  <c r="B479" i="2" s="1"/>
  <c r="G537" i="2"/>
  <c r="B537" i="2" s="1"/>
  <c r="E573" i="2"/>
  <c r="H573" i="2" s="1"/>
  <c r="C573" i="2" s="1"/>
  <c r="E612" i="2"/>
  <c r="H612" i="2" s="1"/>
  <c r="C612" i="2" s="1"/>
  <c r="G654" i="2"/>
  <c r="C654" i="2" s="1"/>
  <c r="G9" i="3"/>
  <c r="B9" i="3" s="1"/>
  <c r="E78" i="3"/>
  <c r="H78" i="3" s="1"/>
  <c r="B78" i="3" s="1"/>
  <c r="E86" i="3"/>
  <c r="H86" i="3" s="1"/>
  <c r="C86" i="3" s="1"/>
  <c r="E147" i="3"/>
  <c r="H147" i="3" s="1"/>
  <c r="B147" i="3" s="1"/>
  <c r="E156" i="3"/>
  <c r="H156" i="3" s="1"/>
  <c r="C156" i="3" s="1"/>
  <c r="G165" i="3"/>
  <c r="C165" i="3" s="1"/>
  <c r="G202" i="3"/>
  <c r="C202" i="3" s="1"/>
  <c r="E358" i="3"/>
  <c r="H358" i="3" s="1"/>
  <c r="B358" i="3" s="1"/>
  <c r="E408" i="3"/>
  <c r="H408" i="3" s="1"/>
  <c r="B408" i="3" s="1"/>
  <c r="E432" i="3"/>
  <c r="H432" i="3" s="1"/>
  <c r="B432" i="3" s="1"/>
  <c r="E463" i="3"/>
  <c r="H463" i="3" s="1"/>
  <c r="C463" i="3" s="1"/>
  <c r="G502" i="3"/>
  <c r="B502" i="3" s="1"/>
  <c r="G524" i="3"/>
  <c r="E552" i="3"/>
  <c r="H552" i="3" s="1"/>
  <c r="B552" i="3" s="1"/>
  <c r="G617" i="3"/>
  <c r="B617" i="3" s="1"/>
  <c r="G667" i="3"/>
  <c r="C667" i="3" s="1"/>
  <c r="E80" i="1"/>
  <c r="B80" i="1" s="1"/>
  <c r="E325" i="1"/>
  <c r="C325" i="1" s="1"/>
  <c r="E614" i="2"/>
  <c r="H614" i="2" s="1"/>
  <c r="G614" i="2"/>
  <c r="E122" i="1"/>
  <c r="B122" i="1" s="1"/>
  <c r="G176" i="2"/>
  <c r="E176" i="2"/>
  <c r="H176" i="2" s="1"/>
  <c r="E273" i="2"/>
  <c r="H273" i="2" s="1"/>
  <c r="G273" i="2"/>
  <c r="E224" i="1"/>
  <c r="B224" i="1" s="1"/>
  <c r="E56" i="1"/>
  <c r="B56" i="1" s="1"/>
  <c r="C169" i="1"/>
  <c r="B169" i="1"/>
  <c r="E123" i="1"/>
  <c r="B123" i="1" s="1"/>
  <c r="B271" i="1"/>
  <c r="A271" i="1" s="1"/>
  <c r="G102" i="2"/>
  <c r="E102" i="2"/>
  <c r="H102" i="2" s="1"/>
  <c r="E412" i="2"/>
  <c r="H412" i="2" s="1"/>
  <c r="G412" i="2"/>
  <c r="E88" i="1"/>
  <c r="B88" i="1" s="1"/>
  <c r="E32" i="1"/>
  <c r="B32" i="1" s="1"/>
  <c r="C51" i="1"/>
  <c r="A51" i="1" s="1"/>
  <c r="B145" i="1"/>
  <c r="A145" i="1" s="1"/>
  <c r="G267" i="2"/>
  <c r="E267" i="2"/>
  <c r="H267" i="2" s="1"/>
  <c r="E312" i="1"/>
  <c r="C312" i="1" s="1"/>
  <c r="E534" i="2"/>
  <c r="H534" i="2" s="1"/>
  <c r="G534" i="2"/>
  <c r="E8" i="1"/>
  <c r="C8" i="1" s="1"/>
  <c r="G127" i="2"/>
  <c r="E127" i="2"/>
  <c r="H127" i="2" s="1"/>
  <c r="E146" i="1"/>
  <c r="C146" i="1" s="1"/>
  <c r="E68" i="1"/>
  <c r="B68" i="1" s="1"/>
  <c r="E92" i="1"/>
  <c r="B92" i="1" s="1"/>
  <c r="C241" i="1"/>
  <c r="B241" i="1"/>
  <c r="C265" i="1"/>
  <c r="B265" i="1"/>
  <c r="E325" i="2"/>
  <c r="H325" i="2" s="1"/>
  <c r="G325" i="2"/>
  <c r="E74" i="2"/>
  <c r="H74" i="2" s="1"/>
  <c r="G74" i="2"/>
  <c r="G97" i="2"/>
  <c r="E97" i="2"/>
  <c r="H97" i="2" s="1"/>
  <c r="G133" i="2"/>
  <c r="E133" i="2"/>
  <c r="H133" i="2" s="1"/>
  <c r="G259" i="2"/>
  <c r="E259" i="2"/>
  <c r="H259" i="2" s="1"/>
  <c r="E44" i="1"/>
  <c r="B44" i="1" s="1"/>
  <c r="E110" i="1"/>
  <c r="B110" i="1" s="1"/>
  <c r="C157" i="1"/>
  <c r="B157" i="1"/>
  <c r="G6" i="2"/>
  <c r="E6" i="2"/>
  <c r="H6" i="2" s="1"/>
  <c r="G235" i="2"/>
  <c r="E235" i="2"/>
  <c r="H235" i="2" s="1"/>
  <c r="G375" i="2"/>
  <c r="E375" i="2"/>
  <c r="H375" i="2" s="1"/>
  <c r="G466" i="2"/>
  <c r="E466" i="2"/>
  <c r="H466" i="2" s="1"/>
  <c r="E472" i="2"/>
  <c r="H472" i="2" s="1"/>
  <c r="G472" i="2"/>
  <c r="E20" i="1"/>
  <c r="B20" i="1" s="1"/>
  <c r="E128" i="1"/>
  <c r="C128" i="1" s="1"/>
  <c r="G634" i="2"/>
  <c r="E634" i="2"/>
  <c r="H634" i="2" s="1"/>
  <c r="E111" i="1"/>
  <c r="C111" i="1" s="1"/>
  <c r="C229" i="1"/>
  <c r="B229" i="1"/>
  <c r="B16" i="1"/>
  <c r="A16" i="1" s="1"/>
  <c r="B28" i="1"/>
  <c r="A28" i="1" s="1"/>
  <c r="B40" i="1"/>
  <c r="A40" i="1" s="1"/>
  <c r="B52" i="1"/>
  <c r="A52" i="1" s="1"/>
  <c r="B64" i="1"/>
  <c r="A64" i="1" s="1"/>
  <c r="B76" i="1"/>
  <c r="A76" i="1" s="1"/>
  <c r="E163" i="1"/>
  <c r="C163" i="1" s="1"/>
  <c r="E175" i="1"/>
  <c r="C175" i="1" s="1"/>
  <c r="E181" i="1"/>
  <c r="C181" i="1" s="1"/>
  <c r="E202" i="1"/>
  <c r="C202" i="1" s="1"/>
  <c r="C208" i="1"/>
  <c r="C252" i="1"/>
  <c r="C264" i="1"/>
  <c r="B277" i="1"/>
  <c r="A277" i="1" s="1"/>
  <c r="E289" i="1"/>
  <c r="C289" i="1" s="1"/>
  <c r="G5" i="2"/>
  <c r="E5" i="2"/>
  <c r="H5" i="2" s="1"/>
  <c r="E40" i="2"/>
  <c r="H40" i="2" s="1"/>
  <c r="C40" i="2" s="1"/>
  <c r="E44" i="2"/>
  <c r="H44" i="2" s="1"/>
  <c r="B44" i="2" s="1"/>
  <c r="G73" i="2"/>
  <c r="C73" i="2" s="1"/>
  <c r="G90" i="2"/>
  <c r="E96" i="2"/>
  <c r="H96" i="2" s="1"/>
  <c r="C96" i="2" s="1"/>
  <c r="E105" i="2"/>
  <c r="H105" i="2" s="1"/>
  <c r="C105" i="2" s="1"/>
  <c r="E148" i="2"/>
  <c r="H148" i="2" s="1"/>
  <c r="C148" i="2" s="1"/>
  <c r="G169" i="2"/>
  <c r="B169" i="2" s="1"/>
  <c r="E208" i="2"/>
  <c r="H208" i="2" s="1"/>
  <c r="C208" i="2" s="1"/>
  <c r="E213" i="2"/>
  <c r="H213" i="2" s="1"/>
  <c r="C213" i="2" s="1"/>
  <c r="G240" i="2"/>
  <c r="C240" i="2" s="1"/>
  <c r="G254" i="2"/>
  <c r="B254" i="2" s="1"/>
  <c r="E288" i="2"/>
  <c r="H288" i="2" s="1"/>
  <c r="G288" i="2"/>
  <c r="E307" i="2"/>
  <c r="H307" i="2" s="1"/>
  <c r="B307" i="2" s="1"/>
  <c r="G331" i="2"/>
  <c r="C331" i="2" s="1"/>
  <c r="E338" i="2"/>
  <c r="H338" i="2" s="1"/>
  <c r="G338" i="2"/>
  <c r="E471" i="2"/>
  <c r="H471" i="2" s="1"/>
  <c r="G471" i="2"/>
  <c r="E569" i="2"/>
  <c r="H569" i="2" s="1"/>
  <c r="G569" i="2"/>
  <c r="E642" i="2"/>
  <c r="H642" i="2" s="1"/>
  <c r="G642" i="2"/>
  <c r="E106" i="3"/>
  <c r="H106" i="3" s="1"/>
  <c r="G106" i="3"/>
  <c r="E257" i="3"/>
  <c r="H257" i="3" s="1"/>
  <c r="G257" i="3"/>
  <c r="G272" i="3"/>
  <c r="E272" i="3"/>
  <c r="H272" i="3" s="1"/>
  <c r="C378" i="3"/>
  <c r="G241" i="2"/>
  <c r="E241" i="2"/>
  <c r="H241" i="2" s="1"/>
  <c r="E301" i="2"/>
  <c r="H301" i="2" s="1"/>
  <c r="G301" i="2"/>
  <c r="G407" i="2"/>
  <c r="E407" i="2"/>
  <c r="H407" i="2" s="1"/>
  <c r="G274" i="3"/>
  <c r="E274" i="3"/>
  <c r="H274" i="3" s="1"/>
  <c r="G363" i="3"/>
  <c r="E363" i="3"/>
  <c r="H363" i="3" s="1"/>
  <c r="C112" i="1"/>
  <c r="A112" i="1" s="1"/>
  <c r="C147" i="1"/>
  <c r="C285" i="1"/>
  <c r="A285" i="1" s="1"/>
  <c r="G45" i="2"/>
  <c r="C45" i="2" s="1"/>
  <c r="G75" i="2"/>
  <c r="E75" i="2"/>
  <c r="H75" i="2" s="1"/>
  <c r="E91" i="2"/>
  <c r="H91" i="2" s="1"/>
  <c r="B91" i="2" s="1"/>
  <c r="E112" i="2"/>
  <c r="H112" i="2" s="1"/>
  <c r="C112" i="2" s="1"/>
  <c r="E122" i="2"/>
  <c r="H122" i="2" s="1"/>
  <c r="C122" i="2" s="1"/>
  <c r="G177" i="2"/>
  <c r="E177" i="2"/>
  <c r="H177" i="2" s="1"/>
  <c r="E225" i="2"/>
  <c r="H225" i="2" s="1"/>
  <c r="C225" i="2" s="1"/>
  <c r="E260" i="2"/>
  <c r="H260" i="2" s="1"/>
  <c r="B260" i="2" s="1"/>
  <c r="G268" i="2"/>
  <c r="E268" i="2"/>
  <c r="H268" i="2" s="1"/>
  <c r="E284" i="2"/>
  <c r="H284" i="2" s="1"/>
  <c r="B284" i="2" s="1"/>
  <c r="G376" i="2"/>
  <c r="E376" i="2"/>
  <c r="H376" i="2" s="1"/>
  <c r="G419" i="2"/>
  <c r="E419" i="2"/>
  <c r="H419" i="2" s="1"/>
  <c r="E502" i="2"/>
  <c r="H502" i="2" s="1"/>
  <c r="G502" i="2"/>
  <c r="G521" i="2"/>
  <c r="E521" i="2"/>
  <c r="H521" i="2" s="1"/>
  <c r="G556" i="2"/>
  <c r="E556" i="2"/>
  <c r="H556" i="2" s="1"/>
  <c r="G601" i="2"/>
  <c r="E601" i="2"/>
  <c r="H601" i="2" s="1"/>
  <c r="G609" i="2"/>
  <c r="B609" i="2" s="1"/>
  <c r="G636" i="2"/>
  <c r="E636" i="2"/>
  <c r="H636" i="2" s="1"/>
  <c r="G73" i="3"/>
  <c r="E73" i="3"/>
  <c r="H73" i="3" s="1"/>
  <c r="G227" i="3"/>
  <c r="E227" i="3"/>
  <c r="H227" i="3" s="1"/>
  <c r="E572" i="3"/>
  <c r="H572" i="3" s="1"/>
  <c r="G572" i="3"/>
  <c r="B84" i="1"/>
  <c r="E100" i="1"/>
  <c r="B100" i="1" s="1"/>
  <c r="C125" i="1"/>
  <c r="B136" i="1"/>
  <c r="B142" i="1"/>
  <c r="A142" i="1" s="1"/>
  <c r="B159" i="1"/>
  <c r="C166" i="1"/>
  <c r="E192" i="1"/>
  <c r="C192" i="1" s="1"/>
  <c r="E198" i="1"/>
  <c r="C198" i="1" s="1"/>
  <c r="E204" i="1"/>
  <c r="C204" i="1" s="1"/>
  <c r="B248" i="1"/>
  <c r="A248" i="1" s="1"/>
  <c r="B272" i="1"/>
  <c r="A272" i="1" s="1"/>
  <c r="B313" i="1"/>
  <c r="A313" i="1" s="1"/>
  <c r="B320" i="1"/>
  <c r="A320" i="1" s="1"/>
  <c r="G27" i="2"/>
  <c r="B27" i="2" s="1"/>
  <c r="G46" i="2"/>
  <c r="E46" i="2"/>
  <c r="H46" i="2" s="1"/>
  <c r="E52" i="2"/>
  <c r="H52" i="2" s="1"/>
  <c r="C52" i="2" s="1"/>
  <c r="G128" i="2"/>
  <c r="E128" i="2"/>
  <c r="H128" i="2" s="1"/>
  <c r="E210" i="2"/>
  <c r="H210" i="2" s="1"/>
  <c r="B210" i="2" s="1"/>
  <c r="E333" i="2"/>
  <c r="H333" i="2" s="1"/>
  <c r="G333" i="2"/>
  <c r="E340" i="2"/>
  <c r="H340" i="2" s="1"/>
  <c r="C340" i="2" s="1"/>
  <c r="G346" i="2"/>
  <c r="E346" i="2"/>
  <c r="H346" i="2" s="1"/>
  <c r="G377" i="2"/>
  <c r="E377" i="2"/>
  <c r="H377" i="2" s="1"/>
  <c r="G557" i="2"/>
  <c r="E557" i="2"/>
  <c r="H557" i="2" s="1"/>
  <c r="E537" i="3"/>
  <c r="H537" i="3" s="1"/>
  <c r="G537" i="3"/>
  <c r="C246" i="2"/>
  <c r="E382" i="2"/>
  <c r="H382" i="2" s="1"/>
  <c r="G382" i="2"/>
  <c r="G28" i="2"/>
  <c r="E28" i="2"/>
  <c r="H28" i="2" s="1"/>
  <c r="G172" i="2"/>
  <c r="E172" i="2"/>
  <c r="H172" i="2" s="1"/>
  <c r="G341" i="2"/>
  <c r="E341" i="2"/>
  <c r="H341" i="2" s="1"/>
  <c r="E421" i="2"/>
  <c r="H421" i="2" s="1"/>
  <c r="G421" i="2"/>
  <c r="G442" i="2"/>
  <c r="E442" i="2"/>
  <c r="H442" i="2" s="1"/>
  <c r="E493" i="2"/>
  <c r="H493" i="2" s="1"/>
  <c r="G493" i="2"/>
  <c r="G205" i="3"/>
  <c r="E205" i="3"/>
  <c r="H205" i="3" s="1"/>
  <c r="E229" i="3"/>
  <c r="H229" i="3" s="1"/>
  <c r="G229" i="3"/>
  <c r="E440" i="3"/>
  <c r="H440" i="3" s="1"/>
  <c r="G440" i="3"/>
  <c r="G640" i="3"/>
  <c r="E640" i="3"/>
  <c r="H640" i="3" s="1"/>
  <c r="C85" i="1"/>
  <c r="A85" i="1" s="1"/>
  <c r="C90" i="1"/>
  <c r="A90" i="1" s="1"/>
  <c r="B109" i="1"/>
  <c r="A109" i="1" s="1"/>
  <c r="B121" i="1"/>
  <c r="A121" i="1" s="1"/>
  <c r="B126" i="1"/>
  <c r="C143" i="1"/>
  <c r="C148" i="1"/>
  <c r="A148" i="1" s="1"/>
  <c r="E154" i="1"/>
  <c r="B154" i="1" s="1"/>
  <c r="B193" i="1"/>
  <c r="A193" i="1" s="1"/>
  <c r="B211" i="1"/>
  <c r="A211" i="1" s="1"/>
  <c r="C243" i="1"/>
  <c r="C249" i="1"/>
  <c r="A249" i="1" s="1"/>
  <c r="C294" i="1"/>
  <c r="C300" i="1"/>
  <c r="E321" i="1"/>
  <c r="B321" i="1" s="1"/>
  <c r="G19" i="2"/>
  <c r="B19" i="2" s="1"/>
  <c r="G66" i="2"/>
  <c r="B66" i="2" s="1"/>
  <c r="E76" i="2"/>
  <c r="H76" i="2" s="1"/>
  <c r="C76" i="2" s="1"/>
  <c r="E129" i="2"/>
  <c r="H129" i="2" s="1"/>
  <c r="C129" i="2" s="1"/>
  <c r="G194" i="2"/>
  <c r="E194" i="2"/>
  <c r="H194" i="2" s="1"/>
  <c r="E297" i="2"/>
  <c r="H297" i="2" s="1"/>
  <c r="C297" i="2" s="1"/>
  <c r="G320" i="2"/>
  <c r="E320" i="2"/>
  <c r="H320" i="2" s="1"/>
  <c r="E429" i="2"/>
  <c r="H429" i="2" s="1"/>
  <c r="C429" i="2" s="1"/>
  <c r="G434" i="2"/>
  <c r="E434" i="2"/>
  <c r="H434" i="2" s="1"/>
  <c r="E529" i="2"/>
  <c r="H529" i="2" s="1"/>
  <c r="C529" i="2" s="1"/>
  <c r="E580" i="2"/>
  <c r="H580" i="2" s="1"/>
  <c r="C580" i="2" s="1"/>
  <c r="G623" i="2"/>
  <c r="E623" i="2"/>
  <c r="H623" i="2" s="1"/>
  <c r="E190" i="3"/>
  <c r="H190" i="3" s="1"/>
  <c r="G190" i="3"/>
  <c r="E375" i="3"/>
  <c r="H375" i="3" s="1"/>
  <c r="G375" i="3"/>
  <c r="E441" i="3"/>
  <c r="H441" i="3" s="1"/>
  <c r="G441" i="3"/>
  <c r="E551" i="3"/>
  <c r="H551" i="3" s="1"/>
  <c r="G551" i="3"/>
  <c r="C186" i="1"/>
  <c r="C133" i="1"/>
  <c r="A133" i="1" s="1"/>
  <c r="B187" i="1"/>
  <c r="A187" i="1" s="1"/>
  <c r="B261" i="1"/>
  <c r="G136" i="2"/>
  <c r="E136" i="2"/>
  <c r="H136" i="2" s="1"/>
  <c r="G335" i="2"/>
  <c r="E335" i="2"/>
  <c r="H335" i="2" s="1"/>
  <c r="E349" i="2"/>
  <c r="H349" i="2" s="1"/>
  <c r="G349" i="2"/>
  <c r="G386" i="2"/>
  <c r="E386" i="2"/>
  <c r="H386" i="2" s="1"/>
  <c r="G392" i="2"/>
  <c r="E392" i="2"/>
  <c r="H392" i="2" s="1"/>
  <c r="G176" i="3"/>
  <c r="E176" i="3"/>
  <c r="H176" i="3" s="1"/>
  <c r="E383" i="3"/>
  <c r="H383" i="3" s="1"/>
  <c r="G383" i="3"/>
  <c r="E532" i="3"/>
  <c r="H532" i="3" s="1"/>
  <c r="G532" i="3"/>
  <c r="G606" i="3"/>
  <c r="E606" i="3"/>
  <c r="H606" i="3" s="1"/>
  <c r="C97" i="1"/>
  <c r="A97" i="1" s="1"/>
  <c r="E14" i="1"/>
  <c r="C14" i="1" s="1"/>
  <c r="E26" i="1"/>
  <c r="B26" i="1" s="1"/>
  <c r="E38" i="1"/>
  <c r="C38" i="1" s="1"/>
  <c r="E50" i="1"/>
  <c r="C50" i="1" s="1"/>
  <c r="E62" i="1"/>
  <c r="C62" i="1" s="1"/>
  <c r="E74" i="1"/>
  <c r="B74" i="1" s="1"/>
  <c r="E114" i="1"/>
  <c r="B114" i="1" s="1"/>
  <c r="E180" i="1"/>
  <c r="C180" i="1" s="1"/>
  <c r="B200" i="1"/>
  <c r="A200" i="1" s="1"/>
  <c r="B206" i="1"/>
  <c r="C261" i="1"/>
  <c r="C269" i="1"/>
  <c r="C288" i="1"/>
  <c r="B301" i="1"/>
  <c r="A301" i="1" s="1"/>
  <c r="B308" i="1"/>
  <c r="A308" i="1" s="1"/>
  <c r="G20" i="2"/>
  <c r="B20" i="2" s="1"/>
  <c r="G93" i="2"/>
  <c r="B93" i="2" s="1"/>
  <c r="G174" i="2"/>
  <c r="E174" i="2"/>
  <c r="H174" i="2" s="1"/>
  <c r="G248" i="2"/>
  <c r="E248" i="2"/>
  <c r="H248" i="2" s="1"/>
  <c r="B258" i="2"/>
  <c r="E262" i="2"/>
  <c r="H262" i="2" s="1"/>
  <c r="B262" i="2" s="1"/>
  <c r="G280" i="2"/>
  <c r="E280" i="2"/>
  <c r="H280" i="2" s="1"/>
  <c r="G286" i="2"/>
  <c r="E286" i="2"/>
  <c r="H286" i="2" s="1"/>
  <c r="E292" i="2"/>
  <c r="H292" i="2" s="1"/>
  <c r="B292" i="2" s="1"/>
  <c r="G350" i="2"/>
  <c r="E350" i="2"/>
  <c r="H350" i="2" s="1"/>
  <c r="G356" i="2"/>
  <c r="B356" i="2" s="1"/>
  <c r="E423" i="2"/>
  <c r="H423" i="2" s="1"/>
  <c r="B423" i="2" s="1"/>
  <c r="G504" i="2"/>
  <c r="E504" i="2"/>
  <c r="H504" i="2" s="1"/>
  <c r="E517" i="2"/>
  <c r="H517" i="2" s="1"/>
  <c r="G517" i="2"/>
  <c r="G552" i="2"/>
  <c r="E552" i="2"/>
  <c r="H552" i="2" s="1"/>
  <c r="G574" i="2"/>
  <c r="C574" i="2" s="1"/>
  <c r="G588" i="2"/>
  <c r="E588" i="2"/>
  <c r="H588" i="2" s="1"/>
  <c r="G170" i="3"/>
  <c r="E170" i="3"/>
  <c r="H170" i="3" s="1"/>
  <c r="E334" i="3"/>
  <c r="H334" i="3" s="1"/>
  <c r="G334" i="3"/>
  <c r="B4" i="1"/>
  <c r="A4" i="1" s="1"/>
  <c r="C19" i="1"/>
  <c r="C31" i="1"/>
  <c r="C43" i="1"/>
  <c r="C55" i="1"/>
  <c r="C67" i="1"/>
  <c r="C206" i="1"/>
  <c r="B212" i="1"/>
  <c r="C276" i="1"/>
  <c r="B295" i="1"/>
  <c r="A295" i="1" s="1"/>
  <c r="G100" i="2"/>
  <c r="E100" i="2"/>
  <c r="H100" i="2" s="1"/>
  <c r="G162" i="2"/>
  <c r="E162" i="2"/>
  <c r="H162" i="2" s="1"/>
  <c r="E424" i="2"/>
  <c r="H424" i="2" s="1"/>
  <c r="G424" i="2"/>
  <c r="G561" i="2"/>
  <c r="E561" i="2"/>
  <c r="H561" i="2" s="1"/>
  <c r="E605" i="2"/>
  <c r="H605" i="2" s="1"/>
  <c r="G605" i="2"/>
  <c r="G294" i="3"/>
  <c r="E294" i="3"/>
  <c r="H294" i="3" s="1"/>
  <c r="G385" i="3"/>
  <c r="E385" i="3"/>
  <c r="H385" i="3" s="1"/>
  <c r="B195" i="1"/>
  <c r="C212" i="1"/>
  <c r="C324" i="1"/>
  <c r="G84" i="2"/>
  <c r="E84" i="2"/>
  <c r="H84" i="2" s="1"/>
  <c r="G299" i="2"/>
  <c r="E299" i="2"/>
  <c r="H299" i="2" s="1"/>
  <c r="E484" i="2"/>
  <c r="H484" i="2" s="1"/>
  <c r="G484" i="2"/>
  <c r="E598" i="2"/>
  <c r="H598" i="2" s="1"/>
  <c r="G598" i="2"/>
  <c r="E40" i="3"/>
  <c r="H40" i="3" s="1"/>
  <c r="G40" i="3"/>
  <c r="C258" i="1"/>
  <c r="E457" i="2"/>
  <c r="H457" i="2" s="1"/>
  <c r="G457" i="2"/>
  <c r="G250" i="3"/>
  <c r="E250" i="3"/>
  <c r="H250" i="3" s="1"/>
  <c r="G311" i="2"/>
  <c r="E311" i="2"/>
  <c r="H311" i="2" s="1"/>
  <c r="G433" i="2"/>
  <c r="E433" i="2"/>
  <c r="H433" i="2" s="1"/>
  <c r="E441" i="2"/>
  <c r="H441" i="2" s="1"/>
  <c r="G441" i="2"/>
  <c r="E486" i="2"/>
  <c r="H486" i="2" s="1"/>
  <c r="G486" i="2"/>
  <c r="E510" i="2"/>
  <c r="H510" i="2" s="1"/>
  <c r="G510" i="2"/>
  <c r="G524" i="2"/>
  <c r="E524" i="2"/>
  <c r="H524" i="2" s="1"/>
  <c r="G581" i="2"/>
  <c r="E581" i="2"/>
  <c r="H581" i="2" s="1"/>
  <c r="E594" i="2"/>
  <c r="H594" i="2" s="1"/>
  <c r="G594" i="2"/>
  <c r="E113" i="3"/>
  <c r="H113" i="3" s="1"/>
  <c r="G113" i="3"/>
  <c r="E565" i="3"/>
  <c r="H565" i="3" s="1"/>
  <c r="G565" i="3"/>
  <c r="E459" i="2"/>
  <c r="H459" i="2" s="1"/>
  <c r="G459" i="2"/>
  <c r="G482" i="2"/>
  <c r="E482" i="2"/>
  <c r="H482" i="2" s="1"/>
  <c r="G512" i="2"/>
  <c r="E512" i="2"/>
  <c r="H512" i="2" s="1"/>
  <c r="G596" i="2"/>
  <c r="E596" i="2"/>
  <c r="H596" i="2" s="1"/>
  <c r="G635" i="2"/>
  <c r="E635" i="2"/>
  <c r="H635" i="2" s="1"/>
  <c r="E46" i="3"/>
  <c r="H46" i="3" s="1"/>
  <c r="G46" i="3"/>
  <c r="E162" i="3"/>
  <c r="H162" i="3" s="1"/>
  <c r="G162" i="3"/>
  <c r="G191" i="3"/>
  <c r="E191" i="3"/>
  <c r="H191" i="3" s="1"/>
  <c r="E214" i="3"/>
  <c r="H214" i="3" s="1"/>
  <c r="G214" i="3"/>
  <c r="G370" i="3"/>
  <c r="E370" i="3"/>
  <c r="H370" i="3" s="1"/>
  <c r="E386" i="3"/>
  <c r="H386" i="3" s="1"/>
  <c r="G386" i="3"/>
  <c r="E493" i="3"/>
  <c r="H493" i="3" s="1"/>
  <c r="G493" i="3"/>
  <c r="G448" i="2"/>
  <c r="E448" i="2"/>
  <c r="H448" i="2" s="1"/>
  <c r="G532" i="2"/>
  <c r="E532" i="2"/>
  <c r="H532" i="2" s="1"/>
  <c r="G551" i="2"/>
  <c r="E551" i="2"/>
  <c r="H551" i="2" s="1"/>
  <c r="G564" i="2"/>
  <c r="E564" i="2"/>
  <c r="H564" i="2" s="1"/>
  <c r="E570" i="2"/>
  <c r="H570" i="2" s="1"/>
  <c r="G570" i="2"/>
  <c r="G597" i="2"/>
  <c r="E597" i="2"/>
  <c r="H597" i="2" s="1"/>
  <c r="E81" i="3"/>
  <c r="H81" i="3" s="1"/>
  <c r="G81" i="3"/>
  <c r="E155" i="3"/>
  <c r="H155" i="3" s="1"/>
  <c r="G155" i="3"/>
  <c r="G394" i="3"/>
  <c r="E394" i="3"/>
  <c r="H394" i="3" s="1"/>
  <c r="G486" i="3"/>
  <c r="E486" i="3"/>
  <c r="H486" i="3" s="1"/>
  <c r="G504" i="3"/>
  <c r="E504" i="3"/>
  <c r="H504" i="3" s="1"/>
  <c r="E34" i="3"/>
  <c r="H34" i="3" s="1"/>
  <c r="G34" i="3"/>
  <c r="G61" i="3"/>
  <c r="E61" i="3"/>
  <c r="H61" i="3" s="1"/>
  <c r="E341" i="3"/>
  <c r="H341" i="3" s="1"/>
  <c r="G341" i="3"/>
  <c r="G460" i="3"/>
  <c r="E460" i="3"/>
  <c r="H460" i="3" s="1"/>
  <c r="G488" i="3"/>
  <c r="E488" i="3"/>
  <c r="H488" i="3" s="1"/>
  <c r="G607" i="3"/>
  <c r="E607" i="3"/>
  <c r="H607" i="3" s="1"/>
  <c r="E21" i="3"/>
  <c r="H21" i="3" s="1"/>
  <c r="G21" i="3"/>
  <c r="G134" i="3"/>
  <c r="E134" i="3"/>
  <c r="H134" i="3" s="1"/>
  <c r="G497" i="3"/>
  <c r="E497" i="3"/>
  <c r="H497" i="3" s="1"/>
  <c r="G608" i="3"/>
  <c r="E608" i="3"/>
  <c r="H608" i="3" s="1"/>
  <c r="E452" i="2"/>
  <c r="H452" i="2" s="1"/>
  <c r="G452" i="2"/>
  <c r="E461" i="2"/>
  <c r="H461" i="2" s="1"/>
  <c r="G461" i="2"/>
  <c r="G624" i="2"/>
  <c r="E624" i="2"/>
  <c r="H624" i="2" s="1"/>
  <c r="E630" i="2"/>
  <c r="H630" i="2" s="1"/>
  <c r="G630" i="2"/>
  <c r="E638" i="2"/>
  <c r="H638" i="2" s="1"/>
  <c r="G638" i="2"/>
  <c r="E70" i="3"/>
  <c r="H70" i="3" s="1"/>
  <c r="G70" i="3"/>
  <c r="E77" i="3"/>
  <c r="H77" i="3" s="1"/>
  <c r="C77" i="3" s="1"/>
  <c r="E149" i="3"/>
  <c r="H149" i="3" s="1"/>
  <c r="G149" i="3"/>
  <c r="E585" i="3"/>
  <c r="H585" i="3" s="1"/>
  <c r="G585" i="3"/>
  <c r="G616" i="3"/>
  <c r="C616" i="3" s="1"/>
  <c r="G624" i="3"/>
  <c r="E624" i="3"/>
  <c r="H624" i="3" s="1"/>
  <c r="E165" i="2"/>
  <c r="H165" i="2" s="1"/>
  <c r="B165" i="2" s="1"/>
  <c r="E182" i="2"/>
  <c r="H182" i="2" s="1"/>
  <c r="C182" i="2" s="1"/>
  <c r="E223" i="2"/>
  <c r="H223" i="2" s="1"/>
  <c r="B223" i="2" s="1"/>
  <c r="E230" i="2"/>
  <c r="H230" i="2" s="1"/>
  <c r="C230" i="2" s="1"/>
  <c r="E264" i="2"/>
  <c r="H264" i="2" s="1"/>
  <c r="C264" i="2" s="1"/>
  <c r="G277" i="2"/>
  <c r="E283" i="2"/>
  <c r="H283" i="2" s="1"/>
  <c r="C283" i="2" s="1"/>
  <c r="G300" i="2"/>
  <c r="E305" i="2"/>
  <c r="H305" i="2" s="1"/>
  <c r="C305" i="2" s="1"/>
  <c r="E323" i="2"/>
  <c r="H323" i="2" s="1"/>
  <c r="B323" i="2" s="1"/>
  <c r="G328" i="2"/>
  <c r="E328" i="2"/>
  <c r="H328" i="2" s="1"/>
  <c r="E339" i="2"/>
  <c r="H339" i="2" s="1"/>
  <c r="C339" i="2" s="1"/>
  <c r="E343" i="2"/>
  <c r="H343" i="2" s="1"/>
  <c r="C343" i="2" s="1"/>
  <c r="G406" i="2"/>
  <c r="B406" i="2" s="1"/>
  <c r="E473" i="2"/>
  <c r="H473" i="2" s="1"/>
  <c r="G473" i="2"/>
  <c r="G578" i="2"/>
  <c r="C578" i="2" s="1"/>
  <c r="G659" i="2"/>
  <c r="E659" i="2"/>
  <c r="H659" i="2" s="1"/>
  <c r="G118" i="3"/>
  <c r="C118" i="3" s="1"/>
  <c r="E136" i="3"/>
  <c r="H136" i="3" s="1"/>
  <c r="G136" i="3"/>
  <c r="G201" i="3"/>
  <c r="B201" i="3" s="1"/>
  <c r="E317" i="3"/>
  <c r="H317" i="3" s="1"/>
  <c r="G317" i="3"/>
  <c r="E351" i="3"/>
  <c r="H351" i="3" s="1"/>
  <c r="G351" i="3"/>
  <c r="E422" i="3"/>
  <c r="H422" i="3" s="1"/>
  <c r="G422" i="3"/>
  <c r="G438" i="3"/>
  <c r="B438" i="3" s="1"/>
  <c r="E455" i="3"/>
  <c r="H455" i="3" s="1"/>
  <c r="G455" i="3"/>
  <c r="E305" i="1"/>
  <c r="C305" i="1" s="1"/>
  <c r="E51" i="2"/>
  <c r="H51" i="2" s="1"/>
  <c r="C51" i="2" s="1"/>
  <c r="E88" i="2"/>
  <c r="H88" i="2" s="1"/>
  <c r="C88" i="2" s="1"/>
  <c r="E256" i="2"/>
  <c r="H256" i="2" s="1"/>
  <c r="C256" i="2" s="1"/>
  <c r="E291" i="2"/>
  <c r="H291" i="2" s="1"/>
  <c r="B291" i="2" s="1"/>
  <c r="G313" i="2"/>
  <c r="E347" i="2"/>
  <c r="H347" i="2" s="1"/>
  <c r="C347" i="2" s="1"/>
  <c r="G357" i="2"/>
  <c r="C357" i="2" s="1"/>
  <c r="E379" i="2"/>
  <c r="H379" i="2" s="1"/>
  <c r="E383" i="2"/>
  <c r="H383" i="2" s="1"/>
  <c r="C383" i="2" s="1"/>
  <c r="E411" i="2"/>
  <c r="H411" i="2" s="1"/>
  <c r="B411" i="2" s="1"/>
  <c r="G422" i="2"/>
  <c r="B422" i="2" s="1"/>
  <c r="G508" i="2"/>
  <c r="E508" i="2"/>
  <c r="H508" i="2" s="1"/>
  <c r="G528" i="2"/>
  <c r="E528" i="2"/>
  <c r="H528" i="2" s="1"/>
  <c r="G548" i="2"/>
  <c r="E548" i="2"/>
  <c r="H548" i="2" s="1"/>
  <c r="G600" i="2"/>
  <c r="E600" i="2"/>
  <c r="H600" i="2" s="1"/>
  <c r="G660" i="2"/>
  <c r="E660" i="2"/>
  <c r="H660" i="2" s="1"/>
  <c r="G668" i="2"/>
  <c r="E668" i="2"/>
  <c r="H668" i="2" s="1"/>
  <c r="G7" i="3"/>
  <c r="E7" i="3"/>
  <c r="H7" i="3" s="1"/>
  <c r="G98" i="3"/>
  <c r="E98" i="3"/>
  <c r="H98" i="3" s="1"/>
  <c r="G111" i="3"/>
  <c r="E111" i="3"/>
  <c r="H111" i="3" s="1"/>
  <c r="G224" i="3"/>
  <c r="E224" i="3"/>
  <c r="H224" i="3" s="1"/>
  <c r="E262" i="3"/>
  <c r="H262" i="3" s="1"/>
  <c r="G262" i="3"/>
  <c r="G456" i="3"/>
  <c r="E456" i="3"/>
  <c r="H456" i="3" s="1"/>
  <c r="E105" i="3"/>
  <c r="H105" i="3" s="1"/>
  <c r="G105" i="3"/>
  <c r="G112" i="3"/>
  <c r="E112" i="3"/>
  <c r="H112" i="3" s="1"/>
  <c r="G119" i="3"/>
  <c r="E119" i="3"/>
  <c r="H119" i="3" s="1"/>
  <c r="G125" i="3"/>
  <c r="E125" i="3"/>
  <c r="H125" i="3" s="1"/>
  <c r="E222" i="3"/>
  <c r="H222" i="3" s="1"/>
  <c r="G222" i="3"/>
  <c r="G376" i="3"/>
  <c r="E376" i="3"/>
  <c r="H376" i="3" s="1"/>
  <c r="G384" i="3"/>
  <c r="E384" i="3"/>
  <c r="H384" i="3" s="1"/>
  <c r="G400" i="3"/>
  <c r="E400" i="3"/>
  <c r="H400" i="3" s="1"/>
  <c r="E409" i="3"/>
  <c r="H409" i="3" s="1"/>
  <c r="G409" i="3"/>
  <c r="G28" i="3"/>
  <c r="E28" i="3"/>
  <c r="H28" i="3" s="1"/>
  <c r="G182" i="3"/>
  <c r="E182" i="3"/>
  <c r="H182" i="3" s="1"/>
  <c r="G204" i="3"/>
  <c r="E204" i="3"/>
  <c r="H204" i="3" s="1"/>
  <c r="G218" i="3"/>
  <c r="E218" i="3"/>
  <c r="H218" i="3" s="1"/>
  <c r="G246" i="3"/>
  <c r="E246" i="3"/>
  <c r="H246" i="3" s="1"/>
  <c r="G273" i="3"/>
  <c r="E273" i="3"/>
  <c r="H273" i="3" s="1"/>
  <c r="G371" i="3"/>
  <c r="E371" i="3"/>
  <c r="H371" i="3" s="1"/>
  <c r="G496" i="3"/>
  <c r="E496" i="3"/>
  <c r="H496" i="3" s="1"/>
  <c r="E586" i="3"/>
  <c r="H586" i="3" s="1"/>
  <c r="G586" i="3"/>
  <c r="E610" i="3"/>
  <c r="H610" i="3" s="1"/>
  <c r="G610" i="3"/>
  <c r="E662" i="2"/>
  <c r="H662" i="2" s="1"/>
  <c r="G662" i="2"/>
  <c r="B2" i="3"/>
  <c r="G8" i="3"/>
  <c r="E8" i="3"/>
  <c r="H8" i="3" s="1"/>
  <c r="E130" i="3"/>
  <c r="H130" i="3" s="1"/>
  <c r="G130" i="3"/>
  <c r="G137" i="3"/>
  <c r="E137" i="3"/>
  <c r="H137" i="3" s="1"/>
  <c r="E225" i="3"/>
  <c r="H225" i="3" s="1"/>
  <c r="G225" i="3"/>
  <c r="E247" i="3"/>
  <c r="H247" i="3" s="1"/>
  <c r="G247" i="3"/>
  <c r="G285" i="3"/>
  <c r="E285" i="3"/>
  <c r="H285" i="3" s="1"/>
  <c r="G325" i="3"/>
  <c r="E325" i="3"/>
  <c r="H325" i="3" s="1"/>
  <c r="G403" i="3"/>
  <c r="E403" i="3"/>
  <c r="H403" i="3" s="1"/>
  <c r="E413" i="3"/>
  <c r="H413" i="3" s="1"/>
  <c r="G413" i="3"/>
  <c r="G527" i="3"/>
  <c r="E527" i="3"/>
  <c r="H527" i="3" s="1"/>
  <c r="G534" i="3"/>
  <c r="E534" i="3"/>
  <c r="H534" i="3" s="1"/>
  <c r="E656" i="3"/>
  <c r="H656" i="3" s="1"/>
  <c r="B656" i="3" s="1"/>
  <c r="E664" i="3"/>
  <c r="H664" i="3" s="1"/>
  <c r="G664" i="3"/>
  <c r="E650" i="2"/>
  <c r="H650" i="2" s="1"/>
  <c r="G650" i="2"/>
  <c r="G206" i="3"/>
  <c r="E206" i="3"/>
  <c r="H206" i="3" s="1"/>
  <c r="E352" i="3"/>
  <c r="H352" i="3" s="1"/>
  <c r="G352" i="3"/>
  <c r="G484" i="3"/>
  <c r="E484" i="3"/>
  <c r="H484" i="3" s="1"/>
  <c r="G635" i="3"/>
  <c r="E635" i="3"/>
  <c r="H635" i="3" s="1"/>
  <c r="G542" i="2"/>
  <c r="B542" i="2" s="1"/>
  <c r="G566" i="2"/>
  <c r="C566" i="2" s="1"/>
  <c r="G592" i="2"/>
  <c r="C592" i="2" s="1"/>
  <c r="G606" i="2"/>
  <c r="G54" i="3"/>
  <c r="E54" i="3"/>
  <c r="H54" i="3" s="1"/>
  <c r="G60" i="3"/>
  <c r="C60" i="3" s="1"/>
  <c r="G108" i="3"/>
  <c r="E108" i="3"/>
  <c r="H108" i="3" s="1"/>
  <c r="E123" i="3"/>
  <c r="H123" i="3" s="1"/>
  <c r="C123" i="3" s="1"/>
  <c r="E131" i="3"/>
  <c r="H131" i="3" s="1"/>
  <c r="G131" i="3"/>
  <c r="E166" i="3"/>
  <c r="H166" i="3" s="1"/>
  <c r="G166" i="3"/>
  <c r="G335" i="3"/>
  <c r="E335" i="3"/>
  <c r="H335" i="3" s="1"/>
  <c r="G405" i="3"/>
  <c r="E405" i="3"/>
  <c r="H405" i="3" s="1"/>
  <c r="G464" i="3"/>
  <c r="E464" i="3"/>
  <c r="H464" i="3" s="1"/>
  <c r="E547" i="3"/>
  <c r="H547" i="3" s="1"/>
  <c r="G547" i="3"/>
  <c r="E561" i="3"/>
  <c r="H561" i="3" s="1"/>
  <c r="G561" i="3"/>
  <c r="G581" i="3"/>
  <c r="C581" i="3" s="1"/>
  <c r="G603" i="3"/>
  <c r="E603" i="3"/>
  <c r="H603" i="3" s="1"/>
  <c r="G628" i="3"/>
  <c r="C628" i="3" s="1"/>
  <c r="G390" i="3"/>
  <c r="E390" i="3"/>
  <c r="H390" i="3" s="1"/>
  <c r="G555" i="3"/>
  <c r="E555" i="3"/>
  <c r="H555" i="3" s="1"/>
  <c r="G582" i="3"/>
  <c r="E582" i="3"/>
  <c r="H582" i="3" s="1"/>
  <c r="G604" i="3"/>
  <c r="E604" i="3"/>
  <c r="H604" i="3" s="1"/>
  <c r="G62" i="3"/>
  <c r="E62" i="3"/>
  <c r="H62" i="3" s="1"/>
  <c r="E186" i="3"/>
  <c r="H186" i="3" s="1"/>
  <c r="G186" i="3"/>
  <c r="E368" i="3"/>
  <c r="H368" i="3" s="1"/>
  <c r="G368" i="3"/>
  <c r="E452" i="3"/>
  <c r="H452" i="3" s="1"/>
  <c r="G452" i="3"/>
  <c r="G465" i="3"/>
  <c r="B465" i="3" s="1"/>
  <c r="G472" i="3"/>
  <c r="E472" i="3"/>
  <c r="H472" i="3" s="1"/>
  <c r="G500" i="3"/>
  <c r="E500" i="3"/>
  <c r="H500" i="3" s="1"/>
  <c r="G583" i="3"/>
  <c r="E583" i="3"/>
  <c r="H583" i="3" s="1"/>
  <c r="G629" i="3"/>
  <c r="C629" i="3" s="1"/>
  <c r="C641" i="3"/>
  <c r="A641" i="3" s="1"/>
  <c r="E647" i="2"/>
  <c r="H647" i="2" s="1"/>
  <c r="C647" i="2" s="1"/>
  <c r="E657" i="2"/>
  <c r="H657" i="2" s="1"/>
  <c r="B657" i="2" s="1"/>
  <c r="G117" i="3"/>
  <c r="B117" i="3" s="1"/>
  <c r="E122" i="3"/>
  <c r="H122" i="3" s="1"/>
  <c r="C122" i="3" s="1"/>
  <c r="E132" i="3"/>
  <c r="H132" i="3" s="1"/>
  <c r="C132" i="3" s="1"/>
  <c r="E148" i="3"/>
  <c r="H148" i="3" s="1"/>
  <c r="C148" i="3" s="1"/>
  <c r="E158" i="3"/>
  <c r="H158" i="3" s="1"/>
  <c r="C158" i="3" s="1"/>
  <c r="E169" i="3"/>
  <c r="H169" i="3" s="1"/>
  <c r="B169" i="3" s="1"/>
  <c r="G252" i="3"/>
  <c r="E283" i="3"/>
  <c r="H283" i="3" s="1"/>
  <c r="B283" i="3" s="1"/>
  <c r="G353" i="3"/>
  <c r="C353" i="3" s="1"/>
  <c r="G439" i="3"/>
  <c r="C439" i="3" s="1"/>
  <c r="G517" i="3"/>
  <c r="C517" i="3" s="1"/>
  <c r="G653" i="3"/>
  <c r="B653" i="3" s="1"/>
  <c r="E19" i="3"/>
  <c r="H19" i="3" s="1"/>
  <c r="C19" i="3" s="1"/>
  <c r="G57" i="3"/>
  <c r="E80" i="3"/>
  <c r="H80" i="3" s="1"/>
  <c r="B80" i="3" s="1"/>
  <c r="G154" i="3"/>
  <c r="C154" i="3" s="1"/>
  <c r="G178" i="3"/>
  <c r="B178" i="3" s="1"/>
  <c r="B359" i="3"/>
  <c r="E559" i="3"/>
  <c r="H559" i="3" s="1"/>
  <c r="C559" i="3" s="1"/>
  <c r="E569" i="3"/>
  <c r="H569" i="3" s="1"/>
  <c r="B569" i="3" s="1"/>
  <c r="E575" i="3"/>
  <c r="H575" i="3" s="1"/>
  <c r="C575" i="3" s="1"/>
  <c r="G589" i="3"/>
  <c r="E605" i="3"/>
  <c r="H605" i="3" s="1"/>
  <c r="C605" i="3" s="1"/>
  <c r="G609" i="3"/>
  <c r="B609" i="3" s="1"/>
  <c r="G631" i="3"/>
  <c r="C631" i="3" s="1"/>
  <c r="E654" i="3"/>
  <c r="H654" i="3" s="1"/>
  <c r="C654" i="3" s="1"/>
  <c r="C295" i="3"/>
  <c r="E337" i="3"/>
  <c r="H337" i="3" s="1"/>
  <c r="C337" i="3" s="1"/>
  <c r="E345" i="3"/>
  <c r="H345" i="3" s="1"/>
  <c r="C345" i="3" s="1"/>
  <c r="E350" i="3"/>
  <c r="H350" i="3" s="1"/>
  <c r="C350" i="3" s="1"/>
  <c r="E364" i="3"/>
  <c r="H364" i="3" s="1"/>
  <c r="C364" i="3" s="1"/>
  <c r="G416" i="3"/>
  <c r="C416" i="3" s="1"/>
  <c r="E451" i="3"/>
  <c r="H451" i="3" s="1"/>
  <c r="B451" i="3" s="1"/>
  <c r="G468" i="3"/>
  <c r="B468" i="3" s="1"/>
  <c r="G513" i="3"/>
  <c r="B513" i="3" s="1"/>
  <c r="E519" i="3"/>
  <c r="H519" i="3" s="1"/>
  <c r="B519" i="3" s="1"/>
  <c r="E615" i="3"/>
  <c r="H615" i="3" s="1"/>
  <c r="B615" i="3" s="1"/>
  <c r="E666" i="3"/>
  <c r="H666" i="3" s="1"/>
  <c r="C666" i="3" s="1"/>
  <c r="C6" i="1"/>
  <c r="A6" i="1" s="1"/>
  <c r="B10" i="1"/>
  <c r="C17" i="1"/>
  <c r="A17" i="1" s="1"/>
  <c r="B22" i="1"/>
  <c r="C29" i="1"/>
  <c r="A29" i="1" s="1"/>
  <c r="B34" i="1"/>
  <c r="C41" i="1"/>
  <c r="A41" i="1" s="1"/>
  <c r="B46" i="1"/>
  <c r="C53" i="1"/>
  <c r="A53" i="1" s="1"/>
  <c r="B58" i="1"/>
  <c r="C65" i="1"/>
  <c r="A65" i="1" s="1"/>
  <c r="B70" i="1"/>
  <c r="C77" i="1"/>
  <c r="A77" i="1" s="1"/>
  <c r="B82" i="1"/>
  <c r="C87" i="1"/>
  <c r="A87" i="1" s="1"/>
  <c r="C106" i="1"/>
  <c r="A106" i="1" s="1"/>
  <c r="C117" i="1"/>
  <c r="A117" i="1" s="1"/>
  <c r="B160" i="1"/>
  <c r="B182" i="1"/>
  <c r="A182" i="1" s="1"/>
  <c r="B201" i="1"/>
  <c r="B273" i="1"/>
  <c r="A273" i="1" s="1"/>
  <c r="B309" i="1"/>
  <c r="A309" i="1" s="1"/>
  <c r="G83" i="2"/>
  <c r="E83" i="2"/>
  <c r="H83" i="2" s="1"/>
  <c r="E2" i="1"/>
  <c r="C2" i="1" s="1"/>
  <c r="B5" i="1"/>
  <c r="A5" i="1" s="1"/>
  <c r="C10" i="1"/>
  <c r="E12" i="1"/>
  <c r="C12" i="1" s="1"/>
  <c r="C22" i="1"/>
  <c r="E24" i="1"/>
  <c r="C24" i="1" s="1"/>
  <c r="C34" i="1"/>
  <c r="E36" i="1"/>
  <c r="C36" i="1" s="1"/>
  <c r="C46" i="1"/>
  <c r="E48" i="1"/>
  <c r="C48" i="1" s="1"/>
  <c r="C58" i="1"/>
  <c r="E60" i="1"/>
  <c r="C60" i="1" s="1"/>
  <c r="C70" i="1"/>
  <c r="E72" i="1"/>
  <c r="C72" i="1" s="1"/>
  <c r="C82" i="1"/>
  <c r="B95" i="1"/>
  <c r="A95" i="1" s="1"/>
  <c r="C120" i="1"/>
  <c r="A120" i="1" s="1"/>
  <c r="B131" i="1"/>
  <c r="A131" i="1" s="1"/>
  <c r="B137" i="1"/>
  <c r="A137" i="1" s="1"/>
  <c r="E150" i="1"/>
  <c r="C150" i="1" s="1"/>
  <c r="C160" i="1"/>
  <c r="E167" i="1"/>
  <c r="B167" i="1" s="1"/>
  <c r="B171" i="1"/>
  <c r="A171" i="1" s="1"/>
  <c r="E178" i="1"/>
  <c r="B178" i="1" s="1"/>
  <c r="C201" i="1"/>
  <c r="C209" i="1"/>
  <c r="B209" i="1"/>
  <c r="B220" i="1"/>
  <c r="A220" i="1" s="1"/>
  <c r="C228" i="1"/>
  <c r="E239" i="1"/>
  <c r="B239" i="1" s="1"/>
  <c r="B243" i="1"/>
  <c r="B251" i="1"/>
  <c r="C251" i="1"/>
  <c r="E255" i="1"/>
  <c r="C255" i="1" s="1"/>
  <c r="B287" i="1"/>
  <c r="C287" i="1"/>
  <c r="E291" i="1"/>
  <c r="C291" i="1" s="1"/>
  <c r="B323" i="1"/>
  <c r="C323" i="1"/>
  <c r="G87" i="2"/>
  <c r="E87" i="2"/>
  <c r="H87" i="2" s="1"/>
  <c r="G107" i="2"/>
  <c r="E107" i="2"/>
  <c r="H107" i="2" s="1"/>
  <c r="B115" i="1"/>
  <c r="A115" i="1" s="1"/>
  <c r="B194" i="1"/>
  <c r="A194" i="1" s="1"/>
  <c r="G111" i="2"/>
  <c r="E111" i="2"/>
  <c r="H111" i="2" s="1"/>
  <c r="B3" i="1"/>
  <c r="B13" i="1"/>
  <c r="B25" i="1"/>
  <c r="B37" i="1"/>
  <c r="B49" i="1"/>
  <c r="B61" i="1"/>
  <c r="B73" i="1"/>
  <c r="B93" i="1"/>
  <c r="B101" i="1"/>
  <c r="B104" i="1"/>
  <c r="B118" i="1"/>
  <c r="C126" i="1"/>
  <c r="B129" i="1"/>
  <c r="B141" i="1"/>
  <c r="E144" i="1"/>
  <c r="C144" i="1" s="1"/>
  <c r="B151" i="1"/>
  <c r="A151" i="1" s="1"/>
  <c r="B164" i="1"/>
  <c r="A164" i="1" s="1"/>
  <c r="C168" i="1"/>
  <c r="E179" i="1"/>
  <c r="B179" i="1" s="1"/>
  <c r="B183" i="1"/>
  <c r="E190" i="1"/>
  <c r="C190" i="1" s="1"/>
  <c r="C213" i="1"/>
  <c r="A213" i="1" s="1"/>
  <c r="C221" i="1"/>
  <c r="B221" i="1"/>
  <c r="B232" i="1"/>
  <c r="A232" i="1" s="1"/>
  <c r="B236" i="1"/>
  <c r="A236" i="1" s="1"/>
  <c r="C240" i="1"/>
  <c r="E256" i="1"/>
  <c r="C256" i="1" s="1"/>
  <c r="C270" i="1"/>
  <c r="C274" i="1"/>
  <c r="B274" i="1"/>
  <c r="E292" i="1"/>
  <c r="C292" i="1" s="1"/>
  <c r="C306" i="1"/>
  <c r="C310" i="1"/>
  <c r="B310" i="1"/>
  <c r="E58" i="2"/>
  <c r="H58" i="2" s="1"/>
  <c r="C58" i="2" s="1"/>
  <c r="G135" i="2"/>
  <c r="E135" i="2"/>
  <c r="H135" i="2" s="1"/>
  <c r="G371" i="2"/>
  <c r="E371" i="2"/>
  <c r="H371" i="2" s="1"/>
  <c r="C3" i="1"/>
  <c r="C13" i="1"/>
  <c r="C25" i="1"/>
  <c r="C37" i="1"/>
  <c r="C49" i="1"/>
  <c r="C61" i="1"/>
  <c r="C73" i="1"/>
  <c r="C93" i="1"/>
  <c r="C104" i="1"/>
  <c r="C118" i="1"/>
  <c r="C129" i="1"/>
  <c r="C138" i="1"/>
  <c r="B138" i="1"/>
  <c r="C141" i="1"/>
  <c r="C183" i="1"/>
  <c r="B191" i="1"/>
  <c r="C191" i="1"/>
  <c r="C210" i="1"/>
  <c r="C257" i="1"/>
  <c r="C293" i="1"/>
  <c r="G59" i="2"/>
  <c r="E59" i="2"/>
  <c r="H59" i="2" s="1"/>
  <c r="G159" i="2"/>
  <c r="E159" i="2"/>
  <c r="H159" i="2" s="1"/>
  <c r="E279" i="1"/>
  <c r="B279" i="1" s="1"/>
  <c r="E315" i="1"/>
  <c r="C315" i="1" s="1"/>
  <c r="G80" i="2"/>
  <c r="E80" i="2"/>
  <c r="H80" i="2" s="1"/>
  <c r="G183" i="2"/>
  <c r="E183" i="2"/>
  <c r="H183" i="2" s="1"/>
  <c r="G226" i="2"/>
  <c r="E226" i="2"/>
  <c r="H226" i="2" s="1"/>
  <c r="C11" i="1"/>
  <c r="A11" i="1" s="1"/>
  <c r="C23" i="1"/>
  <c r="A23" i="1" s="1"/>
  <c r="C35" i="1"/>
  <c r="A35" i="1" s="1"/>
  <c r="C47" i="1"/>
  <c r="A47" i="1" s="1"/>
  <c r="C59" i="1"/>
  <c r="A59" i="1" s="1"/>
  <c r="C71" i="1"/>
  <c r="A71" i="1" s="1"/>
  <c r="C83" i="1"/>
  <c r="A83" i="1" s="1"/>
  <c r="B91" i="1"/>
  <c r="A91" i="1" s="1"/>
  <c r="E96" i="1"/>
  <c r="B96" i="1" s="1"/>
  <c r="C99" i="1"/>
  <c r="A99" i="1" s="1"/>
  <c r="E107" i="1"/>
  <c r="C107" i="1" s="1"/>
  <c r="C124" i="1"/>
  <c r="A124" i="1" s="1"/>
  <c r="B127" i="1"/>
  <c r="A127" i="1" s="1"/>
  <c r="E132" i="1"/>
  <c r="B132" i="1" s="1"/>
  <c r="E161" i="1"/>
  <c r="C161" i="1" s="1"/>
  <c r="B165" i="1"/>
  <c r="E172" i="1"/>
  <c r="B172" i="1" s="1"/>
  <c r="C195" i="1"/>
  <c r="B203" i="1"/>
  <c r="C203" i="1"/>
  <c r="B214" i="1"/>
  <c r="C222" i="1"/>
  <c r="E233" i="1"/>
  <c r="C233" i="1" s="1"/>
  <c r="E244" i="1"/>
  <c r="B244" i="1" s="1"/>
  <c r="B266" i="1"/>
  <c r="A266" i="1" s="1"/>
  <c r="E275" i="1"/>
  <c r="B275" i="1" s="1"/>
  <c r="B302" i="1"/>
  <c r="A302" i="1" s="1"/>
  <c r="E311" i="1"/>
  <c r="B311" i="1" s="1"/>
  <c r="G207" i="2"/>
  <c r="E207" i="2"/>
  <c r="H207" i="2" s="1"/>
  <c r="B33" i="1"/>
  <c r="B45" i="1"/>
  <c r="B57" i="1"/>
  <c r="B69" i="1"/>
  <c r="B81" i="1"/>
  <c r="B86" i="1"/>
  <c r="B94" i="1"/>
  <c r="B105" i="1"/>
  <c r="B116" i="1"/>
  <c r="B130" i="1"/>
  <c r="B139" i="1"/>
  <c r="A139" i="1" s="1"/>
  <c r="B152" i="1"/>
  <c r="A152" i="1" s="1"/>
  <c r="B188" i="1"/>
  <c r="A188" i="1" s="1"/>
  <c r="B207" i="1"/>
  <c r="E280" i="1"/>
  <c r="B280" i="1" s="1"/>
  <c r="E316" i="1"/>
  <c r="B316" i="1" s="1"/>
  <c r="G237" i="2"/>
  <c r="E237" i="2"/>
  <c r="H237" i="2" s="1"/>
  <c r="B9" i="1"/>
  <c r="B21" i="1"/>
  <c r="C9" i="1"/>
  <c r="C21" i="1"/>
  <c r="C33" i="1"/>
  <c r="C45" i="1"/>
  <c r="C57" i="1"/>
  <c r="C69" i="1"/>
  <c r="C81" i="1"/>
  <c r="C86" i="1"/>
  <c r="C94" i="1"/>
  <c r="E102" i="1"/>
  <c r="C102" i="1" s="1"/>
  <c r="C105" i="1"/>
  <c r="E113" i="1"/>
  <c r="C113" i="1" s="1"/>
  <c r="C116" i="1"/>
  <c r="C130" i="1"/>
  <c r="E155" i="1"/>
  <c r="C155" i="1" s="1"/>
  <c r="C162" i="1"/>
  <c r="B162" i="1"/>
  <c r="E173" i="1"/>
  <c r="C173" i="1" s="1"/>
  <c r="B177" i="1"/>
  <c r="E184" i="1"/>
  <c r="B184" i="1" s="1"/>
  <c r="C207" i="1"/>
  <c r="B215" i="1"/>
  <c r="C215" i="1"/>
  <c r="B226" i="1"/>
  <c r="A226" i="1" s="1"/>
  <c r="C234" i="1"/>
  <c r="E245" i="1"/>
  <c r="C245" i="1" s="1"/>
  <c r="E262" i="1"/>
  <c r="C262" i="1" s="1"/>
  <c r="C281" i="1"/>
  <c r="E298" i="1"/>
  <c r="C298" i="1" s="1"/>
  <c r="C317" i="1"/>
  <c r="E7" i="2"/>
  <c r="H7" i="2" s="1"/>
  <c r="B7" i="2" s="1"/>
  <c r="G14" i="2"/>
  <c r="E14" i="2"/>
  <c r="H14" i="2" s="1"/>
  <c r="E267" i="1"/>
  <c r="B267" i="1" s="1"/>
  <c r="E303" i="1"/>
  <c r="C303" i="1" s="1"/>
  <c r="G314" i="2"/>
  <c r="E314" i="2"/>
  <c r="H314" i="2" s="1"/>
  <c r="B89" i="1"/>
  <c r="A89" i="1" s="1"/>
  <c r="E108" i="1"/>
  <c r="C108" i="1" s="1"/>
  <c r="E119" i="1"/>
  <c r="C119" i="1" s="1"/>
  <c r="E149" i="1"/>
  <c r="C149" i="1" s="1"/>
  <c r="C156" i="1"/>
  <c r="B156" i="1"/>
  <c r="C159" i="1"/>
  <c r="B166" i="1"/>
  <c r="B170" i="1"/>
  <c r="A170" i="1" s="1"/>
  <c r="C174" i="1"/>
  <c r="E185" i="1"/>
  <c r="C185" i="1" s="1"/>
  <c r="B189" i="1"/>
  <c r="E196" i="1"/>
  <c r="C196" i="1" s="1"/>
  <c r="B227" i="1"/>
  <c r="C227" i="1"/>
  <c r="B242" i="1"/>
  <c r="A242" i="1" s="1"/>
  <c r="C246" i="1"/>
  <c r="B254" i="1"/>
  <c r="A254" i="1" s="1"/>
  <c r="E263" i="1"/>
  <c r="B263" i="1" s="1"/>
  <c r="B290" i="1"/>
  <c r="A290" i="1" s="1"/>
  <c r="E299" i="1"/>
  <c r="B299" i="1" s="1"/>
  <c r="E8" i="2"/>
  <c r="H8" i="2" s="1"/>
  <c r="C8" i="2" s="1"/>
  <c r="G15" i="2"/>
  <c r="E15" i="2"/>
  <c r="H15" i="2" s="1"/>
  <c r="G65" i="2"/>
  <c r="E65" i="2"/>
  <c r="H65" i="2" s="1"/>
  <c r="G278" i="2"/>
  <c r="E278" i="2"/>
  <c r="H278" i="2" s="1"/>
  <c r="C84" i="1"/>
  <c r="B125" i="1"/>
  <c r="B143" i="1"/>
  <c r="C189" i="1"/>
  <c r="C197" i="1"/>
  <c r="B197" i="1"/>
  <c r="B208" i="1"/>
  <c r="C216" i="1"/>
  <c r="C250" i="1"/>
  <c r="B250" i="1"/>
  <c r="E268" i="1"/>
  <c r="B268" i="1" s="1"/>
  <c r="C282" i="1"/>
  <c r="C286" i="1"/>
  <c r="B286" i="1"/>
  <c r="E304" i="1"/>
  <c r="C304" i="1" s="1"/>
  <c r="C318" i="1"/>
  <c r="C322" i="1"/>
  <c r="B322" i="1"/>
  <c r="G95" i="2"/>
  <c r="E95" i="2"/>
  <c r="H95" i="2" s="1"/>
  <c r="G56" i="2"/>
  <c r="G63" i="2"/>
  <c r="G327" i="2"/>
  <c r="E327" i="2"/>
  <c r="H327" i="2" s="1"/>
  <c r="E437" i="2"/>
  <c r="H437" i="2" s="1"/>
  <c r="G437" i="2"/>
  <c r="B184" i="2"/>
  <c r="G227" i="2"/>
  <c r="E227" i="2"/>
  <c r="H227" i="2" s="1"/>
  <c r="G290" i="2"/>
  <c r="E290" i="2"/>
  <c r="H290" i="2" s="1"/>
  <c r="G413" i="2"/>
  <c r="E413" i="2"/>
  <c r="H413" i="2" s="1"/>
  <c r="G131" i="2"/>
  <c r="E131" i="2"/>
  <c r="H131" i="2" s="1"/>
  <c r="B141" i="2"/>
  <c r="G155" i="2"/>
  <c r="E155" i="2"/>
  <c r="H155" i="2" s="1"/>
  <c r="G179" i="2"/>
  <c r="E179" i="2"/>
  <c r="H179" i="2" s="1"/>
  <c r="C189" i="2"/>
  <c r="B189" i="2"/>
  <c r="G203" i="2"/>
  <c r="E203" i="2"/>
  <c r="H203" i="2" s="1"/>
  <c r="G233" i="2"/>
  <c r="E233" i="2"/>
  <c r="H233" i="2" s="1"/>
  <c r="C249" i="2"/>
  <c r="B249" i="2"/>
  <c r="G306" i="2"/>
  <c r="E306" i="2"/>
  <c r="H306" i="2" s="1"/>
  <c r="G395" i="2"/>
  <c r="E395" i="2"/>
  <c r="H395" i="2" s="1"/>
  <c r="G71" i="2"/>
  <c r="E71" i="2"/>
  <c r="H71" i="2" s="1"/>
  <c r="E244" i="2"/>
  <c r="H244" i="2" s="1"/>
  <c r="C244" i="2" s="1"/>
  <c r="G329" i="2"/>
  <c r="E329" i="2"/>
  <c r="H329" i="2" s="1"/>
  <c r="G498" i="2"/>
  <c r="E498" i="2"/>
  <c r="H498" i="2" s="1"/>
  <c r="B168" i="1"/>
  <c r="B216" i="1"/>
  <c r="B228" i="1"/>
  <c r="B240" i="1"/>
  <c r="B252" i="1"/>
  <c r="B264" i="1"/>
  <c r="B276" i="1"/>
  <c r="B288" i="1"/>
  <c r="B300" i="1"/>
  <c r="B324" i="1"/>
  <c r="E9" i="2"/>
  <c r="H9" i="2" s="1"/>
  <c r="E50" i="2"/>
  <c r="H50" i="2" s="1"/>
  <c r="C50" i="2" s="1"/>
  <c r="E57" i="2"/>
  <c r="H57" i="2" s="1"/>
  <c r="C57" i="2" s="1"/>
  <c r="E64" i="2"/>
  <c r="H64" i="2" s="1"/>
  <c r="E99" i="2"/>
  <c r="H99" i="2" s="1"/>
  <c r="B99" i="2" s="1"/>
  <c r="E123" i="2"/>
  <c r="H123" i="2" s="1"/>
  <c r="B123" i="2" s="1"/>
  <c r="E147" i="2"/>
  <c r="H147" i="2" s="1"/>
  <c r="B147" i="2" s="1"/>
  <c r="E171" i="2"/>
  <c r="H171" i="2" s="1"/>
  <c r="B171" i="2" s="1"/>
  <c r="E195" i="2"/>
  <c r="H195" i="2" s="1"/>
  <c r="C195" i="2" s="1"/>
  <c r="E219" i="2"/>
  <c r="H219" i="2" s="1"/>
  <c r="B219" i="2" s="1"/>
  <c r="G239" i="2"/>
  <c r="E239" i="2"/>
  <c r="H239" i="2" s="1"/>
  <c r="E250" i="2"/>
  <c r="H250" i="2" s="1"/>
  <c r="B250" i="2" s="1"/>
  <c r="E261" i="2"/>
  <c r="H261" i="2" s="1"/>
  <c r="C261" i="2" s="1"/>
  <c r="E265" i="2"/>
  <c r="H265" i="2" s="1"/>
  <c r="G265" i="2"/>
  <c r="B257" i="1"/>
  <c r="B269" i="1"/>
  <c r="B281" i="1"/>
  <c r="B293" i="1"/>
  <c r="B317" i="1"/>
  <c r="G89" i="2"/>
  <c r="E89" i="2"/>
  <c r="H89" i="2" s="1"/>
  <c r="E94" i="2"/>
  <c r="H94" i="2" s="1"/>
  <c r="C94" i="2" s="1"/>
  <c r="G113" i="2"/>
  <c r="E113" i="2"/>
  <c r="H113" i="2" s="1"/>
  <c r="E118" i="2"/>
  <c r="H118" i="2" s="1"/>
  <c r="C118" i="2" s="1"/>
  <c r="G137" i="2"/>
  <c r="E137" i="2"/>
  <c r="H137" i="2" s="1"/>
  <c r="E142" i="2"/>
  <c r="H142" i="2" s="1"/>
  <c r="C142" i="2" s="1"/>
  <c r="G161" i="2"/>
  <c r="E161" i="2"/>
  <c r="H161" i="2" s="1"/>
  <c r="C163" i="2"/>
  <c r="A163" i="2" s="1"/>
  <c r="E166" i="2"/>
  <c r="H166" i="2" s="1"/>
  <c r="C166" i="2" s="1"/>
  <c r="G185" i="2"/>
  <c r="E185" i="2"/>
  <c r="H185" i="2" s="1"/>
  <c r="E190" i="2"/>
  <c r="H190" i="2" s="1"/>
  <c r="C190" i="2" s="1"/>
  <c r="G209" i="2"/>
  <c r="E209" i="2"/>
  <c r="H209" i="2" s="1"/>
  <c r="E214" i="2"/>
  <c r="H214" i="2" s="1"/>
  <c r="C214" i="2" s="1"/>
  <c r="G245" i="2"/>
  <c r="E245" i="2"/>
  <c r="H245" i="2" s="1"/>
  <c r="G266" i="2"/>
  <c r="E266" i="2"/>
  <c r="H266" i="2" s="1"/>
  <c r="G302" i="2"/>
  <c r="E302" i="2"/>
  <c r="H302" i="2" s="1"/>
  <c r="G53" i="2"/>
  <c r="E53" i="2"/>
  <c r="H53" i="2" s="1"/>
  <c r="G282" i="2"/>
  <c r="E282" i="2"/>
  <c r="H282" i="2" s="1"/>
  <c r="G321" i="2"/>
  <c r="E321" i="2"/>
  <c r="H321" i="2" s="1"/>
  <c r="G348" i="2"/>
  <c r="E348" i="2"/>
  <c r="H348" i="2" s="1"/>
  <c r="G352" i="2"/>
  <c r="E352" i="2"/>
  <c r="H352" i="2" s="1"/>
  <c r="G378" i="2"/>
  <c r="E378" i="2"/>
  <c r="H378" i="2" s="1"/>
  <c r="G389" i="2"/>
  <c r="E389" i="2"/>
  <c r="H389" i="2" s="1"/>
  <c r="G251" i="2"/>
  <c r="E251" i="2"/>
  <c r="H251" i="2" s="1"/>
  <c r="G293" i="2"/>
  <c r="E293" i="2"/>
  <c r="H293" i="2" s="1"/>
  <c r="G353" i="2"/>
  <c r="E353" i="2"/>
  <c r="H353" i="2" s="1"/>
  <c r="G119" i="2"/>
  <c r="E119" i="2"/>
  <c r="H119" i="2" s="1"/>
  <c r="G143" i="2"/>
  <c r="E143" i="2"/>
  <c r="H143" i="2" s="1"/>
  <c r="C153" i="2"/>
  <c r="B153" i="2"/>
  <c r="G167" i="2"/>
  <c r="E167" i="2"/>
  <c r="H167" i="2" s="1"/>
  <c r="G191" i="2"/>
  <c r="E191" i="2"/>
  <c r="H191" i="2" s="1"/>
  <c r="G215" i="2"/>
  <c r="E215" i="2"/>
  <c r="H215" i="2" s="1"/>
  <c r="G257" i="2"/>
  <c r="E257" i="2"/>
  <c r="H257" i="2" s="1"/>
  <c r="G435" i="2"/>
  <c r="E435" i="2"/>
  <c r="H435" i="2" s="1"/>
  <c r="B174" i="1"/>
  <c r="B186" i="1"/>
  <c r="B210" i="1"/>
  <c r="B222" i="1"/>
  <c r="B234" i="1"/>
  <c r="B246" i="1"/>
  <c r="B258" i="1"/>
  <c r="B270" i="1"/>
  <c r="B282" i="1"/>
  <c r="B294" i="1"/>
  <c r="B306" i="1"/>
  <c r="B318" i="1"/>
  <c r="G77" i="2"/>
  <c r="E77" i="2"/>
  <c r="H77" i="2" s="1"/>
  <c r="G372" i="2"/>
  <c r="E372" i="2"/>
  <c r="H372" i="2" s="1"/>
  <c r="G47" i="2"/>
  <c r="E47" i="2"/>
  <c r="H47" i="2" s="1"/>
  <c r="E70" i="2"/>
  <c r="H70" i="2" s="1"/>
  <c r="E82" i="2"/>
  <c r="H82" i="2" s="1"/>
  <c r="C82" i="2" s="1"/>
  <c r="G101" i="2"/>
  <c r="E101" i="2"/>
  <c r="H101" i="2" s="1"/>
  <c r="E106" i="2"/>
  <c r="H106" i="2" s="1"/>
  <c r="C106" i="2" s="1"/>
  <c r="G125" i="2"/>
  <c r="E125" i="2"/>
  <c r="H125" i="2" s="1"/>
  <c r="E130" i="2"/>
  <c r="H130" i="2" s="1"/>
  <c r="C130" i="2" s="1"/>
  <c r="G149" i="2"/>
  <c r="E149" i="2"/>
  <c r="H149" i="2" s="1"/>
  <c r="E154" i="2"/>
  <c r="H154" i="2" s="1"/>
  <c r="C154" i="2" s="1"/>
  <c r="B157" i="2"/>
  <c r="G173" i="2"/>
  <c r="E173" i="2"/>
  <c r="H173" i="2" s="1"/>
  <c r="E178" i="2"/>
  <c r="H178" i="2" s="1"/>
  <c r="C178" i="2" s="1"/>
  <c r="G197" i="2"/>
  <c r="E197" i="2"/>
  <c r="H197" i="2" s="1"/>
  <c r="E202" i="2"/>
  <c r="H202" i="2" s="1"/>
  <c r="C202" i="2" s="1"/>
  <c r="G221" i="2"/>
  <c r="E221" i="2"/>
  <c r="H221" i="2" s="1"/>
  <c r="E263" i="2"/>
  <c r="H263" i="2" s="1"/>
  <c r="C263" i="2" s="1"/>
  <c r="G269" i="2"/>
  <c r="E269" i="2"/>
  <c r="H269" i="2" s="1"/>
  <c r="G330" i="2"/>
  <c r="E330" i="2"/>
  <c r="H330" i="2" s="1"/>
  <c r="G396" i="2"/>
  <c r="E396" i="2"/>
  <c r="H396" i="2" s="1"/>
  <c r="G402" i="2"/>
  <c r="E402" i="2"/>
  <c r="H402" i="2" s="1"/>
  <c r="G464" i="2"/>
  <c r="E464" i="2"/>
  <c r="H464" i="2" s="1"/>
  <c r="G568" i="2"/>
  <c r="E568" i="2"/>
  <c r="H568" i="2" s="1"/>
  <c r="G270" i="2"/>
  <c r="E270" i="2"/>
  <c r="H270" i="2" s="1"/>
  <c r="G294" i="2"/>
  <c r="E294" i="2"/>
  <c r="H294" i="2" s="1"/>
  <c r="C332" i="2"/>
  <c r="G408" i="2"/>
  <c r="E408" i="2"/>
  <c r="H408" i="2" s="1"/>
  <c r="G414" i="2"/>
  <c r="E414" i="2"/>
  <c r="H414" i="2" s="1"/>
  <c r="G439" i="2"/>
  <c r="E439" i="2"/>
  <c r="H439" i="2" s="1"/>
  <c r="G450" i="2"/>
  <c r="E450" i="2"/>
  <c r="H450" i="2" s="1"/>
  <c r="G25" i="3"/>
  <c r="E25" i="3"/>
  <c r="H25" i="3" s="1"/>
  <c r="B285" i="2"/>
  <c r="G360" i="2"/>
  <c r="E360" i="2"/>
  <c r="H360" i="2" s="1"/>
  <c r="G420" i="2"/>
  <c r="E420" i="2"/>
  <c r="H420" i="2" s="1"/>
  <c r="G426" i="2"/>
  <c r="E426" i="2"/>
  <c r="H426" i="2" s="1"/>
  <c r="G451" i="2"/>
  <c r="E451" i="2"/>
  <c r="H451" i="2" s="1"/>
  <c r="G494" i="2"/>
  <c r="E494" i="2"/>
  <c r="H494" i="2" s="1"/>
  <c r="B271" i="2"/>
  <c r="G336" i="2"/>
  <c r="E336" i="2"/>
  <c r="H336" i="2" s="1"/>
  <c r="G366" i="2"/>
  <c r="E366" i="2"/>
  <c r="H366" i="2" s="1"/>
  <c r="G427" i="2"/>
  <c r="E427" i="2"/>
  <c r="H427" i="2" s="1"/>
  <c r="G11" i="3"/>
  <c r="E11" i="3"/>
  <c r="H11" i="3" s="1"/>
  <c r="E664" i="2"/>
  <c r="H664" i="2" s="1"/>
  <c r="G664" i="2"/>
  <c r="G324" i="2"/>
  <c r="E324" i="2"/>
  <c r="H324" i="2" s="1"/>
  <c r="G342" i="2"/>
  <c r="E342" i="2"/>
  <c r="H342" i="2" s="1"/>
  <c r="C447" i="2"/>
  <c r="B447" i="2"/>
  <c r="G487" i="2"/>
  <c r="E487" i="2"/>
  <c r="H487" i="2" s="1"/>
  <c r="G520" i="2"/>
  <c r="E520" i="2"/>
  <c r="H520" i="2" s="1"/>
  <c r="B358" i="2"/>
  <c r="C358" i="2"/>
  <c r="G497" i="2"/>
  <c r="E497" i="2"/>
  <c r="H497" i="2" s="1"/>
  <c r="G543" i="2"/>
  <c r="E543" i="2"/>
  <c r="H543" i="2" s="1"/>
  <c r="B332" i="2"/>
  <c r="G463" i="2"/>
  <c r="E463" i="2"/>
  <c r="H463" i="2" s="1"/>
  <c r="G475" i="2"/>
  <c r="E475" i="2"/>
  <c r="H475" i="2" s="1"/>
  <c r="C285" i="2"/>
  <c r="G318" i="2"/>
  <c r="E318" i="2"/>
  <c r="H318" i="2" s="1"/>
  <c r="G354" i="2"/>
  <c r="E354" i="2"/>
  <c r="H354" i="2" s="1"/>
  <c r="G384" i="2"/>
  <c r="E384" i="2"/>
  <c r="H384" i="2" s="1"/>
  <c r="G390" i="2"/>
  <c r="E390" i="2"/>
  <c r="H390" i="2" s="1"/>
  <c r="G438" i="2"/>
  <c r="E438" i="2"/>
  <c r="H438" i="2" s="1"/>
  <c r="E449" i="2"/>
  <c r="H449" i="2" s="1"/>
  <c r="G449" i="2"/>
  <c r="G476" i="2"/>
  <c r="E476" i="2"/>
  <c r="H476" i="2" s="1"/>
  <c r="B462" i="2"/>
  <c r="A462" i="2" s="1"/>
  <c r="G631" i="2"/>
  <c r="E631" i="2"/>
  <c r="H631" i="2" s="1"/>
  <c r="G523" i="2"/>
  <c r="E523" i="2"/>
  <c r="H523" i="2" s="1"/>
  <c r="G591" i="2"/>
  <c r="E591" i="2"/>
  <c r="H591" i="2" s="1"/>
  <c r="E69" i="3"/>
  <c r="H69" i="3" s="1"/>
  <c r="G69" i="3"/>
  <c r="G164" i="3"/>
  <c r="E164" i="3"/>
  <c r="H164" i="3" s="1"/>
  <c r="G500" i="2"/>
  <c r="E500" i="2"/>
  <c r="H500" i="2" s="1"/>
  <c r="G583" i="2"/>
  <c r="E583" i="2"/>
  <c r="H583" i="2" s="1"/>
  <c r="G632" i="2"/>
  <c r="E632" i="2"/>
  <c r="H632" i="2" s="1"/>
  <c r="G23" i="3"/>
  <c r="E23" i="3"/>
  <c r="H23" i="3" s="1"/>
  <c r="G200" i="3"/>
  <c r="E200" i="3"/>
  <c r="H200" i="3" s="1"/>
  <c r="G535" i="2"/>
  <c r="E535" i="2"/>
  <c r="H535" i="2" s="1"/>
  <c r="G584" i="2"/>
  <c r="E584" i="2"/>
  <c r="H584" i="2" s="1"/>
  <c r="G620" i="2"/>
  <c r="E620" i="2"/>
  <c r="H620" i="2" s="1"/>
  <c r="G527" i="2"/>
  <c r="E527" i="2"/>
  <c r="H527" i="2" s="1"/>
  <c r="G616" i="2"/>
  <c r="E616" i="2"/>
  <c r="H616" i="2" s="1"/>
  <c r="G150" i="3"/>
  <c r="E150" i="3"/>
  <c r="H150" i="3" s="1"/>
  <c r="G536" i="2"/>
  <c r="E536" i="2"/>
  <c r="H536" i="2" s="1"/>
  <c r="C544" i="2"/>
  <c r="B544" i="2"/>
  <c r="G572" i="2"/>
  <c r="E572" i="2"/>
  <c r="H572" i="2" s="1"/>
  <c r="G37" i="3"/>
  <c r="E37" i="3"/>
  <c r="H37" i="3" s="1"/>
  <c r="G333" i="3"/>
  <c r="E333" i="3"/>
  <c r="H333" i="3" s="1"/>
  <c r="E495" i="2"/>
  <c r="H495" i="2" s="1"/>
  <c r="G495" i="2"/>
  <c r="G651" i="2"/>
  <c r="E651" i="2"/>
  <c r="H651" i="2" s="1"/>
  <c r="G126" i="3"/>
  <c r="E126" i="3"/>
  <c r="H126" i="3" s="1"/>
  <c r="G133" i="3"/>
  <c r="E133" i="3"/>
  <c r="H133" i="3" s="1"/>
  <c r="E142" i="3"/>
  <c r="H142" i="3" s="1"/>
  <c r="G142" i="3"/>
  <c r="G496" i="2"/>
  <c r="E496" i="2"/>
  <c r="H496" i="2" s="1"/>
  <c r="E499" i="2"/>
  <c r="H499" i="2" s="1"/>
  <c r="C499" i="2" s="1"/>
  <c r="E515" i="2"/>
  <c r="H515" i="2" s="1"/>
  <c r="B515" i="2" s="1"/>
  <c r="G546" i="2"/>
  <c r="G639" i="2"/>
  <c r="E639" i="2"/>
  <c r="H639" i="2" s="1"/>
  <c r="E644" i="2"/>
  <c r="H644" i="2" s="1"/>
  <c r="C644" i="2" s="1"/>
  <c r="E560" i="2"/>
  <c r="H560" i="2" s="1"/>
  <c r="B560" i="2" s="1"/>
  <c r="E608" i="2"/>
  <c r="H608" i="2" s="1"/>
  <c r="B608" i="2" s="1"/>
  <c r="G663" i="2"/>
  <c r="E663" i="2"/>
  <c r="H663" i="2" s="1"/>
  <c r="G22" i="3"/>
  <c r="E22" i="3"/>
  <c r="H22" i="3" s="1"/>
  <c r="G39" i="3"/>
  <c r="E39" i="3"/>
  <c r="H39" i="3" s="1"/>
  <c r="G55" i="3"/>
  <c r="E55" i="3"/>
  <c r="H55" i="3" s="1"/>
  <c r="E104" i="3"/>
  <c r="H104" i="3" s="1"/>
  <c r="C104" i="3" s="1"/>
  <c r="G120" i="3"/>
  <c r="E120" i="3"/>
  <c r="H120" i="3" s="1"/>
  <c r="G135" i="3"/>
  <c r="E135" i="3"/>
  <c r="H135" i="3" s="1"/>
  <c r="C220" i="3"/>
  <c r="B220" i="3"/>
  <c r="E374" i="3"/>
  <c r="H374" i="3" s="1"/>
  <c r="G374" i="3"/>
  <c r="E428" i="3"/>
  <c r="H428" i="3" s="1"/>
  <c r="G428" i="3"/>
  <c r="G487" i="3"/>
  <c r="E487" i="3"/>
  <c r="H487" i="3" s="1"/>
  <c r="G667" i="2"/>
  <c r="E667" i="2"/>
  <c r="H667" i="2" s="1"/>
  <c r="G49" i="3"/>
  <c r="E49" i="3"/>
  <c r="H49" i="3" s="1"/>
  <c r="E93" i="3"/>
  <c r="H93" i="3" s="1"/>
  <c r="G93" i="3"/>
  <c r="G116" i="3"/>
  <c r="E116" i="3"/>
  <c r="H116" i="3" s="1"/>
  <c r="E82" i="3"/>
  <c r="H82" i="3" s="1"/>
  <c r="G82" i="3"/>
  <c r="G248" i="3"/>
  <c r="E248" i="3"/>
  <c r="H248" i="3" s="1"/>
  <c r="G309" i="3"/>
  <c r="E309" i="3"/>
  <c r="H309" i="3" s="1"/>
  <c r="G511" i="2"/>
  <c r="E511" i="2"/>
  <c r="H511" i="2" s="1"/>
  <c r="G655" i="2"/>
  <c r="E655" i="2"/>
  <c r="H655" i="2" s="1"/>
  <c r="G83" i="3"/>
  <c r="E83" i="3"/>
  <c r="H83" i="3" s="1"/>
  <c r="E109" i="3"/>
  <c r="H109" i="3" s="1"/>
  <c r="C109" i="3" s="1"/>
  <c r="G203" i="3"/>
  <c r="E203" i="3"/>
  <c r="H203" i="3" s="1"/>
  <c r="E241" i="3"/>
  <c r="H241" i="3" s="1"/>
  <c r="G241" i="3"/>
  <c r="E329" i="3"/>
  <c r="H329" i="3" s="1"/>
  <c r="C329" i="3" s="1"/>
  <c r="G492" i="3"/>
  <c r="E492" i="3"/>
  <c r="H492" i="3" s="1"/>
  <c r="G547" i="2"/>
  <c r="E547" i="2"/>
  <c r="H547" i="2" s="1"/>
  <c r="G555" i="2"/>
  <c r="E555" i="2"/>
  <c r="H555" i="2" s="1"/>
  <c r="G595" i="2"/>
  <c r="E595" i="2"/>
  <c r="H595" i="2" s="1"/>
  <c r="G603" i="2"/>
  <c r="E603" i="2"/>
  <c r="H603" i="2" s="1"/>
  <c r="G643" i="2"/>
  <c r="E643" i="2"/>
  <c r="H643" i="2" s="1"/>
  <c r="G27" i="3"/>
  <c r="E27" i="3"/>
  <c r="H27" i="3" s="1"/>
  <c r="G72" i="3"/>
  <c r="E72" i="3"/>
  <c r="H72" i="3" s="1"/>
  <c r="G79" i="3"/>
  <c r="E79" i="3"/>
  <c r="H79" i="3" s="1"/>
  <c r="G145" i="3"/>
  <c r="E145" i="3"/>
  <c r="H145" i="3" s="1"/>
  <c r="G231" i="3"/>
  <c r="E231" i="3"/>
  <c r="H231" i="3" s="1"/>
  <c r="B610" i="2"/>
  <c r="G47" i="3"/>
  <c r="E47" i="3"/>
  <c r="H47" i="3" s="1"/>
  <c r="G188" i="3"/>
  <c r="E188" i="3"/>
  <c r="H188" i="3" s="1"/>
  <c r="E198" i="3"/>
  <c r="H198" i="3" s="1"/>
  <c r="G198" i="3"/>
  <c r="G559" i="2"/>
  <c r="E559" i="2"/>
  <c r="H559" i="2" s="1"/>
  <c r="G567" i="2"/>
  <c r="E567" i="2"/>
  <c r="H567" i="2" s="1"/>
  <c r="G607" i="2"/>
  <c r="E607" i="2"/>
  <c r="H607" i="2" s="1"/>
  <c r="G615" i="2"/>
  <c r="E615" i="2"/>
  <c r="H615" i="2" s="1"/>
  <c r="G10" i="3"/>
  <c r="E10" i="3"/>
  <c r="H10" i="3" s="1"/>
  <c r="G68" i="3"/>
  <c r="E68" i="3"/>
  <c r="H68" i="3" s="1"/>
  <c r="E127" i="3"/>
  <c r="H127" i="3" s="1"/>
  <c r="G127" i="3"/>
  <c r="G223" i="3"/>
  <c r="E223" i="3"/>
  <c r="H223" i="3" s="1"/>
  <c r="G14" i="3"/>
  <c r="E14" i="3"/>
  <c r="H14" i="3" s="1"/>
  <c r="G51" i="3"/>
  <c r="E51" i="3"/>
  <c r="H51" i="3" s="1"/>
  <c r="G96" i="3"/>
  <c r="E96" i="3"/>
  <c r="H96" i="3" s="1"/>
  <c r="E163" i="3"/>
  <c r="H163" i="3" s="1"/>
  <c r="G163" i="3"/>
  <c r="G519" i="2"/>
  <c r="E519" i="2"/>
  <c r="H519" i="2" s="1"/>
  <c r="G531" i="2"/>
  <c r="E531" i="2"/>
  <c r="H531" i="2" s="1"/>
  <c r="G571" i="2"/>
  <c r="E571" i="2"/>
  <c r="H571" i="2" s="1"/>
  <c r="G579" i="2"/>
  <c r="E579" i="2"/>
  <c r="H579" i="2" s="1"/>
  <c r="G619" i="2"/>
  <c r="E619" i="2"/>
  <c r="H619" i="2" s="1"/>
  <c r="G627" i="2"/>
  <c r="E627" i="2"/>
  <c r="H627" i="2" s="1"/>
  <c r="C653" i="2"/>
  <c r="G35" i="3"/>
  <c r="E35" i="3"/>
  <c r="H35" i="3" s="1"/>
  <c r="E58" i="3"/>
  <c r="H58" i="3" s="1"/>
  <c r="G58" i="3"/>
  <c r="E151" i="3"/>
  <c r="H151" i="3" s="1"/>
  <c r="G151" i="3"/>
  <c r="G59" i="3"/>
  <c r="E59" i="3"/>
  <c r="H59" i="3" s="1"/>
  <c r="G92" i="3"/>
  <c r="E92" i="3"/>
  <c r="H92" i="3" s="1"/>
  <c r="E129" i="3"/>
  <c r="H129" i="3" s="1"/>
  <c r="G129" i="3"/>
  <c r="E234" i="3"/>
  <c r="H234" i="3" s="1"/>
  <c r="G234" i="3"/>
  <c r="G271" i="3"/>
  <c r="E271" i="3"/>
  <c r="H271" i="3" s="1"/>
  <c r="G307" i="3"/>
  <c r="E307" i="3"/>
  <c r="H307" i="3" s="1"/>
  <c r="G235" i="3"/>
  <c r="E235" i="3"/>
  <c r="H235" i="3" s="1"/>
  <c r="E303" i="3"/>
  <c r="H303" i="3" s="1"/>
  <c r="G303" i="3"/>
  <c r="E18" i="3"/>
  <c r="H18" i="3" s="1"/>
  <c r="B18" i="3" s="1"/>
  <c r="E31" i="3"/>
  <c r="H31" i="3" s="1"/>
  <c r="B31" i="3" s="1"/>
  <c r="G33" i="3"/>
  <c r="E43" i="3"/>
  <c r="H43" i="3" s="1"/>
  <c r="C43" i="3" s="1"/>
  <c r="G45" i="3"/>
  <c r="E66" i="3"/>
  <c r="H66" i="3" s="1"/>
  <c r="C66" i="3" s="1"/>
  <c r="E75" i="3"/>
  <c r="H75" i="3" s="1"/>
  <c r="C75" i="3" s="1"/>
  <c r="E90" i="3"/>
  <c r="H90" i="3" s="1"/>
  <c r="C90" i="3" s="1"/>
  <c r="E99" i="3"/>
  <c r="H99" i="3" s="1"/>
  <c r="C99" i="3" s="1"/>
  <c r="G115" i="3"/>
  <c r="E128" i="3"/>
  <c r="H128" i="3" s="1"/>
  <c r="C128" i="3" s="1"/>
  <c r="E152" i="3"/>
  <c r="H152" i="3" s="1"/>
  <c r="B152" i="3" s="1"/>
  <c r="E179" i="3"/>
  <c r="H179" i="3" s="1"/>
  <c r="C179" i="3" s="1"/>
  <c r="E245" i="3"/>
  <c r="H245" i="3" s="1"/>
  <c r="C245" i="3" s="1"/>
  <c r="E292" i="3"/>
  <c r="H292" i="3" s="1"/>
  <c r="G292" i="3"/>
  <c r="G314" i="3"/>
  <c r="E314" i="3"/>
  <c r="H314" i="3" s="1"/>
  <c r="E327" i="3"/>
  <c r="H327" i="3" s="1"/>
  <c r="G327" i="3"/>
  <c r="G167" i="3"/>
  <c r="E167" i="3"/>
  <c r="H167" i="3" s="1"/>
  <c r="G284" i="3"/>
  <c r="E284" i="3"/>
  <c r="H284" i="3" s="1"/>
  <c r="G338" i="3"/>
  <c r="E338" i="3"/>
  <c r="H338" i="3" s="1"/>
  <c r="G159" i="3"/>
  <c r="E159" i="3"/>
  <c r="H159" i="3" s="1"/>
  <c r="G187" i="3"/>
  <c r="E187" i="3"/>
  <c r="H187" i="3" s="1"/>
  <c r="G199" i="3"/>
  <c r="E199" i="3"/>
  <c r="H199" i="3" s="1"/>
  <c r="G397" i="3"/>
  <c r="E397" i="3"/>
  <c r="H397" i="3" s="1"/>
  <c r="G195" i="3"/>
  <c r="E195" i="3"/>
  <c r="H195" i="3" s="1"/>
  <c r="G215" i="3"/>
  <c r="E215" i="3"/>
  <c r="H215" i="3" s="1"/>
  <c r="E279" i="3"/>
  <c r="H279" i="3" s="1"/>
  <c r="G279" i="3"/>
  <c r="E398" i="3"/>
  <c r="H398" i="3" s="1"/>
  <c r="G398" i="3"/>
  <c r="G171" i="3"/>
  <c r="E171" i="3"/>
  <c r="H171" i="3" s="1"/>
  <c r="G211" i="3"/>
  <c r="E211" i="3"/>
  <c r="H211" i="3" s="1"/>
  <c r="G216" i="3"/>
  <c r="E216" i="3"/>
  <c r="H216" i="3" s="1"/>
  <c r="G242" i="3"/>
  <c r="E242" i="3"/>
  <c r="H242" i="3" s="1"/>
  <c r="G430" i="3"/>
  <c r="E430" i="3"/>
  <c r="H430" i="3" s="1"/>
  <c r="E490" i="3"/>
  <c r="H490" i="3" s="1"/>
  <c r="G490" i="3"/>
  <c r="G265" i="3"/>
  <c r="E265" i="3"/>
  <c r="H265" i="3" s="1"/>
  <c r="E419" i="3"/>
  <c r="H419" i="3" s="1"/>
  <c r="G419" i="3"/>
  <c r="E157" i="3"/>
  <c r="H157" i="3" s="1"/>
  <c r="C157" i="3" s="1"/>
  <c r="G212" i="3"/>
  <c r="E212" i="3"/>
  <c r="H212" i="3" s="1"/>
  <c r="G249" i="3"/>
  <c r="E249" i="3"/>
  <c r="H249" i="3" s="1"/>
  <c r="E266" i="3"/>
  <c r="H266" i="3" s="1"/>
  <c r="G266" i="3"/>
  <c r="G270" i="3"/>
  <c r="E270" i="3"/>
  <c r="H270" i="3" s="1"/>
  <c r="G282" i="3"/>
  <c r="E282" i="3"/>
  <c r="H282" i="3" s="1"/>
  <c r="G312" i="3"/>
  <c r="E312" i="3"/>
  <c r="H312" i="3" s="1"/>
  <c r="E343" i="3"/>
  <c r="H343" i="3" s="1"/>
  <c r="G343" i="3"/>
  <c r="E469" i="3"/>
  <c r="H469" i="3" s="1"/>
  <c r="G469" i="3"/>
  <c r="G501" i="3"/>
  <c r="E501" i="3"/>
  <c r="H501" i="3" s="1"/>
  <c r="B295" i="3"/>
  <c r="G330" i="3"/>
  <c r="E330" i="3"/>
  <c r="H330" i="3" s="1"/>
  <c r="G399" i="3"/>
  <c r="E399" i="3"/>
  <c r="H399" i="3" s="1"/>
  <c r="G421" i="3"/>
  <c r="E421" i="3"/>
  <c r="H421" i="3" s="1"/>
  <c r="G445" i="3"/>
  <c r="E445" i="3"/>
  <c r="H445" i="3" s="1"/>
  <c r="G442" i="3"/>
  <c r="E442" i="3"/>
  <c r="H442" i="3" s="1"/>
  <c r="G627" i="3"/>
  <c r="E627" i="3"/>
  <c r="H627" i="3" s="1"/>
  <c r="G288" i="3"/>
  <c r="E288" i="3"/>
  <c r="H288" i="3" s="1"/>
  <c r="B331" i="3"/>
  <c r="G381" i="3"/>
  <c r="E381" i="3"/>
  <c r="H381" i="3" s="1"/>
  <c r="G447" i="3"/>
  <c r="E447" i="3"/>
  <c r="H447" i="3" s="1"/>
  <c r="G297" i="3"/>
  <c r="E297" i="3"/>
  <c r="H297" i="3" s="1"/>
  <c r="E340" i="3"/>
  <c r="H340" i="3" s="1"/>
  <c r="G340" i="3"/>
  <c r="E365" i="3"/>
  <c r="H365" i="3" s="1"/>
  <c r="G365" i="3"/>
  <c r="G382" i="3"/>
  <c r="E382" i="3"/>
  <c r="H382" i="3" s="1"/>
  <c r="G183" i="3"/>
  <c r="E183" i="3"/>
  <c r="H183" i="3" s="1"/>
  <c r="E192" i="3"/>
  <c r="H192" i="3" s="1"/>
  <c r="C192" i="3" s="1"/>
  <c r="C209" i="3"/>
  <c r="A209" i="3" s="1"/>
  <c r="E236" i="3"/>
  <c r="H236" i="3" s="1"/>
  <c r="B236" i="3" s="1"/>
  <c r="E239" i="3"/>
  <c r="H239" i="3" s="1"/>
  <c r="B239" i="3" s="1"/>
  <c r="E243" i="3"/>
  <c r="H243" i="3" s="1"/>
  <c r="G243" i="3"/>
  <c r="E258" i="3"/>
  <c r="H258" i="3" s="1"/>
  <c r="C258" i="3" s="1"/>
  <c r="G264" i="3"/>
  <c r="G276" i="3"/>
  <c r="E276" i="3"/>
  <c r="H276" i="3" s="1"/>
  <c r="E281" i="3"/>
  <c r="H281" i="3" s="1"/>
  <c r="C281" i="3" s="1"/>
  <c r="G301" i="3"/>
  <c r="E301" i="3"/>
  <c r="H301" i="3" s="1"/>
  <c r="G306" i="3"/>
  <c r="E306" i="3"/>
  <c r="H306" i="3" s="1"/>
  <c r="G332" i="3"/>
  <c r="E332" i="3"/>
  <c r="H332" i="3" s="1"/>
  <c r="G357" i="3"/>
  <c r="E357" i="3"/>
  <c r="H357" i="3" s="1"/>
  <c r="E361" i="3"/>
  <c r="H361" i="3" s="1"/>
  <c r="B361" i="3" s="1"/>
  <c r="G424" i="3"/>
  <c r="E424" i="3"/>
  <c r="H424" i="3" s="1"/>
  <c r="G448" i="3"/>
  <c r="E448" i="3"/>
  <c r="H448" i="3" s="1"/>
  <c r="G207" i="3"/>
  <c r="E207" i="3"/>
  <c r="H207" i="3" s="1"/>
  <c r="G277" i="3"/>
  <c r="E277" i="3"/>
  <c r="H277" i="3" s="1"/>
  <c r="G302" i="3"/>
  <c r="E302" i="3"/>
  <c r="H302" i="3" s="1"/>
  <c r="G539" i="3"/>
  <c r="E539" i="3"/>
  <c r="H539" i="3" s="1"/>
  <c r="E144" i="3"/>
  <c r="H144" i="3" s="1"/>
  <c r="B144" i="3" s="1"/>
  <c r="G175" i="3"/>
  <c r="E175" i="3"/>
  <c r="H175" i="3" s="1"/>
  <c r="G210" i="3"/>
  <c r="G219" i="3"/>
  <c r="E219" i="3"/>
  <c r="H219" i="3" s="1"/>
  <c r="E228" i="3"/>
  <c r="H228" i="3" s="1"/>
  <c r="C228" i="3" s="1"/>
  <c r="E255" i="3"/>
  <c r="H255" i="3" s="1"/>
  <c r="G255" i="3"/>
  <c r="E328" i="3"/>
  <c r="H328" i="3" s="1"/>
  <c r="G328" i="3"/>
  <c r="G412" i="3"/>
  <c r="E412" i="3"/>
  <c r="H412" i="3" s="1"/>
  <c r="G425" i="3"/>
  <c r="G515" i="3"/>
  <c r="E515" i="3"/>
  <c r="H515" i="3" s="1"/>
  <c r="E268" i="3"/>
  <c r="H268" i="3" s="1"/>
  <c r="G268" i="3"/>
  <c r="G290" i="3"/>
  <c r="E290" i="3"/>
  <c r="H290" i="3" s="1"/>
  <c r="E296" i="3"/>
  <c r="H296" i="3" s="1"/>
  <c r="B296" i="3" s="1"/>
  <c r="E313" i="3"/>
  <c r="H313" i="3" s="1"/>
  <c r="B313" i="3" s="1"/>
  <c r="E316" i="3"/>
  <c r="H316" i="3" s="1"/>
  <c r="G316" i="3"/>
  <c r="G336" i="3"/>
  <c r="E336" i="3"/>
  <c r="H336" i="3" s="1"/>
  <c r="G339" i="3"/>
  <c r="E342" i="3"/>
  <c r="H342" i="3" s="1"/>
  <c r="B342" i="3" s="1"/>
  <c r="G354" i="3"/>
  <c r="G366" i="3"/>
  <c r="E366" i="3"/>
  <c r="H366" i="3" s="1"/>
  <c r="G427" i="3"/>
  <c r="G431" i="3"/>
  <c r="G435" i="3"/>
  <c r="B467" i="3"/>
  <c r="G566" i="3"/>
  <c r="E566" i="3"/>
  <c r="H566" i="3" s="1"/>
  <c r="E595" i="3"/>
  <c r="H595" i="3" s="1"/>
  <c r="G595" i="3"/>
  <c r="E280" i="3"/>
  <c r="H280" i="3" s="1"/>
  <c r="G280" i="3"/>
  <c r="G300" i="3"/>
  <c r="E300" i="3"/>
  <c r="H300" i="3" s="1"/>
  <c r="G326" i="3"/>
  <c r="E326" i="3"/>
  <c r="H326" i="3" s="1"/>
  <c r="G388" i="3"/>
  <c r="E388" i="3"/>
  <c r="H388" i="3" s="1"/>
  <c r="E407" i="3"/>
  <c r="H407" i="3" s="1"/>
  <c r="G407" i="3"/>
  <c r="E437" i="3"/>
  <c r="H437" i="3" s="1"/>
  <c r="G437" i="3"/>
  <c r="E260" i="3"/>
  <c r="H260" i="3" s="1"/>
  <c r="G267" i="3"/>
  <c r="E321" i="3"/>
  <c r="H321" i="3" s="1"/>
  <c r="C321" i="3" s="1"/>
  <c r="G373" i="3"/>
  <c r="E373" i="3"/>
  <c r="H373" i="3" s="1"/>
  <c r="G377" i="3"/>
  <c r="G411" i="3"/>
  <c r="E411" i="3"/>
  <c r="H411" i="3" s="1"/>
  <c r="G278" i="3"/>
  <c r="E278" i="3"/>
  <c r="H278" i="3" s="1"/>
  <c r="E304" i="3"/>
  <c r="H304" i="3" s="1"/>
  <c r="G304" i="3"/>
  <c r="G324" i="3"/>
  <c r="E324" i="3"/>
  <c r="H324" i="3" s="1"/>
  <c r="E389" i="3"/>
  <c r="H389" i="3" s="1"/>
  <c r="G389" i="3"/>
  <c r="E404" i="3"/>
  <c r="H404" i="3" s="1"/>
  <c r="G404" i="3"/>
  <c r="E434" i="3"/>
  <c r="H434" i="3" s="1"/>
  <c r="G434" i="3"/>
  <c r="G475" i="3"/>
  <c r="E475" i="3"/>
  <c r="H475" i="3" s="1"/>
  <c r="E256" i="3"/>
  <c r="H256" i="3" s="1"/>
  <c r="G256" i="3"/>
  <c r="G454" i="3"/>
  <c r="E454" i="3"/>
  <c r="H454" i="3" s="1"/>
  <c r="G546" i="3"/>
  <c r="E546" i="3"/>
  <c r="H546" i="3" s="1"/>
  <c r="G663" i="3"/>
  <c r="E663" i="3"/>
  <c r="H663" i="3" s="1"/>
  <c r="G436" i="3"/>
  <c r="E436" i="3"/>
  <c r="H436" i="3" s="1"/>
  <c r="B459" i="3"/>
  <c r="G479" i="3"/>
  <c r="E479" i="3"/>
  <c r="H479" i="3" s="1"/>
  <c r="G518" i="3"/>
  <c r="E518" i="3"/>
  <c r="H518" i="3" s="1"/>
  <c r="G510" i="3"/>
  <c r="E510" i="3"/>
  <c r="H510" i="3" s="1"/>
  <c r="G570" i="3"/>
  <c r="E570" i="3"/>
  <c r="H570" i="3" s="1"/>
  <c r="G495" i="3"/>
  <c r="E495" i="3"/>
  <c r="H495" i="3" s="1"/>
  <c r="G507" i="3"/>
  <c r="E507" i="3"/>
  <c r="H507" i="3" s="1"/>
  <c r="B466" i="3"/>
  <c r="C466" i="3"/>
  <c r="E633" i="3"/>
  <c r="H633" i="3" s="1"/>
  <c r="G633" i="3"/>
  <c r="G406" i="3"/>
  <c r="E406" i="3"/>
  <c r="H406" i="3" s="1"/>
  <c r="G446" i="3"/>
  <c r="G449" i="3"/>
  <c r="E550" i="3"/>
  <c r="H550" i="3" s="1"/>
  <c r="G550" i="3"/>
  <c r="E573" i="3"/>
  <c r="H573" i="3" s="1"/>
  <c r="G573" i="3"/>
  <c r="G418" i="3"/>
  <c r="E418" i="3"/>
  <c r="H418" i="3" s="1"/>
  <c r="E619" i="3"/>
  <c r="H619" i="3" s="1"/>
  <c r="G619" i="3"/>
  <c r="G651" i="3"/>
  <c r="E651" i="3"/>
  <c r="H651" i="3" s="1"/>
  <c r="G470" i="3"/>
  <c r="E470" i="3"/>
  <c r="H470" i="3" s="1"/>
  <c r="C480" i="3"/>
  <c r="A480" i="3" s="1"/>
  <c r="E505" i="3"/>
  <c r="H505" i="3" s="1"/>
  <c r="G505" i="3"/>
  <c r="G522" i="3"/>
  <c r="E522" i="3"/>
  <c r="H522" i="3" s="1"/>
  <c r="E526" i="3"/>
  <c r="H526" i="3" s="1"/>
  <c r="G526" i="3"/>
  <c r="G618" i="3"/>
  <c r="E618" i="3"/>
  <c r="H618" i="3" s="1"/>
  <c r="G657" i="3"/>
  <c r="E657" i="3"/>
  <c r="H657" i="3" s="1"/>
  <c r="C491" i="3"/>
  <c r="B491" i="3"/>
  <c r="G494" i="3"/>
  <c r="E494" i="3"/>
  <c r="H494" i="3" s="1"/>
  <c r="G506" i="3"/>
  <c r="E506" i="3"/>
  <c r="H506" i="3" s="1"/>
  <c r="G530" i="3"/>
  <c r="E530" i="3"/>
  <c r="H530" i="3" s="1"/>
  <c r="C459" i="3"/>
  <c r="G478" i="3"/>
  <c r="E481" i="3"/>
  <c r="H481" i="3" s="1"/>
  <c r="G481" i="3"/>
  <c r="G503" i="3"/>
  <c r="E503" i="3"/>
  <c r="H503" i="3" s="1"/>
  <c r="G523" i="3"/>
  <c r="G571" i="3"/>
  <c r="E579" i="3"/>
  <c r="H579" i="3" s="1"/>
  <c r="C579" i="3" s="1"/>
  <c r="G590" i="3"/>
  <c r="E590" i="3"/>
  <c r="H590" i="3" s="1"/>
  <c r="G594" i="3"/>
  <c r="E594" i="3"/>
  <c r="H594" i="3" s="1"/>
  <c r="E549" i="3"/>
  <c r="H549" i="3" s="1"/>
  <c r="G549" i="3"/>
  <c r="G474" i="3"/>
  <c r="E474" i="3"/>
  <c r="H474" i="3" s="1"/>
  <c r="G482" i="3"/>
  <c r="E482" i="3"/>
  <c r="H482" i="3" s="1"/>
  <c r="E498" i="3"/>
  <c r="H498" i="3" s="1"/>
  <c r="C498" i="3" s="1"/>
  <c r="G542" i="3"/>
  <c r="E542" i="3"/>
  <c r="H542" i="3" s="1"/>
  <c r="G626" i="3"/>
  <c r="E626" i="3"/>
  <c r="H626" i="3" s="1"/>
  <c r="G645" i="3"/>
  <c r="E645" i="3"/>
  <c r="H645" i="3" s="1"/>
  <c r="G650" i="3"/>
  <c r="E650" i="3"/>
  <c r="H650" i="3" s="1"/>
  <c r="E525" i="3"/>
  <c r="H525" i="3" s="1"/>
  <c r="G525" i="3"/>
  <c r="E597" i="3"/>
  <c r="H597" i="3" s="1"/>
  <c r="G597" i="3"/>
  <c r="G662" i="3"/>
  <c r="E662" i="3"/>
  <c r="H662" i="3" s="1"/>
  <c r="G516" i="3"/>
  <c r="E516" i="3"/>
  <c r="H516" i="3" s="1"/>
  <c r="G563" i="3"/>
  <c r="E563" i="3"/>
  <c r="H563" i="3" s="1"/>
  <c r="G578" i="3"/>
  <c r="E578" i="3"/>
  <c r="H578" i="3" s="1"/>
  <c r="G611" i="3"/>
  <c r="E611" i="3"/>
  <c r="H611" i="3" s="1"/>
  <c r="G638" i="3"/>
  <c r="E638" i="3"/>
  <c r="H638" i="3" s="1"/>
  <c r="G642" i="3"/>
  <c r="E642" i="3"/>
  <c r="H642" i="3" s="1"/>
  <c r="C623" i="3"/>
  <c r="G643" i="3"/>
  <c r="E643" i="3"/>
  <c r="H643" i="3" s="1"/>
  <c r="G554" i="3"/>
  <c r="E554" i="3"/>
  <c r="H554" i="3" s="1"/>
  <c r="G587" i="3"/>
  <c r="E587" i="3"/>
  <c r="H587" i="3" s="1"/>
  <c r="G602" i="3"/>
  <c r="E602" i="3"/>
  <c r="H602" i="3" s="1"/>
  <c r="E621" i="3"/>
  <c r="H621" i="3" s="1"/>
  <c r="G621" i="3"/>
  <c r="G614" i="3"/>
  <c r="E614" i="3"/>
  <c r="H614" i="3" s="1"/>
  <c r="E637" i="3"/>
  <c r="H637" i="3" s="1"/>
  <c r="G637" i="3"/>
  <c r="E649" i="3"/>
  <c r="H649" i="3" s="1"/>
  <c r="G649" i="3"/>
  <c r="G574" i="3"/>
  <c r="G598" i="3"/>
  <c r="G622" i="3"/>
  <c r="G646" i="3"/>
  <c r="E646" i="3"/>
  <c r="H646" i="3" s="1"/>
  <c r="G634" i="3"/>
  <c r="E634" i="3"/>
  <c r="H634" i="3" s="1"/>
  <c r="G529" i="3"/>
  <c r="E540" i="3"/>
  <c r="H540" i="3" s="1"/>
  <c r="B540" i="3" s="1"/>
  <c r="G553" i="3"/>
  <c r="E564" i="3"/>
  <c r="H564" i="3" s="1"/>
  <c r="B564" i="3" s="1"/>
  <c r="G577" i="3"/>
  <c r="E588" i="3"/>
  <c r="H588" i="3" s="1"/>
  <c r="C588" i="3" s="1"/>
  <c r="G601" i="3"/>
  <c r="E612" i="3"/>
  <c r="H612" i="3" s="1"/>
  <c r="C612" i="3" s="1"/>
  <c r="G625" i="3"/>
  <c r="E639" i="3"/>
  <c r="H639" i="3" s="1"/>
  <c r="B639" i="3" s="1"/>
  <c r="E658" i="3"/>
  <c r="H658" i="3" s="1"/>
  <c r="B658" i="3" s="1"/>
  <c r="C36" i="3" l="1"/>
  <c r="A36" i="3" s="1"/>
  <c r="C91" i="3"/>
  <c r="C485" i="2"/>
  <c r="C556" i="3"/>
  <c r="A556" i="3" s="1"/>
  <c r="B319" i="3"/>
  <c r="A319" i="3" s="1"/>
  <c r="B402" i="3"/>
  <c r="A402" i="3" s="1"/>
  <c r="C453" i="2"/>
  <c r="A453" i="2" s="1"/>
  <c r="B509" i="3"/>
  <c r="B385" i="2"/>
  <c r="A385" i="2" s="1"/>
  <c r="B501" i="2"/>
  <c r="A501" i="2" s="1"/>
  <c r="B467" i="2"/>
  <c r="A467" i="2" s="1"/>
  <c r="B32" i="3"/>
  <c r="A32" i="3" s="1"/>
  <c r="B436" i="2"/>
  <c r="A436" i="2" s="1"/>
  <c r="C259" i="3"/>
  <c r="A259" i="3" s="1"/>
  <c r="B208" i="3"/>
  <c r="A208" i="3" s="1"/>
  <c r="B61" i="2"/>
  <c r="A61" i="2" s="1"/>
  <c r="B365" i="2"/>
  <c r="B661" i="2"/>
  <c r="A661" i="2" s="1"/>
  <c r="A101" i="1"/>
  <c r="B272" i="2"/>
  <c r="C41" i="3"/>
  <c r="A41" i="3" s="1"/>
  <c r="B417" i="2"/>
  <c r="A417" i="2" s="1"/>
  <c r="C538" i="2"/>
  <c r="A538" i="2" s="1"/>
  <c r="C604" i="2"/>
  <c r="A604" i="2" s="1"/>
  <c r="B490" i="2"/>
  <c r="A490" i="2" s="1"/>
  <c r="B630" i="3"/>
  <c r="A630" i="3" s="1"/>
  <c r="C521" i="3"/>
  <c r="A521" i="3" s="1"/>
  <c r="B533" i="2"/>
  <c r="A533" i="2" s="1"/>
  <c r="B53" i="3"/>
  <c r="A53" i="3" s="1"/>
  <c r="B444" i="2"/>
  <c r="A444" i="2" s="1"/>
  <c r="B308" i="2"/>
  <c r="A308" i="2" s="1"/>
  <c r="B88" i="3"/>
  <c r="A88" i="3" s="1"/>
  <c r="B153" i="3"/>
  <c r="A153" i="3" s="1"/>
  <c r="B644" i="3"/>
  <c r="A644" i="3" s="1"/>
  <c r="B369" i="3"/>
  <c r="A369" i="3" s="1"/>
  <c r="B293" i="3"/>
  <c r="A293" i="3" s="1"/>
  <c r="B205" i="2"/>
  <c r="A205" i="2" s="1"/>
  <c r="C121" i="2"/>
  <c r="A121" i="2" s="1"/>
  <c r="C480" i="2"/>
  <c r="A480" i="2" s="1"/>
  <c r="C151" i="2"/>
  <c r="A151" i="2" s="1"/>
  <c r="B168" i="2"/>
  <c r="A168" i="2" s="1"/>
  <c r="B261" i="3"/>
  <c r="B558" i="3"/>
  <c r="A558" i="3" s="1"/>
  <c r="B315" i="2"/>
  <c r="A315" i="2" s="1"/>
  <c r="B251" i="3"/>
  <c r="A251" i="3" s="1"/>
  <c r="B299" i="3"/>
  <c r="A299" i="3" s="1"/>
  <c r="B652" i="2"/>
  <c r="A652" i="2" s="1"/>
  <c r="C103" i="3"/>
  <c r="A103" i="3" s="1"/>
  <c r="B35" i="2"/>
  <c r="A35" i="2" s="1"/>
  <c r="B420" i="3"/>
  <c r="A420" i="3" s="1"/>
  <c r="C69" i="2"/>
  <c r="A69" i="2" s="1"/>
  <c r="C560" i="3"/>
  <c r="A560" i="3" s="1"/>
  <c r="C16" i="3"/>
  <c r="A16" i="3" s="1"/>
  <c r="C548" i="3"/>
  <c r="A548" i="3" s="1"/>
  <c r="B629" i="2"/>
  <c r="A629" i="2" s="1"/>
  <c r="C593" i="3"/>
  <c r="A593" i="3" s="1"/>
  <c r="B316" i="2"/>
  <c r="A316" i="2" s="1"/>
  <c r="B462" i="3"/>
  <c r="A462" i="3" s="1"/>
  <c r="B161" i="3"/>
  <c r="A161" i="3" s="1"/>
  <c r="B503" i="2"/>
  <c r="A503" i="2" s="1"/>
  <c r="B303" i="2"/>
  <c r="A303" i="2" s="1"/>
  <c r="B221" i="3"/>
  <c r="A221" i="3" s="1"/>
  <c r="C508" i="3"/>
  <c r="A508" i="3" s="1"/>
  <c r="B531" i="3"/>
  <c r="A531" i="3" s="1"/>
  <c r="B668" i="3"/>
  <c r="A668" i="3" s="1"/>
  <c r="C187" i="2"/>
  <c r="A187" i="2" s="1"/>
  <c r="B31" i="2"/>
  <c r="A31" i="2" s="1"/>
  <c r="C50" i="3"/>
  <c r="A50" i="3" s="1"/>
  <c r="C432" i="2"/>
  <c r="A432" i="2" s="1"/>
  <c r="C121" i="3"/>
  <c r="A121" i="3" s="1"/>
  <c r="C279" i="2"/>
  <c r="A279" i="2" s="1"/>
  <c r="C226" i="3"/>
  <c r="A226" i="3" s="1"/>
  <c r="B204" i="2"/>
  <c r="A204" i="2" s="1"/>
  <c r="B481" i="2"/>
  <c r="A481" i="2" s="1"/>
  <c r="C220" i="2"/>
  <c r="A220" i="2" s="1"/>
  <c r="C455" i="2"/>
  <c r="A455" i="2" s="1"/>
  <c r="B488" i="2"/>
  <c r="A488" i="2" s="1"/>
  <c r="B212" i="2"/>
  <c r="A212" i="2" s="1"/>
  <c r="B276" i="2"/>
  <c r="A276" i="2" s="1"/>
  <c r="B181" i="2"/>
  <c r="A181" i="2" s="1"/>
  <c r="C633" i="2"/>
  <c r="A633" i="2" s="1"/>
  <c r="C483" i="3"/>
  <c r="A483" i="3" s="1"/>
  <c r="B356" i="3"/>
  <c r="A356" i="3" s="1"/>
  <c r="C645" i="2"/>
  <c r="B237" i="3"/>
  <c r="B645" i="2"/>
  <c r="C307" i="2"/>
  <c r="A307" i="2" s="1"/>
  <c r="C227" i="3"/>
  <c r="C415" i="2"/>
  <c r="A415" i="2" s="1"/>
  <c r="B392" i="3"/>
  <c r="A392" i="3" s="1"/>
  <c r="C275" i="3"/>
  <c r="A275" i="3" s="1"/>
  <c r="B101" i="3"/>
  <c r="A101" i="3" s="1"/>
  <c r="C652" i="3"/>
  <c r="A652" i="3" s="1"/>
  <c r="C94" i="3"/>
  <c r="A94" i="3" s="1"/>
  <c r="B22" i="2"/>
  <c r="A22" i="2" s="1"/>
  <c r="C160" i="3"/>
  <c r="A160" i="3" s="1"/>
  <c r="C661" i="3"/>
  <c r="A661" i="3" s="1"/>
  <c r="B642" i="2"/>
  <c r="C254" i="2"/>
  <c r="A254" i="2" s="1"/>
  <c r="C479" i="2"/>
  <c r="A479" i="2" s="1"/>
  <c r="B25" i="2"/>
  <c r="A25" i="2" s="1"/>
  <c r="C410" i="2"/>
  <c r="A410" i="2" s="1"/>
  <c r="C593" i="2"/>
  <c r="A593" i="2" s="1"/>
  <c r="B473" i="3"/>
  <c r="A473" i="3" s="1"/>
  <c r="C42" i="2"/>
  <c r="A42" i="2" s="1"/>
  <c r="B71" i="3"/>
  <c r="A71" i="3" s="1"/>
  <c r="C139" i="3"/>
  <c r="A139" i="3" s="1"/>
  <c r="C11" i="2"/>
  <c r="A11" i="2" s="1"/>
  <c r="B617" i="2"/>
  <c r="A617" i="2" s="1"/>
  <c r="C360" i="3"/>
  <c r="A360" i="3" s="1"/>
  <c r="B599" i="2"/>
  <c r="A599" i="2" s="1"/>
  <c r="B431" i="2"/>
  <c r="A431" i="2" s="1"/>
  <c r="C528" i="3"/>
  <c r="A528" i="3" s="1"/>
  <c r="C526" i="2"/>
  <c r="A526" i="2" s="1"/>
  <c r="B637" i="2"/>
  <c r="A637" i="2" s="1"/>
  <c r="C562" i="3"/>
  <c r="A562" i="3" s="1"/>
  <c r="B540" i="2"/>
  <c r="A540" i="2" s="1"/>
  <c r="C416" i="2"/>
  <c r="A416" i="2" s="1"/>
  <c r="B206" i="2"/>
  <c r="A206" i="2" s="1"/>
  <c r="C87" i="3"/>
  <c r="A87" i="3" s="1"/>
  <c r="B41" i="2"/>
  <c r="A41" i="2" s="1"/>
  <c r="C230" i="3"/>
  <c r="A230" i="3" s="1"/>
  <c r="C233" i="3"/>
  <c r="A233" i="3" s="1"/>
  <c r="C247" i="2"/>
  <c r="A247" i="2" s="1"/>
  <c r="A294" i="1"/>
  <c r="C213" i="3"/>
  <c r="C576" i="3"/>
  <c r="A576" i="3" s="1"/>
  <c r="B77" i="3"/>
  <c r="A77" i="3" s="1"/>
  <c r="C49" i="2"/>
  <c r="A49" i="2" s="1"/>
  <c r="C140" i="3"/>
  <c r="A140" i="3" s="1"/>
  <c r="B213" i="3"/>
  <c r="C155" i="3"/>
  <c r="C591" i="3"/>
  <c r="A591" i="3" s="1"/>
  <c r="C642" i="2"/>
  <c r="C412" i="2"/>
  <c r="C456" i="2"/>
  <c r="C232" i="3"/>
  <c r="C13" i="3"/>
  <c r="C514" i="3"/>
  <c r="B289" i="3"/>
  <c r="C554" i="2"/>
  <c r="A554" i="2" s="1"/>
  <c r="B599" i="3"/>
  <c r="A599" i="3" s="1"/>
  <c r="B514" i="3"/>
  <c r="B353" i="3"/>
  <c r="A353" i="3" s="1"/>
  <c r="C85" i="3"/>
  <c r="A85" i="3" s="1"/>
  <c r="C563" i="2"/>
  <c r="A563" i="2" s="1"/>
  <c r="C110" i="2"/>
  <c r="A110" i="2" s="1"/>
  <c r="C446" i="2"/>
  <c r="A446" i="2" s="1"/>
  <c r="B180" i="3"/>
  <c r="A180" i="3" s="1"/>
  <c r="C126" i="2"/>
  <c r="A126" i="2" s="1"/>
  <c r="B348" i="3"/>
  <c r="A348" i="3" s="1"/>
  <c r="B232" i="3"/>
  <c r="B456" i="2"/>
  <c r="B602" i="2"/>
  <c r="C625" i="2"/>
  <c r="A625" i="2" s="1"/>
  <c r="B612" i="2"/>
  <c r="A612" i="2" s="1"/>
  <c r="B34" i="2"/>
  <c r="A34" i="2" s="1"/>
  <c r="B622" i="2"/>
  <c r="A622" i="2" s="1"/>
  <c r="B312" i="2"/>
  <c r="A312" i="2" s="1"/>
  <c r="C666" i="2"/>
  <c r="A666" i="2" s="1"/>
  <c r="C95" i="3"/>
  <c r="A95" i="3" s="1"/>
  <c r="C347" i="3"/>
  <c r="A347" i="3" s="1"/>
  <c r="C461" i="3"/>
  <c r="A461" i="3" s="1"/>
  <c r="B415" i="3"/>
  <c r="A415" i="3" s="1"/>
  <c r="B536" i="3"/>
  <c r="A536" i="3" s="1"/>
  <c r="B649" i="2"/>
  <c r="A649" i="2" s="1"/>
  <c r="B194" i="3"/>
  <c r="A194" i="3" s="1"/>
  <c r="B568" i="3"/>
  <c r="A568" i="3" s="1"/>
  <c r="B104" i="2"/>
  <c r="A104" i="2" s="1"/>
  <c r="C334" i="2"/>
  <c r="A334" i="2" s="1"/>
  <c r="B626" i="2"/>
  <c r="A626" i="2" s="1"/>
  <c r="B458" i="3"/>
  <c r="A458" i="3" s="1"/>
  <c r="C374" i="2"/>
  <c r="A374" i="2" s="1"/>
  <c r="C380" i="3"/>
  <c r="A380" i="3" s="1"/>
  <c r="B315" i="3"/>
  <c r="A315" i="3" s="1"/>
  <c r="C326" i="2"/>
  <c r="A326" i="2" s="1"/>
  <c r="C465" i="2"/>
  <c r="A465" i="2" s="1"/>
  <c r="C538" i="3"/>
  <c r="A538" i="3" s="1"/>
  <c r="B648" i="2"/>
  <c r="A648" i="2" s="1"/>
  <c r="C243" i="2"/>
  <c r="A243" i="2" s="1"/>
  <c r="B287" i="2"/>
  <c r="A287" i="2" s="1"/>
  <c r="C63" i="3"/>
  <c r="A63" i="3" s="1"/>
  <c r="B244" i="3"/>
  <c r="A244" i="3" s="1"/>
  <c r="C42" i="3"/>
  <c r="A42" i="3" s="1"/>
  <c r="B68" i="2"/>
  <c r="A68" i="2" s="1"/>
  <c r="C211" i="2"/>
  <c r="A211" i="2" s="1"/>
  <c r="B298" i="3"/>
  <c r="A298" i="3" s="1"/>
  <c r="B357" i="2"/>
  <c r="A357" i="2" s="1"/>
  <c r="C511" i="3"/>
  <c r="A511" i="3" s="1"/>
  <c r="B558" i="2"/>
  <c r="A558" i="2" s="1"/>
  <c r="C143" i="3"/>
  <c r="C145" i="2"/>
  <c r="C237" i="3"/>
  <c r="C464" i="3"/>
  <c r="B407" i="2"/>
  <c r="B471" i="3"/>
  <c r="A471" i="3" s="1"/>
  <c r="B100" i="2"/>
  <c r="C608" i="3"/>
  <c r="C423" i="3"/>
  <c r="A423" i="3" s="1"/>
  <c r="B188" i="2"/>
  <c r="A188" i="2" s="1"/>
  <c r="C660" i="3"/>
  <c r="A660" i="3" s="1"/>
  <c r="C535" i="3"/>
  <c r="A535" i="3" s="1"/>
  <c r="B351" i="2"/>
  <c r="A351" i="2" s="1"/>
  <c r="B620" i="3"/>
  <c r="A620" i="3" s="1"/>
  <c r="B172" i="3"/>
  <c r="A172" i="3" s="1"/>
  <c r="C393" i="3"/>
  <c r="A393" i="3" s="1"/>
  <c r="C115" i="2"/>
  <c r="A115" i="2" s="1"/>
  <c r="C502" i="3"/>
  <c r="A502" i="3" s="1"/>
  <c r="B433" i="3"/>
  <c r="A433" i="3" s="1"/>
  <c r="C3" i="3"/>
  <c r="A3" i="3" s="1"/>
  <c r="C615" i="3"/>
  <c r="A615" i="3" s="1"/>
  <c r="B19" i="3"/>
  <c r="A19" i="3" s="1"/>
  <c r="B654" i="2"/>
  <c r="A654" i="2" s="1"/>
  <c r="C238" i="2"/>
  <c r="A238" i="2" s="1"/>
  <c r="B580" i="2"/>
  <c r="A580" i="2" s="1"/>
  <c r="B12" i="2"/>
  <c r="A12" i="2" s="1"/>
  <c r="C3" i="2"/>
  <c r="A3" i="2" s="1"/>
  <c r="C260" i="2"/>
  <c r="A260" i="2" s="1"/>
  <c r="B605" i="3"/>
  <c r="A605" i="3" s="1"/>
  <c r="B504" i="3"/>
  <c r="A258" i="1"/>
  <c r="C551" i="3"/>
  <c r="B225" i="2"/>
  <c r="A225" i="2" s="1"/>
  <c r="C396" i="3"/>
  <c r="A396" i="3" s="1"/>
  <c r="B551" i="3"/>
  <c r="C275" i="2"/>
  <c r="A275" i="2" s="1"/>
  <c r="B44" i="3"/>
  <c r="A44" i="3" s="1"/>
  <c r="C54" i="2"/>
  <c r="A54" i="2" s="1"/>
  <c r="A297" i="1"/>
  <c r="B573" i="2"/>
  <c r="A573" i="2" s="1"/>
  <c r="B421" i="2"/>
  <c r="C537" i="3"/>
  <c r="A55" i="1"/>
  <c r="B559" i="3"/>
  <c r="A559" i="3" s="1"/>
  <c r="C659" i="3"/>
  <c r="A659" i="3" s="1"/>
  <c r="C198" i="2"/>
  <c r="A198" i="2" s="1"/>
  <c r="B131" i="3"/>
  <c r="B325" i="3"/>
  <c r="B483" i="2"/>
  <c r="C588" i="2"/>
  <c r="B96" i="2"/>
  <c r="A96" i="2" s="1"/>
  <c r="B156" i="3"/>
  <c r="A156" i="3" s="1"/>
  <c r="B297" i="2"/>
  <c r="A297" i="2" s="1"/>
  <c r="B112" i="2"/>
  <c r="A112" i="2" s="1"/>
  <c r="C325" i="3"/>
  <c r="C147" i="3"/>
  <c r="A147" i="3" s="1"/>
  <c r="C601" i="2"/>
  <c r="B582" i="2"/>
  <c r="A582" i="2" s="1"/>
  <c r="B667" i="3"/>
  <c r="A667" i="3" s="1"/>
  <c r="C292" i="2"/>
  <c r="A292" i="2" s="1"/>
  <c r="C504" i="3"/>
  <c r="C46" i="3"/>
  <c r="B555" i="3"/>
  <c r="B464" i="3"/>
  <c r="B97" i="2"/>
  <c r="B469" i="2"/>
  <c r="C539" i="2"/>
  <c r="C362" i="2"/>
  <c r="B444" i="3"/>
  <c r="C483" i="2"/>
  <c r="C79" i="2"/>
  <c r="C646" i="2"/>
  <c r="C368" i="3"/>
  <c r="B102" i="3"/>
  <c r="B13" i="3"/>
  <c r="B240" i="3"/>
  <c r="A240" i="3" s="1"/>
  <c r="B362" i="2"/>
  <c r="A2" i="3"/>
  <c r="C555" i="3"/>
  <c r="B539" i="2"/>
  <c r="B578" i="2"/>
  <c r="A578" i="2" s="1"/>
  <c r="C284" i="2"/>
  <c r="A284" i="2" s="1"/>
  <c r="B562" i="2"/>
  <c r="A562" i="2" s="1"/>
  <c r="C44" i="2"/>
  <c r="A44" i="2" s="1"/>
  <c r="C216" i="2"/>
  <c r="A216" i="2" s="1"/>
  <c r="B654" i="3"/>
  <c r="A654" i="3" s="1"/>
  <c r="C200" i="2"/>
  <c r="A200" i="2" s="1"/>
  <c r="C169" i="3"/>
  <c r="A169" i="3" s="1"/>
  <c r="C469" i="2"/>
  <c r="B273" i="3"/>
  <c r="C201" i="3"/>
  <c r="A201" i="3" s="1"/>
  <c r="B51" i="2"/>
  <c r="A51" i="2" s="1"/>
  <c r="B397" i="2"/>
  <c r="A397" i="2" s="1"/>
  <c r="B439" i="3"/>
  <c r="A439" i="3" s="1"/>
  <c r="B665" i="2"/>
  <c r="A665" i="2" s="1"/>
  <c r="C508" i="2"/>
  <c r="C351" i="3"/>
  <c r="B386" i="3"/>
  <c r="C403" i="2"/>
  <c r="A403" i="2" s="1"/>
  <c r="C406" i="2"/>
  <c r="A406" i="2" s="1"/>
  <c r="C472" i="3"/>
  <c r="B370" i="3"/>
  <c r="C596" i="2"/>
  <c r="B441" i="2"/>
  <c r="A19" i="1"/>
  <c r="B658" i="2"/>
  <c r="A658" i="2" s="1"/>
  <c r="A147" i="1"/>
  <c r="C668" i="2"/>
  <c r="C363" i="3"/>
  <c r="B534" i="2"/>
  <c r="B148" i="2"/>
  <c r="A148" i="2" s="1"/>
  <c r="B132" i="3"/>
  <c r="A132" i="3" s="1"/>
  <c r="B122" i="2"/>
  <c r="A122" i="2" s="1"/>
  <c r="C119" i="3"/>
  <c r="B351" i="3"/>
  <c r="C468" i="3"/>
  <c r="A468" i="3" s="1"/>
  <c r="B574" i="2"/>
  <c r="A574" i="2" s="1"/>
  <c r="B508" i="2"/>
  <c r="B256" i="2"/>
  <c r="A256" i="2" s="1"/>
  <c r="A166" i="1"/>
  <c r="B52" i="2"/>
  <c r="A52" i="2" s="1"/>
  <c r="B88" i="2"/>
  <c r="A88" i="2" s="1"/>
  <c r="B377" i="2"/>
  <c r="B46" i="2"/>
  <c r="C257" i="3"/>
  <c r="C259" i="2"/>
  <c r="C386" i="3"/>
  <c r="C358" i="3"/>
  <c r="A358" i="3" s="1"/>
  <c r="B363" i="3"/>
  <c r="B17" i="2"/>
  <c r="A324" i="1"/>
  <c r="B517" i="3"/>
  <c r="A517" i="3" s="1"/>
  <c r="A208" i="1"/>
  <c r="B628" i="3"/>
  <c r="A628" i="3" s="1"/>
  <c r="C117" i="3"/>
  <c r="A117" i="3" s="1"/>
  <c r="C84" i="3"/>
  <c r="C363" i="2"/>
  <c r="B322" i="2"/>
  <c r="B646" i="2"/>
  <c r="C97" i="3"/>
  <c r="B26" i="2"/>
  <c r="C4" i="2"/>
  <c r="A4" i="2" s="1"/>
  <c r="A43" i="1"/>
  <c r="C217" i="3"/>
  <c r="C388" i="2"/>
  <c r="B2" i="2"/>
  <c r="C18" i="2"/>
  <c r="A18" i="2" s="1"/>
  <c r="B130" i="3"/>
  <c r="B610" i="3"/>
  <c r="B165" i="3"/>
  <c r="A165" i="3" s="1"/>
  <c r="B21" i="2"/>
  <c r="A21" i="2" s="1"/>
  <c r="B331" i="2"/>
  <c r="A331" i="2" s="1"/>
  <c r="A359" i="3"/>
  <c r="B257" i="3"/>
  <c r="B592" i="2"/>
  <c r="A592" i="2" s="1"/>
  <c r="C513" i="2"/>
  <c r="A513" i="2" s="1"/>
  <c r="B84" i="3"/>
  <c r="B363" i="2"/>
  <c r="B428" i="2"/>
  <c r="B647" i="3"/>
  <c r="C152" i="2"/>
  <c r="B232" i="2"/>
  <c r="C308" i="3"/>
  <c r="A308" i="3" s="1"/>
  <c r="B628" i="2"/>
  <c r="A628" i="2" s="1"/>
  <c r="B201" i="2"/>
  <c r="A201" i="2" s="1"/>
  <c r="C522" i="2"/>
  <c r="A522" i="2" s="1"/>
  <c r="C477" i="2"/>
  <c r="B566" i="2"/>
  <c r="A566" i="2" s="1"/>
  <c r="C418" i="2"/>
  <c r="A418" i="2" s="1"/>
  <c r="B124" i="2"/>
  <c r="A124" i="2" s="1"/>
  <c r="B395" i="3"/>
  <c r="A395" i="3" s="1"/>
  <c r="C489" i="3"/>
  <c r="A489" i="3" s="1"/>
  <c r="A288" i="1"/>
  <c r="B576" i="2"/>
  <c r="A576" i="2" s="1"/>
  <c r="B295" i="2"/>
  <c r="A295" i="2" s="1"/>
  <c r="B647" i="2"/>
  <c r="A647" i="2" s="1"/>
  <c r="C254" i="3"/>
  <c r="A254" i="3" s="1"/>
  <c r="B388" i="2"/>
  <c r="C26" i="2"/>
  <c r="C450" i="3"/>
  <c r="A450" i="3" s="1"/>
  <c r="B337" i="3"/>
  <c r="A337" i="3" s="1"/>
  <c r="C178" i="3"/>
  <c r="A178" i="3" s="1"/>
  <c r="B202" i="3"/>
  <c r="A202" i="3" s="1"/>
  <c r="A143" i="1"/>
  <c r="C29" i="2"/>
  <c r="A29" i="2" s="1"/>
  <c r="B134" i="3"/>
  <c r="C322" i="2"/>
  <c r="C73" i="3"/>
  <c r="B454" i="2"/>
  <c r="A454" i="2" s="1"/>
  <c r="C309" i="2"/>
  <c r="B32" i="2"/>
  <c r="C543" i="3"/>
  <c r="B89" i="3"/>
  <c r="C294" i="3"/>
  <c r="B235" i="2"/>
  <c r="B372" i="3"/>
  <c r="A372" i="3" s="1"/>
  <c r="C193" i="2"/>
  <c r="A193" i="2" s="1"/>
  <c r="B152" i="2"/>
  <c r="B40" i="2"/>
  <c r="A40" i="2" s="1"/>
  <c r="C16" i="2"/>
  <c r="A16" i="2" s="1"/>
  <c r="B532" i="3"/>
  <c r="B491" i="2"/>
  <c r="A491" i="2" s="1"/>
  <c r="C12" i="3"/>
  <c r="A12" i="3" s="1"/>
  <c r="B145" i="2"/>
  <c r="B584" i="3"/>
  <c r="A584" i="3" s="1"/>
  <c r="A300" i="1"/>
  <c r="B173" i="3"/>
  <c r="A173" i="3" s="1"/>
  <c r="B92" i="2"/>
  <c r="A92" i="2" s="1"/>
  <c r="B45" i="2"/>
  <c r="A45" i="2" s="1"/>
  <c r="B78" i="1"/>
  <c r="A78" i="1" s="1"/>
  <c r="C305" i="3"/>
  <c r="A305" i="3" s="1"/>
  <c r="C423" i="2"/>
  <c r="A423" i="2" s="1"/>
  <c r="B253" i="3"/>
  <c r="A253" i="3" s="1"/>
  <c r="C8" i="3"/>
  <c r="B422" i="3"/>
  <c r="C659" i="2"/>
  <c r="C434" i="2"/>
  <c r="C138" i="2"/>
  <c r="B623" i="2"/>
  <c r="C482" i="2"/>
  <c r="C62" i="3"/>
  <c r="B18" i="1"/>
  <c r="A18" i="1" s="1"/>
  <c r="B170" i="2"/>
  <c r="C545" i="2"/>
  <c r="C164" i="2"/>
  <c r="C648" i="3"/>
  <c r="B144" i="2"/>
  <c r="B502" i="2"/>
  <c r="B176" i="2"/>
  <c r="B61" i="3"/>
  <c r="C385" i="3"/>
  <c r="A258" i="2"/>
  <c r="B28" i="2"/>
  <c r="B477" i="3"/>
  <c r="A477" i="3" s="1"/>
  <c r="C549" i="2"/>
  <c r="A549" i="2" s="1"/>
  <c r="C176" i="2"/>
  <c r="C341" i="2"/>
  <c r="B64" i="3"/>
  <c r="C451" i="3"/>
  <c r="A451" i="3" s="1"/>
  <c r="C391" i="3"/>
  <c r="A391" i="3" s="1"/>
  <c r="B85" i="2"/>
  <c r="A85" i="2" s="1"/>
  <c r="C390" i="3"/>
  <c r="C7" i="3"/>
  <c r="B528" i="2"/>
  <c r="B322" i="3"/>
  <c r="A322" i="3" s="1"/>
  <c r="C380" i="2"/>
  <c r="C181" i="3"/>
  <c r="B362" i="3"/>
  <c r="C229" i="2"/>
  <c r="A229" i="2" s="1"/>
  <c r="C359" i="2"/>
  <c r="A359" i="2" s="1"/>
  <c r="C432" i="3"/>
  <c r="A432" i="3" s="1"/>
  <c r="B138" i="3"/>
  <c r="A138" i="3" s="1"/>
  <c r="B659" i="2"/>
  <c r="B367" i="3"/>
  <c r="A367" i="3" s="1"/>
  <c r="B62" i="2"/>
  <c r="A62" i="2" s="1"/>
  <c r="C355" i="3"/>
  <c r="A355" i="3" s="1"/>
  <c r="B640" i="2"/>
  <c r="A640" i="2" s="1"/>
  <c r="C468" i="2"/>
  <c r="A468" i="2" s="1"/>
  <c r="C175" i="2"/>
  <c r="A175" i="2" s="1"/>
  <c r="B15" i="3"/>
  <c r="A15" i="3" s="1"/>
  <c r="C48" i="3"/>
  <c r="A48" i="3" s="1"/>
  <c r="B129" i="2"/>
  <c r="A129" i="2" s="1"/>
  <c r="C231" i="2"/>
  <c r="A231" i="2" s="1"/>
  <c r="B79" i="2"/>
  <c r="C544" i="3"/>
  <c r="A544" i="3" s="1"/>
  <c r="B345" i="2"/>
  <c r="A345" i="2" s="1"/>
  <c r="B218" i="2"/>
  <c r="A218" i="2" s="1"/>
  <c r="B78" i="2"/>
  <c r="A78" i="2" s="1"/>
  <c r="C176" i="3"/>
  <c r="C185" i="3"/>
  <c r="A185" i="3" s="1"/>
  <c r="C422" i="3"/>
  <c r="C641" i="2"/>
  <c r="A641" i="2" s="1"/>
  <c r="B8" i="3"/>
  <c r="B164" i="2"/>
  <c r="C262" i="2"/>
  <c r="A262" i="2" s="1"/>
  <c r="A264" i="1"/>
  <c r="B443" i="2"/>
  <c r="A443" i="2" s="1"/>
  <c r="B231" i="1"/>
  <c r="A231" i="1" s="1"/>
  <c r="A269" i="1"/>
  <c r="B122" i="3"/>
  <c r="A122" i="3" s="1"/>
  <c r="B400" i="2"/>
  <c r="C236" i="2"/>
  <c r="B613" i="3"/>
  <c r="C635" i="2"/>
  <c r="C510" i="2"/>
  <c r="B283" i="2"/>
  <c r="A283" i="2" s="1"/>
  <c r="C32" i="2"/>
  <c r="C328" i="2"/>
  <c r="C394" i="3"/>
  <c r="B564" i="2"/>
  <c r="C370" i="3"/>
  <c r="C585" i="3"/>
  <c r="B635" i="2"/>
  <c r="C61" i="3"/>
  <c r="C564" i="2"/>
  <c r="C548" i="2"/>
  <c r="C624" i="2"/>
  <c r="B398" i="2"/>
  <c r="A398" i="2" s="1"/>
  <c r="C23" i="2"/>
  <c r="C64" i="3"/>
  <c r="C528" i="2"/>
  <c r="C438" i="3"/>
  <c r="A438" i="3" s="1"/>
  <c r="B305" i="2"/>
  <c r="A305" i="2" s="1"/>
  <c r="B399" i="2"/>
  <c r="A399" i="2" s="1"/>
  <c r="B134" i="2"/>
  <c r="A134" i="2" s="1"/>
  <c r="B98" i="2"/>
  <c r="A98" i="2" s="1"/>
  <c r="C28" i="2"/>
  <c r="B585" i="2"/>
  <c r="A585" i="2" s="1"/>
  <c r="B387" i="2"/>
  <c r="A387" i="2" s="1"/>
  <c r="B429" i="3"/>
  <c r="A429" i="3" s="1"/>
  <c r="B394" i="3"/>
  <c r="C514" i="2"/>
  <c r="A514" i="2" s="1"/>
  <c r="C38" i="2"/>
  <c r="A38" i="2" s="1"/>
  <c r="B108" i="2"/>
  <c r="A108" i="2" s="1"/>
  <c r="B323" i="3"/>
  <c r="A323" i="3" s="1"/>
  <c r="C298" i="2"/>
  <c r="A298" i="2" s="1"/>
  <c r="A252" i="1"/>
  <c r="C131" i="3"/>
  <c r="B274" i="2"/>
  <c r="A274" i="2" s="1"/>
  <c r="B636" i="3"/>
  <c r="A636" i="3" s="1"/>
  <c r="B189" i="3"/>
  <c r="B346" i="3"/>
  <c r="A346" i="3" s="1"/>
  <c r="C656" i="2"/>
  <c r="A656" i="2" s="1"/>
  <c r="B146" i="3"/>
  <c r="A146" i="3" s="1"/>
  <c r="C532" i="3"/>
  <c r="C349" i="3"/>
  <c r="A349" i="3" s="1"/>
  <c r="C356" i="2"/>
  <c r="A356" i="2" s="1"/>
  <c r="C291" i="2"/>
  <c r="A291" i="2" s="1"/>
  <c r="C577" i="2"/>
  <c r="A577" i="2" s="1"/>
  <c r="B180" i="1"/>
  <c r="A180" i="1" s="1"/>
  <c r="B138" i="2"/>
  <c r="C311" i="3"/>
  <c r="B380" i="2"/>
  <c r="B228" i="2"/>
  <c r="A228" i="2" s="1"/>
  <c r="B344" i="3"/>
  <c r="A344" i="3" s="1"/>
  <c r="C97" i="2"/>
  <c r="B376" i="3"/>
  <c r="C461" i="2"/>
  <c r="C605" i="2"/>
  <c r="B349" i="2"/>
  <c r="A610" i="2"/>
  <c r="C440" i="2"/>
  <c r="C318" i="3"/>
  <c r="B192" i="2"/>
  <c r="B222" i="2"/>
  <c r="C401" i="2"/>
  <c r="B489" i="2"/>
  <c r="C409" i="3"/>
  <c r="B600" i="2"/>
  <c r="B136" i="3"/>
  <c r="C552" i="2"/>
  <c r="C286" i="2"/>
  <c r="B242" i="2"/>
  <c r="A129" i="1"/>
  <c r="B368" i="3"/>
  <c r="C521" i="2"/>
  <c r="B426" i="3"/>
  <c r="C30" i="2"/>
  <c r="C110" i="3"/>
  <c r="C170" i="2"/>
  <c r="C369" i="2"/>
  <c r="B196" i="3"/>
  <c r="C5" i="3"/>
  <c r="B236" i="2"/>
  <c r="C373" i="2"/>
  <c r="C393" i="2"/>
  <c r="C410" i="3"/>
  <c r="A30" i="1"/>
  <c r="C238" i="3"/>
  <c r="B52" i="3"/>
  <c r="B545" i="2"/>
  <c r="C217" i="2"/>
  <c r="B205" i="3"/>
  <c r="B133" i="2"/>
  <c r="B143" i="3"/>
  <c r="B551" i="2"/>
  <c r="C214" i="3"/>
  <c r="B596" i="2"/>
  <c r="C17" i="2"/>
  <c r="B166" i="3"/>
  <c r="C403" i="3"/>
  <c r="C130" i="3"/>
  <c r="B607" i="3"/>
  <c r="C84" i="2"/>
  <c r="A136" i="1"/>
  <c r="C376" i="2"/>
  <c r="C274" i="3"/>
  <c r="B412" i="2"/>
  <c r="B530" i="2"/>
  <c r="B317" i="2"/>
  <c r="B655" i="3"/>
  <c r="C132" i="2"/>
  <c r="C509" i="2"/>
  <c r="C140" i="2"/>
  <c r="C33" i="2"/>
  <c r="C184" i="3"/>
  <c r="C67" i="2"/>
  <c r="C48" i="2"/>
  <c r="C604" i="3"/>
  <c r="C561" i="3"/>
  <c r="B601" i="2"/>
  <c r="B75" i="2"/>
  <c r="B581" i="2"/>
  <c r="C333" i="2"/>
  <c r="C597" i="2"/>
  <c r="C647" i="3"/>
  <c r="A81" i="1"/>
  <c r="C452" i="2"/>
  <c r="C2" i="2"/>
  <c r="C74" i="3"/>
  <c r="B476" i="3"/>
  <c r="A54" i="1"/>
  <c r="A69" i="1"/>
  <c r="B565" i="2"/>
  <c r="A565" i="2" s="1"/>
  <c r="B24" i="1"/>
  <c r="A24" i="1" s="1"/>
  <c r="C162" i="3"/>
  <c r="B482" i="2"/>
  <c r="B588" i="2"/>
  <c r="C350" i="2"/>
  <c r="A205" i="1"/>
  <c r="C335" i="2"/>
  <c r="B296" i="2"/>
  <c r="C600" i="3"/>
  <c r="B193" i="3"/>
  <c r="C156" i="2"/>
  <c r="B400" i="3"/>
  <c r="B338" i="2"/>
  <c r="C160" i="2"/>
  <c r="C344" i="2"/>
  <c r="B648" i="3"/>
  <c r="C93" i="2"/>
  <c r="A93" i="2" s="1"/>
  <c r="B405" i="3"/>
  <c r="B54" i="3"/>
  <c r="C225" i="3"/>
  <c r="B98" i="3"/>
  <c r="C180" i="2"/>
  <c r="C234" i="2"/>
  <c r="B541" i="3"/>
  <c r="B67" i="3"/>
  <c r="B62" i="3"/>
  <c r="B21" i="3"/>
  <c r="C34" i="3"/>
  <c r="C405" i="2"/>
  <c r="C128" i="2"/>
  <c r="C103" i="2"/>
  <c r="A103" i="2" s="1"/>
  <c r="B452" i="3"/>
  <c r="C38" i="3"/>
  <c r="A38" i="3" s="1"/>
  <c r="C613" i="2"/>
  <c r="A613" i="2" s="1"/>
  <c r="B638" i="2"/>
  <c r="C561" i="2"/>
  <c r="C338" i="2"/>
  <c r="C273" i="2"/>
  <c r="C414" i="3"/>
  <c r="B474" i="2"/>
  <c r="C457" i="3"/>
  <c r="A457" i="3" s="1"/>
  <c r="C476" i="3"/>
  <c r="C590" i="2"/>
  <c r="A590" i="2" s="1"/>
  <c r="A186" i="1"/>
  <c r="C242" i="2"/>
  <c r="A214" i="1"/>
  <c r="C470" i="2"/>
  <c r="A470" i="2" s="1"/>
  <c r="B448" i="2"/>
  <c r="B575" i="2"/>
  <c r="B370" i="2"/>
  <c r="C296" i="2"/>
  <c r="B600" i="3"/>
  <c r="B520" i="3"/>
  <c r="A520" i="3" s="1"/>
  <c r="B5" i="3"/>
  <c r="C269" i="3"/>
  <c r="A269" i="3" s="1"/>
  <c r="A295" i="3"/>
  <c r="B214" i="3"/>
  <c r="C30" i="3"/>
  <c r="A30" i="3" s="1"/>
  <c r="C253" i="2"/>
  <c r="A253" i="2" s="1"/>
  <c r="B105" i="2"/>
  <c r="A105" i="2" s="1"/>
  <c r="B384" i="3"/>
  <c r="C459" i="2"/>
  <c r="A67" i="1"/>
  <c r="B124" i="3"/>
  <c r="B100" i="3"/>
  <c r="A100" i="3" s="1"/>
  <c r="B86" i="3"/>
  <c r="A86" i="3" s="1"/>
  <c r="C196" i="3"/>
  <c r="B409" i="3"/>
  <c r="B162" i="3"/>
  <c r="B20" i="3"/>
  <c r="A20" i="3" s="1"/>
  <c r="C489" i="2"/>
  <c r="C323" i="2"/>
  <c r="A323" i="2" s="1"/>
  <c r="B204" i="1"/>
  <c r="A204" i="1" s="1"/>
  <c r="C165" i="2"/>
  <c r="A165" i="2" s="1"/>
  <c r="C20" i="2"/>
  <c r="A20" i="2" s="1"/>
  <c r="A195" i="1"/>
  <c r="B286" i="2"/>
  <c r="B434" i="2"/>
  <c r="B557" i="2"/>
  <c r="B227" i="3"/>
  <c r="B307" i="1"/>
  <c r="A307" i="1" s="1"/>
  <c r="C607" i="3"/>
  <c r="C513" i="3"/>
  <c r="A513" i="3" s="1"/>
  <c r="C168" i="3"/>
  <c r="A168" i="3" s="1"/>
  <c r="B605" i="2"/>
  <c r="C114" i="3"/>
  <c r="A114" i="3" s="1"/>
  <c r="B552" i="2"/>
  <c r="B339" i="2"/>
  <c r="A339" i="2" s="1"/>
  <c r="C91" i="2"/>
  <c r="A91" i="2" s="1"/>
  <c r="A31" i="1"/>
  <c r="C541" i="2"/>
  <c r="A541" i="2" s="1"/>
  <c r="B614" i="2"/>
  <c r="B309" i="2"/>
  <c r="B443" i="3"/>
  <c r="C186" i="2"/>
  <c r="A186" i="2" s="1"/>
  <c r="C525" i="2"/>
  <c r="C174" i="3"/>
  <c r="C349" i="2"/>
  <c r="B333" i="2"/>
  <c r="A165" i="1"/>
  <c r="C617" i="3"/>
  <c r="A617" i="3" s="1"/>
  <c r="B367" i="2"/>
  <c r="A367" i="2" s="1"/>
  <c r="B666" i="3"/>
  <c r="A666" i="3" s="1"/>
  <c r="B485" i="3"/>
  <c r="A485" i="3" s="1"/>
  <c r="C426" i="3"/>
  <c r="C609" i="2"/>
  <c r="A609" i="2" s="1"/>
  <c r="B521" i="2"/>
  <c r="C310" i="2"/>
  <c r="A310" i="2" s="1"/>
  <c r="B369" i="2"/>
  <c r="B230" i="2"/>
  <c r="A230" i="2" s="1"/>
  <c r="A9" i="1"/>
  <c r="B30" i="2"/>
  <c r="C484" i="3"/>
  <c r="C580" i="3"/>
  <c r="A580" i="3" s="1"/>
  <c r="B320" i="3"/>
  <c r="A320" i="3" s="1"/>
  <c r="C610" i="3"/>
  <c r="B294" i="3"/>
  <c r="B430" i="2"/>
  <c r="A430" i="2" s="1"/>
  <c r="B499" i="3"/>
  <c r="C400" i="2"/>
  <c r="C37" i="2"/>
  <c r="B589" i="2"/>
  <c r="A589" i="2" s="1"/>
  <c r="C135" i="1"/>
  <c r="A135" i="1" s="1"/>
  <c r="C606" i="3"/>
  <c r="C320" i="2"/>
  <c r="C442" i="2"/>
  <c r="B74" i="3"/>
  <c r="B505" i="2"/>
  <c r="B361" i="2"/>
  <c r="A361" i="2" s="1"/>
  <c r="B586" i="3"/>
  <c r="B274" i="3"/>
  <c r="B391" i="2"/>
  <c r="C428" i="2"/>
  <c r="B202" i="1"/>
  <c r="A202" i="1" s="1"/>
  <c r="C465" i="3"/>
  <c r="A465" i="3" s="1"/>
  <c r="C362" i="3"/>
  <c r="C65" i="3"/>
  <c r="A65" i="3" s="1"/>
  <c r="B597" i="2"/>
  <c r="B335" i="2"/>
  <c r="B364" i="2"/>
  <c r="A364" i="2" s="1"/>
  <c r="B198" i="1"/>
  <c r="A198" i="1" s="1"/>
  <c r="C66" i="2"/>
  <c r="A66" i="2" s="1"/>
  <c r="B12" i="1"/>
  <c r="A12" i="1" s="1"/>
  <c r="B84" i="2"/>
  <c r="B43" i="2"/>
  <c r="A43" i="2" s="1"/>
  <c r="C352" i="3"/>
  <c r="C441" i="2"/>
  <c r="B73" i="2"/>
  <c r="A73" i="2" s="1"/>
  <c r="B136" i="2"/>
  <c r="C375" i="3"/>
  <c r="C556" i="2"/>
  <c r="C6" i="2"/>
  <c r="B146" i="1"/>
  <c r="A146" i="1" s="1"/>
  <c r="C317" i="2"/>
  <c r="C218" i="1"/>
  <c r="A218" i="1" s="1"/>
  <c r="B72" i="2"/>
  <c r="C6" i="3"/>
  <c r="C552" i="3"/>
  <c r="A552" i="3" s="1"/>
  <c r="C638" i="2"/>
  <c r="C370" i="2"/>
  <c r="B86" i="2"/>
  <c r="A86" i="2" s="1"/>
  <c r="B128" i="2"/>
  <c r="C445" i="2"/>
  <c r="A445" i="2" s="1"/>
  <c r="B24" i="2"/>
  <c r="A24" i="2" s="1"/>
  <c r="B37" i="2"/>
  <c r="C286" i="3"/>
  <c r="A286" i="3" s="1"/>
  <c r="C17" i="3"/>
  <c r="A17" i="3" s="1"/>
  <c r="B310" i="3"/>
  <c r="A310" i="3" s="1"/>
  <c r="B150" i="2"/>
  <c r="A150" i="2" s="1"/>
  <c r="C596" i="3"/>
  <c r="A596" i="3" s="1"/>
  <c r="B458" i="2"/>
  <c r="A458" i="2" s="1"/>
  <c r="A157" i="2"/>
  <c r="C263" i="3"/>
  <c r="A263" i="3" s="1"/>
  <c r="C433" i="2"/>
  <c r="B493" i="2"/>
  <c r="B460" i="2"/>
  <c r="C255" i="2"/>
  <c r="B304" i="2"/>
  <c r="B107" i="3"/>
  <c r="B492" i="2"/>
  <c r="C569" i="3"/>
  <c r="A569" i="3" s="1"/>
  <c r="B631" i="3"/>
  <c r="A631" i="3" s="1"/>
  <c r="B184" i="3"/>
  <c r="B618" i="2"/>
  <c r="A618" i="2" s="1"/>
  <c r="B624" i="2"/>
  <c r="B548" i="2"/>
  <c r="B273" i="2"/>
  <c r="B182" i="2"/>
  <c r="A182" i="2" s="1"/>
  <c r="B160" i="2"/>
  <c r="A159" i="1"/>
  <c r="B156" i="2"/>
  <c r="B33" i="2"/>
  <c r="B583" i="3"/>
  <c r="B186" i="3"/>
  <c r="B582" i="3"/>
  <c r="B547" i="3"/>
  <c r="B570" i="2"/>
  <c r="C199" i="2"/>
  <c r="C609" i="3"/>
  <c r="A609" i="3" s="1"/>
  <c r="B498" i="3"/>
  <c r="A498" i="3" s="1"/>
  <c r="C24" i="3"/>
  <c r="A24" i="3" s="1"/>
  <c r="C193" i="3"/>
  <c r="B401" i="2"/>
  <c r="B140" i="2"/>
  <c r="C114" i="1"/>
  <c r="A114" i="1" s="1"/>
  <c r="A177" i="1"/>
  <c r="A126" i="1"/>
  <c r="B7" i="3"/>
  <c r="C177" i="2"/>
  <c r="B128" i="1"/>
  <c r="A128" i="1" s="1"/>
  <c r="C252" i="2"/>
  <c r="A252" i="2" s="1"/>
  <c r="B506" i="2"/>
  <c r="A506" i="2" s="1"/>
  <c r="C411" i="2"/>
  <c r="A411" i="2" s="1"/>
  <c r="A84" i="1"/>
  <c r="B238" i="1"/>
  <c r="A238" i="1" s="1"/>
  <c r="B23" i="2"/>
  <c r="C78" i="3"/>
  <c r="A78" i="3" s="1"/>
  <c r="B56" i="3"/>
  <c r="A56" i="3" s="1"/>
  <c r="C567" i="3"/>
  <c r="A567" i="3" s="1"/>
  <c r="B383" i="2"/>
  <c r="A383" i="2" s="1"/>
  <c r="B405" i="2"/>
  <c r="B116" i="2"/>
  <c r="A116" i="2" s="1"/>
  <c r="B180" i="2"/>
  <c r="B132" i="2"/>
  <c r="B664" i="3"/>
  <c r="C417" i="3"/>
  <c r="A417" i="3" s="1"/>
  <c r="B404" i="2"/>
  <c r="A404" i="2" s="1"/>
  <c r="B350" i="2"/>
  <c r="B140" i="1"/>
  <c r="A140" i="1" s="1"/>
  <c r="A265" i="1"/>
  <c r="C586" i="3"/>
  <c r="C653" i="3"/>
  <c r="A653" i="3" s="1"/>
  <c r="C452" i="3"/>
  <c r="B507" i="2"/>
  <c r="A507" i="2" s="1"/>
  <c r="B393" i="2"/>
  <c r="A246" i="2"/>
  <c r="B158" i="1"/>
  <c r="A158" i="1" s="1"/>
  <c r="B484" i="3"/>
  <c r="C283" i="3"/>
  <c r="A283" i="3" s="1"/>
  <c r="C519" i="3"/>
  <c r="A519" i="3" s="1"/>
  <c r="B616" i="3"/>
  <c r="A616" i="3" s="1"/>
  <c r="C533" i="3"/>
  <c r="A533" i="3" s="1"/>
  <c r="B104" i="3"/>
  <c r="A104" i="3" s="1"/>
  <c r="C219" i="1"/>
  <c r="A219" i="1" s="1"/>
  <c r="B472" i="3"/>
  <c r="B390" i="3"/>
  <c r="C473" i="2"/>
  <c r="B385" i="3"/>
  <c r="B346" i="2"/>
  <c r="B376" i="2"/>
  <c r="C114" i="2"/>
  <c r="A114" i="2" s="1"/>
  <c r="C296" i="1"/>
  <c r="A296" i="1" s="1"/>
  <c r="C632" i="3"/>
  <c r="C401" i="3"/>
  <c r="C224" i="2"/>
  <c r="C512" i="3"/>
  <c r="C621" i="2"/>
  <c r="A58" i="1"/>
  <c r="B36" i="1"/>
  <c r="A36" i="1" s="1"/>
  <c r="B6" i="2"/>
  <c r="B8" i="1"/>
  <c r="A8" i="1" s="1"/>
  <c r="C409" i="2"/>
  <c r="A409" i="2" s="1"/>
  <c r="C92" i="1"/>
  <c r="A92" i="1" s="1"/>
  <c r="C391" i="2"/>
  <c r="B234" i="2"/>
  <c r="C379" i="3"/>
  <c r="B291" i="3"/>
  <c r="C291" i="3"/>
  <c r="B424" i="2"/>
  <c r="C170" i="3"/>
  <c r="C248" i="2"/>
  <c r="B355" i="2"/>
  <c r="A355" i="2" s="1"/>
  <c r="B289" i="2"/>
  <c r="A289" i="2" s="1"/>
  <c r="C448" i="2"/>
  <c r="C246" i="3"/>
  <c r="C532" i="2"/>
  <c r="C457" i="2"/>
  <c r="C172" i="2"/>
  <c r="C146" i="2"/>
  <c r="C662" i="2"/>
  <c r="B592" i="3"/>
  <c r="A592" i="3" s="1"/>
  <c r="C111" i="3"/>
  <c r="B455" i="3"/>
  <c r="B328" i="2"/>
  <c r="B624" i="3"/>
  <c r="B608" i="3"/>
  <c r="C460" i="3"/>
  <c r="C79" i="1"/>
  <c r="A79" i="1" s="1"/>
  <c r="B392" i="2"/>
  <c r="C190" i="3"/>
  <c r="C127" i="2"/>
  <c r="B238" i="3"/>
  <c r="C52" i="3"/>
  <c r="C557" i="3"/>
  <c r="C117" i="2"/>
  <c r="B387" i="3"/>
  <c r="C13" i="2"/>
  <c r="C341" i="3"/>
  <c r="B141" i="3"/>
  <c r="B318" i="3"/>
  <c r="C192" i="2"/>
  <c r="C134" i="1"/>
  <c r="A134" i="1" s="1"/>
  <c r="C505" i="2"/>
  <c r="C603" i="3"/>
  <c r="C204" i="3"/>
  <c r="C486" i="3"/>
  <c r="B493" i="3"/>
  <c r="B594" i="2"/>
  <c r="C194" i="2"/>
  <c r="B118" i="2"/>
  <c r="A118" i="2" s="1"/>
  <c r="B76" i="3"/>
  <c r="A76" i="3" s="1"/>
  <c r="C572" i="3"/>
  <c r="A623" i="3"/>
  <c r="C657" i="2"/>
  <c r="A657" i="2" s="1"/>
  <c r="A285" i="2"/>
  <c r="B192" i="1"/>
  <c r="A192" i="1" s="1"/>
  <c r="B208" i="2"/>
  <c r="A208" i="2" s="1"/>
  <c r="B60" i="1"/>
  <c r="A60" i="1" s="1"/>
  <c r="A118" i="1"/>
  <c r="A243" i="1"/>
  <c r="A34" i="1"/>
  <c r="B534" i="3"/>
  <c r="B285" i="3"/>
  <c r="B337" i="2"/>
  <c r="A337" i="2" s="1"/>
  <c r="C72" i="2"/>
  <c r="B504" i="2"/>
  <c r="C235" i="2"/>
  <c r="C444" i="3"/>
  <c r="C394" i="2"/>
  <c r="C455" i="3"/>
  <c r="C537" i="2"/>
  <c r="A537" i="2" s="1"/>
  <c r="C516" i="2"/>
  <c r="A516" i="2" s="1"/>
  <c r="C55" i="2"/>
  <c r="A55" i="2" s="1"/>
  <c r="B255" i="2"/>
  <c r="C424" i="2"/>
  <c r="B72" i="1"/>
  <c r="A72" i="1" s="1"/>
  <c r="B545" i="3"/>
  <c r="A545" i="3" s="1"/>
  <c r="C478" i="2"/>
  <c r="A478" i="2" s="1"/>
  <c r="C466" i="2"/>
  <c r="B453" i="3"/>
  <c r="C4" i="3"/>
  <c r="B139" i="2"/>
  <c r="A139" i="2" s="1"/>
  <c r="B512" i="3"/>
  <c r="B118" i="3"/>
  <c r="A118" i="3" s="1"/>
  <c r="B161" i="1"/>
  <c r="A161" i="1" s="1"/>
  <c r="B665" i="3"/>
  <c r="A665" i="3" s="1"/>
  <c r="B621" i="2"/>
  <c r="B191" i="3"/>
  <c r="C512" i="2"/>
  <c r="B486" i="2"/>
  <c r="A206" i="1"/>
  <c r="C196" i="2"/>
  <c r="A196" i="2" s="1"/>
  <c r="B471" i="2"/>
  <c r="B5" i="2"/>
  <c r="B26" i="3"/>
  <c r="C655" i="3"/>
  <c r="B6" i="3"/>
  <c r="B158" i="2"/>
  <c r="B314" i="1"/>
  <c r="A314" i="1" s="1"/>
  <c r="C474" i="2"/>
  <c r="B48" i="2"/>
  <c r="B350" i="3"/>
  <c r="A350" i="3" s="1"/>
  <c r="B401" i="3"/>
  <c r="B532" i="2"/>
  <c r="B347" i="2"/>
  <c r="A347" i="2" s="1"/>
  <c r="C368" i="2"/>
  <c r="A368" i="2" s="1"/>
  <c r="B553" i="2"/>
  <c r="A553" i="2" s="1"/>
  <c r="B224" i="2"/>
  <c r="C304" i="2"/>
  <c r="B109" i="2"/>
  <c r="A109" i="2" s="1"/>
  <c r="A86" i="1"/>
  <c r="B107" i="1"/>
  <c r="A107" i="1" s="1"/>
  <c r="B509" i="2"/>
  <c r="C189" i="3"/>
  <c r="B177" i="3"/>
  <c r="A177" i="3" s="1"/>
  <c r="B460" i="3"/>
  <c r="A467" i="3"/>
  <c r="C186" i="3"/>
  <c r="B556" i="2"/>
  <c r="C587" i="2"/>
  <c r="A587" i="2" s="1"/>
  <c r="B248" i="2"/>
  <c r="B457" i="2"/>
  <c r="B81" i="2"/>
  <c r="A81" i="2" s="1"/>
  <c r="A203" i="1"/>
  <c r="C239" i="1"/>
  <c r="A239" i="1" s="1"/>
  <c r="C141" i="3"/>
  <c r="C134" i="3"/>
  <c r="C383" i="3"/>
  <c r="C386" i="2"/>
  <c r="C88" i="1"/>
  <c r="A88" i="1" s="1"/>
  <c r="C56" i="1"/>
  <c r="A56" i="1" s="1"/>
  <c r="C80" i="1"/>
  <c r="A80" i="1" s="1"/>
  <c r="B110" i="3"/>
  <c r="C425" i="2"/>
  <c r="C281" i="2"/>
  <c r="C261" i="3"/>
  <c r="C586" i="2"/>
  <c r="C624" i="3"/>
  <c r="C547" i="3"/>
  <c r="B146" i="2"/>
  <c r="C239" i="3"/>
  <c r="A239" i="3" s="1"/>
  <c r="B375" i="3"/>
  <c r="B499" i="2"/>
  <c r="A499" i="2" s="1"/>
  <c r="B60" i="2"/>
  <c r="A60" i="2" s="1"/>
  <c r="B13" i="2"/>
  <c r="C413" i="3"/>
  <c r="B119" i="3"/>
  <c r="C408" i="3"/>
  <c r="A408" i="3" s="1"/>
  <c r="B217" i="2"/>
  <c r="C46" i="2"/>
  <c r="C460" i="2"/>
  <c r="B287" i="3"/>
  <c r="C381" i="2"/>
  <c r="C583" i="3"/>
  <c r="A491" i="3"/>
  <c r="B148" i="3"/>
  <c r="A148" i="3" s="1"/>
  <c r="B170" i="3"/>
  <c r="A227" i="1"/>
  <c r="B36" i="2"/>
  <c r="A36" i="2" s="1"/>
  <c r="B39" i="2"/>
  <c r="A39" i="2" s="1"/>
  <c r="C496" i="3"/>
  <c r="B112" i="3"/>
  <c r="B262" i="3"/>
  <c r="C660" i="2"/>
  <c r="C317" i="3"/>
  <c r="B517" i="2"/>
  <c r="B419" i="2"/>
  <c r="C20" i="1"/>
  <c r="A20" i="1" s="1"/>
  <c r="B217" i="3"/>
  <c r="B97" i="3"/>
  <c r="C124" i="3"/>
  <c r="C120" i="2"/>
  <c r="B319" i="2"/>
  <c r="B352" i="3"/>
  <c r="C107" i="3"/>
  <c r="C492" i="2"/>
  <c r="B117" i="2"/>
  <c r="B429" i="2"/>
  <c r="A429" i="2" s="1"/>
  <c r="B67" i="2"/>
  <c r="C611" i="2"/>
  <c r="A611" i="2" s="1"/>
  <c r="B94" i="2"/>
  <c r="A94" i="2" s="1"/>
  <c r="C75" i="2"/>
  <c r="B155" i="3"/>
  <c r="C68" i="1"/>
  <c r="A68" i="1" s="1"/>
  <c r="C10" i="2"/>
  <c r="C19" i="2"/>
  <c r="A19" i="2" s="1"/>
  <c r="C488" i="3"/>
  <c r="C334" i="3"/>
  <c r="B543" i="3"/>
  <c r="C89" i="3"/>
  <c r="B245" i="3"/>
  <c r="A245" i="3" s="1"/>
  <c r="C664" i="3"/>
  <c r="B174" i="3"/>
  <c r="C205" i="3"/>
  <c r="C557" i="2"/>
  <c r="B662" i="2"/>
  <c r="B341" i="2"/>
  <c r="C158" i="2"/>
  <c r="B394" i="2"/>
  <c r="C27" i="2"/>
  <c r="A27" i="2" s="1"/>
  <c r="B246" i="3"/>
  <c r="B280" i="2"/>
  <c r="C321" i="1"/>
  <c r="A321" i="1" s="1"/>
  <c r="C210" i="2"/>
  <c r="A210" i="2" s="1"/>
  <c r="B240" i="2"/>
  <c r="A240" i="2" s="1"/>
  <c r="C123" i="1"/>
  <c r="A123" i="1" s="1"/>
  <c r="B319" i="1"/>
  <c r="A319" i="1" s="1"/>
  <c r="C518" i="2"/>
  <c r="B518" i="2"/>
  <c r="B586" i="2"/>
  <c r="B312" i="1"/>
  <c r="A312" i="1" s="1"/>
  <c r="B459" i="2"/>
  <c r="A249" i="2"/>
  <c r="A184" i="2"/>
  <c r="C5" i="2"/>
  <c r="B10" i="2"/>
  <c r="B403" i="3"/>
  <c r="C21" i="3"/>
  <c r="B281" i="2"/>
  <c r="C636" i="2"/>
  <c r="C74" i="2"/>
  <c r="C614" i="2"/>
  <c r="B525" i="2"/>
  <c r="A220" i="3"/>
  <c r="B473" i="2"/>
  <c r="B425" i="2"/>
  <c r="B120" i="2"/>
  <c r="B262" i="1"/>
  <c r="A262" i="1" s="1"/>
  <c r="A274" i="1"/>
  <c r="C54" i="3"/>
  <c r="C376" i="3"/>
  <c r="C581" i="2"/>
  <c r="B386" i="2"/>
  <c r="B320" i="2"/>
  <c r="C319" i="2"/>
  <c r="B382" i="2"/>
  <c r="B272" i="3"/>
  <c r="C375" i="2"/>
  <c r="B463" i="3"/>
  <c r="A463" i="3" s="1"/>
  <c r="B379" i="3"/>
  <c r="B317" i="3"/>
  <c r="C570" i="2"/>
  <c r="C9" i="3"/>
  <c r="A9" i="3" s="1"/>
  <c r="C169" i="2"/>
  <c r="A169" i="2" s="1"/>
  <c r="B264" i="2"/>
  <c r="A264" i="2" s="1"/>
  <c r="A3" i="1"/>
  <c r="C105" i="3"/>
  <c r="B224" i="3"/>
  <c r="C600" i="2"/>
  <c r="C136" i="3"/>
  <c r="B452" i="2"/>
  <c r="C67" i="3"/>
  <c r="A261" i="1"/>
  <c r="C154" i="1"/>
  <c r="A154" i="1" s="1"/>
  <c r="B634" i="2"/>
  <c r="C44" i="1"/>
  <c r="A44" i="1" s="1"/>
  <c r="B163" i="1"/>
  <c r="A163" i="1" s="1"/>
  <c r="C530" i="2"/>
  <c r="C602" i="2"/>
  <c r="C443" i="3"/>
  <c r="B247" i="1"/>
  <c r="A247" i="1" s="1"/>
  <c r="B414" i="3"/>
  <c r="B7" i="1"/>
  <c r="A7" i="1" s="1"/>
  <c r="B632" i="3"/>
  <c r="B440" i="2"/>
  <c r="B29" i="3"/>
  <c r="C29" i="3"/>
  <c r="B253" i="1"/>
  <c r="A253" i="1" s="1"/>
  <c r="C144" i="2"/>
  <c r="B575" i="3"/>
  <c r="A575" i="3" s="1"/>
  <c r="A653" i="2"/>
  <c r="B60" i="3"/>
  <c r="A60" i="3" s="1"/>
  <c r="A276" i="1"/>
  <c r="C299" i="1"/>
  <c r="A299" i="1" s="1"/>
  <c r="C287" i="3"/>
  <c r="C26" i="1"/>
  <c r="A26" i="1" s="1"/>
  <c r="C575" i="2"/>
  <c r="B344" i="2"/>
  <c r="B311" i="3"/>
  <c r="B284" i="1"/>
  <c r="A284" i="1" s="1"/>
  <c r="B334" i="3"/>
  <c r="B4" i="3"/>
  <c r="B466" i="2"/>
  <c r="C422" i="2"/>
  <c r="A422" i="2" s="1"/>
  <c r="B433" i="2"/>
  <c r="C534" i="3"/>
  <c r="C285" i="3"/>
  <c r="B222" i="3"/>
  <c r="B510" i="2"/>
  <c r="B199" i="2"/>
  <c r="B106" i="3"/>
  <c r="C267" i="2"/>
  <c r="C224" i="1"/>
  <c r="A224" i="1" s="1"/>
  <c r="C197" i="3"/>
  <c r="B197" i="3"/>
  <c r="C613" i="3"/>
  <c r="B373" i="2"/>
  <c r="B557" i="3"/>
  <c r="C232" i="2"/>
  <c r="B416" i="3"/>
  <c r="A416" i="3" s="1"/>
  <c r="B190" i="3"/>
  <c r="A544" i="2"/>
  <c r="C504" i="2"/>
  <c r="C392" i="2"/>
  <c r="A189" i="1"/>
  <c r="C500" i="3"/>
  <c r="C598" i="2"/>
  <c r="B14" i="1"/>
  <c r="A14" i="1" s="1"/>
  <c r="A459" i="3"/>
  <c r="B381" i="2"/>
  <c r="C346" i="2"/>
  <c r="C263" i="1"/>
  <c r="A263" i="1" s="1"/>
  <c r="B155" i="1"/>
  <c r="A155" i="1" s="1"/>
  <c r="B247" i="3"/>
  <c r="C98" i="3"/>
  <c r="C100" i="2"/>
  <c r="C268" i="2"/>
  <c r="B259" i="2"/>
  <c r="C499" i="3"/>
  <c r="C289" i="3"/>
  <c r="B524" i="3"/>
  <c r="C524" i="3"/>
  <c r="C541" i="3"/>
  <c r="C112" i="3"/>
  <c r="B660" i="2"/>
  <c r="C387" i="3"/>
  <c r="C27" i="1"/>
  <c r="A27" i="1" s="1"/>
  <c r="B486" i="3"/>
  <c r="B603" i="3"/>
  <c r="C453" i="3"/>
  <c r="C560" i="2"/>
  <c r="A560" i="2" s="1"/>
  <c r="B383" i="3"/>
  <c r="B550" i="2"/>
  <c r="A550" i="2" s="1"/>
  <c r="C594" i="2"/>
  <c r="B185" i="1"/>
  <c r="A185" i="1" s="1"/>
  <c r="A201" i="1"/>
  <c r="C125" i="3"/>
  <c r="A212" i="1"/>
  <c r="B561" i="2"/>
  <c r="C421" i="2"/>
  <c r="C377" i="2"/>
  <c r="B217" i="1"/>
  <c r="A217" i="1" s="1"/>
  <c r="B181" i="3"/>
  <c r="B190" i="2"/>
  <c r="A190" i="2" s="1"/>
  <c r="B119" i="1"/>
  <c r="A119" i="1" s="1"/>
  <c r="A61" i="1"/>
  <c r="C405" i="3"/>
  <c r="B108" i="3"/>
  <c r="B225" i="3"/>
  <c r="C136" i="2"/>
  <c r="C569" i="2"/>
  <c r="C534" i="2"/>
  <c r="C26" i="3"/>
  <c r="B477" i="2"/>
  <c r="C102" i="3"/>
  <c r="B410" i="3"/>
  <c r="C222" i="2"/>
  <c r="B223" i="1"/>
  <c r="A223" i="1" s="1"/>
  <c r="B441" i="3"/>
  <c r="C441" i="3"/>
  <c r="C564" i="3"/>
  <c r="A564" i="3" s="1"/>
  <c r="C222" i="3"/>
  <c r="B43" i="3"/>
  <c r="A43" i="3" s="1"/>
  <c r="B166" i="2"/>
  <c r="A166" i="2" s="1"/>
  <c r="A322" i="1"/>
  <c r="C122" i="1"/>
  <c r="A122" i="1" s="1"/>
  <c r="B245" i="1"/>
  <c r="A245" i="1" s="1"/>
  <c r="B650" i="2"/>
  <c r="C650" i="2"/>
  <c r="C527" i="3"/>
  <c r="B527" i="3"/>
  <c r="C371" i="3"/>
  <c r="B371" i="3"/>
  <c r="B111" i="3"/>
  <c r="B341" i="3"/>
  <c r="B113" i="3"/>
  <c r="C113" i="3"/>
  <c r="B162" i="2"/>
  <c r="C162" i="2"/>
  <c r="C280" i="2"/>
  <c r="B442" i="2"/>
  <c r="C419" i="2"/>
  <c r="A378" i="3"/>
  <c r="C471" i="2"/>
  <c r="B76" i="2"/>
  <c r="A76" i="2" s="1"/>
  <c r="C634" i="2"/>
  <c r="B289" i="1"/>
  <c r="A289" i="1" s="1"/>
  <c r="A169" i="1"/>
  <c r="C74" i="1"/>
  <c r="A74" i="1" s="1"/>
  <c r="B345" i="3"/>
  <c r="A345" i="3" s="1"/>
  <c r="B105" i="3"/>
  <c r="C223" i="2"/>
  <c r="A223" i="2" s="1"/>
  <c r="B196" i="1"/>
  <c r="A196" i="1" s="1"/>
  <c r="A21" i="1"/>
  <c r="B74" i="2"/>
  <c r="B190" i="1"/>
  <c r="A190" i="1" s="1"/>
  <c r="C316" i="1"/>
  <c r="A316" i="1" s="1"/>
  <c r="C635" i="3"/>
  <c r="B635" i="3"/>
  <c r="B182" i="3"/>
  <c r="C182" i="3"/>
  <c r="C484" i="2"/>
  <c r="B484" i="2"/>
  <c r="C640" i="3"/>
  <c r="B640" i="3"/>
  <c r="A229" i="1"/>
  <c r="C379" i="2"/>
  <c r="B379" i="2"/>
  <c r="B606" i="3"/>
  <c r="B304" i="1"/>
  <c r="A304" i="1" s="1"/>
  <c r="B8" i="2"/>
  <c r="A8" i="2" s="1"/>
  <c r="B604" i="3"/>
  <c r="C335" i="3"/>
  <c r="B335" i="3"/>
  <c r="B581" i="3"/>
  <c r="A581" i="3" s="1"/>
  <c r="B413" i="3"/>
  <c r="C313" i="2"/>
  <c r="B313" i="2"/>
  <c r="A91" i="3"/>
  <c r="C70" i="3"/>
  <c r="B70" i="3"/>
  <c r="C493" i="3"/>
  <c r="B440" i="3"/>
  <c r="C440" i="3"/>
  <c r="B572" i="3"/>
  <c r="C272" i="3"/>
  <c r="C325" i="2"/>
  <c r="B325" i="2"/>
  <c r="B181" i="1"/>
  <c r="A181" i="1" s="1"/>
  <c r="C108" i="3"/>
  <c r="B177" i="2"/>
  <c r="B305" i="1"/>
  <c r="A305" i="1" s="1"/>
  <c r="B154" i="3"/>
  <c r="A154" i="3" s="1"/>
  <c r="C247" i="3"/>
  <c r="C191" i="3"/>
  <c r="B636" i="2"/>
  <c r="B512" i="2"/>
  <c r="B529" i="2"/>
  <c r="A529" i="2" s="1"/>
  <c r="B375" i="2"/>
  <c r="B267" i="2"/>
  <c r="B172" i="2"/>
  <c r="C178" i="1"/>
  <c r="A178" i="1" s="1"/>
  <c r="A105" i="1"/>
  <c r="A183" i="1"/>
  <c r="A25" i="1"/>
  <c r="B292" i="1"/>
  <c r="A292" i="1" s="1"/>
  <c r="B500" i="3"/>
  <c r="C582" i="3"/>
  <c r="B561" i="3"/>
  <c r="C137" i="3"/>
  <c r="B137" i="3"/>
  <c r="C273" i="3"/>
  <c r="C400" i="3"/>
  <c r="B125" i="3"/>
  <c r="B34" i="3"/>
  <c r="B46" i="3"/>
  <c r="B229" i="3"/>
  <c r="C229" i="3"/>
  <c r="C407" i="2"/>
  <c r="B111" i="1"/>
  <c r="A111" i="1" s="1"/>
  <c r="B588" i="3"/>
  <c r="A588" i="3" s="1"/>
  <c r="B461" i="2"/>
  <c r="C493" i="2"/>
  <c r="A141" i="1"/>
  <c r="A13" i="1"/>
  <c r="C80" i="3"/>
  <c r="A80" i="3" s="1"/>
  <c r="B102" i="2"/>
  <c r="C102" i="2"/>
  <c r="B157" i="3"/>
  <c r="A157" i="3" s="1"/>
  <c r="C608" i="2"/>
  <c r="A608" i="2" s="1"/>
  <c r="C542" i="2"/>
  <c r="A542" i="2" s="1"/>
  <c r="A365" i="2"/>
  <c r="B598" i="2"/>
  <c r="B340" i="2"/>
  <c r="A340" i="2" s="1"/>
  <c r="B82" i="2"/>
  <c r="A82" i="2" s="1"/>
  <c r="B213" i="2"/>
  <c r="A213" i="2" s="1"/>
  <c r="B194" i="2"/>
  <c r="A125" i="1"/>
  <c r="B48" i="1"/>
  <c r="A48" i="1" s="1"/>
  <c r="B303" i="1"/>
  <c r="A303" i="1" s="1"/>
  <c r="A207" i="1"/>
  <c r="A94" i="1"/>
  <c r="C219" i="2"/>
  <c r="A219" i="2" s="1"/>
  <c r="C110" i="1"/>
  <c r="A110" i="1" s="1"/>
  <c r="B268" i="2"/>
  <c r="B291" i="1"/>
  <c r="A291" i="1" s="1"/>
  <c r="B589" i="3"/>
  <c r="C589" i="3"/>
  <c r="C166" i="3"/>
  <c r="B496" i="3"/>
  <c r="C28" i="3"/>
  <c r="B28" i="3"/>
  <c r="C384" i="3"/>
  <c r="B456" i="3"/>
  <c r="C456" i="3"/>
  <c r="B668" i="2"/>
  <c r="B300" i="2"/>
  <c r="C300" i="2"/>
  <c r="C630" i="2"/>
  <c r="B630" i="2"/>
  <c r="B488" i="3"/>
  <c r="C311" i="2"/>
  <c r="B311" i="2"/>
  <c r="B62" i="1"/>
  <c r="A62" i="1" s="1"/>
  <c r="B176" i="3"/>
  <c r="B537" i="3"/>
  <c r="C100" i="1"/>
  <c r="A100" i="1" s="1"/>
  <c r="B301" i="2"/>
  <c r="C301" i="2"/>
  <c r="C288" i="2"/>
  <c r="B288" i="2"/>
  <c r="C90" i="2"/>
  <c r="B90" i="2"/>
  <c r="C472" i="2"/>
  <c r="B472" i="2"/>
  <c r="B127" i="2"/>
  <c r="C32" i="1"/>
  <c r="A32" i="1" s="1"/>
  <c r="B325" i="1"/>
  <c r="A325" i="1" s="1"/>
  <c r="B204" i="3"/>
  <c r="C224" i="3"/>
  <c r="C515" i="2"/>
  <c r="A515" i="2" s="1"/>
  <c r="C250" i="2"/>
  <c r="A250" i="2" s="1"/>
  <c r="C606" i="2"/>
  <c r="B606" i="2"/>
  <c r="B585" i="3"/>
  <c r="C551" i="2"/>
  <c r="C524" i="2"/>
  <c r="B524" i="2"/>
  <c r="C299" i="2"/>
  <c r="B299" i="2"/>
  <c r="B343" i="2"/>
  <c r="A343" i="2" s="1"/>
  <c r="C174" i="2"/>
  <c r="B174" i="2"/>
  <c r="B50" i="1"/>
  <c r="A50" i="1" s="1"/>
  <c r="B38" i="1"/>
  <c r="A38" i="1" s="1"/>
  <c r="C623" i="2"/>
  <c r="B73" i="3"/>
  <c r="C502" i="2"/>
  <c r="C106" i="3"/>
  <c r="C133" i="2"/>
  <c r="B644" i="2"/>
  <c r="A644" i="2" s="1"/>
  <c r="C382" i="2"/>
  <c r="B233" i="1"/>
  <c r="A233" i="1" s="1"/>
  <c r="B252" i="3"/>
  <c r="C252" i="3"/>
  <c r="B158" i="3"/>
  <c r="A158" i="3" s="1"/>
  <c r="B277" i="2"/>
  <c r="C277" i="2"/>
  <c r="C250" i="3"/>
  <c r="B250" i="3"/>
  <c r="B40" i="3"/>
  <c r="C40" i="3"/>
  <c r="B175" i="1"/>
  <c r="A175" i="1" s="1"/>
  <c r="C540" i="3"/>
  <c r="A540" i="3" s="1"/>
  <c r="B263" i="2"/>
  <c r="A263" i="2" s="1"/>
  <c r="C57" i="3"/>
  <c r="B57" i="3"/>
  <c r="B206" i="3"/>
  <c r="C206" i="3"/>
  <c r="C218" i="3"/>
  <c r="B218" i="3"/>
  <c r="C262" i="3"/>
  <c r="B497" i="3"/>
  <c r="C497" i="3"/>
  <c r="A157" i="1"/>
  <c r="B629" i="3"/>
  <c r="A629" i="3" s="1"/>
  <c r="A250" i="1"/>
  <c r="A156" i="1"/>
  <c r="B2" i="1"/>
  <c r="A2" i="1" s="1"/>
  <c r="A104" i="1"/>
  <c r="B255" i="1"/>
  <c r="A255" i="1" s="1"/>
  <c r="B123" i="3"/>
  <c r="A123" i="3" s="1"/>
  <c r="C656" i="3"/>
  <c r="A656" i="3" s="1"/>
  <c r="B149" i="3"/>
  <c r="C149" i="3"/>
  <c r="B364" i="3"/>
  <c r="A364" i="3" s="1"/>
  <c r="C81" i="3"/>
  <c r="B81" i="3"/>
  <c r="B565" i="3"/>
  <c r="C565" i="3"/>
  <c r="C486" i="2"/>
  <c r="C517" i="2"/>
  <c r="C241" i="2"/>
  <c r="B241" i="2"/>
  <c r="B569" i="2"/>
  <c r="A241" i="1"/>
  <c r="B446" i="3"/>
  <c r="C446" i="3"/>
  <c r="B300" i="3"/>
  <c r="C300" i="3"/>
  <c r="B328" i="3"/>
  <c r="C328" i="3"/>
  <c r="B529" i="3"/>
  <c r="C529" i="3"/>
  <c r="C637" i="3"/>
  <c r="B637" i="3"/>
  <c r="C554" i="3"/>
  <c r="B554" i="3"/>
  <c r="C642" i="3"/>
  <c r="B642" i="3"/>
  <c r="C563" i="3"/>
  <c r="B563" i="3"/>
  <c r="B542" i="3"/>
  <c r="C542" i="3"/>
  <c r="B594" i="3"/>
  <c r="C594" i="3"/>
  <c r="B579" i="3"/>
  <c r="A579" i="3" s="1"/>
  <c r="C507" i="3"/>
  <c r="B507" i="3"/>
  <c r="B454" i="3"/>
  <c r="C454" i="3"/>
  <c r="B434" i="3"/>
  <c r="C434" i="3"/>
  <c r="C326" i="3"/>
  <c r="B326" i="3"/>
  <c r="B210" i="3"/>
  <c r="C210" i="3"/>
  <c r="B258" i="3"/>
  <c r="A258" i="3" s="1"/>
  <c r="C212" i="3"/>
  <c r="B212" i="3"/>
  <c r="B167" i="3"/>
  <c r="C167" i="3"/>
  <c r="B327" i="3"/>
  <c r="C327" i="3"/>
  <c r="B179" i="3"/>
  <c r="A179" i="3" s="1"/>
  <c r="C92" i="3"/>
  <c r="B92" i="3"/>
  <c r="C51" i="3"/>
  <c r="B51" i="3"/>
  <c r="B127" i="3"/>
  <c r="C127" i="3"/>
  <c r="C188" i="3"/>
  <c r="B188" i="3"/>
  <c r="B231" i="3"/>
  <c r="C231" i="3"/>
  <c r="B248" i="3"/>
  <c r="C248" i="3"/>
  <c r="B374" i="3"/>
  <c r="C374" i="3"/>
  <c r="C496" i="2"/>
  <c r="B496" i="2"/>
  <c r="B651" i="2"/>
  <c r="C651" i="2"/>
  <c r="B333" i="3"/>
  <c r="C333" i="3"/>
  <c r="B150" i="3"/>
  <c r="C150" i="3"/>
  <c r="C616" i="2"/>
  <c r="B616" i="2"/>
  <c r="B294" i="2"/>
  <c r="C294" i="2"/>
  <c r="C330" i="2"/>
  <c r="B330" i="2"/>
  <c r="C282" i="2"/>
  <c r="B282" i="2"/>
  <c r="B245" i="2"/>
  <c r="C245" i="2"/>
  <c r="B195" i="2"/>
  <c r="A195" i="2" s="1"/>
  <c r="A210" i="1"/>
  <c r="A73" i="1"/>
  <c r="C123" i="2"/>
  <c r="A123" i="2" s="1"/>
  <c r="C172" i="1"/>
  <c r="A172" i="1" s="1"/>
  <c r="C268" i="3"/>
  <c r="B268" i="3"/>
  <c r="C495" i="3"/>
  <c r="B495" i="3"/>
  <c r="B478" i="3"/>
  <c r="C478" i="3"/>
  <c r="B470" i="3"/>
  <c r="C470" i="3"/>
  <c r="C377" i="3"/>
  <c r="B377" i="3"/>
  <c r="B321" i="3"/>
  <c r="A321" i="3" s="1"/>
  <c r="B566" i="3"/>
  <c r="C566" i="3"/>
  <c r="C366" i="3"/>
  <c r="B366" i="3"/>
  <c r="C290" i="3"/>
  <c r="B290" i="3"/>
  <c r="B412" i="3"/>
  <c r="C412" i="3"/>
  <c r="C361" i="3"/>
  <c r="A361" i="3" s="1"/>
  <c r="B195" i="3"/>
  <c r="C195" i="3"/>
  <c r="B115" i="3"/>
  <c r="C115" i="3"/>
  <c r="C313" i="3"/>
  <c r="A313" i="3" s="1"/>
  <c r="B579" i="2"/>
  <c r="C579" i="2"/>
  <c r="C72" i="3"/>
  <c r="B72" i="3"/>
  <c r="B555" i="2"/>
  <c r="C555" i="2"/>
  <c r="C83" i="3"/>
  <c r="B83" i="3"/>
  <c r="B75" i="3"/>
  <c r="A75" i="3" s="1"/>
  <c r="C632" i="2"/>
  <c r="B632" i="2"/>
  <c r="C476" i="2"/>
  <c r="B476" i="2"/>
  <c r="C475" i="2"/>
  <c r="B475" i="2"/>
  <c r="C11" i="3"/>
  <c r="B11" i="3"/>
  <c r="C125" i="2"/>
  <c r="B125" i="2"/>
  <c r="C293" i="2"/>
  <c r="B293" i="2"/>
  <c r="C352" i="2"/>
  <c r="B352" i="2"/>
  <c r="B244" i="2"/>
  <c r="A244" i="2" s="1"/>
  <c r="B227" i="2"/>
  <c r="C227" i="2"/>
  <c r="C437" i="2"/>
  <c r="B437" i="2"/>
  <c r="C314" i="2"/>
  <c r="B314" i="2"/>
  <c r="C237" i="2"/>
  <c r="B237" i="2"/>
  <c r="B135" i="2"/>
  <c r="C135" i="2"/>
  <c r="A270" i="1"/>
  <c r="B87" i="2"/>
  <c r="C87" i="2"/>
  <c r="B150" i="1"/>
  <c r="A150" i="1" s="1"/>
  <c r="B526" i="3"/>
  <c r="C526" i="3"/>
  <c r="C639" i="3"/>
  <c r="A639" i="3" s="1"/>
  <c r="B638" i="3"/>
  <c r="C638" i="3"/>
  <c r="B590" i="3"/>
  <c r="C590" i="3"/>
  <c r="B418" i="3"/>
  <c r="C418" i="3"/>
  <c r="C449" i="3"/>
  <c r="B449" i="3"/>
  <c r="B404" i="3"/>
  <c r="C404" i="3"/>
  <c r="B278" i="3"/>
  <c r="C278" i="3"/>
  <c r="C354" i="3"/>
  <c r="B354" i="3"/>
  <c r="B175" i="3"/>
  <c r="C175" i="3"/>
  <c r="B302" i="3"/>
  <c r="C302" i="3"/>
  <c r="C144" i="3"/>
  <c r="A144" i="3" s="1"/>
  <c r="B276" i="3"/>
  <c r="C276" i="3"/>
  <c r="C501" i="3"/>
  <c r="B501" i="3"/>
  <c r="C282" i="3"/>
  <c r="B282" i="3"/>
  <c r="B199" i="3"/>
  <c r="C199" i="3"/>
  <c r="B303" i="3"/>
  <c r="C303" i="3"/>
  <c r="B90" i="3"/>
  <c r="A90" i="3" s="1"/>
  <c r="C584" i="2"/>
  <c r="B584" i="2"/>
  <c r="C200" i="3"/>
  <c r="B200" i="3"/>
  <c r="C390" i="2"/>
  <c r="B390" i="2"/>
  <c r="C360" i="2"/>
  <c r="B360" i="2"/>
  <c r="B414" i="2"/>
  <c r="C414" i="2"/>
  <c r="B270" i="2"/>
  <c r="C270" i="2"/>
  <c r="B435" i="2"/>
  <c r="C435" i="2"/>
  <c r="C119" i="2"/>
  <c r="B119" i="2"/>
  <c r="C161" i="2"/>
  <c r="B161" i="2"/>
  <c r="C89" i="2"/>
  <c r="B89" i="2"/>
  <c r="A246" i="1"/>
  <c r="B14" i="2"/>
  <c r="C14" i="2"/>
  <c r="B183" i="2"/>
  <c r="C183" i="2"/>
  <c r="B315" i="1"/>
  <c r="A315" i="1" s="1"/>
  <c r="A191" i="1"/>
  <c r="A49" i="1"/>
  <c r="B256" i="1"/>
  <c r="A256" i="1" s="1"/>
  <c r="A168" i="1"/>
  <c r="B57" i="2"/>
  <c r="A57" i="2" s="1"/>
  <c r="B108" i="1"/>
  <c r="A108" i="1" s="1"/>
  <c r="B357" i="3"/>
  <c r="C357" i="3"/>
  <c r="C469" i="3"/>
  <c r="B469" i="3"/>
  <c r="C242" i="3"/>
  <c r="B242" i="3"/>
  <c r="C397" i="3"/>
  <c r="B397" i="3"/>
  <c r="C314" i="3"/>
  <c r="B314" i="3"/>
  <c r="B66" i="3"/>
  <c r="A66" i="3" s="1"/>
  <c r="B58" i="3"/>
  <c r="C58" i="3"/>
  <c r="C571" i="2"/>
  <c r="B571" i="2"/>
  <c r="B163" i="3"/>
  <c r="C163" i="3"/>
  <c r="C14" i="3"/>
  <c r="B14" i="3"/>
  <c r="B567" i="2"/>
  <c r="C567" i="2"/>
  <c r="C547" i="2"/>
  <c r="B547" i="2"/>
  <c r="B82" i="3"/>
  <c r="C82" i="3"/>
  <c r="C49" i="3"/>
  <c r="B49" i="3"/>
  <c r="B546" i="2"/>
  <c r="C546" i="2"/>
  <c r="C142" i="3"/>
  <c r="B142" i="3"/>
  <c r="C536" i="2"/>
  <c r="B536" i="2"/>
  <c r="B527" i="2"/>
  <c r="C527" i="2"/>
  <c r="C620" i="2"/>
  <c r="B620" i="2"/>
  <c r="B591" i="2"/>
  <c r="C591" i="2"/>
  <c r="C318" i="2"/>
  <c r="B318" i="2"/>
  <c r="C463" i="2"/>
  <c r="B463" i="2"/>
  <c r="C324" i="2"/>
  <c r="B324" i="2"/>
  <c r="C173" i="2"/>
  <c r="B173" i="2"/>
  <c r="B154" i="2"/>
  <c r="A154" i="2" s="1"/>
  <c r="C348" i="2"/>
  <c r="B348" i="2"/>
  <c r="C302" i="2"/>
  <c r="B302" i="2"/>
  <c r="B9" i="2"/>
  <c r="C9" i="2"/>
  <c r="B395" i="2"/>
  <c r="C395" i="2"/>
  <c r="B233" i="2"/>
  <c r="C233" i="2"/>
  <c r="C155" i="2"/>
  <c r="B155" i="2"/>
  <c r="C278" i="2"/>
  <c r="B278" i="2"/>
  <c r="A37" i="1"/>
  <c r="B111" i="2"/>
  <c r="C111" i="2"/>
  <c r="A251" i="1"/>
  <c r="A160" i="1"/>
  <c r="A46" i="1"/>
  <c r="C279" i="1"/>
  <c r="A279" i="1" s="1"/>
  <c r="B255" i="3"/>
  <c r="C255" i="3"/>
  <c r="B625" i="3"/>
  <c r="C625" i="3"/>
  <c r="B614" i="3"/>
  <c r="C614" i="3"/>
  <c r="C602" i="3"/>
  <c r="B602" i="3"/>
  <c r="C611" i="3"/>
  <c r="B611" i="3"/>
  <c r="C516" i="3"/>
  <c r="B516" i="3"/>
  <c r="B650" i="3"/>
  <c r="C650" i="3"/>
  <c r="C482" i="3"/>
  <c r="B482" i="3"/>
  <c r="B518" i="3"/>
  <c r="C518" i="3"/>
  <c r="C663" i="3"/>
  <c r="B663" i="3"/>
  <c r="B437" i="3"/>
  <c r="C437" i="3"/>
  <c r="B280" i="3"/>
  <c r="C280" i="3"/>
  <c r="B277" i="3"/>
  <c r="C277" i="3"/>
  <c r="B448" i="3"/>
  <c r="C448" i="3"/>
  <c r="B264" i="3"/>
  <c r="C264" i="3"/>
  <c r="C340" i="3"/>
  <c r="B340" i="3"/>
  <c r="C627" i="3"/>
  <c r="B627" i="3"/>
  <c r="C270" i="3"/>
  <c r="B270" i="3"/>
  <c r="C292" i="3"/>
  <c r="B292" i="3"/>
  <c r="B151" i="3"/>
  <c r="C151" i="3"/>
  <c r="C152" i="3"/>
  <c r="A152" i="3" s="1"/>
  <c r="B55" i="3"/>
  <c r="C55" i="3"/>
  <c r="C572" i="2"/>
  <c r="B572" i="2"/>
  <c r="C18" i="3"/>
  <c r="A18" i="3" s="1"/>
  <c r="B500" i="2"/>
  <c r="C500" i="2"/>
  <c r="B384" i="2"/>
  <c r="C384" i="2"/>
  <c r="C451" i="2"/>
  <c r="B451" i="2"/>
  <c r="B408" i="2"/>
  <c r="C408" i="2"/>
  <c r="C402" i="2"/>
  <c r="B402" i="2"/>
  <c r="C167" i="2"/>
  <c r="B167" i="2"/>
  <c r="C53" i="2"/>
  <c r="B53" i="2"/>
  <c r="C239" i="2"/>
  <c r="B239" i="2"/>
  <c r="A318" i="1"/>
  <c r="A216" i="1"/>
  <c r="A317" i="1"/>
  <c r="C7" i="2"/>
  <c r="A7" i="2" s="1"/>
  <c r="C311" i="1"/>
  <c r="A311" i="1" s="1"/>
  <c r="C244" i="1"/>
  <c r="A244" i="1" s="1"/>
  <c r="C389" i="3"/>
  <c r="B389" i="3"/>
  <c r="C216" i="3"/>
  <c r="B216" i="3"/>
  <c r="C59" i="3"/>
  <c r="B59" i="3"/>
  <c r="B223" i="3"/>
  <c r="C223" i="3"/>
  <c r="B10" i="3"/>
  <c r="C10" i="3"/>
  <c r="C559" i="2"/>
  <c r="B559" i="2"/>
  <c r="B603" i="2"/>
  <c r="C603" i="2"/>
  <c r="B203" i="3"/>
  <c r="C203" i="3"/>
  <c r="C511" i="2"/>
  <c r="B511" i="2"/>
  <c r="C667" i="2"/>
  <c r="B667" i="2"/>
  <c r="C449" i="2"/>
  <c r="B449" i="2"/>
  <c r="C487" i="2"/>
  <c r="B487" i="2"/>
  <c r="C664" i="2"/>
  <c r="B664" i="2"/>
  <c r="B366" i="2"/>
  <c r="C366" i="2"/>
  <c r="B494" i="2"/>
  <c r="C494" i="2"/>
  <c r="C221" i="2"/>
  <c r="B221" i="2"/>
  <c r="C101" i="2"/>
  <c r="B101" i="2"/>
  <c r="C372" i="2"/>
  <c r="B372" i="2"/>
  <c r="C77" i="2"/>
  <c r="B77" i="2"/>
  <c r="C251" i="2"/>
  <c r="B251" i="2"/>
  <c r="C321" i="2"/>
  <c r="B321" i="2"/>
  <c r="A141" i="2"/>
  <c r="C95" i="2"/>
  <c r="B95" i="2"/>
  <c r="A57" i="1"/>
  <c r="B59" i="2"/>
  <c r="C59" i="2"/>
  <c r="A240" i="1"/>
  <c r="C179" i="1"/>
  <c r="A179" i="1" s="1"/>
  <c r="B261" i="2"/>
  <c r="A261" i="2" s="1"/>
  <c r="B102" i="1"/>
  <c r="A102" i="1" s="1"/>
  <c r="C267" i="1"/>
  <c r="A267" i="1" s="1"/>
  <c r="B619" i="3"/>
  <c r="C619" i="3"/>
  <c r="B183" i="3"/>
  <c r="C183" i="3"/>
  <c r="C381" i="3"/>
  <c r="B381" i="3"/>
  <c r="B398" i="3"/>
  <c r="C398" i="3"/>
  <c r="B662" i="3"/>
  <c r="C662" i="3"/>
  <c r="B474" i="3"/>
  <c r="C474" i="3"/>
  <c r="B571" i="3"/>
  <c r="C571" i="3"/>
  <c r="B618" i="3"/>
  <c r="C618" i="3"/>
  <c r="B522" i="3"/>
  <c r="C522" i="3"/>
  <c r="B406" i="3"/>
  <c r="C406" i="3"/>
  <c r="C342" i="3"/>
  <c r="A342" i="3" s="1"/>
  <c r="B228" i="3"/>
  <c r="A228" i="3" s="1"/>
  <c r="B332" i="3"/>
  <c r="C332" i="3"/>
  <c r="C236" i="3"/>
  <c r="A236" i="3" s="1"/>
  <c r="B288" i="3"/>
  <c r="C288" i="3"/>
  <c r="C445" i="3"/>
  <c r="B445" i="3"/>
  <c r="B265" i="3"/>
  <c r="C265" i="3"/>
  <c r="B187" i="3"/>
  <c r="C187" i="3"/>
  <c r="C338" i="3"/>
  <c r="B338" i="3"/>
  <c r="B45" i="3"/>
  <c r="C45" i="3"/>
  <c r="C129" i="3"/>
  <c r="B129" i="3"/>
  <c r="B627" i="2"/>
  <c r="C627" i="2"/>
  <c r="C47" i="3"/>
  <c r="B47" i="3"/>
  <c r="B145" i="3"/>
  <c r="C145" i="3"/>
  <c r="C27" i="3"/>
  <c r="B27" i="3"/>
  <c r="B192" i="3"/>
  <c r="A192" i="3" s="1"/>
  <c r="C135" i="3"/>
  <c r="B135" i="3"/>
  <c r="C39" i="3"/>
  <c r="B39" i="3"/>
  <c r="C133" i="3"/>
  <c r="B133" i="3"/>
  <c r="B164" i="3"/>
  <c r="C164" i="3"/>
  <c r="C426" i="2"/>
  <c r="B426" i="2"/>
  <c r="C568" i="2"/>
  <c r="B568" i="2"/>
  <c r="B396" i="2"/>
  <c r="C396" i="2"/>
  <c r="C215" i="2"/>
  <c r="B215" i="2"/>
  <c r="A153" i="2"/>
  <c r="A271" i="2"/>
  <c r="C209" i="2"/>
  <c r="B209" i="2"/>
  <c r="C137" i="2"/>
  <c r="B137" i="2"/>
  <c r="C329" i="2"/>
  <c r="B329" i="2"/>
  <c r="B63" i="2"/>
  <c r="C63" i="2"/>
  <c r="B15" i="2"/>
  <c r="C15" i="2"/>
  <c r="A281" i="1"/>
  <c r="A162" i="1"/>
  <c r="A45" i="1"/>
  <c r="B113" i="1"/>
  <c r="A113" i="1" s="1"/>
  <c r="C96" i="1"/>
  <c r="A96" i="1" s="1"/>
  <c r="A310" i="1"/>
  <c r="B58" i="2"/>
  <c r="A58" i="2" s="1"/>
  <c r="B83" i="2"/>
  <c r="C83" i="2"/>
  <c r="C280" i="1"/>
  <c r="A280" i="1" s="1"/>
  <c r="C184" i="1"/>
  <c r="A184" i="1" s="1"/>
  <c r="C539" i="3"/>
  <c r="B539" i="3"/>
  <c r="C601" i="3"/>
  <c r="B601" i="3"/>
  <c r="C587" i="3"/>
  <c r="B587" i="3"/>
  <c r="C645" i="3"/>
  <c r="B645" i="3"/>
  <c r="C621" i="3"/>
  <c r="B621" i="3"/>
  <c r="A509" i="3"/>
  <c r="A466" i="3"/>
  <c r="B570" i="3"/>
  <c r="C570" i="3"/>
  <c r="C479" i="3"/>
  <c r="B479" i="3"/>
  <c r="B407" i="3"/>
  <c r="C407" i="3"/>
  <c r="C435" i="3"/>
  <c r="B435" i="3"/>
  <c r="B336" i="3"/>
  <c r="C336" i="3"/>
  <c r="B243" i="3"/>
  <c r="C243" i="3"/>
  <c r="B297" i="3"/>
  <c r="C297" i="3"/>
  <c r="B343" i="3"/>
  <c r="C343" i="3"/>
  <c r="B211" i="3"/>
  <c r="C211" i="3"/>
  <c r="B279" i="3"/>
  <c r="C279" i="3"/>
  <c r="B235" i="3"/>
  <c r="C235" i="3"/>
  <c r="B307" i="3"/>
  <c r="C307" i="3"/>
  <c r="C35" i="3"/>
  <c r="B35" i="3"/>
  <c r="C96" i="3"/>
  <c r="B96" i="3"/>
  <c r="C595" i="2"/>
  <c r="B595" i="2"/>
  <c r="C492" i="3"/>
  <c r="B492" i="3"/>
  <c r="B329" i="3"/>
  <c r="A329" i="3" s="1"/>
  <c r="B487" i="3"/>
  <c r="C487" i="3"/>
  <c r="B99" i="3"/>
  <c r="A99" i="3" s="1"/>
  <c r="A485" i="2"/>
  <c r="C23" i="3"/>
  <c r="B23" i="3"/>
  <c r="C583" i="2"/>
  <c r="B583" i="2"/>
  <c r="B523" i="2"/>
  <c r="C523" i="2"/>
  <c r="C631" i="2"/>
  <c r="B631" i="2"/>
  <c r="A272" i="2"/>
  <c r="C450" i="2"/>
  <c r="B450" i="2"/>
  <c r="B202" i="2"/>
  <c r="A202" i="2" s="1"/>
  <c r="B130" i="2"/>
  <c r="A130" i="2" s="1"/>
  <c r="C64" i="2"/>
  <c r="B64" i="2"/>
  <c r="B498" i="2"/>
  <c r="C498" i="2"/>
  <c r="C71" i="2"/>
  <c r="B71" i="2"/>
  <c r="C203" i="2"/>
  <c r="B203" i="2"/>
  <c r="C131" i="2"/>
  <c r="B131" i="2"/>
  <c r="C290" i="2"/>
  <c r="B290" i="2"/>
  <c r="C56" i="2"/>
  <c r="B56" i="2"/>
  <c r="A197" i="1"/>
  <c r="B149" i="1"/>
  <c r="A149" i="1" s="1"/>
  <c r="A33" i="1"/>
  <c r="B207" i="2"/>
  <c r="C207" i="2"/>
  <c r="A222" i="1"/>
  <c r="C132" i="1"/>
  <c r="A132" i="1" s="1"/>
  <c r="A138" i="1"/>
  <c r="A306" i="1"/>
  <c r="A323" i="1"/>
  <c r="A228" i="1"/>
  <c r="A22" i="1"/>
  <c r="C268" i="1"/>
  <c r="A268" i="1" s="1"/>
  <c r="C577" i="3"/>
  <c r="B577" i="3"/>
  <c r="C643" i="3"/>
  <c r="B643" i="3"/>
  <c r="C626" i="3"/>
  <c r="B626" i="3"/>
  <c r="C573" i="3"/>
  <c r="B573" i="3"/>
  <c r="C633" i="3"/>
  <c r="B633" i="3"/>
  <c r="B546" i="3"/>
  <c r="C546" i="3"/>
  <c r="C256" i="3"/>
  <c r="B256" i="3"/>
  <c r="C267" i="3"/>
  <c r="B267" i="3"/>
  <c r="C431" i="3"/>
  <c r="B431" i="3"/>
  <c r="C316" i="3"/>
  <c r="B316" i="3"/>
  <c r="B424" i="3"/>
  <c r="C424" i="3"/>
  <c r="C447" i="3"/>
  <c r="B447" i="3"/>
  <c r="B442" i="3"/>
  <c r="C442" i="3"/>
  <c r="C421" i="3"/>
  <c r="B421" i="3"/>
  <c r="C330" i="3"/>
  <c r="B330" i="3"/>
  <c r="B430" i="3"/>
  <c r="C430" i="3"/>
  <c r="B284" i="3"/>
  <c r="C284" i="3"/>
  <c r="B33" i="3"/>
  <c r="C33" i="3"/>
  <c r="C619" i="2"/>
  <c r="B619" i="2"/>
  <c r="B531" i="2"/>
  <c r="C531" i="2"/>
  <c r="B428" i="3"/>
  <c r="C428" i="3"/>
  <c r="B22" i="3"/>
  <c r="C22" i="3"/>
  <c r="B126" i="3"/>
  <c r="C126" i="3"/>
  <c r="B495" i="2"/>
  <c r="C495" i="2"/>
  <c r="C37" i="3"/>
  <c r="B37" i="3"/>
  <c r="C31" i="3"/>
  <c r="A31" i="3" s="1"/>
  <c r="C535" i="2"/>
  <c r="B535" i="2"/>
  <c r="B69" i="3"/>
  <c r="C69" i="3"/>
  <c r="B543" i="2"/>
  <c r="C543" i="2"/>
  <c r="B420" i="2"/>
  <c r="C420" i="2"/>
  <c r="C149" i="2"/>
  <c r="B149" i="2"/>
  <c r="C70" i="2"/>
  <c r="B70" i="2"/>
  <c r="C266" i="2"/>
  <c r="B266" i="2"/>
  <c r="B214" i="2"/>
  <c r="A214" i="2" s="1"/>
  <c r="B142" i="2"/>
  <c r="A142" i="2" s="1"/>
  <c r="A130" i="1"/>
  <c r="C80" i="2"/>
  <c r="B80" i="2"/>
  <c r="C171" i="2"/>
  <c r="A171" i="2" s="1"/>
  <c r="B371" i="2"/>
  <c r="C371" i="2"/>
  <c r="B144" i="1"/>
  <c r="A144" i="1" s="1"/>
  <c r="B657" i="3"/>
  <c r="C657" i="3"/>
  <c r="C530" i="3"/>
  <c r="B530" i="3"/>
  <c r="B266" i="3"/>
  <c r="C266" i="3"/>
  <c r="B646" i="3"/>
  <c r="C646" i="3"/>
  <c r="B523" i="3"/>
  <c r="C523" i="3"/>
  <c r="B622" i="3"/>
  <c r="C622" i="3"/>
  <c r="B612" i="3"/>
  <c r="A612" i="3" s="1"/>
  <c r="C506" i="3"/>
  <c r="B506" i="3"/>
  <c r="B505" i="3"/>
  <c r="C505" i="3"/>
  <c r="B510" i="3"/>
  <c r="C510" i="3"/>
  <c r="B324" i="3"/>
  <c r="C324" i="3"/>
  <c r="C260" i="3"/>
  <c r="B260" i="3"/>
  <c r="C427" i="3"/>
  <c r="B427" i="3"/>
  <c r="C306" i="3"/>
  <c r="B306" i="3"/>
  <c r="B281" i="3"/>
  <c r="A281" i="3" s="1"/>
  <c r="C171" i="3"/>
  <c r="B171" i="3"/>
  <c r="B271" i="3"/>
  <c r="C271" i="3"/>
  <c r="B615" i="2"/>
  <c r="C615" i="2"/>
  <c r="B198" i="3"/>
  <c r="C198" i="3"/>
  <c r="B116" i="3"/>
  <c r="C116" i="3"/>
  <c r="C120" i="3"/>
  <c r="B120" i="3"/>
  <c r="B639" i="2"/>
  <c r="C639" i="2"/>
  <c r="B438" i="2"/>
  <c r="C438" i="2"/>
  <c r="A358" i="2"/>
  <c r="C520" i="2"/>
  <c r="B520" i="2"/>
  <c r="A447" i="2"/>
  <c r="C427" i="2"/>
  <c r="B427" i="2"/>
  <c r="C439" i="2"/>
  <c r="B439" i="2"/>
  <c r="C269" i="2"/>
  <c r="B269" i="2"/>
  <c r="C143" i="2"/>
  <c r="B143" i="2"/>
  <c r="C389" i="2"/>
  <c r="B389" i="2"/>
  <c r="C306" i="2"/>
  <c r="B306" i="2"/>
  <c r="A189" i="2"/>
  <c r="C327" i="2"/>
  <c r="B327" i="2"/>
  <c r="A286" i="1"/>
  <c r="A234" i="1"/>
  <c r="A116" i="1"/>
  <c r="B298" i="1"/>
  <c r="A298" i="1" s="1"/>
  <c r="B50" i="2"/>
  <c r="A50" i="2" s="1"/>
  <c r="C275" i="1"/>
  <c r="A275" i="1" s="1"/>
  <c r="A221" i="1"/>
  <c r="C107" i="2"/>
  <c r="B107" i="2"/>
  <c r="A82" i="1"/>
  <c r="A10" i="1"/>
  <c r="C651" i="3"/>
  <c r="B651" i="3"/>
  <c r="C373" i="3"/>
  <c r="B373" i="3"/>
  <c r="C553" i="3"/>
  <c r="B553" i="3"/>
  <c r="C578" i="3"/>
  <c r="B578" i="3"/>
  <c r="C658" i="3"/>
  <c r="A658" i="3" s="1"/>
  <c r="B388" i="3"/>
  <c r="C388" i="3"/>
  <c r="B595" i="3"/>
  <c r="C595" i="3"/>
  <c r="C515" i="3"/>
  <c r="B515" i="3"/>
  <c r="B207" i="3"/>
  <c r="C207" i="3"/>
  <c r="B382" i="3"/>
  <c r="C382" i="3"/>
  <c r="B312" i="3"/>
  <c r="C312" i="3"/>
  <c r="B249" i="3"/>
  <c r="C249" i="3"/>
  <c r="C159" i="3"/>
  <c r="B159" i="3"/>
  <c r="B234" i="3"/>
  <c r="C234" i="3"/>
  <c r="B519" i="2"/>
  <c r="C519" i="2"/>
  <c r="C68" i="3"/>
  <c r="B68" i="3"/>
  <c r="B241" i="3"/>
  <c r="C241" i="3"/>
  <c r="B309" i="3"/>
  <c r="C309" i="3"/>
  <c r="B109" i="3"/>
  <c r="A109" i="3" s="1"/>
  <c r="B93" i="3"/>
  <c r="C93" i="3"/>
  <c r="B663" i="2"/>
  <c r="C663" i="2"/>
  <c r="B128" i="3"/>
  <c r="A128" i="3" s="1"/>
  <c r="C354" i="2"/>
  <c r="B354" i="2"/>
  <c r="C497" i="2"/>
  <c r="B497" i="2"/>
  <c r="C342" i="2"/>
  <c r="B342" i="2"/>
  <c r="B336" i="2"/>
  <c r="C336" i="2"/>
  <c r="A332" i="2"/>
  <c r="C464" i="2"/>
  <c r="B464" i="2"/>
  <c r="C197" i="2"/>
  <c r="B197" i="2"/>
  <c r="C47" i="2"/>
  <c r="B47" i="2"/>
  <c r="C185" i="2"/>
  <c r="B185" i="2"/>
  <c r="C113" i="2"/>
  <c r="B113" i="2"/>
  <c r="A282" i="1"/>
  <c r="C65" i="2"/>
  <c r="B65" i="2"/>
  <c r="B173" i="1"/>
  <c r="A173" i="1" s="1"/>
  <c r="C226" i="2"/>
  <c r="B226" i="2"/>
  <c r="A293" i="1"/>
  <c r="C147" i="2"/>
  <c r="A147" i="2" s="1"/>
  <c r="C99" i="2"/>
  <c r="A99" i="2" s="1"/>
  <c r="A209" i="1"/>
  <c r="C167" i="1"/>
  <c r="A167" i="1" s="1"/>
  <c r="B634" i="3"/>
  <c r="C634" i="3"/>
  <c r="C339" i="3"/>
  <c r="B339" i="3"/>
  <c r="B490" i="3"/>
  <c r="C490" i="3"/>
  <c r="C597" i="3"/>
  <c r="B597" i="3"/>
  <c r="B598" i="3"/>
  <c r="C598" i="3"/>
  <c r="B649" i="3"/>
  <c r="C649" i="3"/>
  <c r="C503" i="3"/>
  <c r="B503" i="3"/>
  <c r="B550" i="3"/>
  <c r="C550" i="3"/>
  <c r="B574" i="3"/>
  <c r="C574" i="3"/>
  <c r="C525" i="3"/>
  <c r="B525" i="3"/>
  <c r="C549" i="3"/>
  <c r="B549" i="3"/>
  <c r="C481" i="3"/>
  <c r="B481" i="3"/>
  <c r="B494" i="3"/>
  <c r="C494" i="3"/>
  <c r="B436" i="3"/>
  <c r="C436" i="3"/>
  <c r="B475" i="3"/>
  <c r="C475" i="3"/>
  <c r="C304" i="3"/>
  <c r="B304" i="3"/>
  <c r="C411" i="3"/>
  <c r="B411" i="3"/>
  <c r="B425" i="3"/>
  <c r="C425" i="3"/>
  <c r="B219" i="3"/>
  <c r="C219" i="3"/>
  <c r="B301" i="3"/>
  <c r="C301" i="3"/>
  <c r="C365" i="3"/>
  <c r="B365" i="3"/>
  <c r="A331" i="3"/>
  <c r="C399" i="3"/>
  <c r="B399" i="3"/>
  <c r="C296" i="3"/>
  <c r="A296" i="3" s="1"/>
  <c r="C419" i="3"/>
  <c r="B419" i="3"/>
  <c r="B215" i="3"/>
  <c r="C215" i="3"/>
  <c r="C607" i="2"/>
  <c r="B607" i="2"/>
  <c r="B79" i="3"/>
  <c r="C79" i="3"/>
  <c r="C643" i="2"/>
  <c r="B643" i="2"/>
  <c r="C655" i="2"/>
  <c r="B655" i="2"/>
  <c r="C25" i="3"/>
  <c r="B25" i="3"/>
  <c r="B178" i="2"/>
  <c r="A178" i="2" s="1"/>
  <c r="B106" i="2"/>
  <c r="A106" i="2" s="1"/>
  <c r="B257" i="2"/>
  <c r="C257" i="2"/>
  <c r="C191" i="2"/>
  <c r="B191" i="2"/>
  <c r="B353" i="2"/>
  <c r="C353" i="2"/>
  <c r="C378" i="2"/>
  <c r="B378" i="2"/>
  <c r="C265" i="2"/>
  <c r="B265" i="2"/>
  <c r="C179" i="2"/>
  <c r="B179" i="2"/>
  <c r="C413" i="2"/>
  <c r="B413" i="2"/>
  <c r="A174" i="1"/>
  <c r="A215" i="1"/>
  <c r="B159" i="2"/>
  <c r="C159" i="2"/>
  <c r="A257" i="1"/>
  <c r="A93" i="1"/>
  <c r="A287" i="1"/>
  <c r="A70" i="1"/>
  <c r="A261" i="3" l="1"/>
  <c r="A100" i="2"/>
  <c r="A213" i="3"/>
  <c r="A227" i="3"/>
  <c r="A237" i="3"/>
  <c r="A645" i="2"/>
  <c r="A642" i="2"/>
  <c r="A131" i="3"/>
  <c r="A155" i="3"/>
  <c r="A456" i="2"/>
  <c r="A289" i="3"/>
  <c r="A13" i="3"/>
  <c r="A377" i="2"/>
  <c r="A102" i="3"/>
  <c r="A412" i="2"/>
  <c r="A407" i="2"/>
  <c r="A232" i="3"/>
  <c r="A514" i="3"/>
  <c r="A602" i="2"/>
  <c r="A296" i="2"/>
  <c r="A363" i="2"/>
  <c r="A483" i="2"/>
  <c r="A636" i="2"/>
  <c r="A259" i="2"/>
  <c r="A464" i="3"/>
  <c r="A561" i="3"/>
  <c r="A551" i="2"/>
  <c r="A145" i="2"/>
  <c r="A504" i="3"/>
  <c r="A132" i="2"/>
  <c r="A421" i="2"/>
  <c r="A143" i="3"/>
  <c r="A608" i="3"/>
  <c r="A442" i="2"/>
  <c r="A373" i="2"/>
  <c r="A635" i="2"/>
  <c r="A214" i="3"/>
  <c r="A551" i="3"/>
  <c r="A502" i="2"/>
  <c r="A386" i="3"/>
  <c r="A623" i="2"/>
  <c r="A555" i="3"/>
  <c r="A33" i="2"/>
  <c r="A469" i="2"/>
  <c r="A286" i="2"/>
  <c r="A97" i="2"/>
  <c r="A224" i="2"/>
  <c r="A662" i="2"/>
  <c r="A613" i="3"/>
  <c r="A441" i="2"/>
  <c r="A156" i="2"/>
  <c r="A405" i="3"/>
  <c r="A433" i="2"/>
  <c r="A537" i="3"/>
  <c r="A242" i="2"/>
  <c r="A362" i="2"/>
  <c r="A425" i="2"/>
  <c r="A484" i="3"/>
  <c r="A521" i="2"/>
  <c r="A62" i="3"/>
  <c r="A508" i="2"/>
  <c r="A452" i="3"/>
  <c r="A7" i="3"/>
  <c r="A610" i="3"/>
  <c r="A444" i="3"/>
  <c r="A191" i="3"/>
  <c r="A194" i="2"/>
  <c r="A588" i="2"/>
  <c r="A482" i="2"/>
  <c r="A84" i="3"/>
  <c r="A79" i="2"/>
  <c r="A325" i="3"/>
  <c r="A647" i="3"/>
  <c r="A130" i="3"/>
  <c r="A98" i="3"/>
  <c r="A119" i="3"/>
  <c r="A30" i="2"/>
  <c r="A385" i="3"/>
  <c r="A184" i="3"/>
  <c r="A170" i="2"/>
  <c r="A646" i="2"/>
  <c r="A492" i="2"/>
  <c r="A552" i="2"/>
  <c r="A17" i="2"/>
  <c r="A46" i="3"/>
  <c r="A64" i="3"/>
  <c r="A362" i="3"/>
  <c r="A388" i="2"/>
  <c r="A257" i="3"/>
  <c r="A8" i="3"/>
  <c r="A440" i="2"/>
  <c r="A341" i="2"/>
  <c r="A472" i="3"/>
  <c r="A89" i="3"/>
  <c r="A344" i="2"/>
  <c r="A434" i="2"/>
  <c r="A557" i="2"/>
  <c r="A422" i="3"/>
  <c r="A32" i="2"/>
  <c r="A493" i="2"/>
  <c r="A401" i="2"/>
  <c r="A333" i="2"/>
  <c r="A601" i="2"/>
  <c r="A166" i="3"/>
  <c r="A217" i="3"/>
  <c r="A52" i="3"/>
  <c r="A405" i="2"/>
  <c r="A144" i="2"/>
  <c r="A152" i="2"/>
  <c r="A477" i="2"/>
  <c r="A273" i="3"/>
  <c r="A534" i="2"/>
  <c r="A539" i="2"/>
  <c r="A26" i="2"/>
  <c r="A346" i="2"/>
  <c r="A530" i="2"/>
  <c r="A328" i="2"/>
  <c r="A596" i="2"/>
  <c r="A309" i="2"/>
  <c r="A174" i="3"/>
  <c r="A107" i="3"/>
  <c r="A564" i="2"/>
  <c r="A368" i="3"/>
  <c r="A370" i="3"/>
  <c r="A351" i="3"/>
  <c r="A186" i="3"/>
  <c r="A380" i="2"/>
  <c r="A638" i="2"/>
  <c r="A28" i="2"/>
  <c r="A232" i="2"/>
  <c r="A461" i="2"/>
  <c r="A400" i="3"/>
  <c r="A170" i="3"/>
  <c r="A600" i="2"/>
  <c r="A349" i="2"/>
  <c r="A236" i="2"/>
  <c r="A363" i="3"/>
  <c r="A158" i="2"/>
  <c r="A117" i="2"/>
  <c r="A668" i="2"/>
  <c r="A73" i="3"/>
  <c r="A585" i="3"/>
  <c r="A384" i="3"/>
  <c r="A604" i="3"/>
  <c r="A74" i="3"/>
  <c r="A217" i="2"/>
  <c r="A238" i="3"/>
  <c r="A274" i="3"/>
  <c r="A322" i="2"/>
  <c r="A205" i="3"/>
  <c r="A569" i="2"/>
  <c r="A204" i="3"/>
  <c r="A235" i="2"/>
  <c r="A624" i="2"/>
  <c r="A222" i="2"/>
  <c r="A54" i="3"/>
  <c r="A21" i="3"/>
  <c r="A543" i="3"/>
  <c r="A46" i="2"/>
  <c r="A128" i="2"/>
  <c r="A136" i="2"/>
  <c r="A614" i="2"/>
  <c r="A428" i="2"/>
  <c r="A61" i="3"/>
  <c r="A499" i="3"/>
  <c r="A403" i="3"/>
  <c r="A476" i="3"/>
  <c r="A124" i="3"/>
  <c r="A586" i="3"/>
  <c r="A272" i="3"/>
  <c r="A606" i="3"/>
  <c r="A294" i="3"/>
  <c r="A632" i="3"/>
  <c r="A67" i="3"/>
  <c r="A97" i="3"/>
  <c r="A127" i="2"/>
  <c r="A486" i="2"/>
  <c r="A575" i="2"/>
  <c r="A581" i="2"/>
  <c r="A664" i="3"/>
  <c r="A134" i="3"/>
  <c r="A452" i="2"/>
  <c r="A67" i="2"/>
  <c r="A5" i="2"/>
  <c r="A390" i="3"/>
  <c r="A23" i="2"/>
  <c r="A460" i="2"/>
  <c r="A607" i="3"/>
  <c r="A489" i="2"/>
  <c r="A2" i="2"/>
  <c r="A376" i="2"/>
  <c r="A605" i="2"/>
  <c r="A400" i="2"/>
  <c r="A176" i="2"/>
  <c r="A561" i="2"/>
  <c r="A136" i="3"/>
  <c r="A443" i="3"/>
  <c r="A133" i="2"/>
  <c r="A48" i="2"/>
  <c r="A181" i="3"/>
  <c r="A176" i="3"/>
  <c r="A541" i="3"/>
  <c r="A582" i="3"/>
  <c r="A391" i="2"/>
  <c r="A505" i="2"/>
  <c r="A545" i="2"/>
  <c r="A138" i="2"/>
  <c r="A466" i="2"/>
  <c r="A6" i="3"/>
  <c r="A648" i="3"/>
  <c r="A655" i="3"/>
  <c r="A383" i="3"/>
  <c r="A532" i="3"/>
  <c r="A6" i="2"/>
  <c r="A572" i="3"/>
  <c r="A164" i="2"/>
  <c r="A375" i="2"/>
  <c r="A583" i="3"/>
  <c r="A160" i="2"/>
  <c r="A334" i="3"/>
  <c r="A509" i="2"/>
  <c r="A548" i="2"/>
  <c r="A84" i="2"/>
  <c r="A659" i="2"/>
  <c r="A75" i="2"/>
  <c r="A193" i="3"/>
  <c r="A311" i="3"/>
  <c r="A597" i="2"/>
  <c r="A369" i="2"/>
  <c r="A262" i="3"/>
  <c r="A424" i="2"/>
  <c r="A426" i="3"/>
  <c r="A486" i="3"/>
  <c r="A459" i="2"/>
  <c r="A192" i="2"/>
  <c r="A108" i="3"/>
  <c r="A281" i="2"/>
  <c r="A273" i="2"/>
  <c r="A410" i="3"/>
  <c r="A414" i="3"/>
  <c r="A317" i="2"/>
  <c r="A510" i="2"/>
  <c r="A525" i="2"/>
  <c r="A320" i="2"/>
  <c r="A5" i="3"/>
  <c r="A600" i="3"/>
  <c r="A140" i="2"/>
  <c r="A409" i="3"/>
  <c r="A528" i="2"/>
  <c r="A394" i="3"/>
  <c r="A189" i="3"/>
  <c r="A370" i="2"/>
  <c r="A34" i="3"/>
  <c r="A352" i="3"/>
  <c r="A376" i="3"/>
  <c r="A177" i="2"/>
  <c r="A474" i="2"/>
  <c r="A338" i="2"/>
  <c r="A225" i="3"/>
  <c r="A517" i="2"/>
  <c r="A457" i="2"/>
  <c r="A335" i="2"/>
  <c r="A341" i="3"/>
  <c r="A172" i="2"/>
  <c r="A471" i="2"/>
  <c r="A199" i="2"/>
  <c r="A110" i="3"/>
  <c r="A248" i="2"/>
  <c r="A493" i="3"/>
  <c r="A382" i="2"/>
  <c r="A488" i="3"/>
  <c r="A162" i="3"/>
  <c r="A180" i="2"/>
  <c r="A196" i="3"/>
  <c r="A268" i="2"/>
  <c r="A393" i="2"/>
  <c r="A222" i="3"/>
  <c r="A522" i="3"/>
  <c r="A603" i="3"/>
  <c r="A504" i="2"/>
  <c r="A318" i="3"/>
  <c r="A269" i="2"/>
  <c r="A350" i="2"/>
  <c r="A111" i="3"/>
  <c r="A234" i="2"/>
  <c r="A72" i="2"/>
  <c r="A386" i="2"/>
  <c r="A660" i="2"/>
  <c r="A401" i="3"/>
  <c r="A285" i="3"/>
  <c r="A496" i="3"/>
  <c r="A557" i="3"/>
  <c r="A624" i="3"/>
  <c r="A512" i="3"/>
  <c r="A594" i="3"/>
  <c r="A529" i="3"/>
  <c r="A287" i="3"/>
  <c r="A260" i="3"/>
  <c r="A524" i="2"/>
  <c r="A74" i="2"/>
  <c r="A621" i="2"/>
  <c r="A473" i="2"/>
  <c r="A304" i="2"/>
  <c r="A556" i="2"/>
  <c r="A547" i="3"/>
  <c r="A255" i="2"/>
  <c r="A375" i="3"/>
  <c r="A594" i="2"/>
  <c r="A500" i="3"/>
  <c r="A448" i="2"/>
  <c r="A190" i="3"/>
  <c r="A106" i="3"/>
  <c r="A570" i="2"/>
  <c r="A10" i="3"/>
  <c r="A404" i="3"/>
  <c r="A460" i="3"/>
  <c r="A598" i="2"/>
  <c r="A534" i="3"/>
  <c r="A392" i="2"/>
  <c r="A37" i="2"/>
  <c r="A338" i="3"/>
  <c r="A419" i="2"/>
  <c r="A112" i="3"/>
  <c r="A455" i="3"/>
  <c r="A280" i="2"/>
  <c r="A13" i="2"/>
  <c r="A182" i="3"/>
  <c r="A379" i="3"/>
  <c r="A413" i="3"/>
  <c r="A120" i="2"/>
  <c r="A246" i="3"/>
  <c r="A532" i="2"/>
  <c r="A141" i="3"/>
  <c r="A595" i="3"/>
  <c r="A615" i="2"/>
  <c r="A527" i="2"/>
  <c r="A26" i="3"/>
  <c r="A314" i="2"/>
  <c r="A159" i="2"/>
  <c r="A572" i="2"/>
  <c r="A435" i="2"/>
  <c r="A125" i="3"/>
  <c r="A634" i="2"/>
  <c r="A387" i="3"/>
  <c r="A291" i="3"/>
  <c r="A479" i="3"/>
  <c r="A449" i="3"/>
  <c r="A330" i="3"/>
  <c r="A431" i="3"/>
  <c r="A626" i="3"/>
  <c r="A482" i="3"/>
  <c r="A150" i="3"/>
  <c r="A231" i="3"/>
  <c r="A640" i="3"/>
  <c r="A441" i="3"/>
  <c r="A394" i="2"/>
  <c r="A565" i="3"/>
  <c r="A319" i="2"/>
  <c r="A146" i="2"/>
  <c r="A586" i="2"/>
  <c r="A27" i="3"/>
  <c r="A330" i="2"/>
  <c r="A309" i="3"/>
  <c r="A249" i="3"/>
  <c r="A388" i="3"/>
  <c r="A28" i="3"/>
  <c r="A453" i="3"/>
  <c r="A105" i="3"/>
  <c r="A518" i="2"/>
  <c r="A598" i="3"/>
  <c r="A332" i="3"/>
  <c r="A618" i="3"/>
  <c r="A381" i="3"/>
  <c r="A59" i="2"/>
  <c r="A221" i="2"/>
  <c r="A223" i="3"/>
  <c r="A408" i="2"/>
  <c r="A264" i="3"/>
  <c r="A299" i="2"/>
  <c r="A206" i="3"/>
  <c r="A630" i="2"/>
  <c r="A197" i="3"/>
  <c r="A68" i="3"/>
  <c r="A137" i="2"/>
  <c r="A395" i="2"/>
  <c r="A501" i="3"/>
  <c r="A224" i="3"/>
  <c r="A512" i="2"/>
  <c r="A524" i="3"/>
  <c r="A4" i="3"/>
  <c r="A317" i="3"/>
  <c r="A542" i="3"/>
  <c r="A328" i="3"/>
  <c r="A252" i="3"/>
  <c r="A655" i="2"/>
  <c r="A339" i="3"/>
  <c r="A226" i="2"/>
  <c r="A47" i="2"/>
  <c r="A651" i="3"/>
  <c r="A200" i="3"/>
  <c r="A563" i="3"/>
  <c r="A381" i="2"/>
  <c r="A10" i="2"/>
  <c r="A523" i="2"/>
  <c r="A336" i="3"/>
  <c r="A119" i="2"/>
  <c r="A115" i="3"/>
  <c r="A327" i="3"/>
  <c r="A137" i="3"/>
  <c r="A247" i="3"/>
  <c r="A371" i="3"/>
  <c r="A239" i="2"/>
  <c r="A451" i="2"/>
  <c r="A602" i="3"/>
  <c r="A188" i="3"/>
  <c r="A397" i="3"/>
  <c r="A377" i="3"/>
  <c r="A282" i="2"/>
  <c r="A389" i="2"/>
  <c r="A505" i="3"/>
  <c r="A447" i="3"/>
  <c r="A546" i="2"/>
  <c r="A163" i="3"/>
  <c r="A282" i="3"/>
  <c r="A175" i="3"/>
  <c r="A229" i="3"/>
  <c r="A29" i="3"/>
  <c r="A327" i="2"/>
  <c r="A143" i="2"/>
  <c r="A506" i="3"/>
  <c r="A71" i="2"/>
  <c r="A278" i="2"/>
  <c r="A419" i="3"/>
  <c r="A365" i="3"/>
  <c r="A525" i="3"/>
  <c r="A597" i="3"/>
  <c r="A113" i="2"/>
  <c r="A336" i="2"/>
  <c r="A519" i="2"/>
  <c r="A207" i="3"/>
  <c r="A553" i="3"/>
  <c r="A437" i="3"/>
  <c r="A495" i="3"/>
  <c r="A248" i="3"/>
  <c r="A643" i="2"/>
  <c r="A267" i="2"/>
  <c r="A503" i="3"/>
  <c r="A611" i="3"/>
  <c r="A57" i="3"/>
  <c r="A325" i="2"/>
  <c r="A301" i="3"/>
  <c r="A436" i="3"/>
  <c r="A574" i="3"/>
  <c r="A490" i="3"/>
  <c r="A663" i="2"/>
  <c r="A621" i="3"/>
  <c r="A101" i="2"/>
  <c r="A487" i="2"/>
  <c r="A559" i="2"/>
  <c r="A167" i="2"/>
  <c r="A500" i="2"/>
  <c r="A650" i="3"/>
  <c r="A270" i="2"/>
  <c r="A642" i="3"/>
  <c r="A313" i="2"/>
  <c r="A113" i="3"/>
  <c r="A413" i="2"/>
  <c r="A25" i="3"/>
  <c r="A342" i="2"/>
  <c r="A515" i="3"/>
  <c r="A438" i="2"/>
  <c r="A324" i="3"/>
  <c r="A523" i="3"/>
  <c r="A535" i="2"/>
  <c r="A531" i="2"/>
  <c r="A56" i="2"/>
  <c r="K5" i="3"/>
  <c r="L5" i="3" s="1"/>
  <c r="M5" i="3" s="1"/>
  <c r="A402" i="2"/>
  <c r="A292" i="3"/>
  <c r="A49" i="3"/>
  <c r="A571" i="2"/>
  <c r="A418" i="3"/>
  <c r="A11" i="3"/>
  <c r="A478" i="3"/>
  <c r="A294" i="2"/>
  <c r="A81" i="3"/>
  <c r="A497" i="3"/>
  <c r="A472" i="2"/>
  <c r="A311" i="2"/>
  <c r="J5" i="2"/>
  <c r="K5" i="2" s="1"/>
  <c r="L5" i="2" s="1"/>
  <c r="A306" i="2"/>
  <c r="A510" i="3"/>
  <c r="A646" i="3"/>
  <c r="A442" i="3"/>
  <c r="A207" i="2"/>
  <c r="A290" i="2"/>
  <c r="A343" i="3"/>
  <c r="A187" i="3"/>
  <c r="A183" i="3"/>
  <c r="A155" i="2"/>
  <c r="A620" i="2"/>
  <c r="A161" i="2"/>
  <c r="A637" i="3"/>
  <c r="A149" i="3"/>
  <c r="A90" i="2"/>
  <c r="A589" i="3"/>
  <c r="A102" i="2"/>
  <c r="A440" i="3"/>
  <c r="A335" i="3"/>
  <c r="A484" i="2"/>
  <c r="A79" i="3"/>
  <c r="A649" i="3"/>
  <c r="A583" i="2"/>
  <c r="A307" i="3"/>
  <c r="A435" i="3"/>
  <c r="A133" i="3"/>
  <c r="A265" i="3"/>
  <c r="A251" i="2"/>
  <c r="A511" i="2"/>
  <c r="A59" i="3"/>
  <c r="A276" i="3"/>
  <c r="A278" i="3"/>
  <c r="A476" i="2"/>
  <c r="A366" i="3"/>
  <c r="A241" i="2"/>
  <c r="A218" i="3"/>
  <c r="A40" i="3"/>
  <c r="A606" i="2"/>
  <c r="A288" i="2"/>
  <c r="A300" i="2"/>
  <c r="A301" i="2"/>
  <c r="A23" i="3"/>
  <c r="A536" i="2"/>
  <c r="A314" i="3"/>
  <c r="A352" i="2"/>
  <c r="A632" i="2"/>
  <c r="A174" i="2"/>
  <c r="A527" i="3"/>
  <c r="A399" i="3"/>
  <c r="A39" i="3"/>
  <c r="A77" i="2"/>
  <c r="A216" i="3"/>
  <c r="A324" i="2"/>
  <c r="A306" i="3"/>
  <c r="A530" i="3"/>
  <c r="A633" i="3"/>
  <c r="A492" i="3"/>
  <c r="A243" i="3"/>
  <c r="A407" i="3"/>
  <c r="A215" i="2"/>
  <c r="A662" i="3"/>
  <c r="A603" i="2"/>
  <c r="A384" i="2"/>
  <c r="A151" i="3"/>
  <c r="A277" i="3"/>
  <c r="A614" i="3"/>
  <c r="A302" i="3"/>
  <c r="A250" i="3"/>
  <c r="A456" i="3"/>
  <c r="A70" i="3"/>
  <c r="A379" i="2"/>
  <c r="A635" i="3"/>
  <c r="A650" i="2"/>
  <c r="A265" i="2"/>
  <c r="A657" i="3"/>
  <c r="A69" i="3"/>
  <c r="A22" i="3"/>
  <c r="A430" i="3"/>
  <c r="A164" i="3"/>
  <c r="A167" i="3"/>
  <c r="A434" i="3"/>
  <c r="A277" i="2"/>
  <c r="A162" i="2"/>
  <c r="J6" i="1"/>
  <c r="A353" i="2"/>
  <c r="A215" i="3"/>
  <c r="A219" i="3"/>
  <c r="A550" i="3"/>
  <c r="A93" i="3"/>
  <c r="A371" i="2"/>
  <c r="A279" i="3"/>
  <c r="A45" i="3"/>
  <c r="A288" i="3"/>
  <c r="A398" i="3"/>
  <c r="A625" i="3"/>
  <c r="A9" i="2"/>
  <c r="A199" i="3"/>
  <c r="A590" i="3"/>
  <c r="A579" i="2"/>
  <c r="A179" i="2"/>
  <c r="A425" i="3"/>
  <c r="A494" i="3"/>
  <c r="A634" i="3"/>
  <c r="A497" i="2"/>
  <c r="A159" i="3"/>
  <c r="A198" i="3"/>
  <c r="A171" i="3"/>
  <c r="A70" i="2"/>
  <c r="A421" i="3"/>
  <c r="A267" i="3"/>
  <c r="A643" i="3"/>
  <c r="A64" i="2"/>
  <c r="A450" i="2"/>
  <c r="A631" i="2"/>
  <c r="A487" i="3"/>
  <c r="A96" i="3"/>
  <c r="A211" i="3"/>
  <c r="A570" i="3"/>
  <c r="A645" i="3"/>
  <c r="A83" i="2"/>
  <c r="A15" i="2"/>
  <c r="A396" i="2"/>
  <c r="A145" i="3"/>
  <c r="A449" i="2"/>
  <c r="A627" i="3"/>
  <c r="A280" i="3"/>
  <c r="A255" i="3"/>
  <c r="A463" i="2"/>
  <c r="A142" i="3"/>
  <c r="A14" i="3"/>
  <c r="A638" i="3"/>
  <c r="A135" i="2"/>
  <c r="A566" i="3"/>
  <c r="A268" i="3"/>
  <c r="A245" i="2"/>
  <c r="A616" i="2"/>
  <c r="A92" i="3"/>
  <c r="A210" i="3"/>
  <c r="A197" i="2"/>
  <c r="A439" i="2"/>
  <c r="A80" i="2"/>
  <c r="A149" i="2"/>
  <c r="A37" i="3"/>
  <c r="A619" i="2"/>
  <c r="A256" i="3"/>
  <c r="A577" i="3"/>
  <c r="A35" i="3"/>
  <c r="A587" i="3"/>
  <c r="A321" i="2"/>
  <c r="A667" i="2"/>
  <c r="H5" i="1"/>
  <c r="A516" i="3"/>
  <c r="A318" i="2"/>
  <c r="A191" i="2"/>
  <c r="A354" i="2"/>
  <c r="A257" i="2"/>
  <c r="A411" i="3"/>
  <c r="A481" i="3"/>
  <c r="A65" i="2"/>
  <c r="A241" i="3"/>
  <c r="A312" i="3"/>
  <c r="A107" i="2"/>
  <c r="A266" i="3"/>
  <c r="A420" i="2"/>
  <c r="A495" i="2"/>
  <c r="A33" i="3"/>
  <c r="A546" i="3"/>
  <c r="A131" i="2"/>
  <c r="A63" i="2"/>
  <c r="A209" i="2"/>
  <c r="A568" i="2"/>
  <c r="A47" i="3"/>
  <c r="A571" i="3"/>
  <c r="A494" i="2"/>
  <c r="A340" i="3"/>
  <c r="A302" i="2"/>
  <c r="A591" i="2"/>
  <c r="A242" i="3"/>
  <c r="A390" i="2"/>
  <c r="A237" i="2"/>
  <c r="A293" i="2"/>
  <c r="A195" i="3"/>
  <c r="A333" i="3"/>
  <c r="A326" i="3"/>
  <c r="A300" i="3"/>
  <c r="A607" i="2"/>
  <c r="A304" i="3"/>
  <c r="A549" i="3"/>
  <c r="A464" i="2"/>
  <c r="A382" i="3"/>
  <c r="A578" i="3"/>
  <c r="A427" i="2"/>
  <c r="A639" i="2"/>
  <c r="A543" i="2"/>
  <c r="A126" i="3"/>
  <c r="A284" i="3"/>
  <c r="A424" i="3"/>
  <c r="A203" i="2"/>
  <c r="A297" i="3"/>
  <c r="A601" i="3"/>
  <c r="A426" i="2"/>
  <c r="A474" i="3"/>
  <c r="A619" i="3"/>
  <c r="A366" i="2"/>
  <c r="A203" i="3"/>
  <c r="A55" i="3"/>
  <c r="A663" i="3"/>
  <c r="A233" i="2"/>
  <c r="A348" i="2"/>
  <c r="A82" i="3"/>
  <c r="A58" i="3"/>
  <c r="A469" i="3"/>
  <c r="A89" i="2"/>
  <c r="A526" i="3"/>
  <c r="A125" i="2"/>
  <c r="A83" i="3"/>
  <c r="A470" i="3"/>
  <c r="A651" i="2"/>
  <c r="A446" i="3"/>
  <c r="A475" i="3"/>
  <c r="A235" i="3"/>
  <c r="A627" i="2"/>
  <c r="A448" i="3"/>
  <c r="A518" i="3"/>
  <c r="A111" i="2"/>
  <c r="A357" i="3"/>
  <c r="A183" i="2"/>
  <c r="A414" i="2"/>
  <c r="A303" i="3"/>
  <c r="A555" i="2"/>
  <c r="A412" i="3"/>
  <c r="A127" i="3"/>
  <c r="A454" i="3"/>
  <c r="A120" i="3"/>
  <c r="A427" i="3"/>
  <c r="A316" i="3"/>
  <c r="A573" i="3"/>
  <c r="A539" i="3"/>
  <c r="A135" i="3"/>
  <c r="A445" i="3"/>
  <c r="A95" i="2"/>
  <c r="A372" i="2"/>
  <c r="A664" i="2"/>
  <c r="A389" i="3"/>
  <c r="A53" i="2"/>
  <c r="A173" i="2"/>
  <c r="A547" i="2"/>
  <c r="A354" i="3"/>
  <c r="A437" i="2"/>
  <c r="A496" i="2"/>
  <c r="A554" i="3"/>
  <c r="A378" i="2"/>
  <c r="A185" i="2"/>
  <c r="A234" i="3"/>
  <c r="A373" i="3"/>
  <c r="A520" i="2"/>
  <c r="A116" i="3"/>
  <c r="A271" i="3"/>
  <c r="A622" i="3"/>
  <c r="A266" i="2"/>
  <c r="A428" i="3"/>
  <c r="A498" i="2"/>
  <c r="A595" i="2"/>
  <c r="A329" i="2"/>
  <c r="A129" i="3"/>
  <c r="A406" i="3"/>
  <c r="A270" i="3"/>
  <c r="A567" i="2"/>
  <c r="A14" i="2"/>
  <c r="A360" i="2"/>
  <c r="A584" i="2"/>
  <c r="A87" i="2"/>
  <c r="A227" i="2"/>
  <c r="A475" i="2"/>
  <c r="A72" i="3"/>
  <c r="A290" i="3"/>
  <c r="A374" i="3"/>
  <c r="A51" i="3"/>
  <c r="A212" i="3"/>
  <c r="A507" i="3"/>
  <c r="N5" i="3" l="1"/>
  <c r="O5" i="3"/>
  <c r="M6" i="3"/>
  <c r="N6" i="3" s="1"/>
  <c r="M5" i="2"/>
  <c r="N5" i="2"/>
  <c r="L6" i="2"/>
  <c r="K6" i="2" s="1"/>
  <c r="K5" i="1"/>
  <c r="I5" i="1"/>
  <c r="J5" i="1" s="1"/>
  <c r="L5" i="1"/>
  <c r="L6" i="1"/>
  <c r="K6" i="1"/>
  <c r="I6" i="1"/>
  <c r="H6" i="1"/>
  <c r="K6" i="3" l="1"/>
  <c r="O6" i="3"/>
  <c r="L6" i="3"/>
  <c r="N6" i="2"/>
  <c r="M6" i="2"/>
  <c r="J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<sst xmlns="http://schemas.openxmlformats.org/spreadsheetml/2006/main" count="125" uniqueCount="63">
  <si>
    <t>SR</t>
  </si>
  <si>
    <t>risk</t>
  </si>
  <si>
    <t>return</t>
  </si>
  <si>
    <t>w1</t>
  </si>
  <si>
    <t>w2</t>
  </si>
  <si>
    <t>mu</t>
  </si>
  <si>
    <t>cov mat</t>
  </si>
  <si>
    <t>Monte Carlo Simulation</t>
  </si>
  <si>
    <t>GMV</t>
  </si>
  <si>
    <t>MSR</t>
  </si>
  <si>
    <t>w_cash</t>
  </si>
  <si>
    <t>w1_risky</t>
  </si>
  <si>
    <t>w2_risky</t>
  </si>
  <si>
    <t>risk free rate</t>
  </si>
  <si>
    <t>AAPL</t>
  </si>
  <si>
    <t>MSFT</t>
  </si>
  <si>
    <t>AMZN</t>
  </si>
  <si>
    <t>GOOGL</t>
  </si>
  <si>
    <t>GOOG</t>
  </si>
  <si>
    <t>FB</t>
  </si>
  <si>
    <t>TSLA</t>
  </si>
  <si>
    <t>NVDA</t>
  </si>
  <si>
    <t>BRK.B</t>
  </si>
  <si>
    <t>JNJ</t>
  </si>
  <si>
    <t>Mkt-RF</t>
  </si>
  <si>
    <t>SMB</t>
  </si>
  <si>
    <t>HML</t>
  </si>
  <si>
    <t>RMW</t>
  </si>
  <si>
    <t>CMA</t>
  </si>
  <si>
    <t>RF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</si>
  <si>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</si>
  <si>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</si>
  <si>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</si>
  <si>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</si>
  <si>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</si>
  <si>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</si>
  <si>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</si>
  <si>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</si>
  <si>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</si>
  <si>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</si>
  <si>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</si>
  <si>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</si>
  <si>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</si>
  <si>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</si>
  <si>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</si>
  <si>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</si>
  <si>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</si>
  <si>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</si>
  <si>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</si>
  <si>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</si>
  <si>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</si>
  <si>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</si>
  <si>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</si>
  <si>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</si>
  <si>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</si>
  <si>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</si>
  <si>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</si>
  <si>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</si>
  <si>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X Variable 5</t>
  </si>
  <si>
    <t>AAPL daily return = 0.0566 + 1.3281 * (Market-Rf) - 0.1609 * SMB - 0.7703 * HML + 0.5781 * RMW +  1.0853 * CMA + Rf</t>
  </si>
  <si>
    <t>factor matrix</t>
  </si>
  <si>
    <t>…...</t>
  </si>
  <si>
    <t>factor covmat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</si>
</sst>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/d/yyyy\ h:mm:ss"/>
    <numFmt numFmtId="166" formatCode="_(* #,##0.0000_);_(* \(#,##0.0000\);_(* &quot;-&quot;??_);_(@_)"/>
  </numFmts>
  <fonts count="9">
    <font>
      <sz val="10"/>
      <color rgb="FF000000"/>
      <name val="Arial"/>
    </font>
    <font>
      <sz val="10"/>
      <color theme="1"/>
      <name val="Arial"/>
    </font>
    <font>
      <sz val="11"/>
      <color rgb="FF000000"/>
      <name val="Inconsolata"/>
    </font>
    <font>
      <sz val="8"/>
      <color rgb="FF000000"/>
      <name val="&quot;Helvetica Neue&quot;"/>
    </font>
    <font>
      <b/>
      <sz val="8"/>
      <color rgb="FF000000"/>
      <name val="&quot;Helvetica Neue&quot;"/>
    </font>
    <font>
      <sz val="10"/>
      <color rgb="FF000000"/>
      <name val="Arial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4D4D4"/>
        <bgColor rgb="FFD4D4D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/>
    <xf numFmtId="0" fontId="3" fillId="0" borderId="1" xfId="0" applyFont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0" fillId="0" borderId="6" xfId="0" applyFont="1" applyBorder="1" applyAlignment="1"/>
    <xf numFmtId="0" fontId="0" fillId="0" borderId="0" xfId="0" applyFill="1" applyBorder="1" applyAlignment="1"/>
    <xf numFmtId="0" fontId="0" fillId="0" borderId="7" xfId="0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Continuous"/>
    </xf>
    <xf numFmtId="166" fontId="3" fillId="0" borderId="3" xfId="1" applyNumberFormat="1" applyFont="1" applyBorder="1" applyAlignment="1">
      <alignment vertical="top"/>
    </xf>
    <xf numFmtId="166" fontId="3" fillId="0" borderId="1" xfId="1" applyNumberFormat="1" applyFont="1" applyBorder="1" applyAlignment="1">
      <alignment vertical="top"/>
    </xf>
    <xf numFmtId="166" fontId="0" fillId="0" borderId="0" xfId="1" applyNumberFormat="1" applyFont="1" applyAlignment="1"/>
    <xf numFmtId="166" fontId="0" fillId="0" borderId="4" xfId="1" applyNumberFormat="1" applyFont="1" applyBorder="1" applyAlignment="1"/>
    <xf numFmtId="0" fontId="7" fillId="0" borderId="0" xfId="0" applyFont="1" applyAlignment="1"/>
    <xf numFmtId="0" fontId="8" fillId="0" borderId="0" xfId="0" applyFont="1" applyFill="1" applyBorder="1" applyAlignment="1"/>
    <xf numFmtId="0" fontId="7" fillId="0" borderId="0" xfId="0" applyFont="1" applyFill="1" applyBorder="1" applyAlignment="1"/>
    <xf numFmtId="166" fontId="3" fillId="0" borderId="9" xfId="1" applyNumberFormat="1" applyFont="1" applyFill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y vs. x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return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Sheet1!$B$2:$B$325</c:f>
              <c:numCache>
                <c:formatCode>General</c:formatCode>
                <c:ptCount val="324"/>
                <c:pt idx="0">
                  <c:v>0.17495466619478417</c:v>
                </c:pt>
                <c:pt idx="1">
                  <c:v>0.18886719561404644</c:v>
                </c:pt>
                <c:pt idx="2">
                  <c:v>0.17309654233489716</c:v>
                </c:pt>
                <c:pt idx="3">
                  <c:v>0.1723981437205642</c:v>
                </c:pt>
                <c:pt idx="4">
                  <c:v>0.16695949131126744</c:v>
                </c:pt>
                <c:pt idx="5">
                  <c:v>0.16652708244532102</c:v>
                </c:pt>
                <c:pt idx="6">
                  <c:v>0.17028946775418383</c:v>
                </c:pt>
                <c:pt idx="7">
                  <c:v>0.2176171225341722</c:v>
                </c:pt>
                <c:pt idx="8">
                  <c:v>0.24448427726437844</c:v>
                </c:pt>
                <c:pt idx="9">
                  <c:v>0.25686721014066916</c:v>
                </c:pt>
                <c:pt idx="10">
                  <c:v>0.23243489215734278</c:v>
                </c:pt>
                <c:pt idx="11">
                  <c:v>0.25213428343650174</c:v>
                </c:pt>
                <c:pt idx="12">
                  <c:v>0.2920093223972508</c:v>
                </c:pt>
                <c:pt idx="13">
                  <c:v>0.166421411343468</c:v>
                </c:pt>
                <c:pt idx="14">
                  <c:v>0.23799938916690222</c:v>
                </c:pt>
                <c:pt idx="15">
                  <c:v>0.18722462835972975</c:v>
                </c:pt>
                <c:pt idx="16">
                  <c:v>0.17336375503432661</c:v>
                </c:pt>
                <c:pt idx="17">
                  <c:v>0.16641141023716058</c:v>
                </c:pt>
                <c:pt idx="18">
                  <c:v>0.17377719897999649</c:v>
                </c:pt>
                <c:pt idx="19">
                  <c:v>0.28022639178027803</c:v>
                </c:pt>
                <c:pt idx="20">
                  <c:v>0.1696766136267821</c:v>
                </c:pt>
                <c:pt idx="21">
                  <c:v>0.17406806671094466</c:v>
                </c:pt>
                <c:pt idx="22">
                  <c:v>0.16645724091045347</c:v>
                </c:pt>
                <c:pt idx="23">
                  <c:v>0.26464690976113037</c:v>
                </c:pt>
                <c:pt idx="24">
                  <c:v>0.17273422638200275</c:v>
                </c:pt>
                <c:pt idx="25">
                  <c:v>0.22266073642313144</c:v>
                </c:pt>
                <c:pt idx="26">
                  <c:v>0.18832396849173824</c:v>
                </c:pt>
                <c:pt idx="27">
                  <c:v>0.17481603443728144</c:v>
                </c:pt>
                <c:pt idx="28">
                  <c:v>0.16679774706248895</c:v>
                </c:pt>
                <c:pt idx="29">
                  <c:v>0.28355127753949266</c:v>
                </c:pt>
                <c:pt idx="30">
                  <c:v>0.20223009688500321</c:v>
                </c:pt>
                <c:pt idx="31">
                  <c:v>0.25470004365322885</c:v>
                </c:pt>
                <c:pt idx="32">
                  <c:v>0.16871419667425583</c:v>
                </c:pt>
                <c:pt idx="33">
                  <c:v>0.17996210869606688</c:v>
                </c:pt>
                <c:pt idx="34">
                  <c:v>0.22590330727142821</c:v>
                </c:pt>
                <c:pt idx="35">
                  <c:v>0.16648563235971733</c:v>
                </c:pt>
                <c:pt idx="36">
                  <c:v>0.20223559461156954</c:v>
                </c:pt>
                <c:pt idx="37">
                  <c:v>0.20601406120904922</c:v>
                </c:pt>
                <c:pt idx="38">
                  <c:v>0.1692412037141397</c:v>
                </c:pt>
                <c:pt idx="39">
                  <c:v>0.25270866681479848</c:v>
                </c:pt>
                <c:pt idx="40">
                  <c:v>0.17428963366119002</c:v>
                </c:pt>
                <c:pt idx="41">
                  <c:v>0.19291676634865718</c:v>
                </c:pt>
                <c:pt idx="42">
                  <c:v>0.27040439765876123</c:v>
                </c:pt>
                <c:pt idx="43">
                  <c:v>0.16822109967021673</c:v>
                </c:pt>
                <c:pt idx="44">
                  <c:v>0.27780707112036529</c:v>
                </c:pt>
                <c:pt idx="45">
                  <c:v>0.17282170344298936</c:v>
                </c:pt>
                <c:pt idx="46">
                  <c:v>0.17714886610008876</c:v>
                </c:pt>
                <c:pt idx="47">
                  <c:v>0.25396616900017605</c:v>
                </c:pt>
                <c:pt idx="48">
                  <c:v>0.1691903783776704</c:v>
                </c:pt>
                <c:pt idx="49">
                  <c:v>0.16782878498625201</c:v>
                </c:pt>
                <c:pt idx="50">
                  <c:v>0.19642125409362254</c:v>
                </c:pt>
                <c:pt idx="51">
                  <c:v>0.16677335245525662</c:v>
                </c:pt>
                <c:pt idx="52">
                  <c:v>0.16835530724417408</c:v>
                </c:pt>
                <c:pt idx="53">
                  <c:v>0.16810420220892705</c:v>
                </c:pt>
                <c:pt idx="54">
                  <c:v>0.16719437877832738</c:v>
                </c:pt>
                <c:pt idx="55">
                  <c:v>0.27417521066379813</c:v>
                </c:pt>
                <c:pt idx="56">
                  <c:v>0.25841977542043354</c:v>
                </c:pt>
                <c:pt idx="57">
                  <c:v>0.17890620961907461</c:v>
                </c:pt>
                <c:pt idx="58">
                  <c:v>0.21895181319803464</c:v>
                </c:pt>
                <c:pt idx="59">
                  <c:v>0.17714429614894572</c:v>
                </c:pt>
                <c:pt idx="60">
                  <c:v>0.2888023487304896</c:v>
                </c:pt>
                <c:pt idx="61">
                  <c:v>0.19420980870038837</c:v>
                </c:pt>
                <c:pt idx="62">
                  <c:v>0.19077466786337527</c:v>
                </c:pt>
                <c:pt idx="63">
                  <c:v>0.1838878994852477</c:v>
                </c:pt>
                <c:pt idx="64">
                  <c:v>0.16702058188045776</c:v>
                </c:pt>
                <c:pt idx="65">
                  <c:v>0.17106862046086677</c:v>
                </c:pt>
                <c:pt idx="66">
                  <c:v>0.1696763131667258</c:v>
                </c:pt>
                <c:pt idx="67">
                  <c:v>0.20281105722836981</c:v>
                </c:pt>
                <c:pt idx="68">
                  <c:v>0.18931120183490249</c:v>
                </c:pt>
                <c:pt idx="69">
                  <c:v>0.17007585839972086</c:v>
                </c:pt>
                <c:pt idx="70">
                  <c:v>0.23863470265645023</c:v>
                </c:pt>
                <c:pt idx="71">
                  <c:v>0.18869253344903805</c:v>
                </c:pt>
                <c:pt idx="72">
                  <c:v>0.24718324554673315</c:v>
                </c:pt>
                <c:pt idx="73">
                  <c:v>0.16671302816967096</c:v>
                </c:pt>
                <c:pt idx="74">
                  <c:v>0.16641778716132019</c:v>
                </c:pt>
                <c:pt idx="75">
                  <c:v>0.1677244287064934</c:v>
                </c:pt>
                <c:pt idx="76">
                  <c:v>0.16917390891307316</c:v>
                </c:pt>
                <c:pt idx="77">
                  <c:v>0.1786725693782942</c:v>
                </c:pt>
                <c:pt idx="78">
                  <c:v>0.29330807850587198</c:v>
                </c:pt>
                <c:pt idx="79">
                  <c:v>0.16803356639351483</c:v>
                </c:pt>
                <c:pt idx="80">
                  <c:v>0.19305365801872451</c:v>
                </c:pt>
                <c:pt idx="81">
                  <c:v>0.27578214596675044</c:v>
                </c:pt>
                <c:pt idx="82">
                  <c:v>0.21814395493432057</c:v>
                </c:pt>
                <c:pt idx="83">
                  <c:v>0.18682325859514848</c:v>
                </c:pt>
                <c:pt idx="84">
                  <c:v>0.29278323133115486</c:v>
                </c:pt>
                <c:pt idx="85">
                  <c:v>0.16665587346933522</c:v>
                </c:pt>
                <c:pt idx="86">
                  <c:v>0.18756391398261998</c:v>
                </c:pt>
                <c:pt idx="87">
                  <c:v>0.29934243437154739</c:v>
                </c:pt>
                <c:pt idx="88">
                  <c:v>0.1819456784750299</c:v>
                </c:pt>
                <c:pt idx="89">
                  <c:v>0.17900099303466438</c:v>
                </c:pt>
                <c:pt idx="90">
                  <c:v>0.27865999609900566</c:v>
                </c:pt>
                <c:pt idx="91">
                  <c:v>0.18920832712783825</c:v>
                </c:pt>
                <c:pt idx="92">
                  <c:v>0.16950598287776858</c:v>
                </c:pt>
                <c:pt idx="93">
                  <c:v>0.19018439431532955</c:v>
                </c:pt>
                <c:pt idx="94">
                  <c:v>0.19064762440466362</c:v>
                </c:pt>
                <c:pt idx="95">
                  <c:v>0.19747477641855649</c:v>
                </c:pt>
                <c:pt idx="96">
                  <c:v>0.16979724727317297</c:v>
                </c:pt>
                <c:pt idx="97">
                  <c:v>0.17016124631388529</c:v>
                </c:pt>
                <c:pt idx="98">
                  <c:v>0.26025972755543009</c:v>
                </c:pt>
                <c:pt idx="99">
                  <c:v>0.16701629670121651</c:v>
                </c:pt>
                <c:pt idx="100">
                  <c:v>0.22893084840314165</c:v>
                </c:pt>
                <c:pt idx="101">
                  <c:v>0.26595921943943224</c:v>
                </c:pt>
                <c:pt idx="102">
                  <c:v>0.16681326111592287</c:v>
                </c:pt>
                <c:pt idx="103">
                  <c:v>0.19080095403207073</c:v>
                </c:pt>
                <c:pt idx="104">
                  <c:v>0.17706764124075164</c:v>
                </c:pt>
                <c:pt idx="105">
                  <c:v>0.1961264155300573</c:v>
                </c:pt>
                <c:pt idx="106">
                  <c:v>0.16676754282509346</c:v>
                </c:pt>
                <c:pt idx="107">
                  <c:v>0.25814046264461271</c:v>
                </c:pt>
                <c:pt idx="108">
                  <c:v>0.16892057706904151</c:v>
                </c:pt>
                <c:pt idx="109">
                  <c:v>0.17287876951390854</c:v>
                </c:pt>
                <c:pt idx="110">
                  <c:v>0.16749984200289836</c:v>
                </c:pt>
                <c:pt idx="111">
                  <c:v>0.17568490270820403</c:v>
                </c:pt>
                <c:pt idx="112">
                  <c:v>0.23413461928230461</c:v>
                </c:pt>
                <c:pt idx="113">
                  <c:v>0.28932630860122621</c:v>
                </c:pt>
                <c:pt idx="114">
                  <c:v>0.16732862777978436</c:v>
                </c:pt>
                <c:pt idx="115">
                  <c:v>0.17690510481972122</c:v>
                </c:pt>
                <c:pt idx="116">
                  <c:v>0.17567330669686052</c:v>
                </c:pt>
                <c:pt idx="117">
                  <c:v>0.1993458700503275</c:v>
                </c:pt>
                <c:pt idx="118">
                  <c:v>0.24427549361646198</c:v>
                </c:pt>
                <c:pt idx="119">
                  <c:v>0.16693538477146139</c:v>
                </c:pt>
                <c:pt idx="120">
                  <c:v>0.22060388480714602</c:v>
                </c:pt>
                <c:pt idx="121">
                  <c:v>0.16835914411219863</c:v>
                </c:pt>
                <c:pt idx="122">
                  <c:v>0.26349506121286204</c:v>
                </c:pt>
                <c:pt idx="123">
                  <c:v>0.21353637668061345</c:v>
                </c:pt>
                <c:pt idx="124">
                  <c:v>0.17645592331489704</c:v>
                </c:pt>
                <c:pt idx="125">
                  <c:v>0.21562513875880615</c:v>
                </c:pt>
                <c:pt idx="126">
                  <c:v>0.26603155992242222</c:v>
                </c:pt>
                <c:pt idx="127">
                  <c:v>0.17704100166397205</c:v>
                </c:pt>
                <c:pt idx="128">
                  <c:v>0.24238626247073553</c:v>
                </c:pt>
                <c:pt idx="129">
                  <c:v>0.18033303625996586</c:v>
                </c:pt>
                <c:pt idx="130">
                  <c:v>0.21761218773350058</c:v>
                </c:pt>
                <c:pt idx="131">
                  <c:v>0.22698186727043748</c:v>
                </c:pt>
                <c:pt idx="132">
                  <c:v>0.28238803382036487</c:v>
                </c:pt>
                <c:pt idx="133">
                  <c:v>0.21940221889380032</c:v>
                </c:pt>
                <c:pt idx="134">
                  <c:v>0.2516625479553638</c:v>
                </c:pt>
                <c:pt idx="135">
                  <c:v>0.28652222228164936</c:v>
                </c:pt>
                <c:pt idx="136">
                  <c:v>0.18166697963292994</c:v>
                </c:pt>
                <c:pt idx="137">
                  <c:v>0.22423241042370731</c:v>
                </c:pt>
                <c:pt idx="138">
                  <c:v>0.26576481745599928</c:v>
                </c:pt>
                <c:pt idx="139">
                  <c:v>0.17196592515797612</c:v>
                </c:pt>
                <c:pt idx="140">
                  <c:v>0.17469899661188584</c:v>
                </c:pt>
                <c:pt idx="141">
                  <c:v>0.18681909804092667</c:v>
                </c:pt>
                <c:pt idx="142">
                  <c:v>0.1765572713626804</c:v>
                </c:pt>
                <c:pt idx="143">
                  <c:v>0.18569276119876463</c:v>
                </c:pt>
                <c:pt idx="144">
                  <c:v>0.24825182704136042</c:v>
                </c:pt>
                <c:pt idx="145">
                  <c:v>0.19544033989045703</c:v>
                </c:pt>
                <c:pt idx="146">
                  <c:v>0.16883323490817945</c:v>
                </c:pt>
                <c:pt idx="147">
                  <c:v>0.1866893012716335</c:v>
                </c:pt>
                <c:pt idx="148">
                  <c:v>0.17405985613660638</c:v>
                </c:pt>
                <c:pt idx="149">
                  <c:v>0.20008274896780895</c:v>
                </c:pt>
                <c:pt idx="150">
                  <c:v>0.25546863160029581</c:v>
                </c:pt>
                <c:pt idx="151">
                  <c:v>0.16966579936570858</c:v>
                </c:pt>
                <c:pt idx="152">
                  <c:v>0.25532135171472647</c:v>
                </c:pt>
                <c:pt idx="153">
                  <c:v>0.1764261013946368</c:v>
                </c:pt>
                <c:pt idx="154">
                  <c:v>0.18655082605662529</c:v>
                </c:pt>
                <c:pt idx="155">
                  <c:v>0.1665317063275652</c:v>
                </c:pt>
                <c:pt idx="156">
                  <c:v>0.28706394359859155</c:v>
                </c:pt>
                <c:pt idx="157">
                  <c:v>0.27814337689508417</c:v>
                </c:pt>
                <c:pt idx="158">
                  <c:v>0.19498678022159896</c:v>
                </c:pt>
                <c:pt idx="159">
                  <c:v>0.26747200222145068</c:v>
                </c:pt>
                <c:pt idx="160">
                  <c:v>0.28995752940411634</c:v>
                </c:pt>
                <c:pt idx="161">
                  <c:v>0.16814149079877894</c:v>
                </c:pt>
                <c:pt idx="162">
                  <c:v>0.22715251648405063</c:v>
                </c:pt>
                <c:pt idx="163">
                  <c:v>0.16644070385726181</c:v>
                </c:pt>
                <c:pt idx="164">
                  <c:v>0.24057488489788545</c:v>
                </c:pt>
                <c:pt idx="165">
                  <c:v>0.17761091449082297</c:v>
                </c:pt>
                <c:pt idx="166">
                  <c:v>0.23496886145536147</c:v>
                </c:pt>
                <c:pt idx="167">
                  <c:v>0.17404331966210548</c:v>
                </c:pt>
                <c:pt idx="168">
                  <c:v>0.21595848605245396</c:v>
                </c:pt>
                <c:pt idx="169">
                  <c:v>0.2347455657567756</c:v>
                </c:pt>
                <c:pt idx="170">
                  <c:v>0.24842961652190532</c:v>
                </c:pt>
                <c:pt idx="171">
                  <c:v>0.18405413302319876</c:v>
                </c:pt>
                <c:pt idx="172">
                  <c:v>0.16663100302108369</c:v>
                </c:pt>
                <c:pt idx="173">
                  <c:v>0.16675631922290979</c:v>
                </c:pt>
                <c:pt idx="174">
                  <c:v>0.20649387604604494</c:v>
                </c:pt>
                <c:pt idx="175">
                  <c:v>0.18607897442156779</c:v>
                </c:pt>
                <c:pt idx="176">
                  <c:v>0.19417241278252226</c:v>
                </c:pt>
                <c:pt idx="177">
                  <c:v>0.18536721270102077</c:v>
                </c:pt>
                <c:pt idx="178">
                  <c:v>0.16950622418195613</c:v>
                </c:pt>
                <c:pt idx="179">
                  <c:v>0.29363129548596917</c:v>
                </c:pt>
                <c:pt idx="180">
                  <c:v>0.17332835076299991</c:v>
                </c:pt>
                <c:pt idx="181">
                  <c:v>0.2250747096358495</c:v>
                </c:pt>
                <c:pt idx="182">
                  <c:v>0.23991164542636484</c:v>
                </c:pt>
                <c:pt idx="183">
                  <c:v>0.18250742383660573</c:v>
                </c:pt>
                <c:pt idx="184">
                  <c:v>0.16834047484558939</c:v>
                </c:pt>
                <c:pt idx="185">
                  <c:v>0.16964427627904108</c:v>
                </c:pt>
                <c:pt idx="186">
                  <c:v>0.17753177308950507</c:v>
                </c:pt>
                <c:pt idx="187">
                  <c:v>0.24850422450925416</c:v>
                </c:pt>
                <c:pt idx="188">
                  <c:v>0.27023134114369435</c:v>
                </c:pt>
                <c:pt idx="189">
                  <c:v>0.25535258036617847</c:v>
                </c:pt>
                <c:pt idx="190">
                  <c:v>0.21936434048966216</c:v>
                </c:pt>
                <c:pt idx="191">
                  <c:v>0.2640314515470582</c:v>
                </c:pt>
                <c:pt idx="192">
                  <c:v>0.18643443748070773</c:v>
                </c:pt>
                <c:pt idx="193">
                  <c:v>0.24885453506572661</c:v>
                </c:pt>
                <c:pt idx="194">
                  <c:v>0.17763058057145342</c:v>
                </c:pt>
                <c:pt idx="195">
                  <c:v>0.22243435969032102</c:v>
                </c:pt>
                <c:pt idx="196">
                  <c:v>0.17263388012852579</c:v>
                </c:pt>
                <c:pt idx="197">
                  <c:v>0.2544461805368583</c:v>
                </c:pt>
                <c:pt idx="198">
                  <c:v>0.16670165676305279</c:v>
                </c:pt>
                <c:pt idx="199">
                  <c:v>0.24910990484994075</c:v>
                </c:pt>
                <c:pt idx="200">
                  <c:v>0.27774950673495441</c:v>
                </c:pt>
                <c:pt idx="201">
                  <c:v>0.19271311640049621</c:v>
                </c:pt>
                <c:pt idx="202">
                  <c:v>0.19050357099948637</c:v>
                </c:pt>
                <c:pt idx="203">
                  <c:v>0.19874208855688794</c:v>
                </c:pt>
                <c:pt idx="204">
                  <c:v>0.23093621837284159</c:v>
                </c:pt>
                <c:pt idx="205">
                  <c:v>0.16778281337134485</c:v>
                </c:pt>
                <c:pt idx="206">
                  <c:v>0.20612411278128792</c:v>
                </c:pt>
                <c:pt idx="207">
                  <c:v>0.19214254040364984</c:v>
                </c:pt>
                <c:pt idx="208">
                  <c:v>0.18412310575761934</c:v>
                </c:pt>
                <c:pt idx="209">
                  <c:v>0.17467322774300451</c:v>
                </c:pt>
                <c:pt idx="210">
                  <c:v>0.23659641555428004</c:v>
                </c:pt>
                <c:pt idx="211">
                  <c:v>0.28575279047601193</c:v>
                </c:pt>
                <c:pt idx="212">
                  <c:v>0.17603050885098973</c:v>
                </c:pt>
                <c:pt idx="213">
                  <c:v>0.25906097135327222</c:v>
                </c:pt>
                <c:pt idx="214">
                  <c:v>0.1804528550853165</c:v>
                </c:pt>
                <c:pt idx="215">
                  <c:v>0.23097832778819299</c:v>
                </c:pt>
                <c:pt idx="216">
                  <c:v>0.18569232648638706</c:v>
                </c:pt>
                <c:pt idx="217">
                  <c:v>0.16729833850012907</c:v>
                </c:pt>
                <c:pt idx="218">
                  <c:v>0.20957623750322407</c:v>
                </c:pt>
                <c:pt idx="219">
                  <c:v>0.22482605003304726</c:v>
                </c:pt>
                <c:pt idx="220">
                  <c:v>0.28936104873550894</c:v>
                </c:pt>
                <c:pt idx="221">
                  <c:v>0.22481021447107355</c:v>
                </c:pt>
                <c:pt idx="222">
                  <c:v>0.24960722000648838</c:v>
                </c:pt>
                <c:pt idx="223">
                  <c:v>0.18357895315384312</c:v>
                </c:pt>
                <c:pt idx="224">
                  <c:v>0.28351809951995122</c:v>
                </c:pt>
                <c:pt idx="225">
                  <c:v>0.2259953110202732</c:v>
                </c:pt>
                <c:pt idx="226">
                  <c:v>0.27776298593434073</c:v>
                </c:pt>
                <c:pt idx="227">
                  <c:v>0.18552523015877434</c:v>
                </c:pt>
                <c:pt idx="228">
                  <c:v>0.16887412533138141</c:v>
                </c:pt>
                <c:pt idx="229">
                  <c:v>0.2028877810726957</c:v>
                </c:pt>
                <c:pt idx="230">
                  <c:v>0.1783082048470982</c:v>
                </c:pt>
                <c:pt idx="231">
                  <c:v>0.17497590157697696</c:v>
                </c:pt>
                <c:pt idx="232">
                  <c:v>0.16655490023763964</c:v>
                </c:pt>
                <c:pt idx="233">
                  <c:v>0.22009760172507001</c:v>
                </c:pt>
                <c:pt idx="234">
                  <c:v>0.16658878430171434</c:v>
                </c:pt>
                <c:pt idx="235">
                  <c:v>0.22997460583342011</c:v>
                </c:pt>
                <c:pt idx="236">
                  <c:v>0.1700598766526748</c:v>
                </c:pt>
                <c:pt idx="237">
                  <c:v>0.28744221984242635</c:v>
                </c:pt>
                <c:pt idx="238">
                  <c:v>0.17327211337691764</c:v>
                </c:pt>
                <c:pt idx="239">
                  <c:v>0.17875790359209637</c:v>
                </c:pt>
                <c:pt idx="240">
                  <c:v>0.18856865719830487</c:v>
                </c:pt>
                <c:pt idx="241">
                  <c:v>0.19813569908289419</c:v>
                </c:pt>
                <c:pt idx="242">
                  <c:v>0.19945090521795736</c:v>
                </c:pt>
                <c:pt idx="243">
                  <c:v>0.18102988428293657</c:v>
                </c:pt>
                <c:pt idx="244">
                  <c:v>0.16962465244515745</c:v>
                </c:pt>
                <c:pt idx="245">
                  <c:v>0.19332818001950977</c:v>
                </c:pt>
                <c:pt idx="246">
                  <c:v>0.17271581721630444</c:v>
                </c:pt>
                <c:pt idx="247">
                  <c:v>0.19468140555308958</c:v>
                </c:pt>
                <c:pt idx="248">
                  <c:v>0.16690575526537543</c:v>
                </c:pt>
                <c:pt idx="249">
                  <c:v>0.20112260081611716</c:v>
                </c:pt>
                <c:pt idx="250">
                  <c:v>0.20263249440031947</c:v>
                </c:pt>
                <c:pt idx="251">
                  <c:v>0.22363604096780962</c:v>
                </c:pt>
                <c:pt idx="252">
                  <c:v>0.17970333275115441</c:v>
                </c:pt>
                <c:pt idx="253">
                  <c:v>0.16797108423544244</c:v>
                </c:pt>
                <c:pt idx="254">
                  <c:v>0.16960816607615234</c:v>
                </c:pt>
                <c:pt idx="255">
                  <c:v>0.26994156521038898</c:v>
                </c:pt>
                <c:pt idx="256">
                  <c:v>0.29097007961595428</c:v>
                </c:pt>
                <c:pt idx="257">
                  <c:v>0.18611422208681855</c:v>
                </c:pt>
                <c:pt idx="258">
                  <c:v>0.1900329681923249</c:v>
                </c:pt>
                <c:pt idx="259">
                  <c:v>0.19490199241038234</c:v>
                </c:pt>
                <c:pt idx="260">
                  <c:v>0.21872594732468686</c:v>
                </c:pt>
                <c:pt idx="261">
                  <c:v>0.16783574239283125</c:v>
                </c:pt>
                <c:pt idx="262">
                  <c:v>0.28609377173012124</c:v>
                </c:pt>
                <c:pt idx="263">
                  <c:v>0.18395948137268203</c:v>
                </c:pt>
                <c:pt idx="264">
                  <c:v>0.17973844963586705</c:v>
                </c:pt>
                <c:pt idx="265">
                  <c:v>0.16817612750502645</c:v>
                </c:pt>
                <c:pt idx="266">
                  <c:v>0.26599667550074685</c:v>
                </c:pt>
                <c:pt idx="267">
                  <c:v>0.27143075255968702</c:v>
                </c:pt>
                <c:pt idx="268">
                  <c:v>0.24762137839241397</c:v>
                </c:pt>
                <c:pt idx="269">
                  <c:v>0.16753697122053537</c:v>
                </c:pt>
                <c:pt idx="270">
                  <c:v>0.2483017627511335</c:v>
                </c:pt>
                <c:pt idx="271">
                  <c:v>0.17317484932962002</c:v>
                </c:pt>
                <c:pt idx="272">
                  <c:v>0.26859234559887629</c:v>
                </c:pt>
                <c:pt idx="273">
                  <c:v>0.1687568357673371</c:v>
                </c:pt>
                <c:pt idx="274">
                  <c:v>0.16661301342962573</c:v>
                </c:pt>
                <c:pt idx="275">
                  <c:v>0.17045980120192511</c:v>
                </c:pt>
                <c:pt idx="276">
                  <c:v>0.17989172714011972</c:v>
                </c:pt>
                <c:pt idx="277">
                  <c:v>0.19644675436653938</c:v>
                </c:pt>
                <c:pt idx="278">
                  <c:v>0.19738710971027304</c:v>
                </c:pt>
                <c:pt idx="279">
                  <c:v>0.16858363256028633</c:v>
                </c:pt>
                <c:pt idx="280">
                  <c:v>0.19958544839188683</c:v>
                </c:pt>
                <c:pt idx="281">
                  <c:v>0.16788193875279575</c:v>
                </c:pt>
                <c:pt idx="282">
                  <c:v>0.16647350233419031</c:v>
                </c:pt>
                <c:pt idx="283">
                  <c:v>0.23101722405184888</c:v>
                </c:pt>
                <c:pt idx="284">
                  <c:v>0.16970638651988562</c:v>
                </c:pt>
                <c:pt idx="285">
                  <c:v>0.18581466517323059</c:v>
                </c:pt>
                <c:pt idx="286">
                  <c:v>0.19513512617234549</c:v>
                </c:pt>
                <c:pt idx="287">
                  <c:v>0.25072380253466753</c:v>
                </c:pt>
                <c:pt idx="288">
                  <c:v>0.19387347056171356</c:v>
                </c:pt>
                <c:pt idx="289">
                  <c:v>0.27968320996589491</c:v>
                </c:pt>
                <c:pt idx="290">
                  <c:v>0.19811782045087387</c:v>
                </c:pt>
                <c:pt idx="291">
                  <c:v>0.17066590822152913</c:v>
                </c:pt>
                <c:pt idx="292">
                  <c:v>0.24284243329355318</c:v>
                </c:pt>
                <c:pt idx="293">
                  <c:v>0.16785075116801126</c:v>
                </c:pt>
                <c:pt idx="294">
                  <c:v>0.19947002662018948</c:v>
                </c:pt>
                <c:pt idx="295">
                  <c:v>0.16905320345731964</c:v>
                </c:pt>
                <c:pt idx="296">
                  <c:v>0.28912014894769444</c:v>
                </c:pt>
                <c:pt idx="297">
                  <c:v>0.1846372326937086</c:v>
                </c:pt>
                <c:pt idx="298">
                  <c:v>0.17354720266919849</c:v>
                </c:pt>
                <c:pt idx="299">
                  <c:v>0.1964370645671169</c:v>
                </c:pt>
                <c:pt idx="300">
                  <c:v>0.16717810453076432</c:v>
                </c:pt>
                <c:pt idx="301">
                  <c:v>0.21777817618479844</c:v>
                </c:pt>
                <c:pt idx="302">
                  <c:v>0.23609848435470837</c:v>
                </c:pt>
                <c:pt idx="303">
                  <c:v>0.2149132449664502</c:v>
                </c:pt>
                <c:pt idx="304">
                  <c:v>0.16642655239684437</c:v>
                </c:pt>
                <c:pt idx="305">
                  <c:v>0.18877870523055337</c:v>
                </c:pt>
                <c:pt idx="306">
                  <c:v>0.16721352909829632</c:v>
                </c:pt>
                <c:pt idx="307">
                  <c:v>0.16690597163698495</c:v>
                </c:pt>
                <c:pt idx="308">
                  <c:v>0.16737560429342374</c:v>
                </c:pt>
                <c:pt idx="309">
                  <c:v>0.24407780403716475</c:v>
                </c:pt>
                <c:pt idx="310">
                  <c:v>0.18158697254049491</c:v>
                </c:pt>
                <c:pt idx="311">
                  <c:v>0.1682118841144461</c:v>
                </c:pt>
                <c:pt idx="312">
                  <c:v>0.19377733111517956</c:v>
                </c:pt>
                <c:pt idx="313">
                  <c:v>0.22890340382717309</c:v>
                </c:pt>
                <c:pt idx="314">
                  <c:v>0.23367918074526808</c:v>
                </c:pt>
                <c:pt idx="315">
                  <c:v>0.18055268187344881</c:v>
                </c:pt>
                <c:pt idx="316">
                  <c:v>0.25603791644172519</c:v>
                </c:pt>
                <c:pt idx="317">
                  <c:v>0.1758936595011398</c:v>
                </c:pt>
                <c:pt idx="318">
                  <c:v>0.21006208564725828</c:v>
                </c:pt>
                <c:pt idx="319">
                  <c:v>0.17351394183606669</c:v>
                </c:pt>
                <c:pt idx="320">
                  <c:v>0.22781194219038806</c:v>
                </c:pt>
                <c:pt idx="321">
                  <c:v>0.23416554101684531</c:v>
                </c:pt>
                <c:pt idx="322">
                  <c:v>0.17327285087951386</c:v>
                </c:pt>
                <c:pt idx="323">
                  <c:v>0.2299094028617317</c:v>
                </c:pt>
              </c:numCache>
            </c:numRef>
          </c:xVal>
          <c:yVal>
            <c:numRef>
              <c:f>Sheet1!$C$2:$C$325</c:f>
              <c:numCache>
                <c:formatCode>General</c:formatCode>
                <c:ptCount val="324"/>
                <c:pt idx="0">
                  <c:v>0.2085034778741072</c:v>
                </c:pt>
                <c:pt idx="1">
                  <c:v>0.18891432745004486</c:v>
                </c:pt>
                <c:pt idx="2">
                  <c:v>0.2120325027039936</c:v>
                </c:pt>
                <c:pt idx="3">
                  <c:v>0.21347654440517541</c:v>
                </c:pt>
                <c:pt idx="4">
                  <c:v>0.23095433071247898</c:v>
                </c:pt>
                <c:pt idx="5">
                  <c:v>0.24192392960697756</c:v>
                </c:pt>
                <c:pt idx="6">
                  <c:v>0.21841394021140831</c:v>
                </c:pt>
                <c:pt idx="7">
                  <c:v>0.16067503710588951</c:v>
                </c:pt>
                <c:pt idx="8">
                  <c:v>0.13910939994995969</c:v>
                </c:pt>
                <c:pt idx="9">
                  <c:v>0.12992093145108435</c:v>
                </c:pt>
                <c:pt idx="10">
                  <c:v>0.14844671677620475</c:v>
                </c:pt>
                <c:pt idx="11">
                  <c:v>0.13339102852181275</c:v>
                </c:pt>
                <c:pt idx="12">
                  <c:v>0.10535991542965657</c:v>
                </c:pt>
                <c:pt idx="13">
                  <c:v>0.23953977937140969</c:v>
                </c:pt>
                <c:pt idx="14">
                  <c:v>0.14407868220940417</c:v>
                </c:pt>
                <c:pt idx="15">
                  <c:v>0.19087112645972956</c:v>
                </c:pt>
                <c:pt idx="16">
                  <c:v>0.2654240986418176</c:v>
                </c:pt>
                <c:pt idx="17">
                  <c:v>0.23883354541468318</c:v>
                </c:pt>
                <c:pt idx="18">
                  <c:v>0.21069211868407267</c:v>
                </c:pt>
                <c:pt idx="19">
                  <c:v>0.11339598893110385</c:v>
                </c:pt>
                <c:pt idx="20">
                  <c:v>0.25684083718043255</c:v>
                </c:pt>
                <c:pt idx="21">
                  <c:v>0.26678594574668435</c:v>
                </c:pt>
                <c:pt idx="22">
                  <c:v>0.23626326226883651</c:v>
                </c:pt>
                <c:pt idx="23">
                  <c:v>0.12431496716115607</c:v>
                </c:pt>
                <c:pt idx="24">
                  <c:v>0.26415083746973839</c:v>
                </c:pt>
                <c:pt idx="25">
                  <c:v>0.1564005932820636</c:v>
                </c:pt>
                <c:pt idx="26">
                  <c:v>0.28736838686091759</c:v>
                </c:pt>
                <c:pt idx="27">
                  <c:v>0.20875353278542441</c:v>
                </c:pt>
                <c:pt idx="28">
                  <c:v>0.24476613343576389</c:v>
                </c:pt>
                <c:pt idx="29">
                  <c:v>0.11111099945513396</c:v>
                </c:pt>
                <c:pt idx="30">
                  <c:v>0.17471998241427694</c:v>
                </c:pt>
                <c:pt idx="31">
                  <c:v>0.1315038839440052</c:v>
                </c:pt>
                <c:pt idx="32">
                  <c:v>0.2230475341684211</c:v>
                </c:pt>
                <c:pt idx="33">
                  <c:v>0.27646580087036787</c:v>
                </c:pt>
                <c:pt idx="34">
                  <c:v>0.15371758647609429</c:v>
                </c:pt>
                <c:pt idx="35">
                  <c:v>0.23567928204979288</c:v>
                </c:pt>
                <c:pt idx="36">
                  <c:v>0.17471461567466093</c:v>
                </c:pt>
                <c:pt idx="37">
                  <c:v>0.17109460815036714</c:v>
                </c:pt>
                <c:pt idx="38">
                  <c:v>0.25556104220875281</c:v>
                </c:pt>
                <c:pt idx="39">
                  <c:v>0.13296729860273765</c:v>
                </c:pt>
                <c:pt idx="40">
                  <c:v>0.26720212198671101</c:v>
                </c:pt>
                <c:pt idx="41">
                  <c:v>0.2925968988552623</c:v>
                </c:pt>
                <c:pt idx="42">
                  <c:v>0.12023589946052966</c:v>
                </c:pt>
                <c:pt idx="43">
                  <c:v>0.22480610075118573</c:v>
                </c:pt>
                <c:pt idx="44">
                  <c:v>0.11506790806594006</c:v>
                </c:pt>
                <c:pt idx="45">
                  <c:v>0.26433123257307112</c:v>
                </c:pt>
                <c:pt idx="46">
                  <c:v>0.20476874960402824</c:v>
                </c:pt>
                <c:pt idx="47">
                  <c:v>0.13204218321748767</c:v>
                </c:pt>
                <c:pt idx="48">
                  <c:v>0.22151749986138283</c:v>
                </c:pt>
                <c:pt idx="49">
                  <c:v>0.25054067976639705</c:v>
                </c:pt>
                <c:pt idx="50">
                  <c:v>0.2963447135575985</c:v>
                </c:pt>
                <c:pt idx="51">
                  <c:v>0.24456433471489789</c:v>
                </c:pt>
                <c:pt idx="52">
                  <c:v>0.25261674174483878</c:v>
                </c:pt>
                <c:pt idx="53">
                  <c:v>0.22525646824657183</c:v>
                </c:pt>
                <c:pt idx="54">
                  <c:v>0.22948888594637432</c:v>
                </c:pt>
                <c:pt idx="55">
                  <c:v>0.11759322047713616</c:v>
                </c:pt>
                <c:pt idx="56">
                  <c:v>0.1287928448906262</c:v>
                </c:pt>
                <c:pt idx="57">
                  <c:v>0.20202350191916202</c:v>
                </c:pt>
                <c:pt idx="58">
                  <c:v>0.15953101631530703</c:v>
                </c:pt>
                <c:pt idx="59">
                  <c:v>0.27214693345150492</c:v>
                </c:pt>
                <c:pt idx="60">
                  <c:v>0.10753056552607301</c:v>
                </c:pt>
                <c:pt idx="61">
                  <c:v>0.2940012459567759</c:v>
                </c:pt>
                <c:pt idx="62">
                  <c:v>0.2902084557419195</c:v>
                </c:pt>
                <c:pt idx="63">
                  <c:v>0.19505841243165661</c:v>
                </c:pt>
                <c:pt idx="64">
                  <c:v>0.2463758308761709</c:v>
                </c:pt>
                <c:pt idx="65">
                  <c:v>0.26045570002302415</c:v>
                </c:pt>
                <c:pt idx="66">
                  <c:v>0.25683998367530497</c:v>
                </c:pt>
                <c:pt idx="67">
                  <c:v>0.17415454101531863</c:v>
                </c:pt>
                <c:pt idx="68">
                  <c:v>0.28852741336763665</c:v>
                </c:pt>
                <c:pt idx="69">
                  <c:v>0.21897987119680978</c:v>
                </c:pt>
                <c:pt idx="70">
                  <c:v>0.14358637575629685</c:v>
                </c:pt>
                <c:pt idx="71">
                  <c:v>0.28780356139131569</c:v>
                </c:pt>
                <c:pt idx="72">
                  <c:v>0.13707537769040351</c:v>
                </c:pt>
                <c:pt idx="73">
                  <c:v>0.24403416577157414</c:v>
                </c:pt>
                <c:pt idx="74">
                  <c:v>0.2393511695627473</c:v>
                </c:pt>
                <c:pt idx="75">
                  <c:v>0.22683694526618287</c:v>
                </c:pt>
                <c:pt idx="76">
                  <c:v>0.2553549032456649</c:v>
                </c:pt>
                <c:pt idx="77">
                  <c:v>0.27454511391090819</c:v>
                </c:pt>
                <c:pt idx="78">
                  <c:v>0.10448413367941274</c:v>
                </c:pt>
                <c:pt idx="79">
                  <c:v>0.25138702601509905</c:v>
                </c:pt>
                <c:pt idx="80">
                  <c:v>0.29274684510680055</c:v>
                </c:pt>
                <c:pt idx="81">
                  <c:v>0.11647353862079957</c:v>
                </c:pt>
                <c:pt idx="82">
                  <c:v>0.16022230497842996</c:v>
                </c:pt>
                <c:pt idx="83">
                  <c:v>0.28556411804075055</c:v>
                </c:pt>
                <c:pt idx="84">
                  <c:v>0.10483782700466722</c:v>
                </c:pt>
                <c:pt idx="85">
                  <c:v>0.23344242209679</c:v>
                </c:pt>
                <c:pt idx="86">
                  <c:v>0.28646126325617249</c:v>
                </c:pt>
                <c:pt idx="87">
                  <c:v>0.10043859129117565</c:v>
                </c:pt>
                <c:pt idx="88">
                  <c:v>0.19765459250893314</c:v>
                </c:pt>
                <c:pt idx="89">
                  <c:v>0.20188055216416398</c:v>
                </c:pt>
                <c:pt idx="90">
                  <c:v>0.11447756215989616</c:v>
                </c:pt>
                <c:pt idx="91">
                  <c:v>0.28840761203388821</c:v>
                </c:pt>
                <c:pt idx="92">
                  <c:v>0.25634982890787561</c:v>
                </c:pt>
                <c:pt idx="93">
                  <c:v>0.18738754643855865</c:v>
                </c:pt>
                <c:pt idx="94">
                  <c:v>0.18685888796660005</c:v>
                </c:pt>
                <c:pt idx="95">
                  <c:v>0.1794857164814157</c:v>
                </c:pt>
                <c:pt idx="96">
                  <c:v>0.257180492157145</c:v>
                </c:pt>
                <c:pt idx="97">
                  <c:v>0.25817129438077835</c:v>
                </c:pt>
                <c:pt idx="98">
                  <c:v>0.12746213708419354</c:v>
                </c:pt>
                <c:pt idx="99">
                  <c:v>0.23057512031228</c:v>
                </c:pt>
                <c:pt idx="100">
                  <c:v>0.15125351896743189</c:v>
                </c:pt>
                <c:pt idx="101">
                  <c:v>0.12338029797662725</c:v>
                </c:pt>
                <c:pt idx="102">
                  <c:v>0.2320318861962343</c:v>
                </c:pt>
                <c:pt idx="103">
                  <c:v>0.29023826732169988</c:v>
                </c:pt>
                <c:pt idx="104">
                  <c:v>0.27202269679057134</c:v>
                </c:pt>
                <c:pt idx="105">
                  <c:v>0.29603627431078988</c:v>
                </c:pt>
                <c:pt idx="106">
                  <c:v>0.24451528866887509</c:v>
                </c:pt>
                <c:pt idx="107">
                  <c:v>0.12899543445308365</c:v>
                </c:pt>
                <c:pt idx="108">
                  <c:v>0.22236707056314553</c:v>
                </c:pt>
                <c:pt idx="109">
                  <c:v>0.2124747888418666</c:v>
                </c:pt>
                <c:pt idx="110">
                  <c:v>0.22788014145200805</c:v>
                </c:pt>
                <c:pt idx="111">
                  <c:v>0.20721621956397746</c:v>
                </c:pt>
                <c:pt idx="112">
                  <c:v>0.14710136829100778</c:v>
                </c:pt>
                <c:pt idx="113">
                  <c:v>0.10717511622549845</c:v>
                </c:pt>
                <c:pt idx="114">
                  <c:v>0.22874934180977941</c:v>
                </c:pt>
                <c:pt idx="115">
                  <c:v>0.27175791580650061</c:v>
                </c:pt>
                <c:pt idx="116">
                  <c:v>0.20723628737059002</c:v>
                </c:pt>
                <c:pt idx="117">
                  <c:v>0.29934343728418172</c:v>
                </c:pt>
                <c:pt idx="118">
                  <c:v>0.13926754191668161</c:v>
                </c:pt>
                <c:pt idx="119">
                  <c:v>0.23112113401893616</c:v>
                </c:pt>
                <c:pt idx="120">
                  <c:v>0.15812806751851943</c:v>
                </c:pt>
                <c:pt idx="121">
                  <c:v>0.25263077614674251</c:v>
                </c:pt>
                <c:pt idx="122">
                  <c:v>0.12513785013569462</c:v>
                </c:pt>
                <c:pt idx="123">
                  <c:v>0.16423635825640001</c:v>
                </c:pt>
                <c:pt idx="124">
                  <c:v>0.20590680263398825</c:v>
                </c:pt>
                <c:pt idx="125">
                  <c:v>0.16240105084715717</c:v>
                </c:pt>
                <c:pt idx="126">
                  <c:v>0.12332886157566224</c:v>
                </c:pt>
                <c:pt idx="127">
                  <c:v>0.27197942612159642</c:v>
                </c:pt>
                <c:pt idx="128">
                  <c:v>0.14070392212678057</c:v>
                </c:pt>
                <c:pt idx="129">
                  <c:v>0.19992006719334388</c:v>
                </c:pt>
                <c:pt idx="130">
                  <c:v>0.16067928508149215</c:v>
                </c:pt>
                <c:pt idx="131">
                  <c:v>0.15283540949242097</c:v>
                </c:pt>
                <c:pt idx="132">
                  <c:v>0.11190879001541076</c:v>
                </c:pt>
                <c:pt idx="133">
                  <c:v>0.15914711846459914</c:v>
                </c:pt>
                <c:pt idx="134">
                  <c:v>0.13373959108721689</c:v>
                </c:pt>
                <c:pt idx="135">
                  <c:v>0.10908114978130466</c:v>
                </c:pt>
                <c:pt idx="136">
                  <c:v>0.27888462324712443</c:v>
                </c:pt>
                <c:pt idx="137">
                  <c:v>0.15509420268488122</c:v>
                </c:pt>
                <c:pt idx="138">
                  <c:v>0.12351856864926364</c:v>
                </c:pt>
                <c:pt idx="139">
                  <c:v>0.2625125849644756</c:v>
                </c:pt>
                <c:pt idx="140">
                  <c:v>0.26795694475259446</c:v>
                </c:pt>
                <c:pt idx="141">
                  <c:v>0.28555904027514167</c:v>
                </c:pt>
                <c:pt idx="142">
                  <c:v>0.27118491227070746</c:v>
                </c:pt>
                <c:pt idx="143">
                  <c:v>0.28416793885264252</c:v>
                </c:pt>
                <c:pt idx="144">
                  <c:v>0.13627518992715992</c:v>
                </c:pt>
                <c:pt idx="145">
                  <c:v>0.29531389451633566</c:v>
                </c:pt>
                <c:pt idx="146">
                  <c:v>0.22265157551453951</c:v>
                </c:pt>
                <c:pt idx="147">
                  <c:v>0.19152266653715957</c:v>
                </c:pt>
                <c:pt idx="148">
                  <c:v>0.21015266066953495</c:v>
                </c:pt>
                <c:pt idx="149">
                  <c:v>0.17684036642013559</c:v>
                </c:pt>
                <c:pt idx="150">
                  <c:v>0.1309413592615104</c:v>
                </c:pt>
                <c:pt idx="151">
                  <c:v>0.22011298343901642</c:v>
                </c:pt>
                <c:pt idx="152">
                  <c:v>0.13104905537503486</c:v>
                </c:pt>
                <c:pt idx="153">
                  <c:v>0.20595657287163338</c:v>
                </c:pt>
                <c:pt idx="154">
                  <c:v>0.2852307032214414</c:v>
                </c:pt>
                <c:pt idx="155">
                  <c:v>0.23493138178326667</c:v>
                </c:pt>
                <c:pt idx="156">
                  <c:v>0.10871219428407315</c:v>
                </c:pt>
                <c:pt idx="157">
                  <c:v>0.11483501601678751</c:v>
                </c:pt>
                <c:pt idx="158">
                  <c:v>0.18209041446003066</c:v>
                </c:pt>
                <c:pt idx="159">
                  <c:v>0.12230651700639726</c:v>
                </c:pt>
                <c:pt idx="160">
                  <c:v>0.10674732432778913</c:v>
                </c:pt>
                <c:pt idx="161">
                  <c:v>0.25181188545476063</c:v>
                </c:pt>
                <c:pt idx="162">
                  <c:v>0.1526962809219044</c:v>
                </c:pt>
                <c:pt idx="163">
                  <c:v>0.24023312690072429</c:v>
                </c:pt>
                <c:pt idx="164">
                  <c:v>0.14209051257109589</c:v>
                </c:pt>
                <c:pt idx="165">
                  <c:v>0.20402841820721293</c:v>
                </c:pt>
                <c:pt idx="166">
                  <c:v>0.14644472033100292</c:v>
                </c:pt>
                <c:pt idx="167">
                  <c:v>0.21018396144261822</c:v>
                </c:pt>
                <c:pt idx="168">
                  <c:v>0.16211060777201117</c:v>
                </c:pt>
                <c:pt idx="169">
                  <c:v>0.14662024902044138</c:v>
                </c:pt>
                <c:pt idx="170">
                  <c:v>0.13614232953798133</c:v>
                </c:pt>
                <c:pt idx="171">
                  <c:v>0.28208092790675454</c:v>
                </c:pt>
                <c:pt idx="172">
                  <c:v>0.24321980173568211</c:v>
                </c:pt>
                <c:pt idx="173">
                  <c:v>0.23250367853431625</c:v>
                </c:pt>
                <c:pt idx="174">
                  <c:v>0.17064410672872835</c:v>
                </c:pt>
                <c:pt idx="175">
                  <c:v>0.28464870627477012</c:v>
                </c:pt>
                <c:pt idx="176">
                  <c:v>0.18296207708236825</c:v>
                </c:pt>
                <c:pt idx="177">
                  <c:v>0.19316356481951819</c:v>
                </c:pt>
                <c:pt idx="178">
                  <c:v>0.2563505324489545</c:v>
                </c:pt>
                <c:pt idx="179">
                  <c:v>0.10426646805286825</c:v>
                </c:pt>
                <c:pt idx="180">
                  <c:v>0.26535397083093781</c:v>
                </c:pt>
                <c:pt idx="181">
                  <c:v>0.15439870989704835</c:v>
                </c:pt>
                <c:pt idx="182">
                  <c:v>0.14260059764078803</c:v>
                </c:pt>
                <c:pt idx="183">
                  <c:v>0.19688990588810518</c:v>
                </c:pt>
                <c:pt idx="184">
                  <c:v>0.25256235981165653</c:v>
                </c:pt>
                <c:pt idx="185">
                  <c:v>0.2567487578904345</c:v>
                </c:pt>
                <c:pt idx="186">
                  <c:v>0.20415422700040786</c:v>
                </c:pt>
                <c:pt idx="187">
                  <c:v>0.13608659875964868</c:v>
                </c:pt>
                <c:pt idx="188">
                  <c:v>0.12035771185250768</c:v>
                </c:pt>
                <c:pt idx="189">
                  <c:v>0.13102621608304102</c:v>
                </c:pt>
                <c:pt idx="190">
                  <c:v>0.15917936239469238</c:v>
                </c:pt>
                <c:pt idx="191">
                  <c:v>0.12475435755882361</c:v>
                </c:pt>
                <c:pt idx="192">
                  <c:v>0.19183539265523319</c:v>
                </c:pt>
                <c:pt idx="193">
                  <c:v>0.13582510478875304</c:v>
                </c:pt>
                <c:pt idx="194">
                  <c:v>0.20399721817410132</c:v>
                </c:pt>
                <c:pt idx="195">
                  <c:v>0.15658971240954533</c:v>
                </c:pt>
                <c:pt idx="196">
                  <c:v>0.21298063233151771</c:v>
                </c:pt>
                <c:pt idx="197">
                  <c:v>0.13168996186711993</c:v>
                </c:pt>
                <c:pt idx="198">
                  <c:v>0.23299458388140676</c:v>
                </c:pt>
                <c:pt idx="199">
                  <c:v>0.13563466827968101</c:v>
                </c:pt>
                <c:pt idx="200">
                  <c:v>0.11510778724895376</c:v>
                </c:pt>
                <c:pt idx="201">
                  <c:v>0.18454982276467399</c:v>
                </c:pt>
                <c:pt idx="202">
                  <c:v>0.28990023347802951</c:v>
                </c:pt>
                <c:pt idx="203">
                  <c:v>0.17819007545611429</c:v>
                </c:pt>
                <c:pt idx="204">
                  <c:v>0.1496415315953771</c:v>
                </c:pt>
                <c:pt idx="205">
                  <c:v>0.2265805287855136</c:v>
                </c:pt>
                <c:pt idx="206">
                  <c:v>0.170991106926246</c:v>
                </c:pt>
                <c:pt idx="207">
                  <c:v>0.29174293409023511</c:v>
                </c:pt>
                <c:pt idx="208">
                  <c:v>0.28217040178211161</c:v>
                </c:pt>
                <c:pt idx="209">
                  <c:v>0.26790994862028017</c:v>
                </c:pt>
                <c:pt idx="210">
                  <c:v>0.14517033818260064</c:v>
                </c:pt>
                <c:pt idx="211">
                  <c:v>0.10960580568853509</c:v>
                </c:pt>
                <c:pt idx="212">
                  <c:v>0.27029974653843725</c:v>
                </c:pt>
                <c:pt idx="213">
                  <c:v>0.12832836147714904</c:v>
                </c:pt>
                <c:pt idx="214">
                  <c:v>0.19974789460889794</c:v>
                </c:pt>
                <c:pt idx="215">
                  <c:v>0.1496078467664097</c:v>
                </c:pt>
                <c:pt idx="216">
                  <c:v>0.19275568149425665</c:v>
                </c:pt>
                <c:pt idx="217">
                  <c:v>0.24801183241748273</c:v>
                </c:pt>
                <c:pt idx="218">
                  <c:v>0.16779462392319699</c:v>
                </c:pt>
                <c:pt idx="219">
                  <c:v>0.15460370073573276</c:v>
                </c:pt>
                <c:pt idx="220">
                  <c:v>0.10715156012723344</c:v>
                </c:pt>
                <c:pt idx="221">
                  <c:v>0.15461676459895099</c:v>
                </c:pt>
                <c:pt idx="222">
                  <c:v>0.13526425676349879</c:v>
                </c:pt>
                <c:pt idx="223">
                  <c:v>0.28146037332501328</c:v>
                </c:pt>
                <c:pt idx="224">
                  <c:v>0.11113373007450418</c:v>
                </c:pt>
                <c:pt idx="225">
                  <c:v>0.15364214134971604</c:v>
                </c:pt>
                <c:pt idx="226">
                  <c:v>0.11509844877802544</c:v>
                </c:pt>
                <c:pt idx="227">
                  <c:v>0.28395812610419235</c:v>
                </c:pt>
                <c:pt idx="228">
                  <c:v>0.22251776693463882</c:v>
                </c:pt>
                <c:pt idx="229">
                  <c:v>0.17408011730893383</c:v>
                </c:pt>
                <c:pt idx="230">
                  <c:v>0.20293686351153079</c:v>
                </c:pt>
                <c:pt idx="231">
                  <c:v>0.26845773535057105</c:v>
                </c:pt>
                <c:pt idx="232">
                  <c:v>0.24231369473532333</c:v>
                </c:pt>
                <c:pt idx="233">
                  <c:v>0.15855650522675241</c:v>
                </c:pt>
                <c:pt idx="234">
                  <c:v>0.2341822371952311</c:v>
                </c:pt>
                <c:pt idx="235">
                  <c:v>0.15041258068859656</c:v>
                </c:pt>
                <c:pt idx="236">
                  <c:v>0.21902284623886623</c:v>
                </c:pt>
                <c:pt idx="237">
                  <c:v>0.10845476697442405</c:v>
                </c:pt>
                <c:pt idx="238">
                  <c:v>0.26524222944932468</c:v>
                </c:pt>
                <c:pt idx="239">
                  <c:v>0.20224815205292504</c:v>
                </c:pt>
                <c:pt idx="240">
                  <c:v>0.28765763206901007</c:v>
                </c:pt>
                <c:pt idx="241">
                  <c:v>0.29811553454603457</c:v>
                </c:pt>
                <c:pt idx="242">
                  <c:v>0.1774738829641917</c:v>
                </c:pt>
                <c:pt idx="243">
                  <c:v>0.19892767250729723</c:v>
                </c:pt>
                <c:pt idx="244">
                  <c:v>0.25669266167967009</c:v>
                </c:pt>
                <c:pt idx="245">
                  <c:v>0.29304662376554458</c:v>
                </c:pt>
                <c:pt idx="246">
                  <c:v>0.21281035270764037</c:v>
                </c:pt>
                <c:pt idx="247">
                  <c:v>0.18241611189778134</c:v>
                </c:pt>
                <c:pt idx="248">
                  <c:v>0.24559161448654504</c:v>
                </c:pt>
                <c:pt idx="249">
                  <c:v>0.17580743830291662</c:v>
                </c:pt>
                <c:pt idx="250">
                  <c:v>0.1743279756784076</c:v>
                </c:pt>
                <c:pt idx="251">
                  <c:v>0.15558856592117193</c:v>
                </c:pt>
                <c:pt idx="252">
                  <c:v>0.20083593298390812</c:v>
                </c:pt>
                <c:pt idx="253">
                  <c:v>0.22578839973402134</c:v>
                </c:pt>
                <c:pt idx="254">
                  <c:v>0.2566454054227762</c:v>
                </c:pt>
                <c:pt idx="255">
                  <c:v>0.12056178843123387</c:v>
                </c:pt>
                <c:pt idx="256">
                  <c:v>0.10606205026893359</c:v>
                </c:pt>
                <c:pt idx="257">
                  <c:v>0.19223069304530507</c:v>
                </c:pt>
                <c:pt idx="258">
                  <c:v>0.18756127003946405</c:v>
                </c:pt>
                <c:pt idx="259">
                  <c:v>0.18218070703902894</c:v>
                </c:pt>
                <c:pt idx="260">
                  <c:v>0.15972393657395628</c:v>
                </c:pt>
                <c:pt idx="261">
                  <c:v>0.25057038751114641</c:v>
                </c:pt>
                <c:pt idx="262">
                  <c:v>0.10937321028694913</c:v>
                </c:pt>
                <c:pt idx="263">
                  <c:v>0.19496517930497861</c:v>
                </c:pt>
                <c:pt idx="264">
                  <c:v>0.20078435669041084</c:v>
                </c:pt>
                <c:pt idx="265">
                  <c:v>0.2519454567493955</c:v>
                </c:pt>
                <c:pt idx="266">
                  <c:v>0.12335366439398668</c:v>
                </c:pt>
                <c:pt idx="267">
                  <c:v>0.11951443225583512</c:v>
                </c:pt>
                <c:pt idx="268">
                  <c:v>0.1367469462935868</c:v>
                </c:pt>
                <c:pt idx="269">
                  <c:v>0.2277007973740654</c:v>
                </c:pt>
                <c:pt idx="270">
                  <c:v>0.13623786561538365</c:v>
                </c:pt>
                <c:pt idx="271">
                  <c:v>0.2118751292786559</c:v>
                </c:pt>
                <c:pt idx="272">
                  <c:v>0.12151376521079532</c:v>
                </c:pt>
                <c:pt idx="273">
                  <c:v>0.25401850005826215</c:v>
                </c:pt>
                <c:pt idx="274">
                  <c:v>0.23390122295987056</c:v>
                </c:pt>
                <c:pt idx="275">
                  <c:v>0.25894970490344899</c:v>
                </c:pt>
                <c:pt idx="276">
                  <c:v>0.20055994198147284</c:v>
                </c:pt>
                <c:pt idx="277">
                  <c:v>0.18055174226929116</c:v>
                </c:pt>
                <c:pt idx="278">
                  <c:v>0.29734699020399458</c:v>
                </c:pt>
                <c:pt idx="279">
                  <c:v>0.25342953997156947</c:v>
                </c:pt>
                <c:pt idx="280">
                  <c:v>0.17733860176838931</c:v>
                </c:pt>
                <c:pt idx="281">
                  <c:v>0.22615722193202775</c:v>
                </c:pt>
                <c:pt idx="282">
                  <c:v>0.23591237346377222</c:v>
                </c:pt>
                <c:pt idx="283">
                  <c:v>0.14957673814057942</c:v>
                </c:pt>
                <c:pt idx="284">
                  <c:v>0.21999785324450832</c:v>
                </c:pt>
                <c:pt idx="285">
                  <c:v>0.28432012410557483</c:v>
                </c:pt>
                <c:pt idx="286">
                  <c:v>0.18193269007693863</c:v>
                </c:pt>
                <c:pt idx="287">
                  <c:v>0.13443474093005142</c:v>
                </c:pt>
                <c:pt idx="288">
                  <c:v>0.29363849824433719</c:v>
                </c:pt>
                <c:pt idx="289">
                  <c:v>0.11377067118197795</c:v>
                </c:pt>
                <c:pt idx="290">
                  <c:v>0.29809726107525897</c:v>
                </c:pt>
                <c:pt idx="291">
                  <c:v>0.25947102010689754</c:v>
                </c:pt>
                <c:pt idx="292">
                  <c:v>0.14035619521236165</c:v>
                </c:pt>
                <c:pt idx="293">
                  <c:v>0.22628884549916201</c:v>
                </c:pt>
                <c:pt idx="294">
                  <c:v>0.29946843297116033</c:v>
                </c:pt>
                <c:pt idx="295">
                  <c:v>0.22194415454803959</c:v>
                </c:pt>
                <c:pt idx="296">
                  <c:v>0.10731493483945063</c:v>
                </c:pt>
                <c:pt idx="297">
                  <c:v>0.19409037664015513</c:v>
                </c:pt>
                <c:pt idx="298">
                  <c:v>0.26578481037956669</c:v>
                </c:pt>
                <c:pt idx="299">
                  <c:v>0.18056185693341748</c:v>
                </c:pt>
                <c:pt idx="300">
                  <c:v>0.24734039740055266</c:v>
                </c:pt>
                <c:pt idx="301">
                  <c:v>0.16053647321377934</c:v>
                </c:pt>
                <c:pt idx="302">
                  <c:v>0.14555929600738621</c:v>
                </c:pt>
                <c:pt idx="303">
                  <c:v>0.16302354523898058</c:v>
                </c:pt>
                <c:pt idx="304">
                  <c:v>0.23716187573701955</c:v>
                </c:pt>
                <c:pt idx="305">
                  <c:v>0.18901820070945494</c:v>
                </c:pt>
                <c:pt idx="306">
                  <c:v>0.22937974566666849</c:v>
                </c:pt>
                <c:pt idx="307">
                  <c:v>0.23132990415152249</c:v>
                </c:pt>
                <c:pt idx="308">
                  <c:v>0.24841968503424008</c:v>
                </c:pt>
                <c:pt idx="309">
                  <c:v>0.13941738866141234</c:v>
                </c:pt>
                <c:pt idx="310">
                  <c:v>0.27877386108269531</c:v>
                </c:pt>
                <c:pt idx="311">
                  <c:v>0.22484107574462547</c:v>
                </c:pt>
                <c:pt idx="312">
                  <c:v>0.29353448690075856</c:v>
                </c:pt>
                <c:pt idx="313">
                  <c:v>0.15127568817808551</c:v>
                </c:pt>
                <c:pt idx="314">
                  <c:v>0.14746085913783236</c:v>
                </c:pt>
                <c:pt idx="315">
                  <c:v>0.27731813176162512</c:v>
                </c:pt>
                <c:pt idx="316">
                  <c:v>0.13052550760064502</c:v>
                </c:pt>
                <c:pt idx="317">
                  <c:v>0.20685690510893689</c:v>
                </c:pt>
                <c:pt idx="318">
                  <c:v>0.16735214898270936</c:v>
                </c:pt>
                <c:pt idx="319">
                  <c:v>0.21120334099767168</c:v>
                </c:pt>
                <c:pt idx="320">
                  <c:v>0.15215978999498472</c:v>
                </c:pt>
                <c:pt idx="321">
                  <c:v>0.14707698681739415</c:v>
                </c:pt>
                <c:pt idx="322">
                  <c:v>0.21167937930456032</c:v>
                </c:pt>
                <c:pt idx="323">
                  <c:v>0.15046498987200069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0F-4712-8425-D4BE68191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101787"/>
        <c:axId val="1945350180"/>
      </c:scatterChart>
      <c:valAx>
        <c:axId val="632101787"/>
        <c:scaling>
          <c:orientation val="minMax"/>
          <c:min val="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45350180"/>
        <c:crosses val="autoZero"/>
        <c:crossBetween val="midCat"/>
      </c:valAx>
      <c:valAx>
        <c:axId val="19453501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32101787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y vs. x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'Copy of Sheet1'!$C$1</c:f>
              <c:strCache>
                <c:ptCount val="1"/>
                <c:pt idx="0">
                  <c:v>return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'Copy of Sheet1'!$B$2:$B$800</c:f>
              <c:numCache>
                <c:formatCode>General</c:formatCode>
                <c:ptCount val="799"/>
                <c:pt idx="0">
                  <c:v>0.10297223219198585</c:v>
                </c:pt>
                <c:pt idx="1">
                  <c:v>7.2719319158992018E-2</c:v>
                </c:pt>
                <c:pt idx="2">
                  <c:v>0.13890237259426991</c:v>
                </c:pt>
                <c:pt idx="3">
                  <c:v>9.3630169884980935E-2</c:v>
                </c:pt>
                <c:pt idx="4">
                  <c:v>0.15063858736610436</c:v>
                </c:pt>
                <c:pt idx="5">
                  <c:v>0.15798606203571153</c:v>
                </c:pt>
                <c:pt idx="6">
                  <c:v>7.8705203046140329E-2</c:v>
                </c:pt>
                <c:pt idx="7">
                  <c:v>0.13383399517889588</c:v>
                </c:pt>
                <c:pt idx="8">
                  <c:v>7.5813014689201569E-2</c:v>
                </c:pt>
                <c:pt idx="9">
                  <c:v>8.3929244793884375E-2</c:v>
                </c:pt>
                <c:pt idx="10">
                  <c:v>8.8599197381073497E-2</c:v>
                </c:pt>
                <c:pt idx="11">
                  <c:v>0.14934508667339605</c:v>
                </c:pt>
                <c:pt idx="12">
                  <c:v>0.10572568208166869</c:v>
                </c:pt>
                <c:pt idx="13">
                  <c:v>7.4788531806571912E-2</c:v>
                </c:pt>
                <c:pt idx="14">
                  <c:v>7.1558030942999146E-2</c:v>
                </c:pt>
                <c:pt idx="15">
                  <c:v>7.4886249895501439E-2</c:v>
                </c:pt>
                <c:pt idx="16">
                  <c:v>7.3282679451909097E-2</c:v>
                </c:pt>
                <c:pt idx="17">
                  <c:v>0.12923710896037796</c:v>
                </c:pt>
                <c:pt idx="18">
                  <c:v>0.15411896711120823</c:v>
                </c:pt>
                <c:pt idx="19">
                  <c:v>7.8737893724508429E-2</c:v>
                </c:pt>
                <c:pt idx="20">
                  <c:v>0.15439158428092647</c:v>
                </c:pt>
                <c:pt idx="21">
                  <c:v>7.3000246595505525E-2</c:v>
                </c:pt>
                <c:pt idx="22">
                  <c:v>7.3358753298490578E-2</c:v>
                </c:pt>
                <c:pt idx="23">
                  <c:v>0.11359352504374097</c:v>
                </c:pt>
                <c:pt idx="24">
                  <c:v>7.1979531079521236E-2</c:v>
                </c:pt>
                <c:pt idx="25">
                  <c:v>7.3198169224791582E-2</c:v>
                </c:pt>
                <c:pt idx="26">
                  <c:v>8.4232222552721572E-2</c:v>
                </c:pt>
                <c:pt idx="27">
                  <c:v>8.532016396768459E-2</c:v>
                </c:pt>
                <c:pt idx="28">
                  <c:v>7.5226466920402094E-2</c:v>
                </c:pt>
                <c:pt idx="29">
                  <c:v>8.0253523200120233E-2</c:v>
                </c:pt>
                <c:pt idx="30">
                  <c:v>0.14996150275640108</c:v>
                </c:pt>
                <c:pt idx="31">
                  <c:v>7.2066007994782286E-2</c:v>
                </c:pt>
                <c:pt idx="32">
                  <c:v>7.1750594957612587E-2</c:v>
                </c:pt>
                <c:pt idx="33">
                  <c:v>9.4276444302088036E-2</c:v>
                </c:pt>
                <c:pt idx="34">
                  <c:v>0.13211394739493251</c:v>
                </c:pt>
                <c:pt idx="35">
                  <c:v>7.1556038406070721E-2</c:v>
                </c:pt>
                <c:pt idx="36">
                  <c:v>0.14700104268402966</c:v>
                </c:pt>
                <c:pt idx="37">
                  <c:v>8.2979357005574711E-2</c:v>
                </c:pt>
                <c:pt idx="38">
                  <c:v>0.1113194007216415</c:v>
                </c:pt>
                <c:pt idx="39">
                  <c:v>7.2539192328642865E-2</c:v>
                </c:pt>
                <c:pt idx="40">
                  <c:v>0.12354996792016938</c:v>
                </c:pt>
                <c:pt idx="41">
                  <c:v>0.10180183137140315</c:v>
                </c:pt>
                <c:pt idx="42">
                  <c:v>0.1094775928888609</c:v>
                </c:pt>
                <c:pt idx="43">
                  <c:v>0.12136384512803917</c:v>
                </c:pt>
                <c:pt idx="44">
                  <c:v>0.11899651318726616</c:v>
                </c:pt>
                <c:pt idx="45">
                  <c:v>9.9157931991696424E-2</c:v>
                </c:pt>
                <c:pt idx="46">
                  <c:v>7.6386604737197272E-2</c:v>
                </c:pt>
                <c:pt idx="47">
                  <c:v>7.1592401285435689E-2</c:v>
                </c:pt>
                <c:pt idx="48">
                  <c:v>0.1297673179894597</c:v>
                </c:pt>
                <c:pt idx="49">
                  <c:v>0.12103977335228998</c:v>
                </c:pt>
                <c:pt idx="50">
                  <c:v>0.12366935254581828</c:v>
                </c:pt>
                <c:pt idx="51">
                  <c:v>7.4546297433770614E-2</c:v>
                </c:pt>
                <c:pt idx="52">
                  <c:v>7.9307654466500441E-2</c:v>
                </c:pt>
                <c:pt idx="53">
                  <c:v>0.11530895381159126</c:v>
                </c:pt>
                <c:pt idx="54">
                  <c:v>8.6717040051567662E-2</c:v>
                </c:pt>
                <c:pt idx="55">
                  <c:v>0.15031855640469968</c:v>
                </c:pt>
                <c:pt idx="56">
                  <c:v>0.1120815860633641</c:v>
                </c:pt>
                <c:pt idx="57">
                  <c:v>7.921616356704192E-2</c:v>
                </c:pt>
                <c:pt idx="58">
                  <c:v>0.10868849756026991</c:v>
                </c:pt>
                <c:pt idx="59">
                  <c:v>0.11645676214654581</c:v>
                </c:pt>
                <c:pt idx="60">
                  <c:v>7.66380119640232E-2</c:v>
                </c:pt>
                <c:pt idx="61">
                  <c:v>0.11077880866888448</c:v>
                </c:pt>
                <c:pt idx="62">
                  <c:v>7.7429422705672019E-2</c:v>
                </c:pt>
                <c:pt idx="63">
                  <c:v>0.13380666164841029</c:v>
                </c:pt>
                <c:pt idx="64">
                  <c:v>7.1592191872676625E-2</c:v>
                </c:pt>
                <c:pt idx="65">
                  <c:v>0.12073051036187042</c:v>
                </c:pt>
                <c:pt idx="66">
                  <c:v>7.2229996764802129E-2</c:v>
                </c:pt>
                <c:pt idx="67">
                  <c:v>0.15911614062709822</c:v>
                </c:pt>
                <c:pt idx="68">
                  <c:v>7.3882800369316673E-2</c:v>
                </c:pt>
                <c:pt idx="69">
                  <c:v>0.11790004923634489</c:v>
                </c:pt>
                <c:pt idx="70">
                  <c:v>7.2925263755618003E-2</c:v>
                </c:pt>
                <c:pt idx="71">
                  <c:v>0.11224148025460753</c:v>
                </c:pt>
                <c:pt idx="72">
                  <c:v>0.15923396845409099</c:v>
                </c:pt>
                <c:pt idx="73">
                  <c:v>0.1528002670262355</c:v>
                </c:pt>
                <c:pt idx="74">
                  <c:v>0.13983733985310312</c:v>
                </c:pt>
                <c:pt idx="75">
                  <c:v>7.1577727468951899E-2</c:v>
                </c:pt>
                <c:pt idx="76">
                  <c:v>9.2583594666165128E-2</c:v>
                </c:pt>
                <c:pt idx="77">
                  <c:v>0.10509646553256012</c:v>
                </c:pt>
                <c:pt idx="78">
                  <c:v>7.1974115932911628E-2</c:v>
                </c:pt>
                <c:pt idx="79">
                  <c:v>0.12084322444147408</c:v>
                </c:pt>
                <c:pt idx="80">
                  <c:v>0.14097621424327503</c:v>
                </c:pt>
                <c:pt idx="81">
                  <c:v>0.10932599602546553</c:v>
                </c:pt>
                <c:pt idx="82">
                  <c:v>0.10147656291336297</c:v>
                </c:pt>
                <c:pt idx="83">
                  <c:v>7.8647554570545661E-2</c:v>
                </c:pt>
                <c:pt idx="84">
                  <c:v>7.1634882093959851E-2</c:v>
                </c:pt>
                <c:pt idx="85">
                  <c:v>8.9801818313276716E-2</c:v>
                </c:pt>
                <c:pt idx="86">
                  <c:v>9.2803235451659624E-2</c:v>
                </c:pt>
                <c:pt idx="87">
                  <c:v>0.15303453783227777</c:v>
                </c:pt>
                <c:pt idx="88">
                  <c:v>7.954205787823386E-2</c:v>
                </c:pt>
                <c:pt idx="89">
                  <c:v>7.3099033682477596E-2</c:v>
                </c:pt>
                <c:pt idx="90">
                  <c:v>0.14341620356628679</c:v>
                </c:pt>
                <c:pt idx="91">
                  <c:v>7.3257496763317415E-2</c:v>
                </c:pt>
                <c:pt idx="92">
                  <c:v>7.7161277148033461E-2</c:v>
                </c:pt>
                <c:pt idx="93">
                  <c:v>8.8167046698525334E-2</c:v>
                </c:pt>
                <c:pt idx="94">
                  <c:v>0.13923749823407724</c:v>
                </c:pt>
                <c:pt idx="95">
                  <c:v>8.9306953163688904E-2</c:v>
                </c:pt>
                <c:pt idx="96">
                  <c:v>0.15990967627737829</c:v>
                </c:pt>
                <c:pt idx="97">
                  <c:v>8.0764774000354325E-2</c:v>
                </c:pt>
                <c:pt idx="98">
                  <c:v>0.10832331683801719</c:v>
                </c:pt>
                <c:pt idx="99">
                  <c:v>0.12761979015820993</c:v>
                </c:pt>
                <c:pt idx="100">
                  <c:v>7.1615123765879626E-2</c:v>
                </c:pt>
                <c:pt idx="101">
                  <c:v>7.7994713012274702E-2</c:v>
                </c:pt>
                <c:pt idx="102">
                  <c:v>0.15345720124366233</c:v>
                </c:pt>
                <c:pt idx="103">
                  <c:v>7.4114331938476455E-2</c:v>
                </c:pt>
                <c:pt idx="104">
                  <c:v>0.1556292818294927</c:v>
                </c:pt>
                <c:pt idx="105">
                  <c:v>7.5719233858536739E-2</c:v>
                </c:pt>
                <c:pt idx="106">
                  <c:v>0.12300221829529018</c:v>
                </c:pt>
                <c:pt idx="107">
                  <c:v>0.14243379929961036</c:v>
                </c:pt>
                <c:pt idx="108">
                  <c:v>8.1982061675636902E-2</c:v>
                </c:pt>
                <c:pt idx="109">
                  <c:v>8.4411879017110197E-2</c:v>
                </c:pt>
                <c:pt idx="110">
                  <c:v>9.5008070964913691E-2</c:v>
                </c:pt>
                <c:pt idx="111">
                  <c:v>0.12748503447383353</c:v>
                </c:pt>
                <c:pt idx="112">
                  <c:v>7.1643998468799347E-2</c:v>
                </c:pt>
                <c:pt idx="113">
                  <c:v>7.1558966223460918E-2</c:v>
                </c:pt>
                <c:pt idx="114">
                  <c:v>8.1440679576291641E-2</c:v>
                </c:pt>
                <c:pt idx="115">
                  <c:v>0.11545328546403021</c:v>
                </c:pt>
                <c:pt idx="116">
                  <c:v>9.2635066467430582E-2</c:v>
                </c:pt>
                <c:pt idx="117">
                  <c:v>7.1900020788127836E-2</c:v>
                </c:pt>
                <c:pt idx="118">
                  <c:v>7.3228923891364553E-2</c:v>
                </c:pt>
                <c:pt idx="119">
                  <c:v>8.2967632348650552E-2</c:v>
                </c:pt>
                <c:pt idx="120">
                  <c:v>0.10727178644768316</c:v>
                </c:pt>
                <c:pt idx="121">
                  <c:v>0.10062557969217464</c:v>
                </c:pt>
                <c:pt idx="122">
                  <c:v>0.15991738291501839</c:v>
                </c:pt>
                <c:pt idx="123">
                  <c:v>0.13453141811539082</c:v>
                </c:pt>
                <c:pt idx="124">
                  <c:v>0.10880111850338561</c:v>
                </c:pt>
                <c:pt idx="125">
                  <c:v>7.3869986001015867E-2</c:v>
                </c:pt>
                <c:pt idx="126">
                  <c:v>7.1656553503959289E-2</c:v>
                </c:pt>
                <c:pt idx="127">
                  <c:v>0.10131108937963328</c:v>
                </c:pt>
                <c:pt idx="128">
                  <c:v>7.5591586271922667E-2</c:v>
                </c:pt>
                <c:pt idx="129">
                  <c:v>9.9840324842631237E-2</c:v>
                </c:pt>
                <c:pt idx="130">
                  <c:v>0.14109589912823259</c:v>
                </c:pt>
                <c:pt idx="131">
                  <c:v>7.6878112729441797E-2</c:v>
                </c:pt>
                <c:pt idx="132">
                  <c:v>8.1551576109797116E-2</c:v>
                </c:pt>
                <c:pt idx="133">
                  <c:v>0.12169747610082252</c:v>
                </c:pt>
                <c:pt idx="134">
                  <c:v>9.71883048977603E-2</c:v>
                </c:pt>
                <c:pt idx="135">
                  <c:v>0.12652773786969085</c:v>
                </c:pt>
                <c:pt idx="136">
                  <c:v>8.0241213364354455E-2</c:v>
                </c:pt>
                <c:pt idx="137">
                  <c:v>7.4341441404522549E-2</c:v>
                </c:pt>
                <c:pt idx="138">
                  <c:v>0.1399982484936787</c:v>
                </c:pt>
                <c:pt idx="139">
                  <c:v>8.0836125955698335E-2</c:v>
                </c:pt>
                <c:pt idx="140">
                  <c:v>7.2091728644313319E-2</c:v>
                </c:pt>
                <c:pt idx="141">
                  <c:v>0.13617177745430833</c:v>
                </c:pt>
                <c:pt idx="142">
                  <c:v>7.9817196722323583E-2</c:v>
                </c:pt>
                <c:pt idx="143">
                  <c:v>7.5328454492457911E-2</c:v>
                </c:pt>
                <c:pt idx="144">
                  <c:v>7.5723067762772669E-2</c:v>
                </c:pt>
                <c:pt idx="145">
                  <c:v>7.4154035766815785E-2</c:v>
                </c:pt>
                <c:pt idx="146">
                  <c:v>7.5073896703004878E-2</c:v>
                </c:pt>
                <c:pt idx="147">
                  <c:v>7.4540909870059235E-2</c:v>
                </c:pt>
                <c:pt idx="148">
                  <c:v>0.14743095933687711</c:v>
                </c:pt>
                <c:pt idx="149">
                  <c:v>0.14970995620100708</c:v>
                </c:pt>
                <c:pt idx="150">
                  <c:v>7.2670725507161985E-2</c:v>
                </c:pt>
                <c:pt idx="151">
                  <c:v>7.3373407925240858E-2</c:v>
                </c:pt>
                <c:pt idx="152">
                  <c:v>0.13378377210652406</c:v>
                </c:pt>
                <c:pt idx="153">
                  <c:v>7.3339338404231569E-2</c:v>
                </c:pt>
                <c:pt idx="154">
                  <c:v>0.1325997181116888</c:v>
                </c:pt>
                <c:pt idx="155">
                  <c:v>0.10773630101067241</c:v>
                </c:pt>
                <c:pt idx="156">
                  <c:v>9.3907850510896493E-2</c:v>
                </c:pt>
                <c:pt idx="157">
                  <c:v>0.10227870954543418</c:v>
                </c:pt>
                <c:pt idx="158">
                  <c:v>0.13085527343120029</c:v>
                </c:pt>
                <c:pt idx="159">
                  <c:v>7.2001254194017608E-2</c:v>
                </c:pt>
                <c:pt idx="160">
                  <c:v>0.10445274649609343</c:v>
                </c:pt>
                <c:pt idx="161">
                  <c:v>0.11781100200252112</c:v>
                </c:pt>
                <c:pt idx="162">
                  <c:v>7.321908479483269E-2</c:v>
                </c:pt>
                <c:pt idx="163">
                  <c:v>0.14485304354408379</c:v>
                </c:pt>
                <c:pt idx="164">
                  <c:v>8.7690547103484756E-2</c:v>
                </c:pt>
                <c:pt idx="165">
                  <c:v>0.11374650085456217</c:v>
                </c:pt>
                <c:pt idx="166">
                  <c:v>0.13554966223116741</c:v>
                </c:pt>
                <c:pt idx="167">
                  <c:v>7.3672510983276068E-2</c:v>
                </c:pt>
                <c:pt idx="168">
                  <c:v>0.13961652521503823</c:v>
                </c:pt>
                <c:pt idx="169">
                  <c:v>0.11459166805470643</c:v>
                </c:pt>
                <c:pt idx="170">
                  <c:v>0.14654105001176682</c:v>
                </c:pt>
                <c:pt idx="171">
                  <c:v>0.12954094435637362</c:v>
                </c:pt>
                <c:pt idx="172">
                  <c:v>7.1646868073278747E-2</c:v>
                </c:pt>
                <c:pt idx="173">
                  <c:v>0.14753935654616923</c:v>
                </c:pt>
                <c:pt idx="174">
                  <c:v>7.9278478870664373E-2</c:v>
                </c:pt>
                <c:pt idx="175">
                  <c:v>7.4109983354953585E-2</c:v>
                </c:pt>
                <c:pt idx="176">
                  <c:v>7.7289095560374679E-2</c:v>
                </c:pt>
                <c:pt idx="177">
                  <c:v>0.15146961767747638</c:v>
                </c:pt>
                <c:pt idx="178">
                  <c:v>7.2005933814623321E-2</c:v>
                </c:pt>
                <c:pt idx="179">
                  <c:v>0.13390810877837384</c:v>
                </c:pt>
                <c:pt idx="180">
                  <c:v>7.9294806856509914E-2</c:v>
                </c:pt>
                <c:pt idx="181">
                  <c:v>9.2563832599087376E-2</c:v>
                </c:pt>
                <c:pt idx="182">
                  <c:v>9.8369166520369311E-2</c:v>
                </c:pt>
                <c:pt idx="183">
                  <c:v>0.12348439777839303</c:v>
                </c:pt>
                <c:pt idx="184">
                  <c:v>7.5657404731194325E-2</c:v>
                </c:pt>
                <c:pt idx="185">
                  <c:v>0.1163836038850052</c:v>
                </c:pt>
                <c:pt idx="186">
                  <c:v>9.2094456966454297E-2</c:v>
                </c:pt>
                <c:pt idx="187">
                  <c:v>7.4945878594797677E-2</c:v>
                </c:pt>
                <c:pt idx="188">
                  <c:v>9.3130227196161361E-2</c:v>
                </c:pt>
                <c:pt idx="189">
                  <c:v>7.1671599098504415E-2</c:v>
                </c:pt>
                <c:pt idx="190">
                  <c:v>0.1492119309116918</c:v>
                </c:pt>
                <c:pt idx="191">
                  <c:v>7.8777330900082765E-2</c:v>
                </c:pt>
                <c:pt idx="192">
                  <c:v>0.10285113520465108</c:v>
                </c:pt>
                <c:pt idx="193">
                  <c:v>8.6271456130361829E-2</c:v>
                </c:pt>
                <c:pt idx="194">
                  <c:v>7.4566985086306992E-2</c:v>
                </c:pt>
                <c:pt idx="195">
                  <c:v>0.13346021769071334</c:v>
                </c:pt>
                <c:pt idx="196">
                  <c:v>7.1610372591776453E-2</c:v>
                </c:pt>
                <c:pt idx="197">
                  <c:v>7.6570834265333662E-2</c:v>
                </c:pt>
                <c:pt idx="198">
                  <c:v>0.10901633962199932</c:v>
                </c:pt>
                <c:pt idx="199">
                  <c:v>7.6024816530618031E-2</c:v>
                </c:pt>
                <c:pt idx="200">
                  <c:v>7.8200166050726647E-2</c:v>
                </c:pt>
                <c:pt idx="201">
                  <c:v>0.11575835130751548</c:v>
                </c:pt>
                <c:pt idx="202">
                  <c:v>7.1554392647714848E-2</c:v>
                </c:pt>
                <c:pt idx="203">
                  <c:v>7.2460812421396195E-2</c:v>
                </c:pt>
                <c:pt idx="204">
                  <c:v>0.12168857741418902</c:v>
                </c:pt>
                <c:pt idx="205">
                  <c:v>0.12203697140798804</c:v>
                </c:pt>
                <c:pt idx="206">
                  <c:v>7.500370333759665E-2</c:v>
                </c:pt>
                <c:pt idx="207">
                  <c:v>0.14959188123478981</c:v>
                </c:pt>
                <c:pt idx="208">
                  <c:v>0.15948854194415257</c:v>
                </c:pt>
                <c:pt idx="209">
                  <c:v>7.5455630762462617E-2</c:v>
                </c:pt>
                <c:pt idx="210">
                  <c:v>7.1612094396019746E-2</c:v>
                </c:pt>
                <c:pt idx="211">
                  <c:v>7.1637782184937687E-2</c:v>
                </c:pt>
                <c:pt idx="212">
                  <c:v>7.1665421345435187E-2</c:v>
                </c:pt>
                <c:pt idx="213">
                  <c:v>7.1579952344121955E-2</c:v>
                </c:pt>
                <c:pt idx="214">
                  <c:v>7.16066432951072E-2</c:v>
                </c:pt>
                <c:pt idx="215">
                  <c:v>0.15075353481698731</c:v>
                </c:pt>
                <c:pt idx="216">
                  <c:v>9.9955487838296456E-2</c:v>
                </c:pt>
                <c:pt idx="217">
                  <c:v>7.7015780105529785E-2</c:v>
                </c:pt>
                <c:pt idx="218">
                  <c:v>7.3320008530068523E-2</c:v>
                </c:pt>
                <c:pt idx="219">
                  <c:v>7.5112476498031239E-2</c:v>
                </c:pt>
                <c:pt idx="220">
                  <c:v>9.0832285781752273E-2</c:v>
                </c:pt>
                <c:pt idx="221">
                  <c:v>8.3754350891095564E-2</c:v>
                </c:pt>
                <c:pt idx="222">
                  <c:v>0.15497395204797232</c:v>
                </c:pt>
                <c:pt idx="223">
                  <c:v>0.10508130847417951</c:v>
                </c:pt>
                <c:pt idx="224">
                  <c:v>0.15639304046201724</c:v>
                </c:pt>
                <c:pt idx="225">
                  <c:v>7.2090970940555069E-2</c:v>
                </c:pt>
                <c:pt idx="226">
                  <c:v>7.9730907125539513E-2</c:v>
                </c:pt>
                <c:pt idx="227">
                  <c:v>0.10585135385261336</c:v>
                </c:pt>
                <c:pt idx="228">
                  <c:v>0.10276179412920283</c:v>
                </c:pt>
                <c:pt idx="229">
                  <c:v>7.7559353764130617E-2</c:v>
                </c:pt>
                <c:pt idx="230">
                  <c:v>0.11681684392182652</c:v>
                </c:pt>
                <c:pt idx="231">
                  <c:v>0.14490089343537219</c:v>
                </c:pt>
                <c:pt idx="232">
                  <c:v>0.14069343842435364</c:v>
                </c:pt>
                <c:pt idx="233">
                  <c:v>7.5417023093657276E-2</c:v>
                </c:pt>
                <c:pt idx="234">
                  <c:v>7.3051653002359968E-2</c:v>
                </c:pt>
                <c:pt idx="235">
                  <c:v>8.8155600211722612E-2</c:v>
                </c:pt>
                <c:pt idx="236">
                  <c:v>0.14523341065100781</c:v>
                </c:pt>
                <c:pt idx="237">
                  <c:v>8.290624706725605E-2</c:v>
                </c:pt>
                <c:pt idx="238">
                  <c:v>7.1988153333439373E-2</c:v>
                </c:pt>
                <c:pt idx="239">
                  <c:v>7.165803558305521E-2</c:v>
                </c:pt>
                <c:pt idx="240">
                  <c:v>7.7477664333412216E-2</c:v>
                </c:pt>
                <c:pt idx="241">
                  <c:v>0.1415312553962951</c:v>
                </c:pt>
                <c:pt idx="242">
                  <c:v>0.15329285224850697</c:v>
                </c:pt>
                <c:pt idx="243">
                  <c:v>7.16544325721718E-2</c:v>
                </c:pt>
                <c:pt idx="244">
                  <c:v>7.1618037613544613E-2</c:v>
                </c:pt>
                <c:pt idx="245">
                  <c:v>7.5829237724550067E-2</c:v>
                </c:pt>
                <c:pt idx="246">
                  <c:v>8.0280472076831436E-2</c:v>
                </c:pt>
                <c:pt idx="247">
                  <c:v>0.13210606831372809</c:v>
                </c:pt>
                <c:pt idx="248">
                  <c:v>7.5293210424685397E-2</c:v>
                </c:pt>
                <c:pt idx="249">
                  <c:v>7.3571598899820498E-2</c:v>
                </c:pt>
                <c:pt idx="250">
                  <c:v>7.2759908346055974E-2</c:v>
                </c:pt>
                <c:pt idx="251">
                  <c:v>0.11329052186080435</c:v>
                </c:pt>
                <c:pt idx="252">
                  <c:v>8.0366994245152354E-2</c:v>
                </c:pt>
                <c:pt idx="253">
                  <c:v>0.13087620590679083</c:v>
                </c:pt>
                <c:pt idx="254">
                  <c:v>0.1210097738291073</c:v>
                </c:pt>
                <c:pt idx="255">
                  <c:v>7.656492773420745E-2</c:v>
                </c:pt>
                <c:pt idx="256">
                  <c:v>0.14247735658340216</c:v>
                </c:pt>
                <c:pt idx="257">
                  <c:v>7.9600564294958723E-2</c:v>
                </c:pt>
                <c:pt idx="258">
                  <c:v>7.348870640860683E-2</c:v>
                </c:pt>
                <c:pt idx="259">
                  <c:v>0.10391614714488068</c:v>
                </c:pt>
                <c:pt idx="260">
                  <c:v>0.11992078428085029</c:v>
                </c:pt>
                <c:pt idx="261">
                  <c:v>7.2492187253705875E-2</c:v>
                </c:pt>
                <c:pt idx="262">
                  <c:v>7.6460649581675297E-2</c:v>
                </c:pt>
                <c:pt idx="263">
                  <c:v>8.7137205280016145E-2</c:v>
                </c:pt>
                <c:pt idx="264">
                  <c:v>7.1901133286300517E-2</c:v>
                </c:pt>
                <c:pt idx="265">
                  <c:v>0.12169667198995521</c:v>
                </c:pt>
                <c:pt idx="266">
                  <c:v>0.13638079890486543</c:v>
                </c:pt>
                <c:pt idx="267">
                  <c:v>7.1558527746124867E-2</c:v>
                </c:pt>
                <c:pt idx="268">
                  <c:v>7.1598617563730579E-2</c:v>
                </c:pt>
                <c:pt idx="269">
                  <c:v>7.3286217874525064E-2</c:v>
                </c:pt>
                <c:pt idx="270">
                  <c:v>7.3397797084244251E-2</c:v>
                </c:pt>
                <c:pt idx="271">
                  <c:v>7.8301378752234557E-2</c:v>
                </c:pt>
                <c:pt idx="272">
                  <c:v>0.10869634246447621</c:v>
                </c:pt>
                <c:pt idx="273">
                  <c:v>9.5781335343128757E-2</c:v>
                </c:pt>
                <c:pt idx="274">
                  <c:v>0.1081142904824812</c:v>
                </c:pt>
                <c:pt idx="275">
                  <c:v>7.7467121928534707E-2</c:v>
                </c:pt>
                <c:pt idx="276">
                  <c:v>7.1554700225548093E-2</c:v>
                </c:pt>
                <c:pt idx="277">
                  <c:v>7.4423201639998146E-2</c:v>
                </c:pt>
                <c:pt idx="278">
                  <c:v>7.2167972425253621E-2</c:v>
                </c:pt>
                <c:pt idx="279">
                  <c:v>8.5398401307159796E-2</c:v>
                </c:pt>
                <c:pt idx="280">
                  <c:v>7.7284073387493893E-2</c:v>
                </c:pt>
                <c:pt idx="281">
                  <c:v>7.6266335448106973E-2</c:v>
                </c:pt>
                <c:pt idx="282">
                  <c:v>7.1568065626024052E-2</c:v>
                </c:pt>
                <c:pt idx="283">
                  <c:v>9.0814985471715653E-2</c:v>
                </c:pt>
                <c:pt idx="284">
                  <c:v>7.7159380296601396E-2</c:v>
                </c:pt>
                <c:pt idx="285">
                  <c:v>7.6951719113127273E-2</c:v>
                </c:pt>
                <c:pt idx="286">
                  <c:v>0.13483333480177204</c:v>
                </c:pt>
                <c:pt idx="287">
                  <c:v>0.15984468972114332</c:v>
                </c:pt>
                <c:pt idx="288">
                  <c:v>8.6556654275000589E-2</c:v>
                </c:pt>
                <c:pt idx="289">
                  <c:v>7.2768149781513414E-2</c:v>
                </c:pt>
                <c:pt idx="290">
                  <c:v>0.118826957194631</c:v>
                </c:pt>
                <c:pt idx="291">
                  <c:v>7.6285169517007159E-2</c:v>
                </c:pt>
                <c:pt idx="292">
                  <c:v>7.1556616481618332E-2</c:v>
                </c:pt>
                <c:pt idx="293">
                  <c:v>0.15209819934897204</c:v>
                </c:pt>
                <c:pt idx="294">
                  <c:v>7.5051764467052903E-2</c:v>
                </c:pt>
                <c:pt idx="295">
                  <c:v>0.13758223577360373</c:v>
                </c:pt>
                <c:pt idx="296">
                  <c:v>0.11109613224601737</c:v>
                </c:pt>
                <c:pt idx="297">
                  <c:v>7.5080447021182564E-2</c:v>
                </c:pt>
                <c:pt idx="298">
                  <c:v>7.2396492716369373E-2</c:v>
                </c:pt>
                <c:pt idx="299">
                  <c:v>9.182035969253588E-2</c:v>
                </c:pt>
                <c:pt idx="300">
                  <c:v>0.1497086733878179</c:v>
                </c:pt>
                <c:pt idx="301">
                  <c:v>7.2654376607838689E-2</c:v>
                </c:pt>
                <c:pt idx="302">
                  <c:v>0.13803006574350712</c:v>
                </c:pt>
                <c:pt idx="303">
                  <c:v>7.6602277079313066E-2</c:v>
                </c:pt>
                <c:pt idx="304">
                  <c:v>7.4412559593792019E-2</c:v>
                </c:pt>
                <c:pt idx="305">
                  <c:v>0.15519704390433448</c:v>
                </c:pt>
                <c:pt idx="306">
                  <c:v>8.1647320927056635E-2</c:v>
                </c:pt>
                <c:pt idx="307">
                  <c:v>0.12360251020040987</c:v>
                </c:pt>
                <c:pt idx="308">
                  <c:v>0.14538805749331618</c:v>
                </c:pt>
                <c:pt idx="309">
                  <c:v>7.696279687079452E-2</c:v>
                </c:pt>
                <c:pt idx="310">
                  <c:v>7.6680122341291332E-2</c:v>
                </c:pt>
                <c:pt idx="311">
                  <c:v>0.14707880998243203</c:v>
                </c:pt>
                <c:pt idx="312">
                  <c:v>7.4451646667592478E-2</c:v>
                </c:pt>
                <c:pt idx="313">
                  <c:v>7.3393249623663157E-2</c:v>
                </c:pt>
                <c:pt idx="314">
                  <c:v>7.9581567655070934E-2</c:v>
                </c:pt>
                <c:pt idx="315">
                  <c:v>0.10422705995811737</c:v>
                </c:pt>
                <c:pt idx="316">
                  <c:v>7.1759883401878721E-2</c:v>
                </c:pt>
                <c:pt idx="317">
                  <c:v>0.13867082948132567</c:v>
                </c:pt>
                <c:pt idx="318">
                  <c:v>8.1636235677968738E-2</c:v>
                </c:pt>
                <c:pt idx="319">
                  <c:v>0.13375714697770449</c:v>
                </c:pt>
                <c:pt idx="320">
                  <c:v>7.8994544851064552E-2</c:v>
                </c:pt>
                <c:pt idx="321">
                  <c:v>7.1554259564364953E-2</c:v>
                </c:pt>
                <c:pt idx="322">
                  <c:v>7.8327505738420358E-2</c:v>
                </c:pt>
                <c:pt idx="323">
                  <c:v>7.5123128744793682E-2</c:v>
                </c:pt>
                <c:pt idx="324">
                  <c:v>0.1038721433741896</c:v>
                </c:pt>
                <c:pt idx="325">
                  <c:v>7.2092320789379535E-2</c:v>
                </c:pt>
                <c:pt idx="326">
                  <c:v>9.5985511666088569E-2</c:v>
                </c:pt>
                <c:pt idx="327">
                  <c:v>9.7269247363893099E-2</c:v>
                </c:pt>
                <c:pt idx="328">
                  <c:v>7.2429579418099396E-2</c:v>
                </c:pt>
                <c:pt idx="329">
                  <c:v>7.2460513979215505E-2</c:v>
                </c:pt>
                <c:pt idx="330">
                  <c:v>9.7794503610491246E-2</c:v>
                </c:pt>
                <c:pt idx="331">
                  <c:v>0.12740097168656739</c:v>
                </c:pt>
                <c:pt idx="332">
                  <c:v>0.12369072985009016</c:v>
                </c:pt>
                <c:pt idx="333">
                  <c:v>0.14062008735090167</c:v>
                </c:pt>
                <c:pt idx="334">
                  <c:v>8.8268083868665484E-2</c:v>
                </c:pt>
                <c:pt idx="335">
                  <c:v>0.1470725527129198</c:v>
                </c:pt>
                <c:pt idx="336">
                  <c:v>7.1586019512592122E-2</c:v>
                </c:pt>
                <c:pt idx="337">
                  <c:v>9.8307036534632006E-2</c:v>
                </c:pt>
                <c:pt idx="338">
                  <c:v>0.15260692412948024</c:v>
                </c:pt>
                <c:pt idx="339">
                  <c:v>8.386190114104812E-2</c:v>
                </c:pt>
                <c:pt idx="340">
                  <c:v>7.5867885826330084E-2</c:v>
                </c:pt>
                <c:pt idx="341">
                  <c:v>0.12071640542138787</c:v>
                </c:pt>
                <c:pt idx="342">
                  <c:v>0.13757639612254385</c:v>
                </c:pt>
                <c:pt idx="343">
                  <c:v>0.12932494956734564</c:v>
                </c:pt>
                <c:pt idx="344">
                  <c:v>0.17446126438047815</c:v>
                </c:pt>
                <c:pt idx="345">
                  <c:v>9.0881318260082528E-2</c:v>
                </c:pt>
                <c:pt idx="346">
                  <c:v>0.16895432682037526</c:v>
                </c:pt>
                <c:pt idx="347">
                  <c:v>0.1070048848530788</c:v>
                </c:pt>
                <c:pt idx="348">
                  <c:v>0.10656881336353395</c:v>
                </c:pt>
                <c:pt idx="349">
                  <c:v>0.19548019340237549</c:v>
                </c:pt>
                <c:pt idx="350">
                  <c:v>9.9518276668429634E-2</c:v>
                </c:pt>
                <c:pt idx="351">
                  <c:v>0.19044424705164201</c:v>
                </c:pt>
                <c:pt idx="352">
                  <c:v>9.3328682073679226E-2</c:v>
                </c:pt>
                <c:pt idx="353">
                  <c:v>0.17537152141745146</c:v>
                </c:pt>
                <c:pt idx="354">
                  <c:v>0.17947784479684947</c:v>
                </c:pt>
                <c:pt idx="355">
                  <c:v>9.3289917899792116E-2</c:v>
                </c:pt>
                <c:pt idx="356">
                  <c:v>0.14876837046205008</c:v>
                </c:pt>
                <c:pt idx="357">
                  <c:v>0.19702508598440954</c:v>
                </c:pt>
                <c:pt idx="358">
                  <c:v>0.11959078731075554</c:v>
                </c:pt>
                <c:pt idx="359">
                  <c:v>0.18734350865148058</c:v>
                </c:pt>
                <c:pt idx="360">
                  <c:v>0.17182383889755043</c:v>
                </c:pt>
                <c:pt idx="361">
                  <c:v>0.13925090398110118</c:v>
                </c:pt>
                <c:pt idx="362">
                  <c:v>8.9607493179651998E-2</c:v>
                </c:pt>
                <c:pt idx="363">
                  <c:v>0.17114914215949034</c:v>
                </c:pt>
                <c:pt idx="364">
                  <c:v>0.1829617607691458</c:v>
                </c:pt>
                <c:pt idx="365">
                  <c:v>8.965984551023426E-2</c:v>
                </c:pt>
                <c:pt idx="366">
                  <c:v>0.17257438445428996</c:v>
                </c:pt>
                <c:pt idx="367">
                  <c:v>9.1740296583590425E-2</c:v>
                </c:pt>
                <c:pt idx="368">
                  <c:v>0.19349420091179584</c:v>
                </c:pt>
                <c:pt idx="369">
                  <c:v>0.19068698028019537</c:v>
                </c:pt>
                <c:pt idx="370">
                  <c:v>0.12662448412770178</c:v>
                </c:pt>
                <c:pt idx="371">
                  <c:v>0.16366933012176671</c:v>
                </c:pt>
                <c:pt idx="372">
                  <c:v>9.0164542982116583E-2</c:v>
                </c:pt>
                <c:pt idx="373">
                  <c:v>0.1943347199298778</c:v>
                </c:pt>
                <c:pt idx="374">
                  <c:v>0.10832530963811363</c:v>
                </c:pt>
                <c:pt idx="375">
                  <c:v>9.1928088366218255E-2</c:v>
                </c:pt>
                <c:pt idx="376">
                  <c:v>0.10467816931596625</c:v>
                </c:pt>
                <c:pt idx="377">
                  <c:v>0.11984193961498875</c:v>
                </c:pt>
                <c:pt idx="378">
                  <c:v>0.13996284072197795</c:v>
                </c:pt>
                <c:pt idx="379">
                  <c:v>9.1663807594637922E-2</c:v>
                </c:pt>
                <c:pt idx="380">
                  <c:v>0.1892392734395657</c:v>
                </c:pt>
                <c:pt idx="381">
                  <c:v>0.11358308266493466</c:v>
                </c:pt>
                <c:pt idx="382">
                  <c:v>8.995176511085827E-2</c:v>
                </c:pt>
                <c:pt idx="383">
                  <c:v>0.19253751983880465</c:v>
                </c:pt>
                <c:pt idx="384">
                  <c:v>0.15866230796464986</c:v>
                </c:pt>
                <c:pt idx="385">
                  <c:v>8.9841613665279388E-2</c:v>
                </c:pt>
                <c:pt idx="386">
                  <c:v>9.968710563083491E-2</c:v>
                </c:pt>
                <c:pt idx="387">
                  <c:v>9.846260475257132E-2</c:v>
                </c:pt>
                <c:pt idx="388">
                  <c:v>0.10842492919710496</c:v>
                </c:pt>
                <c:pt idx="389">
                  <c:v>0.1201925286177366</c:v>
                </c:pt>
                <c:pt idx="390">
                  <c:v>0.18269643358273147</c:v>
                </c:pt>
                <c:pt idx="391">
                  <c:v>0.19773709234852951</c:v>
                </c:pt>
                <c:pt idx="392">
                  <c:v>0.15109219389421941</c:v>
                </c:pt>
                <c:pt idx="393">
                  <c:v>0.14716287404618408</c:v>
                </c:pt>
                <c:pt idx="394">
                  <c:v>9.3636660639939459E-2</c:v>
                </c:pt>
                <c:pt idx="395">
                  <c:v>9.5302013753385914E-2</c:v>
                </c:pt>
                <c:pt idx="396">
                  <c:v>0.18192761397593191</c:v>
                </c:pt>
                <c:pt idx="397">
                  <c:v>0.13856203370296727</c:v>
                </c:pt>
                <c:pt idx="398">
                  <c:v>8.9541339144034421E-2</c:v>
                </c:pt>
                <c:pt idx="399">
                  <c:v>0.16972821361167342</c:v>
                </c:pt>
                <c:pt idx="400">
                  <c:v>0.11840838166158082</c:v>
                </c:pt>
                <c:pt idx="401">
                  <c:v>8.9766189767938265E-2</c:v>
                </c:pt>
                <c:pt idx="402">
                  <c:v>9.7678516159019541E-2</c:v>
                </c:pt>
                <c:pt idx="403">
                  <c:v>0.11659716204392948</c:v>
                </c:pt>
                <c:pt idx="404">
                  <c:v>0.11464626049634108</c:v>
                </c:pt>
                <c:pt idx="405">
                  <c:v>0.11338164611658932</c:v>
                </c:pt>
                <c:pt idx="406">
                  <c:v>0.11293275051312254</c:v>
                </c:pt>
                <c:pt idx="407">
                  <c:v>0.13277689162875111</c:v>
                </c:pt>
                <c:pt idx="408">
                  <c:v>9.4571120817674062E-2</c:v>
                </c:pt>
                <c:pt idx="409">
                  <c:v>9.1472647422934414E-2</c:v>
                </c:pt>
                <c:pt idx="410">
                  <c:v>8.9449453202819496E-2</c:v>
                </c:pt>
                <c:pt idx="411">
                  <c:v>8.9447220989037041E-2</c:v>
                </c:pt>
                <c:pt idx="412">
                  <c:v>0.1721883786220606</c:v>
                </c:pt>
                <c:pt idx="413">
                  <c:v>0.15205400874466679</c:v>
                </c:pt>
                <c:pt idx="414">
                  <c:v>9.0862004406795635E-2</c:v>
                </c:pt>
                <c:pt idx="415">
                  <c:v>0.14163874823921568</c:v>
                </c:pt>
                <c:pt idx="416">
                  <c:v>0.1455143974123696</c:v>
                </c:pt>
                <c:pt idx="417">
                  <c:v>0.19277029419570102</c:v>
                </c:pt>
                <c:pt idx="418">
                  <c:v>0.12130355826365408</c:v>
                </c:pt>
                <c:pt idx="419">
                  <c:v>0.16558323027146418</c:v>
                </c:pt>
                <c:pt idx="420">
                  <c:v>9.0352695885770995E-2</c:v>
                </c:pt>
                <c:pt idx="421">
                  <c:v>0.10717854220231252</c:v>
                </c:pt>
                <c:pt idx="422">
                  <c:v>9.319441774321488E-2</c:v>
                </c:pt>
                <c:pt idx="423">
                  <c:v>0.16027499160773806</c:v>
                </c:pt>
                <c:pt idx="424">
                  <c:v>0.10081132044253921</c:v>
                </c:pt>
                <c:pt idx="425">
                  <c:v>9.5439249245199101E-2</c:v>
                </c:pt>
                <c:pt idx="426">
                  <c:v>9.0309588594174192E-2</c:v>
                </c:pt>
                <c:pt idx="427">
                  <c:v>9.9365983358906049E-2</c:v>
                </c:pt>
                <c:pt idx="428">
                  <c:v>0.16608838332357137</c:v>
                </c:pt>
                <c:pt idx="429">
                  <c:v>0.13539499430784074</c:v>
                </c:pt>
                <c:pt idx="430">
                  <c:v>0.13344759577881327</c:v>
                </c:pt>
                <c:pt idx="431">
                  <c:v>9.2180483597448112E-2</c:v>
                </c:pt>
                <c:pt idx="432">
                  <c:v>9.0932252573622627E-2</c:v>
                </c:pt>
                <c:pt idx="433">
                  <c:v>0.10145299723057122</c:v>
                </c:pt>
                <c:pt idx="434">
                  <c:v>9.4050717622371605E-2</c:v>
                </c:pt>
                <c:pt idx="435">
                  <c:v>0.15314220661503106</c:v>
                </c:pt>
                <c:pt idx="436">
                  <c:v>0.18882209814584378</c:v>
                </c:pt>
                <c:pt idx="437">
                  <c:v>0.10808329131206375</c:v>
                </c:pt>
                <c:pt idx="438">
                  <c:v>0.11202692643186815</c:v>
                </c:pt>
                <c:pt idx="439">
                  <c:v>0.19101303681861206</c:v>
                </c:pt>
                <c:pt idx="440">
                  <c:v>0.16577978185848413</c:v>
                </c:pt>
                <c:pt idx="441">
                  <c:v>9.9170669494995964E-2</c:v>
                </c:pt>
                <c:pt idx="442">
                  <c:v>8.9448188844634444E-2</c:v>
                </c:pt>
                <c:pt idx="443">
                  <c:v>0.15957847399357838</c:v>
                </c:pt>
                <c:pt idx="444">
                  <c:v>0.16601889924223412</c:v>
                </c:pt>
                <c:pt idx="445">
                  <c:v>0.18694823496184171</c:v>
                </c:pt>
                <c:pt idx="446">
                  <c:v>0.12576762431307079</c:v>
                </c:pt>
                <c:pt idx="447">
                  <c:v>0.17501821795991193</c:v>
                </c:pt>
                <c:pt idx="448">
                  <c:v>9.6878482422862941E-2</c:v>
                </c:pt>
                <c:pt idx="449">
                  <c:v>8.9448318562054055E-2</c:v>
                </c:pt>
                <c:pt idx="450">
                  <c:v>9.1402197363280493E-2</c:v>
                </c:pt>
                <c:pt idx="451">
                  <c:v>9.0436499360203967E-2</c:v>
                </c:pt>
                <c:pt idx="452">
                  <c:v>0.15434828294855027</c:v>
                </c:pt>
                <c:pt idx="453">
                  <c:v>9.0244367983048301E-2</c:v>
                </c:pt>
                <c:pt idx="454">
                  <c:v>0.12145125925403977</c:v>
                </c:pt>
                <c:pt idx="455">
                  <c:v>0.11755365849202511</c:v>
                </c:pt>
                <c:pt idx="456">
                  <c:v>8.9528589929494168E-2</c:v>
                </c:pt>
                <c:pt idx="457">
                  <c:v>9.030598557082975E-2</c:v>
                </c:pt>
                <c:pt idx="458">
                  <c:v>0.1119140401965249</c:v>
                </c:pt>
                <c:pt idx="459">
                  <c:v>9.2448867972315968E-2</c:v>
                </c:pt>
                <c:pt idx="460">
                  <c:v>0.15773819350947915</c:v>
                </c:pt>
                <c:pt idx="461">
                  <c:v>0.16951838918125051</c:v>
                </c:pt>
                <c:pt idx="462">
                  <c:v>0.16912552740294035</c:v>
                </c:pt>
                <c:pt idx="463">
                  <c:v>0.19685173664553068</c:v>
                </c:pt>
                <c:pt idx="464">
                  <c:v>9.2498731266226833E-2</c:v>
                </c:pt>
                <c:pt idx="465">
                  <c:v>9.0277230603334938E-2</c:v>
                </c:pt>
                <c:pt idx="466">
                  <c:v>9.9780364353391923E-2</c:v>
                </c:pt>
                <c:pt idx="467">
                  <c:v>0.10130246265278042</c:v>
                </c:pt>
                <c:pt idx="468">
                  <c:v>0.13459678305421074</c:v>
                </c:pt>
                <c:pt idx="469">
                  <c:v>9.0934353125472295E-2</c:v>
                </c:pt>
                <c:pt idx="470">
                  <c:v>0.11425529246675055</c:v>
                </c:pt>
                <c:pt idx="471">
                  <c:v>0.16346026431366201</c:v>
                </c:pt>
                <c:pt idx="472">
                  <c:v>0.11542616800829093</c:v>
                </c:pt>
                <c:pt idx="473">
                  <c:v>9.986516729360978E-2</c:v>
                </c:pt>
                <c:pt idx="474">
                  <c:v>9.5985397079583812E-2</c:v>
                </c:pt>
                <c:pt idx="475">
                  <c:v>0.13173682745083398</c:v>
                </c:pt>
                <c:pt idx="476">
                  <c:v>0.14394141771874222</c:v>
                </c:pt>
                <c:pt idx="477">
                  <c:v>9.3986635011882896E-2</c:v>
                </c:pt>
                <c:pt idx="478">
                  <c:v>0.149900118052536</c:v>
                </c:pt>
                <c:pt idx="479">
                  <c:v>0.15109020750141744</c:v>
                </c:pt>
                <c:pt idx="480">
                  <c:v>0.16315399279721027</c:v>
                </c:pt>
                <c:pt idx="481">
                  <c:v>0.10795428274818979</c:v>
                </c:pt>
                <c:pt idx="482">
                  <c:v>8.9901089066514381E-2</c:v>
                </c:pt>
                <c:pt idx="483">
                  <c:v>8.9443249443483752E-2</c:v>
                </c:pt>
                <c:pt idx="484">
                  <c:v>8.9482390194516162E-2</c:v>
                </c:pt>
                <c:pt idx="485">
                  <c:v>0.1773829838221764</c:v>
                </c:pt>
                <c:pt idx="486">
                  <c:v>0.11365857932597956</c:v>
                </c:pt>
                <c:pt idx="487">
                  <c:v>0.1124363926205726</c:v>
                </c:pt>
                <c:pt idx="488">
                  <c:v>0.14198930467467039</c:v>
                </c:pt>
                <c:pt idx="489">
                  <c:v>0.11917950149029911</c:v>
                </c:pt>
                <c:pt idx="490">
                  <c:v>0.17209974858735586</c:v>
                </c:pt>
                <c:pt idx="491">
                  <c:v>9.4738444434465718E-2</c:v>
                </c:pt>
                <c:pt idx="492">
                  <c:v>0.13419205054520519</c:v>
                </c:pt>
                <c:pt idx="493">
                  <c:v>9.1727455507105468E-2</c:v>
                </c:pt>
                <c:pt idx="494">
                  <c:v>0.16974582003945185</c:v>
                </c:pt>
                <c:pt idx="495">
                  <c:v>0.10943343290838754</c:v>
                </c:pt>
                <c:pt idx="496">
                  <c:v>0.13644034522443252</c:v>
                </c:pt>
                <c:pt idx="497">
                  <c:v>0.19843428173669214</c:v>
                </c:pt>
                <c:pt idx="498">
                  <c:v>0.10122704374159724</c:v>
                </c:pt>
                <c:pt idx="499">
                  <c:v>8.9878526969971229E-2</c:v>
                </c:pt>
                <c:pt idx="500">
                  <c:v>0.19868214687509422</c:v>
                </c:pt>
                <c:pt idx="501">
                  <c:v>9.0249435614173729E-2</c:v>
                </c:pt>
                <c:pt idx="502">
                  <c:v>0.12003960108430009</c:v>
                </c:pt>
                <c:pt idx="503">
                  <c:v>9.0816311315025752E-2</c:v>
                </c:pt>
                <c:pt idx="504">
                  <c:v>9.2090099546140586E-2</c:v>
                </c:pt>
                <c:pt idx="505">
                  <c:v>0.15155387744203996</c:v>
                </c:pt>
                <c:pt idx="506">
                  <c:v>0.10054784721849355</c:v>
                </c:pt>
                <c:pt idx="507">
                  <c:v>8.9931030933825082E-2</c:v>
                </c:pt>
                <c:pt idx="508">
                  <c:v>9.2152076586639875E-2</c:v>
                </c:pt>
                <c:pt idx="509">
                  <c:v>0.17816718141032448</c:v>
                </c:pt>
                <c:pt idx="510">
                  <c:v>0.1551881760191024</c:v>
                </c:pt>
                <c:pt idx="511">
                  <c:v>0.13952423125274957</c:v>
                </c:pt>
                <c:pt idx="512">
                  <c:v>0.13771672299485416</c:v>
                </c:pt>
                <c:pt idx="513">
                  <c:v>0.1603024762683862</c:v>
                </c:pt>
                <c:pt idx="514">
                  <c:v>0.12715270938070622</c:v>
                </c:pt>
                <c:pt idx="515">
                  <c:v>0.1865403502848467</c:v>
                </c:pt>
                <c:pt idx="516">
                  <c:v>0.10780508309857739</c:v>
                </c:pt>
                <c:pt idx="517">
                  <c:v>9.2547069333843129E-2</c:v>
                </c:pt>
                <c:pt idx="518">
                  <c:v>0.11392413010744601</c:v>
                </c:pt>
                <c:pt idx="519">
                  <c:v>9.1976566637523974E-2</c:v>
                </c:pt>
                <c:pt idx="520">
                  <c:v>0.1877039676375177</c:v>
                </c:pt>
                <c:pt idx="521">
                  <c:v>0.13120923286971245</c:v>
                </c:pt>
                <c:pt idx="522">
                  <c:v>0.13282360703406582</c:v>
                </c:pt>
                <c:pt idx="523">
                  <c:v>0.14341552689400963</c:v>
                </c:pt>
                <c:pt idx="524">
                  <c:v>9.7660141286882315E-2</c:v>
                </c:pt>
                <c:pt idx="525">
                  <c:v>0.1339299449743232</c:v>
                </c:pt>
                <c:pt idx="526">
                  <c:v>0.13891818811995454</c:v>
                </c:pt>
                <c:pt idx="527">
                  <c:v>0.16553574580581654</c:v>
                </c:pt>
                <c:pt idx="528">
                  <c:v>0.15846868735939773</c:v>
                </c:pt>
                <c:pt idx="529">
                  <c:v>9.8341220493230658E-2</c:v>
                </c:pt>
                <c:pt idx="530">
                  <c:v>9.0003456405276017E-2</c:v>
                </c:pt>
                <c:pt idx="531">
                  <c:v>0.19657300329509028</c:v>
                </c:pt>
                <c:pt idx="532">
                  <c:v>9.2053074668044438E-2</c:v>
                </c:pt>
                <c:pt idx="533">
                  <c:v>0.10903174500954346</c:v>
                </c:pt>
                <c:pt idx="534">
                  <c:v>0.12810988815870916</c:v>
                </c:pt>
                <c:pt idx="535">
                  <c:v>0.10204458304132552</c:v>
                </c:pt>
                <c:pt idx="536">
                  <c:v>9.1050461401211563E-2</c:v>
                </c:pt>
                <c:pt idx="537">
                  <c:v>0.1034340385965497</c:v>
                </c:pt>
                <c:pt idx="538">
                  <c:v>0.10265552339246642</c:v>
                </c:pt>
                <c:pt idx="539">
                  <c:v>0.10259770831463955</c:v>
                </c:pt>
                <c:pt idx="540">
                  <c:v>0.11304587859921857</c:v>
                </c:pt>
                <c:pt idx="541">
                  <c:v>0.16617892723591435</c:v>
                </c:pt>
                <c:pt idx="542">
                  <c:v>0.10102153467955945</c:v>
                </c:pt>
                <c:pt idx="543">
                  <c:v>0.12839156151340411</c:v>
                </c:pt>
                <c:pt idx="544">
                  <c:v>0.18927403832622156</c:v>
                </c:pt>
                <c:pt idx="545">
                  <c:v>0.17586662337201833</c:v>
                </c:pt>
                <c:pt idx="546">
                  <c:v>9.118945646822009E-2</c:v>
                </c:pt>
                <c:pt idx="547">
                  <c:v>0.10687765520076351</c:v>
                </c:pt>
                <c:pt idx="548">
                  <c:v>0.16760420042758958</c:v>
                </c:pt>
                <c:pt idx="549">
                  <c:v>9.355016742599169E-2</c:v>
                </c:pt>
                <c:pt idx="550">
                  <c:v>9.1007097060831849E-2</c:v>
                </c:pt>
                <c:pt idx="551">
                  <c:v>0.17025680671888921</c:v>
                </c:pt>
                <c:pt idx="552">
                  <c:v>0.19664495077849078</c:v>
                </c:pt>
                <c:pt idx="553">
                  <c:v>0.16982378633581655</c:v>
                </c:pt>
                <c:pt idx="554">
                  <c:v>8.9617446075924104E-2</c:v>
                </c:pt>
                <c:pt idx="555">
                  <c:v>9.3078060887414812E-2</c:v>
                </c:pt>
                <c:pt idx="556">
                  <c:v>0.10648641924556136</c:v>
                </c:pt>
                <c:pt idx="557">
                  <c:v>0.15345104262032211</c:v>
                </c:pt>
                <c:pt idx="558">
                  <c:v>9.2242613257679795E-2</c:v>
                </c:pt>
                <c:pt idx="559">
                  <c:v>9.7332966785011812E-2</c:v>
                </c:pt>
                <c:pt idx="560">
                  <c:v>0.11370884566766865</c:v>
                </c:pt>
                <c:pt idx="561">
                  <c:v>0.18494303408620605</c:v>
                </c:pt>
                <c:pt idx="562">
                  <c:v>0.14817893192177825</c:v>
                </c:pt>
                <c:pt idx="563">
                  <c:v>0.10566611710103185</c:v>
                </c:pt>
                <c:pt idx="564">
                  <c:v>9.8057198241274068E-2</c:v>
                </c:pt>
                <c:pt idx="565">
                  <c:v>9.5178327663551388E-2</c:v>
                </c:pt>
                <c:pt idx="566">
                  <c:v>9.4210574215457241E-2</c:v>
                </c:pt>
                <c:pt idx="567">
                  <c:v>0.12380056240076308</c:v>
                </c:pt>
                <c:pt idx="568">
                  <c:v>0.10009786618535048</c:v>
                </c:pt>
                <c:pt idx="569">
                  <c:v>9.6497918597954258E-2</c:v>
                </c:pt>
                <c:pt idx="570">
                  <c:v>9.339527391736141E-2</c:v>
                </c:pt>
                <c:pt idx="571">
                  <c:v>0.10007672572753386</c:v>
                </c:pt>
                <c:pt idx="572">
                  <c:v>9.1375516941115453E-2</c:v>
                </c:pt>
                <c:pt idx="573">
                  <c:v>0.168536411434002</c:v>
                </c:pt>
                <c:pt idx="574">
                  <c:v>8.9446815236540855E-2</c:v>
                </c:pt>
                <c:pt idx="575">
                  <c:v>0.14828585128420191</c:v>
                </c:pt>
                <c:pt idx="576">
                  <c:v>9.4112181404716194E-2</c:v>
                </c:pt>
                <c:pt idx="577">
                  <c:v>8.9766729769148887E-2</c:v>
                </c:pt>
                <c:pt idx="578">
                  <c:v>0.17409854756993229</c:v>
                </c:pt>
                <c:pt idx="579">
                  <c:v>0.11529954794338174</c:v>
                </c:pt>
                <c:pt idx="580">
                  <c:v>9.2917124239460566E-2</c:v>
                </c:pt>
                <c:pt idx="581">
                  <c:v>0.17348657314833402</c:v>
                </c:pt>
                <c:pt idx="582">
                  <c:v>0.14633647989192181</c:v>
                </c:pt>
                <c:pt idx="583">
                  <c:v>8.9461650319500305E-2</c:v>
                </c:pt>
                <c:pt idx="584">
                  <c:v>0.19431614938730085</c:v>
                </c:pt>
                <c:pt idx="585">
                  <c:v>0.1684459881226561</c:v>
                </c:pt>
                <c:pt idx="586">
                  <c:v>9.0994772817022437E-2</c:v>
                </c:pt>
                <c:pt idx="587">
                  <c:v>9.0780522820759546E-2</c:v>
                </c:pt>
                <c:pt idx="588">
                  <c:v>0.17159929300879592</c:v>
                </c:pt>
                <c:pt idx="589">
                  <c:v>9.7512742725975127E-2</c:v>
                </c:pt>
                <c:pt idx="590">
                  <c:v>9.3141023567455086E-2</c:v>
                </c:pt>
                <c:pt idx="591">
                  <c:v>0.11972032334138408</c:v>
                </c:pt>
                <c:pt idx="592">
                  <c:v>8.9832718143194851E-2</c:v>
                </c:pt>
                <c:pt idx="593">
                  <c:v>0.13419325060209208</c:v>
                </c:pt>
                <c:pt idx="594">
                  <c:v>0.1793784623555621</c:v>
                </c:pt>
                <c:pt idx="595">
                  <c:v>0.10063416167837318</c:v>
                </c:pt>
                <c:pt idx="596">
                  <c:v>8.9785325749582839E-2</c:v>
                </c:pt>
                <c:pt idx="597">
                  <c:v>0.10449938944613946</c:v>
                </c:pt>
                <c:pt idx="598">
                  <c:v>0.13722999219987381</c:v>
                </c:pt>
                <c:pt idx="599">
                  <c:v>0.10414309020040342</c:v>
                </c:pt>
                <c:pt idx="600">
                  <c:v>0.11599839528917717</c:v>
                </c:pt>
                <c:pt idx="601">
                  <c:v>0.11811979340743126</c:v>
                </c:pt>
                <c:pt idx="602">
                  <c:v>9.034112780563118E-2</c:v>
                </c:pt>
                <c:pt idx="603">
                  <c:v>0.13159593242669987</c:v>
                </c:pt>
                <c:pt idx="604">
                  <c:v>0.13887057999033645</c:v>
                </c:pt>
                <c:pt idx="605">
                  <c:v>0.12556415468665069</c:v>
                </c:pt>
                <c:pt idx="606">
                  <c:v>0.14965619287905246</c:v>
                </c:pt>
                <c:pt idx="607">
                  <c:v>0.1510458875912678</c:v>
                </c:pt>
                <c:pt idx="608">
                  <c:v>9.1972786359095476E-2</c:v>
                </c:pt>
                <c:pt idx="609">
                  <c:v>0.1041918875467366</c:v>
                </c:pt>
                <c:pt idx="610">
                  <c:v>9.1778266576452161E-2</c:v>
                </c:pt>
                <c:pt idx="611">
                  <c:v>9.1243423273755064E-2</c:v>
                </c:pt>
                <c:pt idx="612">
                  <c:v>0.16822632126492604</c:v>
                </c:pt>
                <c:pt idx="613">
                  <c:v>9.0858098002710816E-2</c:v>
                </c:pt>
                <c:pt idx="614">
                  <c:v>0.15051946565270125</c:v>
                </c:pt>
                <c:pt idx="615">
                  <c:v>0.10929861629904028</c:v>
                </c:pt>
                <c:pt idx="616">
                  <c:v>8.9884730185731662E-2</c:v>
                </c:pt>
                <c:pt idx="617">
                  <c:v>0.19612116255425985</c:v>
                </c:pt>
                <c:pt idx="618">
                  <c:v>0.11275542575678313</c:v>
                </c:pt>
                <c:pt idx="619">
                  <c:v>9.0462044506481029E-2</c:v>
                </c:pt>
                <c:pt idx="620">
                  <c:v>8.9755242983529299E-2</c:v>
                </c:pt>
                <c:pt idx="621">
                  <c:v>9.3956284277135108E-2</c:v>
                </c:pt>
                <c:pt idx="622">
                  <c:v>9.3940582065399694E-2</c:v>
                </c:pt>
                <c:pt idx="623">
                  <c:v>0.18158183638507563</c:v>
                </c:pt>
                <c:pt idx="624">
                  <c:v>9.8274572460177262E-2</c:v>
                </c:pt>
                <c:pt idx="625">
                  <c:v>9.5029214317614491E-2</c:v>
                </c:pt>
                <c:pt idx="626">
                  <c:v>8.9521557689652531E-2</c:v>
                </c:pt>
                <c:pt idx="627">
                  <c:v>0.16037743081413619</c:v>
                </c:pt>
                <c:pt idx="628">
                  <c:v>8.9609896591691496E-2</c:v>
                </c:pt>
                <c:pt idx="629">
                  <c:v>9.124747112050946E-2</c:v>
                </c:pt>
                <c:pt idx="630">
                  <c:v>0.13152995254102848</c:v>
                </c:pt>
                <c:pt idx="631">
                  <c:v>9.2487051181400867E-2</c:v>
                </c:pt>
                <c:pt idx="632">
                  <c:v>0.12185850520637</c:v>
                </c:pt>
                <c:pt idx="633">
                  <c:v>0.17711027401989696</c:v>
                </c:pt>
                <c:pt idx="634">
                  <c:v>9.5379364512656412E-2</c:v>
                </c:pt>
                <c:pt idx="635">
                  <c:v>0.1396694129290216</c:v>
                </c:pt>
                <c:pt idx="636">
                  <c:v>0.19960594823457437</c:v>
                </c:pt>
                <c:pt idx="637">
                  <c:v>8.9834834183933204E-2</c:v>
                </c:pt>
                <c:pt idx="638">
                  <c:v>0.19554026719599071</c:v>
                </c:pt>
                <c:pt idx="639">
                  <c:v>0.15907890499012489</c:v>
                </c:pt>
                <c:pt idx="640">
                  <c:v>0.12454159279071143</c:v>
                </c:pt>
                <c:pt idx="641">
                  <c:v>0.1425424359274769</c:v>
                </c:pt>
                <c:pt idx="642">
                  <c:v>9.6202184349107614E-2</c:v>
                </c:pt>
                <c:pt idx="643">
                  <c:v>0.10845548906702775</c:v>
                </c:pt>
                <c:pt idx="644">
                  <c:v>0.12666236971862052</c:v>
                </c:pt>
                <c:pt idx="645">
                  <c:v>0.16634871841713506</c:v>
                </c:pt>
                <c:pt idx="646">
                  <c:v>0.17182954816817203</c:v>
                </c:pt>
                <c:pt idx="647">
                  <c:v>0.11662418478852515</c:v>
                </c:pt>
                <c:pt idx="648">
                  <c:v>0.10682164182364533</c:v>
                </c:pt>
                <c:pt idx="649">
                  <c:v>0.12996516960192092</c:v>
                </c:pt>
                <c:pt idx="650">
                  <c:v>0.17631465296865112</c:v>
                </c:pt>
                <c:pt idx="651">
                  <c:v>9.4628637513278491E-2</c:v>
                </c:pt>
                <c:pt idx="652">
                  <c:v>0.12878053472698656</c:v>
                </c:pt>
                <c:pt idx="653">
                  <c:v>8.9627064136547183E-2</c:v>
                </c:pt>
                <c:pt idx="654">
                  <c:v>9.40811449659604E-2</c:v>
                </c:pt>
                <c:pt idx="655">
                  <c:v>0.18896829854132827</c:v>
                </c:pt>
                <c:pt idx="656">
                  <c:v>0.10956121889572511</c:v>
                </c:pt>
                <c:pt idx="657">
                  <c:v>0.19311205261793526</c:v>
                </c:pt>
                <c:pt idx="658">
                  <c:v>9.670320389768583E-2</c:v>
                </c:pt>
                <c:pt idx="659">
                  <c:v>0.19521616437479683</c:v>
                </c:pt>
                <c:pt idx="660">
                  <c:v>0.15176466554068954</c:v>
                </c:pt>
                <c:pt idx="661">
                  <c:v>0.11963139683015564</c:v>
                </c:pt>
                <c:pt idx="662">
                  <c:v>8.9610960193406447E-2</c:v>
                </c:pt>
                <c:pt idx="663">
                  <c:v>0.15430845998303383</c:v>
                </c:pt>
                <c:pt idx="664">
                  <c:v>0.10233002909885738</c:v>
                </c:pt>
                <c:pt idx="665">
                  <c:v>9.1396916892463556E-2</c:v>
                </c:pt>
                <c:pt idx="666">
                  <c:v>0.14942057571646639</c:v>
                </c:pt>
              </c:numCache>
            </c:numRef>
          </c:xVal>
          <c:yVal>
            <c:numRef>
              <c:f>'Copy of Sheet1'!$C$2:$C$800</c:f>
              <c:numCache>
                <c:formatCode>General</c:formatCode>
                <c:ptCount val="799"/>
                <c:pt idx="0">
                  <c:v>0.10132001744339697</c:v>
                </c:pt>
                <c:pt idx="1">
                  <c:v>4.9416703299988714E-2</c:v>
                </c:pt>
                <c:pt idx="2">
                  <c:v>0.13956092871802411</c:v>
                </c:pt>
                <c:pt idx="3">
                  <c:v>8.9711319321982563E-2</c:v>
                </c:pt>
                <c:pt idx="4">
                  <c:v>0.15103646146181637</c:v>
                </c:pt>
                <c:pt idx="5">
                  <c:v>0.15808370050191597</c:v>
                </c:pt>
                <c:pt idx="6">
                  <c:v>1.0546894459007349E-2</c:v>
                </c:pt>
                <c:pt idx="7">
                  <c:v>0.13450146007071537</c:v>
                </c:pt>
                <c:pt idx="8">
                  <c:v>5.9687008425408139E-2</c:v>
                </c:pt>
                <c:pt idx="9">
                  <c:v>7.5672151682818295E-2</c:v>
                </c:pt>
                <c:pt idx="10">
                  <c:v>8.2795139764211184E-2</c:v>
                </c:pt>
                <c:pt idx="11">
                  <c:v>0.14978588531558018</c:v>
                </c:pt>
                <c:pt idx="12">
                  <c:v>0.10453484809750309</c:v>
                </c:pt>
                <c:pt idx="13">
                  <c:v>5.6886218694558656E-2</c:v>
                </c:pt>
                <c:pt idx="14">
                  <c:v>3.9031184712361458E-2</c:v>
                </c:pt>
                <c:pt idx="15">
                  <c:v>1.9630338156932752E-2</c:v>
                </c:pt>
                <c:pt idx="16">
                  <c:v>5.1844459815262534E-2</c:v>
                </c:pt>
                <c:pt idx="17">
                  <c:v>0.12984599663199714</c:v>
                </c:pt>
                <c:pt idx="18">
                  <c:v>0.15438610972402406</c:v>
                </c:pt>
                <c:pt idx="19">
                  <c:v>1.0480265658495752E-2</c:v>
                </c:pt>
                <c:pt idx="20">
                  <c:v>0.15464758774388024</c:v>
                </c:pt>
                <c:pt idx="21">
                  <c:v>2.6114887295212455E-2</c:v>
                </c:pt>
                <c:pt idx="22">
                  <c:v>5.2140736040596762E-2</c:v>
                </c:pt>
                <c:pt idx="23">
                  <c:v>0.11336451833237569</c:v>
                </c:pt>
                <c:pt idx="24">
                  <c:v>4.5039291361044793E-2</c:v>
                </c:pt>
                <c:pt idx="25">
                  <c:v>2.5292148611774555E-2</c:v>
                </c:pt>
                <c:pt idx="26">
                  <c:v>7.6162396670174645E-2</c:v>
                </c:pt>
                <c:pt idx="27">
                  <c:v>7.7886465199853025E-2</c:v>
                </c:pt>
                <c:pt idx="28">
                  <c:v>1.8672521780885819E-2</c:v>
                </c:pt>
                <c:pt idx="29">
                  <c:v>6.9278688539432406E-2</c:v>
                </c:pt>
                <c:pt idx="30">
                  <c:v>0.15038224219521473</c:v>
                </c:pt>
                <c:pt idx="31">
                  <c:v>3.1114818808327064E-2</c:v>
                </c:pt>
                <c:pt idx="32">
                  <c:v>3.3891922024971745E-2</c:v>
                </c:pt>
                <c:pt idx="33">
                  <c:v>9.0558706081311863E-2</c:v>
                </c:pt>
                <c:pt idx="34">
                  <c:v>0.13276745551040181</c:v>
                </c:pt>
                <c:pt idx="35">
                  <c:v>3.88387579878606E-2</c:v>
                </c:pt>
                <c:pt idx="36">
                  <c:v>0.14751131622906286</c:v>
                </c:pt>
                <c:pt idx="37">
                  <c:v>7.4103560095602872E-2</c:v>
                </c:pt>
                <c:pt idx="38">
                  <c:v>0.1108595782585873</c:v>
                </c:pt>
                <c:pt idx="39">
                  <c:v>4.8523075318573312E-2</c:v>
                </c:pt>
                <c:pt idx="40">
                  <c:v>0.12398269265312975</c:v>
                </c:pt>
                <c:pt idx="41">
                  <c:v>9.992957412945988E-2</c:v>
                </c:pt>
                <c:pt idx="42">
                  <c:v>0.10880438832133746</c:v>
                </c:pt>
                <c:pt idx="43">
                  <c:v>0.12169363755340293</c:v>
                </c:pt>
                <c:pt idx="44">
                  <c:v>0.11918986847882007</c:v>
                </c:pt>
                <c:pt idx="45">
                  <c:v>9.6729043660084668E-2</c:v>
                </c:pt>
                <c:pt idx="46">
                  <c:v>1.5680680848100766E-2</c:v>
                </c:pt>
                <c:pt idx="47">
                  <c:v>3.6412356281844388E-2</c:v>
                </c:pt>
                <c:pt idx="48">
                  <c:v>0.13038652087520319</c:v>
                </c:pt>
                <c:pt idx="49">
                  <c:v>0.12135247133962575</c:v>
                </c:pt>
                <c:pt idx="50">
                  <c:v>0.12410709727946435</c:v>
                </c:pt>
                <c:pt idx="51">
                  <c:v>2.0634228615036464E-2</c:v>
                </c:pt>
                <c:pt idx="52">
                  <c:v>9.3392648211028592E-3</c:v>
                </c:pt>
                <c:pt idx="53">
                  <c:v>0.11523217936924152</c:v>
                </c:pt>
                <c:pt idx="54">
                  <c:v>8.002557045243161E-2</c:v>
                </c:pt>
                <c:pt idx="55">
                  <c:v>0.15072734566660986</c:v>
                </c:pt>
                <c:pt idx="56">
                  <c:v>0.11170298463701224</c:v>
                </c:pt>
                <c:pt idx="57">
                  <c:v>6.728000712850335E-2</c:v>
                </c:pt>
                <c:pt idx="58">
                  <c:v>0.10791606160002271</c:v>
                </c:pt>
                <c:pt idx="59">
                  <c:v>0.11647209564660384</c:v>
                </c:pt>
                <c:pt idx="60">
                  <c:v>1.5077395476277004E-2</c:v>
                </c:pt>
                <c:pt idx="61">
                  <c:v>0.11025891658639352</c:v>
                </c:pt>
                <c:pt idx="62">
                  <c:v>1.3260831529557598E-2</c:v>
                </c:pt>
                <c:pt idx="63">
                  <c:v>0.13447397561502977</c:v>
                </c:pt>
                <c:pt idx="64">
                  <c:v>4.0382190356865771E-2</c:v>
                </c:pt>
                <c:pt idx="65">
                  <c:v>0.12102643721882012</c:v>
                </c:pt>
                <c:pt idx="66">
                  <c:v>3.0023933120582127E-2</c:v>
                </c:pt>
                <c:pt idx="67">
                  <c:v>0.15915974976051053</c:v>
                </c:pt>
                <c:pt idx="68">
                  <c:v>2.2762914802378305E-2</c:v>
                </c:pt>
                <c:pt idx="69">
                  <c:v>0.1180207535908277</c:v>
                </c:pt>
                <c:pt idx="70">
                  <c:v>5.0359261504904856E-2</c:v>
                </c:pt>
                <c:pt idx="71">
                  <c:v>0.11187941358228314</c:v>
                </c:pt>
                <c:pt idx="72">
                  <c:v>0.1592718318896465</c:v>
                </c:pt>
                <c:pt idx="73">
                  <c:v>0.15311948133414208</c:v>
                </c:pt>
                <c:pt idx="74">
                  <c:v>0.14048670690943466</c:v>
                </c:pt>
                <c:pt idx="75">
                  <c:v>3.9960100081826412E-2</c:v>
                </c:pt>
                <c:pt idx="76">
                  <c:v>8.8321371024291037E-2</c:v>
                </c:pt>
                <c:pt idx="77">
                  <c:v>0.10380674906069881</c:v>
                </c:pt>
                <c:pt idx="78">
                  <c:v>4.4996769591404161E-2</c:v>
                </c:pt>
                <c:pt idx="79">
                  <c:v>0.12114531583747692</c:v>
                </c:pt>
                <c:pt idx="80">
                  <c:v>0.1416114312141252</c:v>
                </c:pt>
                <c:pt idx="81">
                  <c:v>0.10863410282637057</c:v>
                </c:pt>
                <c:pt idx="82">
                  <c:v>9.9540410667188134E-2</c:v>
                </c:pt>
                <c:pt idx="83">
                  <c:v>1.0664713442488771E-2</c:v>
                </c:pt>
                <c:pt idx="84">
                  <c:v>4.1288541526170529E-2</c:v>
                </c:pt>
                <c:pt idx="85">
                  <c:v>8.4506752924617123E-2</c:v>
                </c:pt>
                <c:pt idx="86">
                  <c:v>8.8614958413144554E-2</c:v>
                </c:pt>
                <c:pt idx="87">
                  <c:v>0.15334472312206013</c:v>
                </c:pt>
                <c:pt idx="88">
                  <c:v>8.8803465903457904E-3</c:v>
                </c:pt>
                <c:pt idx="89">
                  <c:v>2.5697857673791409E-2</c:v>
                </c:pt>
                <c:pt idx="90">
                  <c:v>0.14401063287167015</c:v>
                </c:pt>
                <c:pt idx="91">
                  <c:v>2.5054996413495147E-2</c:v>
                </c:pt>
                <c:pt idx="92">
                  <c:v>1.3863315974127956E-2</c:v>
                </c:pt>
                <c:pt idx="93">
                  <c:v>8.2169568254620046E-2</c:v>
                </c:pt>
                <c:pt idx="94">
                  <c:v>0.13989301660832595</c:v>
                </c:pt>
                <c:pt idx="95">
                  <c:v>8.3807470969008119E-2</c:v>
                </c:pt>
                <c:pt idx="96">
                  <c:v>0.15991418640418961</c:v>
                </c:pt>
                <c:pt idx="97">
                  <c:v>7.0226545136961388E-2</c:v>
                </c:pt>
                <c:pt idx="98">
                  <c:v>0.10750329500761878</c:v>
                </c:pt>
                <c:pt idx="99">
                  <c:v>0.12819107654159426</c:v>
                </c:pt>
                <c:pt idx="100">
                  <c:v>4.0910007439357375E-2</c:v>
                </c:pt>
                <c:pt idx="101">
                  <c:v>1.2029324313168589E-2</c:v>
                </c:pt>
                <c:pt idx="102">
                  <c:v>0.15375085308299349</c:v>
                </c:pt>
                <c:pt idx="103">
                  <c:v>5.4809097825650771E-2</c:v>
                </c:pt>
                <c:pt idx="104">
                  <c:v>0.15583313743537372</c:v>
                </c:pt>
                <c:pt idx="105">
                  <c:v>1.7355368485968546E-2</c:v>
                </c:pt>
                <c:pt idx="106">
                  <c:v>0.12341112867981416</c:v>
                </c:pt>
                <c:pt idx="107">
                  <c:v>0.14304632600368472</c:v>
                </c:pt>
                <c:pt idx="108">
                  <c:v>7.2399473396164343E-2</c:v>
                </c:pt>
                <c:pt idx="109">
                  <c:v>7.6450936394021327E-2</c:v>
                </c:pt>
                <c:pt idx="110">
                  <c:v>9.1508541892978801E-2</c:v>
                </c:pt>
                <c:pt idx="111">
                  <c:v>0.12805275990554696</c:v>
                </c:pt>
                <c:pt idx="112">
                  <c:v>4.1447414803282928E-2</c:v>
                </c:pt>
                <c:pt idx="113">
                  <c:v>3.9103588738286774E-2</c:v>
                </c:pt>
                <c:pt idx="114">
                  <c:v>7.1446722337781168E-2</c:v>
                </c:pt>
                <c:pt idx="115">
                  <c:v>0.11538851168742548</c:v>
                </c:pt>
                <c:pt idx="116">
                  <c:v>8.8390264046762687E-2</c:v>
                </c:pt>
                <c:pt idx="117">
                  <c:v>3.241497048473603E-2</c:v>
                </c:pt>
                <c:pt idx="118">
                  <c:v>5.1631294814771619E-2</c:v>
                </c:pt>
                <c:pt idx="119">
                  <c:v>7.4083881916973252E-2</c:v>
                </c:pt>
                <c:pt idx="120">
                  <c:v>0.10630864829359395</c:v>
                </c:pt>
                <c:pt idx="121">
                  <c:v>9.8516356029077726E-2</c:v>
                </c:pt>
                <c:pt idx="122">
                  <c:v>0.15992150870013336</c:v>
                </c:pt>
                <c:pt idx="123">
                  <c:v>0.13520197919577734</c:v>
                </c:pt>
                <c:pt idx="124">
                  <c:v>0.10804314327942388</c:v>
                </c:pt>
                <c:pt idx="125">
                  <c:v>2.280668641524258E-2</c:v>
                </c:pt>
                <c:pt idx="126">
                  <c:v>4.1653570126413922E-2</c:v>
                </c:pt>
                <c:pt idx="127">
                  <c:v>9.9341959208659902E-2</c:v>
                </c:pt>
                <c:pt idx="128">
                  <c:v>5.9110660894964001E-2</c:v>
                </c:pt>
                <c:pt idx="129">
                  <c:v>9.7563513380296285E-2</c:v>
                </c:pt>
                <c:pt idx="130">
                  <c:v>0.14172944442936278</c:v>
                </c:pt>
                <c:pt idx="131">
                  <c:v>1.4513679133047113E-2</c:v>
                </c:pt>
                <c:pt idx="132">
                  <c:v>7.1643588955560222E-2</c:v>
                </c:pt>
                <c:pt idx="133">
                  <c:v>0.12204436052527398</c:v>
                </c:pt>
                <c:pt idx="134">
                  <c:v>9.4284336728870752E-2</c:v>
                </c:pt>
                <c:pt idx="135">
                  <c:v>0.12706821201086727</c:v>
                </c:pt>
                <c:pt idx="136">
                  <c:v>6.9255582584303033E-2</c:v>
                </c:pt>
                <c:pt idx="137">
                  <c:v>5.553479603303426E-2</c:v>
                </c:pt>
                <c:pt idx="138">
                  <c:v>0.14064581124768399</c:v>
                </c:pt>
                <c:pt idx="139">
                  <c:v>7.0357065343636144E-2</c:v>
                </c:pt>
                <c:pt idx="140">
                  <c:v>3.0933346217744531E-2</c:v>
                </c:pt>
                <c:pt idx="141">
                  <c:v>0.13684403307462273</c:v>
                </c:pt>
                <c:pt idx="142">
                  <c:v>8.3489319247302893E-3</c:v>
                </c:pt>
                <c:pt idx="143">
                  <c:v>5.8406486762860248E-2</c:v>
                </c:pt>
                <c:pt idx="144">
                  <c:v>1.7345410956403306E-2</c:v>
                </c:pt>
                <c:pt idx="145">
                  <c:v>2.1861899238259805E-2</c:v>
                </c:pt>
                <c:pt idx="146">
                  <c:v>5.7703288724391733E-2</c:v>
                </c:pt>
                <c:pt idx="147">
                  <c:v>5.6149442536402208E-2</c:v>
                </c:pt>
                <c:pt idx="148">
                  <c:v>0.14792931557649833</c:v>
                </c:pt>
                <c:pt idx="149">
                  <c:v>0.15013896926176107</c:v>
                </c:pt>
                <c:pt idx="150">
                  <c:v>4.9182708269368977E-2</c:v>
                </c:pt>
                <c:pt idx="151">
                  <c:v>5.2197113726684355E-2</c:v>
                </c:pt>
                <c:pt idx="152">
                  <c:v>0.13445095795604731</c:v>
                </c:pt>
                <c:pt idx="153">
                  <c:v>5.2065704466503923E-2</c:v>
                </c:pt>
                <c:pt idx="154">
                  <c:v>0.13325809794457252</c:v>
                </c:pt>
                <c:pt idx="155">
                  <c:v>0.10683751764232625</c:v>
                </c:pt>
                <c:pt idx="156">
                  <c:v>9.0076398170059302E-2</c:v>
                </c:pt>
                <c:pt idx="157">
                  <c:v>0.10049794405432153</c:v>
                </c:pt>
                <c:pt idx="158">
                  <c:v>0.1314926423848444</c:v>
                </c:pt>
                <c:pt idx="159">
                  <c:v>4.5207231241799366E-2</c:v>
                </c:pt>
                <c:pt idx="160">
                  <c:v>0.10305795892940565</c:v>
                </c:pt>
                <c:pt idx="161">
                  <c:v>0.1179255307635797</c:v>
                </c:pt>
                <c:pt idx="162">
                  <c:v>2.5208077431425176E-2</c:v>
                </c:pt>
                <c:pt idx="163">
                  <c:v>0.14541708204635659</c:v>
                </c:pt>
                <c:pt idx="164">
                  <c:v>8.1472895665890888E-2</c:v>
                </c:pt>
                <c:pt idx="165">
                  <c:v>0.11353180672462425</c:v>
                </c:pt>
                <c:pt idx="166">
                  <c:v>0.13622218200474848</c:v>
                </c:pt>
                <c:pt idx="167">
                  <c:v>5.3303532046043087E-2</c:v>
                </c:pt>
                <c:pt idx="168">
                  <c:v>0.14026826252407398</c:v>
                </c:pt>
                <c:pt idx="169">
                  <c:v>0.11445342056619373</c:v>
                </c:pt>
                <c:pt idx="170">
                  <c:v>0.1470636539162655</c:v>
                </c:pt>
                <c:pt idx="171">
                  <c:v>0.13015586206419219</c:v>
                </c:pt>
                <c:pt idx="172">
                  <c:v>3.5304258602453745E-2</c:v>
                </c:pt>
                <c:pt idx="173">
                  <c:v>0.14803464857927728</c:v>
                </c:pt>
                <c:pt idx="174">
                  <c:v>9.3967976406486402E-3</c:v>
                </c:pt>
                <c:pt idx="175">
                  <c:v>2.2005088748845856E-2</c:v>
                </c:pt>
                <c:pt idx="176">
                  <c:v>6.3225436536230487E-2</c:v>
                </c:pt>
                <c:pt idx="177">
                  <c:v>0.15183825874588586</c:v>
                </c:pt>
                <c:pt idx="178">
                  <c:v>3.155712397741358E-2</c:v>
                </c:pt>
                <c:pt idx="179">
                  <c:v>0.13457597159761778</c:v>
                </c:pt>
                <c:pt idx="180">
                  <c:v>9.3645882280809899E-3</c:v>
                </c:pt>
                <c:pt idx="181">
                  <c:v>8.829490517198936E-2</c:v>
                </c:pt>
                <c:pt idx="182">
                  <c:v>9.5756672581492813E-2</c:v>
                </c:pt>
                <c:pt idx="183">
                  <c:v>0.12391433955289552</c:v>
                </c:pt>
                <c:pt idx="184">
                  <c:v>1.7516538432138799E-2</c:v>
                </c:pt>
                <c:pt idx="185">
                  <c:v>0.11639329092207239</c:v>
                </c:pt>
                <c:pt idx="186">
                  <c:v>8.7663808834164331E-2</c:v>
                </c:pt>
                <c:pt idx="187">
                  <c:v>5.7340717162924985E-2</c:v>
                </c:pt>
                <c:pt idx="188">
                  <c:v>8.905016006996852E-2</c:v>
                </c:pt>
                <c:pt idx="189">
                  <c:v>3.4915365052530713E-2</c:v>
                </c:pt>
                <c:pt idx="190">
                  <c:v>0.14965696668369827</c:v>
                </c:pt>
                <c:pt idx="191">
                  <c:v>1.0400060756832004E-2</c:v>
                </c:pt>
                <c:pt idx="192">
                  <c:v>0.10117685115791705</c:v>
                </c:pt>
                <c:pt idx="193">
                  <c:v>7.9351626477343104E-2</c:v>
                </c:pt>
                <c:pt idx="194">
                  <c:v>5.622834432105301E-2</c:v>
                </c:pt>
                <c:pt idx="195">
                  <c:v>0.13412542320496668</c:v>
                </c:pt>
                <c:pt idx="196">
                  <c:v>4.0810150222135591E-2</c:v>
                </c:pt>
                <c:pt idx="197">
                  <c:v>1.5237251877542702E-2</c:v>
                </c:pt>
                <c:pt idx="198">
                  <c:v>0.10828572088707471</c:v>
                </c:pt>
                <c:pt idx="199">
                  <c:v>1.6574420741084478E-2</c:v>
                </c:pt>
                <c:pt idx="200">
                  <c:v>6.5206380408417711E-2</c:v>
                </c:pt>
                <c:pt idx="201">
                  <c:v>0.1157185426527652</c:v>
                </c:pt>
                <c:pt idx="202">
                  <c:v>3.8250135439888366E-2</c:v>
                </c:pt>
                <c:pt idx="203">
                  <c:v>2.8690671436857891E-2</c:v>
                </c:pt>
                <c:pt idx="204">
                  <c:v>0.12203501257470051</c:v>
                </c:pt>
                <c:pt idx="205">
                  <c:v>0.12240072717478948</c:v>
                </c:pt>
                <c:pt idx="206">
                  <c:v>5.7505263184885393E-2</c:v>
                </c:pt>
                <c:pt idx="207">
                  <c:v>0.15002473620324669</c:v>
                </c:pt>
                <c:pt idx="208">
                  <c:v>0.1595139199195641</c:v>
                </c:pt>
                <c:pt idx="209">
                  <c:v>5.8749562607965572E-2</c:v>
                </c:pt>
                <c:pt idx="210">
                  <c:v>4.084680813558543E-2</c:v>
                </c:pt>
                <c:pt idx="211">
                  <c:v>3.5459988798679933E-2</c:v>
                </c:pt>
                <c:pt idx="212">
                  <c:v>3.5008341231971912E-2</c:v>
                </c:pt>
                <c:pt idx="213">
                  <c:v>3.6767861826423012E-2</c:v>
                </c:pt>
                <c:pt idx="214">
                  <c:v>4.0728777533974324E-2</c:v>
                </c:pt>
                <c:pt idx="215">
                  <c:v>0.15114744167202904</c:v>
                </c:pt>
                <c:pt idx="216">
                  <c:v>9.7703742498868512E-2</c:v>
                </c:pt>
                <c:pt idx="217">
                  <c:v>1.4195604982563325E-2</c:v>
                </c:pt>
                <c:pt idx="218">
                  <c:v>2.4809390156685037E-2</c:v>
                </c:pt>
                <c:pt idx="219">
                  <c:v>5.7811345618781498E-2</c:v>
                </c:pt>
                <c:pt idx="220">
                  <c:v>8.5941813063070874E-2</c:v>
                </c:pt>
                <c:pt idx="221">
                  <c:v>7.5387015474113125E-2</c:v>
                </c:pt>
                <c:pt idx="222">
                  <c:v>0.15520573803221799</c:v>
                </c:pt>
                <c:pt idx="223">
                  <c:v>0.10378916396503456</c:v>
                </c:pt>
                <c:pt idx="224">
                  <c:v>0.15656345205594202</c:v>
                </c:pt>
                <c:pt idx="225">
                  <c:v>3.0938630031173159E-2</c:v>
                </c:pt>
                <c:pt idx="226">
                  <c:v>8.5147750239966211E-3</c:v>
                </c:pt>
                <c:pt idx="227">
                  <c:v>0.10467982784509403</c:v>
                </c:pt>
                <c:pt idx="228">
                  <c:v>0.10107112678239658</c:v>
                </c:pt>
                <c:pt idx="229">
                  <c:v>6.3826704923279062E-2</c:v>
                </c:pt>
                <c:pt idx="230">
                  <c:v>0.11685953331000833</c:v>
                </c:pt>
                <c:pt idx="231">
                  <c:v>0.1454638415108597</c:v>
                </c:pt>
                <c:pt idx="232">
                  <c:v>0.14133246664931262</c:v>
                </c:pt>
                <c:pt idx="233">
                  <c:v>1.8154033418795082E-2</c:v>
                </c:pt>
                <c:pt idx="234">
                  <c:v>2.5896209670490191E-2</c:v>
                </c:pt>
                <c:pt idx="235">
                  <c:v>8.2152918882670067E-2</c:v>
                </c:pt>
                <c:pt idx="236">
                  <c:v>0.14578864398553565</c:v>
                </c:pt>
                <c:pt idx="237">
                  <c:v>7.3980723286702924E-2</c:v>
                </c:pt>
                <c:pt idx="238">
                  <c:v>3.1693553317960664E-2</c:v>
                </c:pt>
                <c:pt idx="239">
                  <c:v>3.512294737067316E-2</c:v>
                </c:pt>
                <c:pt idx="240">
                  <c:v>1.3153747293014634E-2</c:v>
                </c:pt>
                <c:pt idx="241">
                  <c:v>0.14215842855125094</c:v>
                </c:pt>
                <c:pt idx="242">
                  <c:v>0.15359297006956818</c:v>
                </c:pt>
                <c:pt idx="243">
                  <c:v>3.5180331596698582E-2</c:v>
                </c:pt>
                <c:pt idx="244">
                  <c:v>3.5830667209936461E-2</c:v>
                </c:pt>
                <c:pt idx="245">
                  <c:v>1.7071312319180819E-2</c:v>
                </c:pt>
                <c:pt idx="246">
                  <c:v>6.9329224531930536E-2</c:v>
                </c:pt>
                <c:pt idx="247">
                  <c:v>0.13275949126608741</c:v>
                </c:pt>
                <c:pt idx="248">
                  <c:v>5.8310468629150826E-2</c:v>
                </c:pt>
                <c:pt idx="249">
                  <c:v>2.3860836375632834E-2</c:v>
                </c:pt>
                <c:pt idx="250">
                  <c:v>2.7191472998466411E-2</c:v>
                </c:pt>
                <c:pt idx="251">
                  <c:v>0.11303272721803906</c:v>
                </c:pt>
                <c:pt idx="252">
                  <c:v>6.9491034360539591E-2</c:v>
                </c:pt>
                <c:pt idx="253">
                  <c:v>0.13151388553156798</c:v>
                </c:pt>
                <c:pt idx="254">
                  <c:v>0.12132086463302205</c:v>
                </c:pt>
                <c:pt idx="255">
                  <c:v>1.5251353154927979E-2</c:v>
                </c:pt>
                <c:pt idx="256">
                  <c:v>0.14308912806186522</c:v>
                </c:pt>
                <c:pt idx="257">
                  <c:v>6.8033298527952799E-2</c:v>
                </c:pt>
                <c:pt idx="258">
                  <c:v>5.2633269408632562E-2</c:v>
                </c:pt>
                <c:pt idx="259">
                  <c:v>0.10243065195848898</c:v>
                </c:pt>
                <c:pt idx="260">
                  <c:v>0.12017064284221886</c:v>
                </c:pt>
                <c:pt idx="261">
                  <c:v>4.8276974620835487E-2</c:v>
                </c:pt>
                <c:pt idx="262">
                  <c:v>6.1298443935651141E-2</c:v>
                </c:pt>
                <c:pt idx="263">
                  <c:v>8.0654330154156156E-2</c:v>
                </c:pt>
                <c:pt idx="264">
                  <c:v>3.2405328800439406E-2</c:v>
                </c:pt>
                <c:pt idx="265">
                  <c:v>0.12204351583247204</c:v>
                </c:pt>
                <c:pt idx="266">
                  <c:v>0.13705272174536789</c:v>
                </c:pt>
                <c:pt idx="267">
                  <c:v>3.7729381714170465E-2</c:v>
                </c:pt>
                <c:pt idx="268">
                  <c:v>4.0543219713646966E-2</c:v>
                </c:pt>
                <c:pt idx="269">
                  <c:v>2.4941621742780407E-2</c:v>
                </c:pt>
                <c:pt idx="270">
                  <c:v>2.4509541499865343E-2</c:v>
                </c:pt>
                <c:pt idx="271">
                  <c:v>6.5418853977725289E-2</c:v>
                </c:pt>
                <c:pt idx="272">
                  <c:v>0.10792491706317735</c:v>
                </c:pt>
                <c:pt idx="273">
                  <c:v>9.2502073458246514E-2</c:v>
                </c:pt>
                <c:pt idx="274">
                  <c:v>0.10726654674306602</c:v>
                </c:pt>
                <c:pt idx="275">
                  <c:v>1.3177115639147972E-2</c:v>
                </c:pt>
                <c:pt idx="276">
                  <c:v>3.8167105616787468E-2</c:v>
                </c:pt>
                <c:pt idx="277">
                  <c:v>2.1010838307292466E-2</c:v>
                </c:pt>
                <c:pt idx="278">
                  <c:v>4.638073481252844E-2</c:v>
                </c:pt>
                <c:pt idx="279">
                  <c:v>7.8008387683432795E-2</c:v>
                </c:pt>
                <c:pt idx="280">
                  <c:v>6.3214145472703223E-2</c:v>
                </c:pt>
                <c:pt idx="281">
                  <c:v>1.5974301969007638E-2</c:v>
                </c:pt>
                <c:pt idx="282">
                  <c:v>3.720193965112803E-2</c:v>
                </c:pt>
                <c:pt idx="283">
                  <c:v>8.5917944665742457E-2</c:v>
                </c:pt>
                <c:pt idx="284">
                  <c:v>1.3867623092747128E-2</c:v>
                </c:pt>
                <c:pt idx="285">
                  <c:v>6.2456837443109391E-2</c:v>
                </c:pt>
                <c:pt idx="286">
                  <c:v>0.13550479051756198</c:v>
                </c:pt>
                <c:pt idx="287">
                  <c:v>0.15985243731082169</c:v>
                </c:pt>
                <c:pt idx="288">
                  <c:v>7.9783852844818454E-2</c:v>
                </c:pt>
                <c:pt idx="289">
                  <c:v>2.7152910797229167E-2</c:v>
                </c:pt>
                <c:pt idx="290">
                  <c:v>0.11900948229538032</c:v>
                </c:pt>
                <c:pt idx="291">
                  <c:v>1.5928098484814225E-2</c:v>
                </c:pt>
                <c:pt idx="292">
                  <c:v>3.8902234585360143E-2</c:v>
                </c:pt>
                <c:pt idx="293">
                  <c:v>0.15244388866148917</c:v>
                </c:pt>
                <c:pt idx="294">
                  <c:v>1.9158949445932407E-2</c:v>
                </c:pt>
                <c:pt idx="295">
                  <c:v>0.13824991384840871</c:v>
                </c:pt>
                <c:pt idx="296">
                  <c:v>0.1106117520436788</c:v>
                </c:pt>
                <c:pt idx="297">
                  <c:v>1.9078326030640233E-2</c:v>
                </c:pt>
                <c:pt idx="298">
                  <c:v>2.904350184044183E-2</c:v>
                </c:pt>
                <c:pt idx="299">
                  <c:v>8.7293010173603899E-2</c:v>
                </c:pt>
                <c:pt idx="300">
                  <c:v>0.15013772833203706</c:v>
                </c:pt>
                <c:pt idx="301">
                  <c:v>2.7697131511712377E-2</c:v>
                </c:pt>
                <c:pt idx="302">
                  <c:v>0.13869516395864398</c:v>
                </c:pt>
                <c:pt idx="303">
                  <c:v>6.1637689050275279E-2</c:v>
                </c:pt>
                <c:pt idx="304">
                  <c:v>5.575624833500447E-2</c:v>
                </c:pt>
                <c:pt idx="305">
                  <c:v>0.15541940180695213</c:v>
                </c:pt>
                <c:pt idx="306">
                  <c:v>7.1812838558202335E-2</c:v>
                </c:pt>
                <c:pt idx="307">
                  <c:v>0.12403745174339455</c:v>
                </c:pt>
                <c:pt idx="308">
                  <c:v>0.14593962154914264</c:v>
                </c:pt>
                <c:pt idx="309">
                  <c:v>6.2482409716855133E-2</c:v>
                </c:pt>
                <c:pt idx="310">
                  <c:v>6.1822325229635995E-2</c:v>
                </c:pt>
                <c:pt idx="311">
                  <c:v>0.14758695582212425</c:v>
                </c:pt>
                <c:pt idx="312">
                  <c:v>5.5876854215635492E-2</c:v>
                </c:pt>
                <c:pt idx="313">
                  <c:v>2.4526900735163761E-2</c:v>
                </c:pt>
                <c:pt idx="314">
                  <c:v>6.7996437409537855E-2</c:v>
                </c:pt>
                <c:pt idx="315">
                  <c:v>0.10279447320899815</c:v>
                </c:pt>
                <c:pt idx="316">
                  <c:v>4.3013587014957735E-2</c:v>
                </c:pt>
                <c:pt idx="317">
                  <c:v>0.13933131546356703</c:v>
                </c:pt>
                <c:pt idx="318">
                  <c:v>7.1793276754953422E-2</c:v>
                </c:pt>
                <c:pt idx="319">
                  <c:v>0.134424181815927</c:v>
                </c:pt>
                <c:pt idx="320">
                  <c:v>6.6838349458359647E-2</c:v>
                </c:pt>
                <c:pt idx="321">
                  <c:v>3.8306679997548602E-2</c:v>
                </c:pt>
                <c:pt idx="322">
                  <c:v>1.1326524640230595E-2</c:v>
                </c:pt>
                <c:pt idx="323">
                  <c:v>5.7841085079741381E-2</c:v>
                </c:pt>
                <c:pt idx="324">
                  <c:v>0.10237908100406724</c:v>
                </c:pt>
                <c:pt idx="325">
                  <c:v>3.0929219483297816E-2</c:v>
                </c:pt>
                <c:pt idx="326">
                  <c:v>9.2762705237655299E-2</c:v>
                </c:pt>
                <c:pt idx="327">
                  <c:v>9.43859203776896E-2</c:v>
                </c:pt>
                <c:pt idx="328">
                  <c:v>4.7939588550925977E-2</c:v>
                </c:pt>
                <c:pt idx="329">
                  <c:v>4.8107720339367291E-2</c:v>
                </c:pt>
                <c:pt idx="330">
                  <c:v>9.5042724899998959E-2</c:v>
                </c:pt>
                <c:pt idx="331">
                  <c:v>0.12796644169321494</c:v>
                </c:pt>
                <c:pt idx="332">
                  <c:v>0.12412936709151798</c:v>
                </c:pt>
                <c:pt idx="333">
                  <c:v>0.14126007230148782</c:v>
                </c:pt>
                <c:pt idx="334">
                  <c:v>8.2316350517189385E-2</c:v>
                </c:pt>
                <c:pt idx="335">
                  <c:v>0.1475808702099369</c:v>
                </c:pt>
                <c:pt idx="336">
                  <c:v>3.6585885082881277E-2</c:v>
                </c:pt>
                <c:pt idx="337">
                  <c:v>9.5679712098297995E-2</c:v>
                </c:pt>
                <c:pt idx="338">
                  <c:v>0.15293351700272018</c:v>
                </c:pt>
                <c:pt idx="339">
                  <c:v>7.5562547413753137E-2</c:v>
                </c:pt>
                <c:pt idx="340">
                  <c:v>1.6972310809968427E-2</c:v>
                </c:pt>
                <c:pt idx="341">
                  <c:v>0.12101155662699717</c:v>
                </c:pt>
                <c:pt idx="342">
                  <c:v>0.1382441043025999</c:v>
                </c:pt>
                <c:pt idx="343">
                  <c:v>0.12993561352386659</c:v>
                </c:pt>
                <c:pt idx="344">
                  <c:v>0.17527655345501678</c:v>
                </c:pt>
                <c:pt idx="345">
                  <c:v>6.1685646286327715E-2</c:v>
                </c:pt>
                <c:pt idx="346">
                  <c:v>0.16979448922696583</c:v>
                </c:pt>
                <c:pt idx="347">
                  <c:v>9.7909245296915803E-2</c:v>
                </c:pt>
                <c:pt idx="348">
                  <c:v>9.7230990755781802E-2</c:v>
                </c:pt>
                <c:pt idx="349">
                  <c:v>0.19569370108816067</c:v>
                </c:pt>
                <c:pt idx="350">
                  <c:v>8.507568875073078E-2</c:v>
                </c:pt>
                <c:pt idx="351">
                  <c:v>0.19086436263714709</c:v>
                </c:pt>
                <c:pt idx="352">
                  <c:v>2.5355014416556972E-2</c:v>
                </c:pt>
                <c:pt idx="353">
                  <c:v>0.17617657008409973</c:v>
                </c:pt>
                <c:pt idx="354">
                  <c:v>0.18021678512976214</c:v>
                </c:pt>
                <c:pt idx="355">
                  <c:v>7.0529366178911201E-2</c:v>
                </c:pt>
                <c:pt idx="356">
                  <c:v>0.1490115055429439</c:v>
                </c:pt>
                <c:pt idx="357">
                  <c:v>0.1971684772804643</c:v>
                </c:pt>
                <c:pt idx="358">
                  <c:v>0.11545378067785229</c:v>
                </c:pt>
                <c:pt idx="359">
                  <c:v>0.18787301436959816</c:v>
                </c:pt>
                <c:pt idx="360">
                  <c:v>0.17265920593739065</c:v>
                </c:pt>
                <c:pt idx="361">
                  <c:v>0.1386871980788793</c:v>
                </c:pt>
                <c:pt idx="362">
                  <c:v>4.3384694364868519E-2</c:v>
                </c:pt>
                <c:pt idx="363">
                  <c:v>0.17198727692111418</c:v>
                </c:pt>
                <c:pt idx="364">
                  <c:v>0.18362062624285702</c:v>
                </c:pt>
                <c:pt idx="365">
                  <c:v>5.3298779253334747E-2</c:v>
                </c:pt>
                <c:pt idx="366">
                  <c:v>0.17340552188232805</c:v>
                </c:pt>
                <c:pt idx="367">
                  <c:v>6.5336539921535264E-2</c:v>
                </c:pt>
                <c:pt idx="368">
                  <c:v>0.19379329263669495</c:v>
                </c:pt>
                <c:pt idx="369">
                  <c:v>0.19109794076691</c:v>
                </c:pt>
                <c:pt idx="370">
                  <c:v>0.12416019108430576</c:v>
                </c:pt>
                <c:pt idx="371">
                  <c:v>0.1644675191950557</c:v>
                </c:pt>
                <c:pt idx="372">
                  <c:v>3.8325107046194747E-2</c:v>
                </c:pt>
                <c:pt idx="373">
                  <c:v>0.19459822643300209</c:v>
                </c:pt>
                <c:pt idx="374">
                  <c:v>9.9925110450681615E-2</c:v>
                </c:pt>
                <c:pt idx="375">
                  <c:v>6.6040466095468278E-2</c:v>
                </c:pt>
                <c:pt idx="376">
                  <c:v>9.4209618185276053E-2</c:v>
                </c:pt>
                <c:pt idx="377">
                  <c:v>0.11577484293063943</c:v>
                </c:pt>
                <c:pt idx="378">
                  <c:v>0.1394750724367097</c:v>
                </c:pt>
                <c:pt idx="379">
                  <c:v>3.0958077701644389E-2</c:v>
                </c:pt>
                <c:pt idx="380">
                  <c:v>0.18970358106207788</c:v>
                </c:pt>
                <c:pt idx="381">
                  <c:v>0.10748618523705562</c:v>
                </c:pt>
                <c:pt idx="382">
                  <c:v>5.6119918325673722E-2</c:v>
                </c:pt>
                <c:pt idx="383">
                  <c:v>0.19287595696311924</c:v>
                </c:pt>
                <c:pt idx="384">
                  <c:v>0.15935273500628219</c:v>
                </c:pt>
                <c:pt idx="385">
                  <c:v>4.0814304195242415E-2</c:v>
                </c:pt>
                <c:pt idx="386">
                  <c:v>1.0598278930289357E-2</c:v>
                </c:pt>
                <c:pt idx="387">
                  <c:v>8.298151846368737E-2</c:v>
                </c:pt>
                <c:pt idx="388">
                  <c:v>0.10007501249110551</c:v>
                </c:pt>
                <c:pt idx="389">
                  <c:v>0.11622161036980411</c:v>
                </c:pt>
                <c:pt idx="390">
                  <c:v>0.1833621309719202</c:v>
                </c:pt>
                <c:pt idx="391">
                  <c:v>0.19784715363498079</c:v>
                </c:pt>
                <c:pt idx="392">
                  <c:v>0.1514718824718328</c:v>
                </c:pt>
                <c:pt idx="393">
                  <c:v>0.14729899345521513</c:v>
                </c:pt>
                <c:pt idx="394">
                  <c:v>2.445495627935651E-2</c:v>
                </c:pt>
                <c:pt idx="395">
                  <c:v>2.0043853949886052E-2</c:v>
                </c:pt>
                <c:pt idx="396">
                  <c:v>0.18261243685810183</c:v>
                </c:pt>
                <c:pt idx="397">
                  <c:v>0.13792215325923535</c:v>
                </c:pt>
                <c:pt idx="398">
                  <c:v>5.1569919066372018E-2</c:v>
                </c:pt>
                <c:pt idx="399">
                  <c:v>0.17056889984810467</c:v>
                </c:pt>
                <c:pt idx="400">
                  <c:v>0.11393051933702582</c:v>
                </c:pt>
                <c:pt idx="401">
                  <c:v>4.1530572515482519E-2</c:v>
                </c:pt>
                <c:pt idx="402">
                  <c:v>8.1356690464404635E-2</c:v>
                </c:pt>
                <c:pt idx="403">
                  <c:v>0.11155719076561052</c:v>
                </c:pt>
                <c:pt idx="404">
                  <c:v>0.10894094159974817</c:v>
                </c:pt>
                <c:pt idx="405">
                  <c:v>0.10720808325009018</c:v>
                </c:pt>
                <c:pt idx="406">
                  <c:v>0.10658539094319955</c:v>
                </c:pt>
                <c:pt idx="407">
                  <c:v>0.13138252532952113</c:v>
                </c:pt>
                <c:pt idx="408">
                  <c:v>7.4102665697920928E-2</c:v>
                </c:pt>
                <c:pt idx="409">
                  <c:v>6.4283459508859303E-2</c:v>
                </c:pt>
                <c:pt idx="410">
                  <c:v>4.8932618743438488E-2</c:v>
                </c:pt>
                <c:pt idx="411">
                  <c:v>4.723746645864154E-2</c:v>
                </c:pt>
                <c:pt idx="412">
                  <c:v>0.1730218414632449</c:v>
                </c:pt>
                <c:pt idx="413">
                  <c:v>0.15248418242673556</c:v>
                </c:pt>
                <c:pt idx="414">
                  <c:v>3.4407260174621319E-2</c:v>
                </c:pt>
                <c:pt idx="415">
                  <c:v>0.14131895987419346</c:v>
                </c:pt>
                <c:pt idx="416">
                  <c:v>0.14552920370224395</c:v>
                </c:pt>
                <c:pt idx="417">
                  <c:v>0.19309927265890248</c:v>
                </c:pt>
                <c:pt idx="418">
                  <c:v>0.11762691609313115</c:v>
                </c:pt>
                <c:pt idx="419">
                  <c:v>0.16640462844935511</c:v>
                </c:pt>
                <c:pt idx="420">
                  <c:v>3.7131413612487688E-2</c:v>
                </c:pt>
                <c:pt idx="421">
                  <c:v>9.817755687574381E-2</c:v>
                </c:pt>
                <c:pt idx="422">
                  <c:v>2.5757831987085391E-2</c:v>
                </c:pt>
                <c:pt idx="423">
                  <c:v>0.161007914143078</c:v>
                </c:pt>
                <c:pt idx="424">
                  <c:v>8.7517463504176607E-2</c:v>
                </c:pt>
                <c:pt idx="425">
                  <c:v>7.629214580168471E-2</c:v>
                </c:pt>
                <c:pt idx="426">
                  <c:v>3.7393241123727938E-2</c:v>
                </c:pt>
                <c:pt idx="427">
                  <c:v>8.4779589781468323E-2</c:v>
                </c:pt>
                <c:pt idx="428">
                  <c:v>0.16691435353302447</c:v>
                </c:pt>
                <c:pt idx="429">
                  <c:v>0.13436876077132173</c:v>
                </c:pt>
                <c:pt idx="430">
                  <c:v>0.13215203094057254</c:v>
                </c:pt>
                <c:pt idx="431">
                  <c:v>6.6947517083229852E-2</c:v>
                </c:pt>
                <c:pt idx="432">
                  <c:v>6.1927779110743285E-2</c:v>
                </c:pt>
                <c:pt idx="433">
                  <c:v>8.8685833986559284E-2</c:v>
                </c:pt>
                <c:pt idx="434">
                  <c:v>7.2707854305349651E-2</c:v>
                </c:pt>
                <c:pt idx="435">
                  <c:v>0.15362542588163544</c:v>
                </c:pt>
                <c:pt idx="436">
                  <c:v>0.18930121226726765</c:v>
                </c:pt>
                <c:pt idx="437">
                  <c:v>9.9559697977515058E-2</c:v>
                </c:pt>
                <c:pt idx="438">
                  <c:v>0.10531599498784616</c:v>
                </c:pt>
                <c:pt idx="439">
                  <c:v>0.19141156762768693</c:v>
                </c:pt>
                <c:pt idx="440">
                  <c:v>0.16660303471977284</c:v>
                </c:pt>
                <c:pt idx="441">
                  <c:v>1.1603004810865332E-2</c:v>
                </c:pt>
                <c:pt idx="442">
                  <c:v>4.8840516529670155E-2</c:v>
                </c:pt>
                <c:pt idx="443">
                  <c:v>0.16029398434221684</c:v>
                </c:pt>
                <c:pt idx="444">
                  <c:v>0.16684427828820972</c:v>
                </c:pt>
                <c:pt idx="445">
                  <c:v>0.18749065174756777</c:v>
                </c:pt>
                <c:pt idx="446">
                  <c:v>0.1231281014328552</c:v>
                </c:pt>
                <c:pt idx="447">
                  <c:v>0.17582743804871184</c:v>
                </c:pt>
                <c:pt idx="448">
                  <c:v>7.9627328964585811E-2</c:v>
                </c:pt>
                <c:pt idx="449">
                  <c:v>4.7149574951083781E-2</c:v>
                </c:pt>
                <c:pt idx="450">
                  <c:v>6.3995284774196748E-2</c:v>
                </c:pt>
                <c:pt idx="451">
                  <c:v>5.9360678709185488E-2</c:v>
                </c:pt>
                <c:pt idx="452">
                  <c:v>0.15488540287755695</c:v>
                </c:pt>
                <c:pt idx="453">
                  <c:v>5.8198096774418243E-2</c:v>
                </c:pt>
                <c:pt idx="454">
                  <c:v>0.1178125694005815</c:v>
                </c:pt>
                <c:pt idx="455">
                  <c:v>0.11281680966499878</c:v>
                </c:pt>
                <c:pt idx="456">
                  <c:v>4.4668934786098652E-2</c:v>
                </c:pt>
                <c:pt idx="457">
                  <c:v>3.7415412922487068E-2</c:v>
                </c:pt>
                <c:pt idx="458">
                  <c:v>0.10515655017427994</c:v>
                </c:pt>
                <c:pt idx="459">
                  <c:v>2.8130810718102389E-2</c:v>
                </c:pt>
                <c:pt idx="460">
                  <c:v>0.15840075096374875</c:v>
                </c:pt>
                <c:pt idx="461">
                  <c:v>0.17035906849668916</c:v>
                </c:pt>
                <c:pt idx="462">
                  <c:v>0.16996592385560408</c:v>
                </c:pt>
                <c:pt idx="463">
                  <c:v>0.19700314658120782</c:v>
                </c:pt>
                <c:pt idx="464">
                  <c:v>2.7963956568421246E-2</c:v>
                </c:pt>
                <c:pt idx="465">
                  <c:v>5.8405978081101706E-2</c:v>
                </c:pt>
                <c:pt idx="466">
                  <c:v>1.0419161241693177E-2</c:v>
                </c:pt>
                <c:pt idx="467">
                  <c:v>8.8414111574201121E-2</c:v>
                </c:pt>
                <c:pt idx="468">
                  <c:v>0.13346323346426534</c:v>
                </c:pt>
                <c:pt idx="469">
                  <c:v>3.4062322662390149E-2</c:v>
                </c:pt>
                <c:pt idx="470">
                  <c:v>0.10840847854821767</c:v>
                </c:pt>
                <c:pt idx="471">
                  <c:v>0.16425534087883192</c:v>
                </c:pt>
                <c:pt idx="472">
                  <c:v>0.109994762589258</c:v>
                </c:pt>
                <c:pt idx="473">
                  <c:v>8.5743122327852583E-2</c:v>
                </c:pt>
                <c:pt idx="474">
                  <c:v>1.8403921903006788E-2</c:v>
                </c:pt>
                <c:pt idx="475">
                  <c:v>0.13018281579696211</c:v>
                </c:pt>
                <c:pt idx="476">
                  <c:v>0.14382908281197518</c:v>
                </c:pt>
                <c:pt idx="477">
                  <c:v>2.3468835760635503E-2</c:v>
                </c:pt>
                <c:pt idx="478">
                  <c:v>0.15021239050693694</c:v>
                </c:pt>
                <c:pt idx="479">
                  <c:v>0.15146978824583066</c:v>
                </c:pt>
                <c:pt idx="480">
                  <c:v>0.16394430004970184</c:v>
                </c:pt>
                <c:pt idx="481">
                  <c:v>9.9364188031878298E-2</c:v>
                </c:pt>
                <c:pt idx="482">
                  <c:v>5.5704063776952015E-2</c:v>
                </c:pt>
                <c:pt idx="483">
                  <c:v>4.8261719064424335E-2</c:v>
                </c:pt>
                <c:pt idx="484">
                  <c:v>4.5736182901630507E-2</c:v>
                </c:pt>
                <c:pt idx="485">
                  <c:v>0.17815963264258794</c:v>
                </c:pt>
                <c:pt idx="486">
                  <c:v>0.10759020772305457</c:v>
                </c:pt>
                <c:pt idx="487">
                  <c:v>0.1058919891034234</c:v>
                </c:pt>
                <c:pt idx="488">
                  <c:v>0.14170280159910578</c:v>
                </c:pt>
                <c:pt idx="489">
                  <c:v>0.11492615394219081</c:v>
                </c:pt>
                <c:pt idx="490">
                  <c:v>0.17293370058109242</c:v>
                </c:pt>
                <c:pt idx="491">
                  <c:v>2.1462871284017658E-2</c:v>
                </c:pt>
                <c:pt idx="492">
                  <c:v>0.13300246844720701</c:v>
                </c:pt>
                <c:pt idx="493">
                  <c:v>6.52874127540643E-2</c:v>
                </c:pt>
                <c:pt idx="494">
                  <c:v>0.17058650231516204</c:v>
                </c:pt>
                <c:pt idx="495">
                  <c:v>0.10157647099164624</c:v>
                </c:pt>
                <c:pt idx="496">
                  <c:v>0.13554843662329327</c:v>
                </c:pt>
                <c:pt idx="497">
                  <c:v>0.19851109769566391</c:v>
                </c:pt>
                <c:pt idx="498">
                  <c:v>8.8277440158565937E-2</c:v>
                </c:pt>
                <c:pt idx="499">
                  <c:v>5.5511592283312088E-2</c:v>
                </c:pt>
                <c:pt idx="500">
                  <c:v>0.19874699977624524</c:v>
                </c:pt>
                <c:pt idx="501">
                  <c:v>3.7769576064272101E-2</c:v>
                </c:pt>
                <c:pt idx="502">
                  <c:v>0.11602693002158075</c:v>
                </c:pt>
                <c:pt idx="503">
                  <c:v>3.462954999162475E-2</c:v>
                </c:pt>
                <c:pt idx="504">
                  <c:v>2.937250941082363E-2</c:v>
                </c:pt>
                <c:pt idx="505">
                  <c:v>0.15195822790088134</c:v>
                </c:pt>
                <c:pt idx="506">
                  <c:v>8.702980703202981E-2</c:v>
                </c:pt>
                <c:pt idx="507">
                  <c:v>4.004762837133001E-2</c:v>
                </c:pt>
                <c:pt idx="508">
                  <c:v>6.6847487054883942E-2</c:v>
                </c:pt>
                <c:pt idx="509">
                  <c:v>0.17893066543742542</c:v>
                </c:pt>
                <c:pt idx="510">
                  <c:v>0.15575988642704727</c:v>
                </c:pt>
                <c:pt idx="511">
                  <c:v>0.13899001054520366</c:v>
                </c:pt>
                <c:pt idx="512">
                  <c:v>0.13697964240287033</c:v>
                </c:pt>
                <c:pt idx="513">
                  <c:v>0.16103605696499967</c:v>
                </c:pt>
                <c:pt idx="514">
                  <c:v>0.1247929678099553</c:v>
                </c:pt>
                <c:pt idx="515">
                  <c:v>0.18709583836093718</c:v>
                </c:pt>
                <c:pt idx="516">
                  <c:v>9.9137439807301941E-2</c:v>
                </c:pt>
                <c:pt idx="517">
                  <c:v>6.8196562839464681E-2</c:v>
                </c:pt>
                <c:pt idx="518">
                  <c:v>0.10795520626078309</c:v>
                </c:pt>
                <c:pt idx="519">
                  <c:v>6.6217994432105104E-2</c:v>
                </c:pt>
                <c:pt idx="520">
                  <c:v>0.18822149184442971</c:v>
                </c:pt>
                <c:pt idx="521">
                  <c:v>0.12957115258819493</c:v>
                </c:pt>
                <c:pt idx="522">
                  <c:v>0.13143622620157167</c:v>
                </c:pt>
                <c:pt idx="523">
                  <c:v>0.14325810013744122</c:v>
                </c:pt>
                <c:pt idx="524">
                  <c:v>1.4682177327479909E-2</c:v>
                </c:pt>
                <c:pt idx="525">
                  <c:v>0.13270348384875219</c:v>
                </c:pt>
                <c:pt idx="526">
                  <c:v>0.13831802632455739</c:v>
                </c:pt>
                <c:pt idx="527">
                  <c:v>0.16635668137756429</c:v>
                </c:pt>
                <c:pt idx="528">
                  <c:v>0.15915349098702394</c:v>
                </c:pt>
                <c:pt idx="529">
                  <c:v>8.2734116627991391E-2</c:v>
                </c:pt>
                <c:pt idx="530">
                  <c:v>5.6523450184943674E-2</c:v>
                </c:pt>
                <c:pt idx="531">
                  <c:v>0.19673722715196096</c:v>
                </c:pt>
                <c:pt idx="532">
                  <c:v>6.6494888410501107E-2</c:v>
                </c:pt>
                <c:pt idx="533">
                  <c:v>0.10098187676096847</c:v>
                </c:pt>
                <c:pt idx="534">
                  <c:v>0.12593309673428033</c:v>
                </c:pt>
                <c:pt idx="535">
                  <c:v>8.9740339985106762E-2</c:v>
                </c:pt>
                <c:pt idx="536">
                  <c:v>6.2474621529825206E-2</c:v>
                </c:pt>
                <c:pt idx="537">
                  <c:v>9.2140564628960184E-2</c:v>
                </c:pt>
                <c:pt idx="538">
                  <c:v>9.0808281683716768E-2</c:v>
                </c:pt>
                <c:pt idx="539">
                  <c:v>9.0708092916006552E-2</c:v>
                </c:pt>
                <c:pt idx="540">
                  <c:v>0.10674270697278436</c:v>
                </c:pt>
                <c:pt idx="541">
                  <c:v>0.16700564981947566</c:v>
                </c:pt>
                <c:pt idx="542">
                  <c:v>8.7903170784133136E-2</c:v>
                </c:pt>
                <c:pt idx="543">
                  <c:v>0.12626705433953592</c:v>
                </c:pt>
                <c:pt idx="544">
                  <c:v>0.18973710052021009</c:v>
                </c:pt>
                <c:pt idx="545">
                  <c:v>0.17666541094696275</c:v>
                </c:pt>
                <c:pt idx="546">
                  <c:v>3.2906847478412257E-2</c:v>
                </c:pt>
                <c:pt idx="547">
                  <c:v>9.7712026279724279E-2</c:v>
                </c:pt>
                <c:pt idx="548">
                  <c:v>0.16844012328415106</c:v>
                </c:pt>
                <c:pt idx="549">
                  <c:v>2.4704514987636809E-2</c:v>
                </c:pt>
                <c:pt idx="550">
                  <c:v>3.3723634266822636E-2</c:v>
                </c:pt>
                <c:pt idx="551">
                  <c:v>0.17109706953875764</c:v>
                </c:pt>
                <c:pt idx="552">
                  <c:v>0.19680587647448403</c:v>
                </c:pt>
                <c:pt idx="553">
                  <c:v>0.17066444264220451</c:v>
                </c:pt>
                <c:pt idx="554">
                  <c:v>5.275278391320061E-2</c:v>
                </c:pt>
                <c:pt idx="555">
                  <c:v>2.6112438413535884E-2</c:v>
                </c:pt>
                <c:pt idx="556">
                  <c:v>9.7102098766359626E-2</c:v>
                </c:pt>
                <c:pt idx="557">
                  <c:v>0.15394854709467493</c:v>
                </c:pt>
                <c:pt idx="558">
                  <c:v>2.8835418506070923E-2</c:v>
                </c:pt>
                <c:pt idx="559">
                  <c:v>1.5380741309307194E-2</c:v>
                </c:pt>
                <c:pt idx="560">
                  <c:v>0.1076594044805947</c:v>
                </c:pt>
                <c:pt idx="561">
                  <c:v>0.18554720814601203</c:v>
                </c:pt>
                <c:pt idx="562">
                  <c:v>0.14838401772630858</c:v>
                </c:pt>
                <c:pt idx="563">
                  <c:v>9.580551259966659E-2</c:v>
                </c:pt>
                <c:pt idx="564">
                  <c:v>1.3850554914575954E-2</c:v>
                </c:pt>
                <c:pt idx="565">
                  <c:v>7.5650243200223621E-2</c:v>
                </c:pt>
                <c:pt idx="566">
                  <c:v>2.2856282767409683E-2</c:v>
                </c:pt>
                <c:pt idx="567">
                  <c:v>0.12073094402685874</c:v>
                </c:pt>
                <c:pt idx="568">
                  <c:v>8.6185583566696464E-2</c:v>
                </c:pt>
                <c:pt idx="569">
                  <c:v>7.8775874773569121E-2</c:v>
                </c:pt>
                <c:pt idx="570">
                  <c:v>7.0842349512505412E-2</c:v>
                </c:pt>
                <c:pt idx="571">
                  <c:v>8.6145556036744245E-2</c:v>
                </c:pt>
                <c:pt idx="572">
                  <c:v>3.2115156925644935E-2</c:v>
                </c:pt>
                <c:pt idx="573">
                  <c:v>0.16937571778932953</c:v>
                </c:pt>
                <c:pt idx="574">
                  <c:v>4.7272641901790424E-2</c:v>
                </c:pt>
                <c:pt idx="575">
                  <c:v>0.1484979444812683</c:v>
                </c:pt>
                <c:pt idx="576">
                  <c:v>7.2876256576915641E-2</c:v>
                </c:pt>
                <c:pt idx="577">
                  <c:v>5.4474835011722199E-2</c:v>
                </c:pt>
                <c:pt idx="578">
                  <c:v>0.17491745222790719</c:v>
                </c:pt>
                <c:pt idx="579">
                  <c:v>0.10982441035541372</c:v>
                </c:pt>
                <c:pt idx="580">
                  <c:v>2.66118395521159E-2</c:v>
                </c:pt>
                <c:pt idx="581">
                  <c:v>0.17431096843626498</c:v>
                </c:pt>
                <c:pt idx="582">
                  <c:v>0.14641327034830556</c:v>
                </c:pt>
                <c:pt idx="583">
                  <c:v>4.9563753764354367E-2</c:v>
                </c:pt>
                <c:pt idx="584">
                  <c:v>0.19458045227442522</c:v>
                </c:pt>
                <c:pt idx="585">
                  <c:v>0.16928505579977363</c:v>
                </c:pt>
                <c:pt idx="586">
                  <c:v>3.378046600708938E-2</c:v>
                </c:pt>
                <c:pt idx="587">
                  <c:v>3.480619085909073E-2</c:v>
                </c:pt>
                <c:pt idx="588">
                  <c:v>0.17243569075923365</c:v>
                </c:pt>
                <c:pt idx="589">
                  <c:v>1.4995353878184367E-2</c:v>
                </c:pt>
                <c:pt idx="590">
                  <c:v>2.591990272210043E-2</c:v>
                </c:pt>
                <c:pt idx="591">
                  <c:v>0.1156194802016189</c:v>
                </c:pt>
                <c:pt idx="592">
                  <c:v>4.0895054273665056E-2</c:v>
                </c:pt>
                <c:pt idx="593">
                  <c:v>0.13300383627911477</c:v>
                </c:pt>
                <c:pt idx="594">
                  <c:v>0.18011937348696094</c:v>
                </c:pt>
                <c:pt idx="595">
                  <c:v>8.7190091944570156E-2</c:v>
                </c:pt>
                <c:pt idx="596">
                  <c:v>5.4658393786055554E-2</c:v>
                </c:pt>
                <c:pt idx="597">
                  <c:v>9.3916536987371943E-2</c:v>
                </c:pt>
                <c:pt idx="598">
                  <c:v>0.13643503314934699</c:v>
                </c:pt>
                <c:pt idx="599">
                  <c:v>9.3328307896339141E-2</c:v>
                </c:pt>
                <c:pt idx="600">
                  <c:v>0.11076116001459464</c:v>
                </c:pt>
                <c:pt idx="601">
                  <c:v>0.11355570302659779</c:v>
                </c:pt>
                <c:pt idx="602">
                  <c:v>5.8798934551409471E-2</c:v>
                </c:pt>
                <c:pt idx="603">
                  <c:v>0.13001967672067691</c:v>
                </c:pt>
                <c:pt idx="604">
                  <c:v>0.13826515067570352</c:v>
                </c:pt>
                <c:pt idx="605">
                  <c:v>0.12288197187740858</c:v>
                </c:pt>
                <c:pt idx="606">
                  <c:v>0.14995399315579386</c:v>
                </c:pt>
                <c:pt idx="607">
                  <c:v>0.15142305852296614</c:v>
                </c:pt>
                <c:pt idx="608">
                  <c:v>6.6204209868420599E-2</c:v>
                </c:pt>
                <c:pt idx="609">
                  <c:v>9.3409200486888139E-2</c:v>
                </c:pt>
                <c:pt idx="610">
                  <c:v>6.548103703422492E-2</c:v>
                </c:pt>
                <c:pt idx="611">
                  <c:v>3.2673174696133664E-2</c:v>
                </c:pt>
                <c:pt idx="612">
                  <c:v>0.16906472942228196</c:v>
                </c:pt>
                <c:pt idx="613">
                  <c:v>3.4426126261531409E-2</c:v>
                </c:pt>
                <c:pt idx="614">
                  <c:v>0.15086744425789214</c:v>
                </c:pt>
                <c:pt idx="615">
                  <c:v>0.10137740526633765</c:v>
                </c:pt>
                <c:pt idx="616">
                  <c:v>5.5564993605126449E-2</c:v>
                </c:pt>
                <c:pt idx="617">
                  <c:v>0.19630594900401011</c:v>
                </c:pt>
                <c:pt idx="618">
                  <c:v>0.10633826805058974</c:v>
                </c:pt>
                <c:pt idx="619">
                  <c:v>3.6493417521990951E-2</c:v>
                </c:pt>
                <c:pt idx="620">
                  <c:v>4.1641176974519384E-2</c:v>
                </c:pt>
                <c:pt idx="621">
                  <c:v>7.2447077175599645E-2</c:v>
                </c:pt>
                <c:pt idx="622">
                  <c:v>2.3596529012381066E-2</c:v>
                </c:pt>
                <c:pt idx="623">
                  <c:v>0.18227493253095661</c:v>
                </c:pt>
                <c:pt idx="624">
                  <c:v>1.3402345027581497E-2</c:v>
                </c:pt>
                <c:pt idx="625">
                  <c:v>7.5277430896260794E-2</c:v>
                </c:pt>
                <c:pt idx="626">
                  <c:v>4.4808306369143437E-2</c:v>
                </c:pt>
                <c:pt idx="627">
                  <c:v>0.16111279532882244</c:v>
                </c:pt>
                <c:pt idx="628">
                  <c:v>4.3351125351295039E-2</c:v>
                </c:pt>
                <c:pt idx="629">
                  <c:v>3.2655785721931369E-2</c:v>
                </c:pt>
                <c:pt idx="630">
                  <c:v>0.12994322861561799</c:v>
                </c:pt>
                <c:pt idx="631">
                  <c:v>2.800292402977805E-2</c:v>
                </c:pt>
                <c:pt idx="632">
                  <c:v>0.11832308013871772</c:v>
                </c:pt>
                <c:pt idx="633">
                  <c:v>0.17789122948058103</c:v>
                </c:pt>
                <c:pt idx="634">
                  <c:v>1.9854038793582364E-2</c:v>
                </c:pt>
                <c:pt idx="635">
                  <c:v>0.13915068526089594</c:v>
                </c:pt>
                <c:pt idx="636">
                  <c:v>0.19962555839959906</c:v>
                </c:pt>
                <c:pt idx="637">
                  <c:v>5.5124236557073776E-2</c:v>
                </c:pt>
                <c:pt idx="638">
                  <c:v>0.19575110551412928</c:v>
                </c:pt>
                <c:pt idx="639">
                  <c:v>0.15978104832789364</c:v>
                </c:pt>
                <c:pt idx="640">
                  <c:v>0.12163870733357432</c:v>
                </c:pt>
                <c:pt idx="641">
                  <c:v>0.14230718870255996</c:v>
                </c:pt>
                <c:pt idx="642">
                  <c:v>7.8099985340455785E-2</c:v>
                </c:pt>
                <c:pt idx="643">
                  <c:v>0.10012093844637318</c:v>
                </c:pt>
                <c:pt idx="644">
                  <c:v>0.12420566226846773</c:v>
                </c:pt>
                <c:pt idx="645">
                  <c:v>0.16717679722972428</c:v>
                </c:pt>
                <c:pt idx="646">
                  <c:v>0.1726648875838567</c:v>
                </c:pt>
                <c:pt idx="647">
                  <c:v>0.11159297716586777</c:v>
                </c:pt>
                <c:pt idx="648">
                  <c:v>9.7625025973708077E-2</c:v>
                </c:pt>
                <c:pt idx="649">
                  <c:v>0.12812030025887125</c:v>
                </c:pt>
                <c:pt idx="650">
                  <c:v>0.1771073609317112</c:v>
                </c:pt>
                <c:pt idx="651">
                  <c:v>7.4252734432078651E-2</c:v>
                </c:pt>
                <c:pt idx="652">
                  <c:v>0.12672709611016097</c:v>
                </c:pt>
                <c:pt idx="653">
                  <c:v>4.311802583149732E-2</c:v>
                </c:pt>
                <c:pt idx="654">
                  <c:v>7.279135024787016E-2</c:v>
                </c:pt>
                <c:pt idx="655">
                  <c:v>0.18944225284653274</c:v>
                </c:pt>
                <c:pt idx="656">
                  <c:v>0.10176470045701053</c:v>
                </c:pt>
                <c:pt idx="657">
                  <c:v>0.19342700998603185</c:v>
                </c:pt>
                <c:pt idx="658">
                  <c:v>7.923763696286712E-2</c:v>
                </c:pt>
                <c:pt idx="659">
                  <c:v>0.1954413486833865</c:v>
                </c:pt>
                <c:pt idx="660">
                  <c:v>0.15218001198032691</c:v>
                </c:pt>
                <c:pt idx="661">
                  <c:v>0.11550575190040975</c:v>
                </c:pt>
                <c:pt idx="662">
                  <c:v>5.2663653381014384E-2</c:v>
                </c:pt>
                <c:pt idx="663">
                  <c:v>0.1548438804692448</c:v>
                </c:pt>
                <c:pt idx="664">
                  <c:v>9.0241874550963108E-2</c:v>
                </c:pt>
                <c:pt idx="665">
                  <c:v>6.397348469800429E-2</c:v>
                </c:pt>
                <c:pt idx="666">
                  <c:v>0.14970417444260523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3A-4A13-B71D-187E72722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93510"/>
        <c:axId val="857089418"/>
      </c:scatterChart>
      <c:valAx>
        <c:axId val="115193510"/>
        <c:scaling>
          <c:orientation val="minMax"/>
          <c:min val="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57089418"/>
        <c:crosses val="autoZero"/>
        <c:crossBetween val="midCat"/>
      </c:valAx>
      <c:valAx>
        <c:axId val="8570894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5193510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y vs. x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'Copy of Copy of Sheet1'!$C$1</c:f>
              <c:strCache>
                <c:ptCount val="1"/>
                <c:pt idx="0">
                  <c:v>return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'Copy of Copy of Sheet1'!$B$2:$B$800</c:f>
              <c:numCache>
                <c:formatCode>General</c:formatCode>
                <c:ptCount val="799"/>
                <c:pt idx="0">
                  <c:v>8.3224015031429996E-2</c:v>
                </c:pt>
                <c:pt idx="1">
                  <c:v>0.15527875337425773</c:v>
                </c:pt>
                <c:pt idx="2">
                  <c:v>0.12600564828088592</c:v>
                </c:pt>
                <c:pt idx="3">
                  <c:v>8.0438970888044872E-2</c:v>
                </c:pt>
                <c:pt idx="4">
                  <c:v>0.14222481285818284</c:v>
                </c:pt>
                <c:pt idx="5">
                  <c:v>0.10021756465638727</c:v>
                </c:pt>
                <c:pt idx="6">
                  <c:v>7.2424742751107399E-2</c:v>
                </c:pt>
                <c:pt idx="7">
                  <c:v>0.10569380850354575</c:v>
                </c:pt>
                <c:pt idx="8">
                  <c:v>7.3142933808578392E-2</c:v>
                </c:pt>
                <c:pt idx="9">
                  <c:v>7.579095411684493E-2</c:v>
                </c:pt>
                <c:pt idx="10">
                  <c:v>7.6947731229777938E-2</c:v>
                </c:pt>
                <c:pt idx="11">
                  <c:v>7.6483334974476111E-2</c:v>
                </c:pt>
                <c:pt idx="12">
                  <c:v>8.4542853340171448E-2</c:v>
                </c:pt>
                <c:pt idx="13">
                  <c:v>7.9619709506743463E-2</c:v>
                </c:pt>
                <c:pt idx="14">
                  <c:v>7.5963225992431063E-2</c:v>
                </c:pt>
                <c:pt idx="15">
                  <c:v>9.4238754590523249E-2</c:v>
                </c:pt>
                <c:pt idx="16">
                  <c:v>9.0753521150739064E-2</c:v>
                </c:pt>
                <c:pt idx="17">
                  <c:v>0.14888262399397473</c:v>
                </c:pt>
                <c:pt idx="18">
                  <c:v>0.15197233353223127</c:v>
                </c:pt>
                <c:pt idx="19">
                  <c:v>7.2740338672189542E-2</c:v>
                </c:pt>
                <c:pt idx="20">
                  <c:v>7.4247215459987345E-2</c:v>
                </c:pt>
                <c:pt idx="21">
                  <c:v>0.14571750646965503</c:v>
                </c:pt>
                <c:pt idx="22">
                  <c:v>7.8739833040788118E-2</c:v>
                </c:pt>
                <c:pt idx="23">
                  <c:v>7.5933452157495585E-2</c:v>
                </c:pt>
                <c:pt idx="24">
                  <c:v>0.14166465039667148</c:v>
                </c:pt>
                <c:pt idx="25">
                  <c:v>7.406792180662497E-2</c:v>
                </c:pt>
                <c:pt idx="26">
                  <c:v>8.3850335728170619E-2</c:v>
                </c:pt>
                <c:pt idx="27">
                  <c:v>0.14076285169012404</c:v>
                </c:pt>
                <c:pt idx="28">
                  <c:v>7.3031714232770759E-2</c:v>
                </c:pt>
                <c:pt idx="29">
                  <c:v>0.1126941933014671</c:v>
                </c:pt>
                <c:pt idx="30">
                  <c:v>0.10341484970916232</c:v>
                </c:pt>
                <c:pt idx="31">
                  <c:v>7.6471787752978346E-2</c:v>
                </c:pt>
                <c:pt idx="32">
                  <c:v>7.6935873068781885E-2</c:v>
                </c:pt>
                <c:pt idx="33">
                  <c:v>7.2120803380034987E-2</c:v>
                </c:pt>
                <c:pt idx="34">
                  <c:v>8.3241346060300078E-2</c:v>
                </c:pt>
                <c:pt idx="35">
                  <c:v>7.7250913091202397E-2</c:v>
                </c:pt>
                <c:pt idx="36">
                  <c:v>7.1880760852509759E-2</c:v>
                </c:pt>
                <c:pt idx="37">
                  <c:v>0.1260443248958957</c:v>
                </c:pt>
                <c:pt idx="38">
                  <c:v>0.15384138162719757</c:v>
                </c:pt>
                <c:pt idx="39">
                  <c:v>9.7286679133959761E-2</c:v>
                </c:pt>
                <c:pt idx="40">
                  <c:v>7.1881402260340274E-2</c:v>
                </c:pt>
                <c:pt idx="41">
                  <c:v>7.9589005299081458E-2</c:v>
                </c:pt>
                <c:pt idx="42">
                  <c:v>9.3827454867792842E-2</c:v>
                </c:pt>
                <c:pt idx="43">
                  <c:v>8.8521248663460506E-2</c:v>
                </c:pt>
                <c:pt idx="44">
                  <c:v>9.092748138579887E-2</c:v>
                </c:pt>
                <c:pt idx="45">
                  <c:v>7.2702952675269966E-2</c:v>
                </c:pt>
                <c:pt idx="46">
                  <c:v>0.10553801186825164</c:v>
                </c:pt>
                <c:pt idx="47">
                  <c:v>9.4507128314534838E-2</c:v>
                </c:pt>
                <c:pt idx="48">
                  <c:v>7.6871171248419079E-2</c:v>
                </c:pt>
                <c:pt idx="49">
                  <c:v>0.14629285832817132</c:v>
                </c:pt>
                <c:pt idx="50">
                  <c:v>0.10005983673298945</c:v>
                </c:pt>
                <c:pt idx="51">
                  <c:v>7.6805590773817406E-2</c:v>
                </c:pt>
                <c:pt idx="52">
                  <c:v>0.15567932164648637</c:v>
                </c:pt>
                <c:pt idx="53">
                  <c:v>7.5794542190035924E-2</c:v>
                </c:pt>
                <c:pt idx="54">
                  <c:v>0.15630448425009694</c:v>
                </c:pt>
                <c:pt idx="55">
                  <c:v>0.13660632844487416</c:v>
                </c:pt>
                <c:pt idx="56">
                  <c:v>0.1179557235508765</c:v>
                </c:pt>
                <c:pt idx="57">
                  <c:v>0.10317576805685906</c:v>
                </c:pt>
                <c:pt idx="58">
                  <c:v>0.12199581159541145</c:v>
                </c:pt>
                <c:pt idx="59">
                  <c:v>7.2387338167570689E-2</c:v>
                </c:pt>
                <c:pt idx="60">
                  <c:v>7.1554185316407601E-2</c:v>
                </c:pt>
                <c:pt idx="61">
                  <c:v>7.1723436616365599E-2</c:v>
                </c:pt>
                <c:pt idx="62">
                  <c:v>7.4172009809919545E-2</c:v>
                </c:pt>
                <c:pt idx="63">
                  <c:v>7.2998961915273233E-2</c:v>
                </c:pt>
                <c:pt idx="64">
                  <c:v>7.1557517533403725E-2</c:v>
                </c:pt>
                <c:pt idx="65">
                  <c:v>0.13200893257672155</c:v>
                </c:pt>
                <c:pt idx="66">
                  <c:v>0.13277088136858992</c:v>
                </c:pt>
                <c:pt idx="67">
                  <c:v>7.9332515288792343E-2</c:v>
                </c:pt>
                <c:pt idx="68">
                  <c:v>0.14739940869172766</c:v>
                </c:pt>
                <c:pt idx="69">
                  <c:v>7.6948178896780114E-2</c:v>
                </c:pt>
                <c:pt idx="70">
                  <c:v>0.10623174783794229</c:v>
                </c:pt>
                <c:pt idx="71">
                  <c:v>7.40503654303514E-2</c:v>
                </c:pt>
                <c:pt idx="72">
                  <c:v>9.7479669997143817E-2</c:v>
                </c:pt>
                <c:pt idx="73">
                  <c:v>0.15804504230438179</c:v>
                </c:pt>
                <c:pt idx="74">
                  <c:v>9.9962545620198073E-2</c:v>
                </c:pt>
                <c:pt idx="75">
                  <c:v>0.14006023433250123</c:v>
                </c:pt>
                <c:pt idx="76">
                  <c:v>0.10268568088463112</c:v>
                </c:pt>
                <c:pt idx="77">
                  <c:v>0.11172718541268865</c:v>
                </c:pt>
                <c:pt idx="78">
                  <c:v>7.3596415567695347E-2</c:v>
                </c:pt>
                <c:pt idx="79">
                  <c:v>7.3668774670699919E-2</c:v>
                </c:pt>
                <c:pt idx="80">
                  <c:v>0.11610368283842007</c:v>
                </c:pt>
                <c:pt idx="81">
                  <c:v>0.12580638903801136</c:v>
                </c:pt>
                <c:pt idx="82">
                  <c:v>0.12077623029937114</c:v>
                </c:pt>
                <c:pt idx="83">
                  <c:v>7.6942224785945937E-2</c:v>
                </c:pt>
                <c:pt idx="84">
                  <c:v>0.14293277229969714</c:v>
                </c:pt>
                <c:pt idx="85">
                  <c:v>7.1931427321137706E-2</c:v>
                </c:pt>
                <c:pt idx="86">
                  <c:v>7.2319011627796317E-2</c:v>
                </c:pt>
                <c:pt idx="87">
                  <c:v>7.9012408703962894E-2</c:v>
                </c:pt>
                <c:pt idx="88">
                  <c:v>0.14227260585304685</c:v>
                </c:pt>
                <c:pt idx="89">
                  <c:v>8.9499085055794569E-2</c:v>
                </c:pt>
                <c:pt idx="90">
                  <c:v>8.9189188821482399E-2</c:v>
                </c:pt>
                <c:pt idx="91">
                  <c:v>0.10523055838207934</c:v>
                </c:pt>
                <c:pt idx="92">
                  <c:v>7.5406016780080784E-2</c:v>
                </c:pt>
                <c:pt idx="93">
                  <c:v>8.2569343543903856E-2</c:v>
                </c:pt>
                <c:pt idx="94">
                  <c:v>0.10057078994758391</c:v>
                </c:pt>
                <c:pt idx="95">
                  <c:v>7.2067705831331264E-2</c:v>
                </c:pt>
                <c:pt idx="96">
                  <c:v>0.12535128967111778</c:v>
                </c:pt>
                <c:pt idx="97">
                  <c:v>0.12110813681141055</c:v>
                </c:pt>
                <c:pt idx="98">
                  <c:v>7.5409505798486154E-2</c:v>
                </c:pt>
                <c:pt idx="99">
                  <c:v>7.7817530296288781E-2</c:v>
                </c:pt>
                <c:pt idx="100">
                  <c:v>9.2368568040727461E-2</c:v>
                </c:pt>
                <c:pt idx="101">
                  <c:v>8.120791462170418E-2</c:v>
                </c:pt>
                <c:pt idx="102">
                  <c:v>7.2574376861405387E-2</c:v>
                </c:pt>
                <c:pt idx="103">
                  <c:v>0.13008167856640243</c:v>
                </c:pt>
                <c:pt idx="104">
                  <c:v>0.12313397926272728</c:v>
                </c:pt>
                <c:pt idx="105">
                  <c:v>7.4703350659218765E-2</c:v>
                </c:pt>
                <c:pt idx="106">
                  <c:v>7.1912817311341096E-2</c:v>
                </c:pt>
                <c:pt idx="107">
                  <c:v>7.4628284642514281E-2</c:v>
                </c:pt>
                <c:pt idx="108">
                  <c:v>0.11524336622051901</c:v>
                </c:pt>
                <c:pt idx="109">
                  <c:v>8.7329211519467986E-2</c:v>
                </c:pt>
                <c:pt idx="110">
                  <c:v>7.1556085583702009E-2</c:v>
                </c:pt>
                <c:pt idx="111">
                  <c:v>7.978074773259454E-2</c:v>
                </c:pt>
                <c:pt idx="112">
                  <c:v>0.10732810086019831</c:v>
                </c:pt>
                <c:pt idx="113">
                  <c:v>7.9566031475592172E-2</c:v>
                </c:pt>
                <c:pt idx="114">
                  <c:v>9.2729389833867956E-2</c:v>
                </c:pt>
                <c:pt idx="115">
                  <c:v>8.5096806887505441E-2</c:v>
                </c:pt>
                <c:pt idx="116">
                  <c:v>8.0924236401877389E-2</c:v>
                </c:pt>
                <c:pt idx="117">
                  <c:v>7.8644595101149531E-2</c:v>
                </c:pt>
                <c:pt idx="118">
                  <c:v>7.7306787075925851E-2</c:v>
                </c:pt>
                <c:pt idx="119">
                  <c:v>8.6216719240634496E-2</c:v>
                </c:pt>
                <c:pt idx="120">
                  <c:v>0.10438631951466601</c:v>
                </c:pt>
                <c:pt idx="121">
                  <c:v>7.4951350305755352E-2</c:v>
                </c:pt>
                <c:pt idx="122">
                  <c:v>7.206268540739949E-2</c:v>
                </c:pt>
                <c:pt idx="123">
                  <c:v>7.280124623119956E-2</c:v>
                </c:pt>
                <c:pt idx="124">
                  <c:v>7.2503366698731739E-2</c:v>
                </c:pt>
                <c:pt idx="125">
                  <c:v>7.9169809162145624E-2</c:v>
                </c:pt>
                <c:pt idx="126">
                  <c:v>0.10246375598093434</c:v>
                </c:pt>
                <c:pt idx="127">
                  <c:v>7.1570286485691956E-2</c:v>
                </c:pt>
                <c:pt idx="128">
                  <c:v>7.616752277754274E-2</c:v>
                </c:pt>
                <c:pt idx="129">
                  <c:v>0.12665079090744077</c:v>
                </c:pt>
                <c:pt idx="130">
                  <c:v>0.13001929097003398</c:v>
                </c:pt>
                <c:pt idx="131">
                  <c:v>9.3348489266845011E-2</c:v>
                </c:pt>
                <c:pt idx="132">
                  <c:v>7.191346789102461E-2</c:v>
                </c:pt>
                <c:pt idx="133">
                  <c:v>8.1493114853938356E-2</c:v>
                </c:pt>
                <c:pt idx="134">
                  <c:v>9.9285707237100881E-2</c:v>
                </c:pt>
                <c:pt idx="135">
                  <c:v>0.12601101466411507</c:v>
                </c:pt>
                <c:pt idx="136">
                  <c:v>7.4046476186680255E-2</c:v>
                </c:pt>
                <c:pt idx="137">
                  <c:v>8.3911592902273846E-2</c:v>
                </c:pt>
                <c:pt idx="138">
                  <c:v>8.5330454103091868E-2</c:v>
                </c:pt>
                <c:pt idx="139">
                  <c:v>0.12388943013582954</c:v>
                </c:pt>
                <c:pt idx="140">
                  <c:v>0.12947888565811977</c:v>
                </c:pt>
                <c:pt idx="141">
                  <c:v>7.550608961037622E-2</c:v>
                </c:pt>
                <c:pt idx="142">
                  <c:v>0.13642215819045456</c:v>
                </c:pt>
                <c:pt idx="143">
                  <c:v>7.4153784370574988E-2</c:v>
                </c:pt>
                <c:pt idx="144">
                  <c:v>7.234923340846873E-2</c:v>
                </c:pt>
                <c:pt idx="145">
                  <c:v>7.9443625946469712E-2</c:v>
                </c:pt>
                <c:pt idx="146">
                  <c:v>7.2870296071771715E-2</c:v>
                </c:pt>
                <c:pt idx="147">
                  <c:v>0.12354368301949459</c:v>
                </c:pt>
                <c:pt idx="148">
                  <c:v>0.14642712681431277</c:v>
                </c:pt>
                <c:pt idx="149">
                  <c:v>0.1569292374082161</c:v>
                </c:pt>
                <c:pt idx="150">
                  <c:v>7.2067522746269236E-2</c:v>
                </c:pt>
                <c:pt idx="151">
                  <c:v>0.12938773531255815</c:v>
                </c:pt>
                <c:pt idx="152">
                  <c:v>7.2219731770219425E-2</c:v>
                </c:pt>
                <c:pt idx="153">
                  <c:v>7.8172334532832802E-2</c:v>
                </c:pt>
                <c:pt idx="154">
                  <c:v>7.1565915550464196E-2</c:v>
                </c:pt>
                <c:pt idx="155">
                  <c:v>0.15748693956180579</c:v>
                </c:pt>
                <c:pt idx="156">
                  <c:v>0.12164694472706539</c:v>
                </c:pt>
                <c:pt idx="157">
                  <c:v>0.10478136519174258</c:v>
                </c:pt>
                <c:pt idx="158">
                  <c:v>0.1004716786269539</c:v>
                </c:pt>
                <c:pt idx="159">
                  <c:v>7.3548348153248455E-2</c:v>
                </c:pt>
                <c:pt idx="160">
                  <c:v>0.14733636340655493</c:v>
                </c:pt>
                <c:pt idx="161">
                  <c:v>7.1682154498211484E-2</c:v>
                </c:pt>
                <c:pt idx="162">
                  <c:v>7.2726716579195994E-2</c:v>
                </c:pt>
                <c:pt idx="163">
                  <c:v>7.3369181279221582E-2</c:v>
                </c:pt>
                <c:pt idx="164">
                  <c:v>0.15282297167262709</c:v>
                </c:pt>
                <c:pt idx="165">
                  <c:v>7.5912384490581075E-2</c:v>
                </c:pt>
                <c:pt idx="166">
                  <c:v>7.1584111486650892E-2</c:v>
                </c:pt>
                <c:pt idx="167">
                  <c:v>8.8946348311356838E-2</c:v>
                </c:pt>
                <c:pt idx="168">
                  <c:v>8.6243222187631863E-2</c:v>
                </c:pt>
                <c:pt idx="169">
                  <c:v>7.7755384721540949E-2</c:v>
                </c:pt>
                <c:pt idx="170">
                  <c:v>8.138135329297394E-2</c:v>
                </c:pt>
                <c:pt idx="171">
                  <c:v>8.103814697102267E-2</c:v>
                </c:pt>
                <c:pt idx="172">
                  <c:v>7.3793136879739374E-2</c:v>
                </c:pt>
                <c:pt idx="173">
                  <c:v>9.0759543072074997E-2</c:v>
                </c:pt>
                <c:pt idx="174">
                  <c:v>9.8239557306366659E-2</c:v>
                </c:pt>
                <c:pt idx="175">
                  <c:v>0.13491704338075866</c:v>
                </c:pt>
                <c:pt idx="176">
                  <c:v>7.3061179081002528E-2</c:v>
                </c:pt>
                <c:pt idx="177">
                  <c:v>7.3498441901316547E-2</c:v>
                </c:pt>
                <c:pt idx="178">
                  <c:v>8.8301625299219727E-2</c:v>
                </c:pt>
                <c:pt idx="179">
                  <c:v>0.1047837797213272</c:v>
                </c:pt>
                <c:pt idx="180">
                  <c:v>0.14718203069336944</c:v>
                </c:pt>
                <c:pt idx="181">
                  <c:v>7.3880453503790355E-2</c:v>
                </c:pt>
                <c:pt idx="182">
                  <c:v>0.13728317302548643</c:v>
                </c:pt>
                <c:pt idx="183">
                  <c:v>7.6354756068753138E-2</c:v>
                </c:pt>
                <c:pt idx="184">
                  <c:v>0.14449737787593947</c:v>
                </c:pt>
                <c:pt idx="185">
                  <c:v>0.13981781548612612</c:v>
                </c:pt>
                <c:pt idx="186">
                  <c:v>0.10139986469705564</c:v>
                </c:pt>
                <c:pt idx="187">
                  <c:v>8.5436213396707858E-2</c:v>
                </c:pt>
                <c:pt idx="188">
                  <c:v>0.11164306381824261</c:v>
                </c:pt>
                <c:pt idx="189">
                  <c:v>0.14804510211492039</c:v>
                </c:pt>
                <c:pt idx="190">
                  <c:v>0.11238903588982922</c:v>
                </c:pt>
                <c:pt idx="191">
                  <c:v>8.7532472904489386E-2</c:v>
                </c:pt>
                <c:pt idx="192">
                  <c:v>9.1775718211272575E-2</c:v>
                </c:pt>
                <c:pt idx="193">
                  <c:v>7.2417443565234649E-2</c:v>
                </c:pt>
                <c:pt idx="194">
                  <c:v>0.13300296254407462</c:v>
                </c:pt>
                <c:pt idx="195">
                  <c:v>9.8491889474493555E-2</c:v>
                </c:pt>
                <c:pt idx="196">
                  <c:v>8.8482385869142408E-2</c:v>
                </c:pt>
                <c:pt idx="197">
                  <c:v>0.10481267461839795</c:v>
                </c:pt>
                <c:pt idx="198">
                  <c:v>8.6657435112564879E-2</c:v>
                </c:pt>
                <c:pt idx="199">
                  <c:v>0.12398531208039858</c:v>
                </c:pt>
                <c:pt idx="200">
                  <c:v>0.11924957808170591</c:v>
                </c:pt>
                <c:pt idx="201">
                  <c:v>0.12034849360565786</c:v>
                </c:pt>
                <c:pt idx="202">
                  <c:v>0.11257734573374738</c:v>
                </c:pt>
                <c:pt idx="203">
                  <c:v>7.1555814757208028E-2</c:v>
                </c:pt>
                <c:pt idx="204">
                  <c:v>0.14575263120296572</c:v>
                </c:pt>
                <c:pt idx="205">
                  <c:v>7.6350722254833928E-2</c:v>
                </c:pt>
                <c:pt idx="206">
                  <c:v>7.1639045812826083E-2</c:v>
                </c:pt>
                <c:pt idx="207">
                  <c:v>7.8619663959956385E-2</c:v>
                </c:pt>
                <c:pt idx="208">
                  <c:v>8.6190648745825882E-2</c:v>
                </c:pt>
                <c:pt idx="209">
                  <c:v>0.14382000664943573</c:v>
                </c:pt>
                <c:pt idx="210">
                  <c:v>9.7429125070903039E-2</c:v>
                </c:pt>
                <c:pt idx="211">
                  <c:v>7.4223172160291687E-2</c:v>
                </c:pt>
                <c:pt idx="212">
                  <c:v>7.4404319501229652E-2</c:v>
                </c:pt>
                <c:pt idx="213">
                  <c:v>7.5025349503954814E-2</c:v>
                </c:pt>
                <c:pt idx="214">
                  <c:v>7.5387081636493505E-2</c:v>
                </c:pt>
                <c:pt idx="215">
                  <c:v>0.12426301631671044</c:v>
                </c:pt>
                <c:pt idx="216">
                  <c:v>0.12250311394058423</c:v>
                </c:pt>
                <c:pt idx="217">
                  <c:v>8.0554652944922547E-2</c:v>
                </c:pt>
                <c:pt idx="218">
                  <c:v>0.12082069244489822</c:v>
                </c:pt>
                <c:pt idx="219">
                  <c:v>7.7004143597132965E-2</c:v>
                </c:pt>
                <c:pt idx="220">
                  <c:v>0.14461383939656525</c:v>
                </c:pt>
                <c:pt idx="221">
                  <c:v>7.9516287898647342E-2</c:v>
                </c:pt>
                <c:pt idx="222">
                  <c:v>0.14012253629826912</c:v>
                </c:pt>
                <c:pt idx="223">
                  <c:v>9.3859461725614463E-2</c:v>
                </c:pt>
                <c:pt idx="224">
                  <c:v>0.10476586589113468</c:v>
                </c:pt>
                <c:pt idx="225">
                  <c:v>0.14323816701728148</c:v>
                </c:pt>
                <c:pt idx="226">
                  <c:v>0.13195838319040976</c:v>
                </c:pt>
                <c:pt idx="227">
                  <c:v>0.14799770243044916</c:v>
                </c:pt>
                <c:pt idx="228">
                  <c:v>7.3550649547606067E-2</c:v>
                </c:pt>
                <c:pt idx="229">
                  <c:v>0.14342446568170283</c:v>
                </c:pt>
                <c:pt idx="230">
                  <c:v>7.8995892418749838E-2</c:v>
                </c:pt>
                <c:pt idx="231">
                  <c:v>0.13993482232396637</c:v>
                </c:pt>
                <c:pt idx="232">
                  <c:v>8.3913213764914965E-2</c:v>
                </c:pt>
                <c:pt idx="233">
                  <c:v>0.1314661911903563</c:v>
                </c:pt>
                <c:pt idx="234">
                  <c:v>7.2557085283299266E-2</c:v>
                </c:pt>
                <c:pt idx="235">
                  <c:v>0.14703910968442274</c:v>
                </c:pt>
                <c:pt idx="236">
                  <c:v>7.296617730700207E-2</c:v>
                </c:pt>
                <c:pt idx="237">
                  <c:v>7.4322321434415306E-2</c:v>
                </c:pt>
                <c:pt idx="238">
                  <c:v>9.6098929295157967E-2</c:v>
                </c:pt>
                <c:pt idx="239">
                  <c:v>7.158182585855194E-2</c:v>
                </c:pt>
                <c:pt idx="240">
                  <c:v>0.10629542424884417</c:v>
                </c:pt>
                <c:pt idx="241">
                  <c:v>7.9945942350236485E-2</c:v>
                </c:pt>
                <c:pt idx="242">
                  <c:v>7.2200440627725834E-2</c:v>
                </c:pt>
                <c:pt idx="243">
                  <c:v>0.13877570864296354</c:v>
                </c:pt>
                <c:pt idx="244">
                  <c:v>7.6929306282223164E-2</c:v>
                </c:pt>
                <c:pt idx="245">
                  <c:v>7.5145857608596919E-2</c:v>
                </c:pt>
                <c:pt idx="246">
                  <c:v>0.12031660956999811</c:v>
                </c:pt>
                <c:pt idx="247">
                  <c:v>0.12875368857811403</c:v>
                </c:pt>
                <c:pt idx="248">
                  <c:v>9.7387033620750019E-2</c:v>
                </c:pt>
                <c:pt idx="249">
                  <c:v>7.8942004533496007E-2</c:v>
                </c:pt>
                <c:pt idx="250">
                  <c:v>0.1350405437289797</c:v>
                </c:pt>
                <c:pt idx="251">
                  <c:v>0.15640965499705692</c:v>
                </c:pt>
                <c:pt idx="252">
                  <c:v>0.10590852236087943</c:v>
                </c:pt>
                <c:pt idx="253">
                  <c:v>0.10305418222530564</c:v>
                </c:pt>
                <c:pt idx="254">
                  <c:v>0.14078755610705715</c:v>
                </c:pt>
                <c:pt idx="255">
                  <c:v>0.13370152842755634</c:v>
                </c:pt>
                <c:pt idx="256">
                  <c:v>0.12096236077639586</c:v>
                </c:pt>
                <c:pt idx="257">
                  <c:v>0.1037454761696756</c:v>
                </c:pt>
                <c:pt idx="258">
                  <c:v>7.1565146619496228E-2</c:v>
                </c:pt>
                <c:pt idx="259">
                  <c:v>8.3105970121273853E-2</c:v>
                </c:pt>
                <c:pt idx="260">
                  <c:v>7.2343804945320833E-2</c:v>
                </c:pt>
                <c:pt idx="261">
                  <c:v>7.7413853744891306E-2</c:v>
                </c:pt>
                <c:pt idx="262">
                  <c:v>0.14223800359857397</c:v>
                </c:pt>
                <c:pt idx="263">
                  <c:v>7.5683398325109438E-2</c:v>
                </c:pt>
                <c:pt idx="264">
                  <c:v>7.8104406218056907E-2</c:v>
                </c:pt>
                <c:pt idx="265">
                  <c:v>7.1949912550092684E-2</c:v>
                </c:pt>
                <c:pt idx="266">
                  <c:v>7.6032680495534966E-2</c:v>
                </c:pt>
                <c:pt idx="267">
                  <c:v>7.2000261339313282E-2</c:v>
                </c:pt>
                <c:pt idx="268">
                  <c:v>0.10127598637122638</c:v>
                </c:pt>
                <c:pt idx="269">
                  <c:v>0.14788312856939878</c:v>
                </c:pt>
                <c:pt idx="270">
                  <c:v>7.1649234436486006E-2</c:v>
                </c:pt>
                <c:pt idx="271">
                  <c:v>7.6651603020913395E-2</c:v>
                </c:pt>
                <c:pt idx="272">
                  <c:v>7.3297206508597487E-2</c:v>
                </c:pt>
                <c:pt idx="273">
                  <c:v>7.4554781050315933E-2</c:v>
                </c:pt>
                <c:pt idx="274">
                  <c:v>7.433147589349022E-2</c:v>
                </c:pt>
                <c:pt idx="275">
                  <c:v>8.8382929985920428E-2</c:v>
                </c:pt>
                <c:pt idx="276">
                  <c:v>0.1464824213788074</c:v>
                </c:pt>
                <c:pt idx="277">
                  <c:v>7.5062792420621291E-2</c:v>
                </c:pt>
                <c:pt idx="278">
                  <c:v>7.6717946186859842E-2</c:v>
                </c:pt>
                <c:pt idx="279">
                  <c:v>0.15726631187083523</c:v>
                </c:pt>
                <c:pt idx="280">
                  <c:v>0.14037413453057035</c:v>
                </c:pt>
                <c:pt idx="281">
                  <c:v>7.2100360418303908E-2</c:v>
                </c:pt>
                <c:pt idx="282">
                  <c:v>0.12891227383041051</c:v>
                </c:pt>
                <c:pt idx="283">
                  <c:v>0.13886758672405491</c:v>
                </c:pt>
                <c:pt idx="284">
                  <c:v>9.4244496936302727E-2</c:v>
                </c:pt>
                <c:pt idx="285">
                  <c:v>0.10061416155726112</c:v>
                </c:pt>
                <c:pt idx="286">
                  <c:v>7.2836271140447537E-2</c:v>
                </c:pt>
                <c:pt idx="287">
                  <c:v>0.10992153223841739</c:v>
                </c:pt>
                <c:pt idx="288">
                  <c:v>7.2293549418616057E-2</c:v>
                </c:pt>
                <c:pt idx="289">
                  <c:v>0.1297237932876058</c:v>
                </c:pt>
                <c:pt idx="290">
                  <c:v>9.6286540942080598E-2</c:v>
                </c:pt>
                <c:pt idx="291">
                  <c:v>8.5970724830592885E-2</c:v>
                </c:pt>
                <c:pt idx="292">
                  <c:v>0.11568770728252482</c:v>
                </c:pt>
                <c:pt idx="293">
                  <c:v>0.12503856897477977</c:v>
                </c:pt>
                <c:pt idx="294">
                  <c:v>0.13931759760124018</c:v>
                </c:pt>
                <c:pt idx="295">
                  <c:v>8.6382163620023739E-2</c:v>
                </c:pt>
                <c:pt idx="296">
                  <c:v>0.15918950108566546</c:v>
                </c:pt>
                <c:pt idx="297">
                  <c:v>0.1542416202186522</c:v>
                </c:pt>
                <c:pt idx="298">
                  <c:v>0.14794037559168691</c:v>
                </c:pt>
                <c:pt idx="299">
                  <c:v>0.11801171143725278</c:v>
                </c:pt>
                <c:pt idx="300">
                  <c:v>7.1839387334639571E-2</c:v>
                </c:pt>
                <c:pt idx="301">
                  <c:v>0.11979188941296948</c:v>
                </c:pt>
                <c:pt idx="302">
                  <c:v>0.14890199323435749</c:v>
                </c:pt>
                <c:pt idx="303">
                  <c:v>7.2869792361748412E-2</c:v>
                </c:pt>
                <c:pt idx="304">
                  <c:v>0.12231816472774526</c:v>
                </c:pt>
                <c:pt idx="305">
                  <c:v>7.3018151858359748E-2</c:v>
                </c:pt>
                <c:pt idx="306">
                  <c:v>0.14512714456871958</c:v>
                </c:pt>
                <c:pt idx="307">
                  <c:v>0.13631903581318264</c:v>
                </c:pt>
                <c:pt idx="308">
                  <c:v>7.850353401788436E-2</c:v>
                </c:pt>
                <c:pt idx="309">
                  <c:v>0.11145337683049233</c:v>
                </c:pt>
                <c:pt idx="310">
                  <c:v>0.13215681266978055</c:v>
                </c:pt>
                <c:pt idx="311">
                  <c:v>7.4706066724366457E-2</c:v>
                </c:pt>
                <c:pt idx="312">
                  <c:v>0.13309781843381982</c:v>
                </c:pt>
                <c:pt idx="313">
                  <c:v>0.11194604239174069</c:v>
                </c:pt>
                <c:pt idx="314">
                  <c:v>7.1600290908129111E-2</c:v>
                </c:pt>
                <c:pt idx="315">
                  <c:v>0.12971757139607645</c:v>
                </c:pt>
                <c:pt idx="316">
                  <c:v>0.15738775569035274</c:v>
                </c:pt>
                <c:pt idx="317">
                  <c:v>9.0527727208641023E-2</c:v>
                </c:pt>
                <c:pt idx="318">
                  <c:v>0.10361228686702253</c:v>
                </c:pt>
                <c:pt idx="319">
                  <c:v>8.7649668700687994E-2</c:v>
                </c:pt>
                <c:pt idx="320">
                  <c:v>0.14221690028642209</c:v>
                </c:pt>
                <c:pt idx="321">
                  <c:v>0.13256302592578043</c:v>
                </c:pt>
                <c:pt idx="322">
                  <c:v>7.351014360024552E-2</c:v>
                </c:pt>
                <c:pt idx="323">
                  <c:v>0.11223640710818658</c:v>
                </c:pt>
                <c:pt idx="324">
                  <c:v>7.2232146388743423E-2</c:v>
                </c:pt>
                <c:pt idx="325">
                  <c:v>0.15031632807800824</c:v>
                </c:pt>
                <c:pt idx="326">
                  <c:v>7.3303552203730318E-2</c:v>
                </c:pt>
                <c:pt idx="327">
                  <c:v>9.5922747006927461E-2</c:v>
                </c:pt>
                <c:pt idx="328">
                  <c:v>0.12997468064812417</c:v>
                </c:pt>
                <c:pt idx="329">
                  <c:v>7.2038633765416415E-2</c:v>
                </c:pt>
                <c:pt idx="330">
                  <c:v>7.9702683139653382E-2</c:v>
                </c:pt>
                <c:pt idx="331">
                  <c:v>0.12186430604788472</c:v>
                </c:pt>
                <c:pt idx="332">
                  <c:v>8.8072156656157127E-2</c:v>
                </c:pt>
                <c:pt idx="333">
                  <c:v>7.2129730346941437E-2</c:v>
                </c:pt>
                <c:pt idx="334">
                  <c:v>7.2300966488097515E-2</c:v>
                </c:pt>
                <c:pt idx="335">
                  <c:v>0.13482686459530696</c:v>
                </c:pt>
                <c:pt idx="336">
                  <c:v>7.1938051368908962E-2</c:v>
                </c:pt>
                <c:pt idx="337">
                  <c:v>0.136763289010809</c:v>
                </c:pt>
                <c:pt idx="338">
                  <c:v>7.288308511979745E-2</c:v>
                </c:pt>
                <c:pt idx="339">
                  <c:v>7.1906371251404019E-2</c:v>
                </c:pt>
                <c:pt idx="340">
                  <c:v>7.2935541301146684E-2</c:v>
                </c:pt>
                <c:pt idx="341">
                  <c:v>0.15846038682237251</c:v>
                </c:pt>
                <c:pt idx="342">
                  <c:v>9.6491090632812318E-2</c:v>
                </c:pt>
                <c:pt idx="343">
                  <c:v>7.4212909173271863E-2</c:v>
                </c:pt>
                <c:pt idx="344">
                  <c:v>0.12791681352219986</c:v>
                </c:pt>
                <c:pt idx="345">
                  <c:v>8.9497817440666663E-2</c:v>
                </c:pt>
                <c:pt idx="346">
                  <c:v>8.9603579086323507E-2</c:v>
                </c:pt>
                <c:pt idx="347">
                  <c:v>0.11889120242654143</c:v>
                </c:pt>
                <c:pt idx="348">
                  <c:v>0.14198976201339239</c:v>
                </c:pt>
                <c:pt idx="349">
                  <c:v>0.11006621252026899</c:v>
                </c:pt>
                <c:pt idx="350">
                  <c:v>0.11251016684962917</c:v>
                </c:pt>
                <c:pt idx="351">
                  <c:v>8.9443091522410006E-2</c:v>
                </c:pt>
                <c:pt idx="352">
                  <c:v>0.19526823077041261</c:v>
                </c:pt>
                <c:pt idx="353">
                  <c:v>0.13458438708602935</c:v>
                </c:pt>
                <c:pt idx="354">
                  <c:v>0.11459680381645543</c:v>
                </c:pt>
                <c:pt idx="355">
                  <c:v>9.1411251168824675E-2</c:v>
                </c:pt>
                <c:pt idx="356">
                  <c:v>0.17034663903565547</c:v>
                </c:pt>
                <c:pt idx="357">
                  <c:v>9.3794692679894556E-2</c:v>
                </c:pt>
                <c:pt idx="358">
                  <c:v>9.8942755094357682E-2</c:v>
                </c:pt>
                <c:pt idx="359">
                  <c:v>0.11256880780248371</c:v>
                </c:pt>
                <c:pt idx="360">
                  <c:v>9.1651167749707899E-2</c:v>
                </c:pt>
                <c:pt idx="361">
                  <c:v>0.14508583242168574</c:v>
                </c:pt>
                <c:pt idx="362">
                  <c:v>8.9571186561057281E-2</c:v>
                </c:pt>
                <c:pt idx="363">
                  <c:v>0.12415466114491155</c:v>
                </c:pt>
                <c:pt idx="364">
                  <c:v>8.964915689053575E-2</c:v>
                </c:pt>
                <c:pt idx="365">
                  <c:v>8.9748599210815974E-2</c:v>
                </c:pt>
                <c:pt idx="366">
                  <c:v>8.9994474810332376E-2</c:v>
                </c:pt>
                <c:pt idx="367">
                  <c:v>9.1389938366208387E-2</c:v>
                </c:pt>
                <c:pt idx="368">
                  <c:v>0.10750242372863851</c:v>
                </c:pt>
                <c:pt idx="369">
                  <c:v>0.15573846665212407</c:v>
                </c:pt>
                <c:pt idx="370">
                  <c:v>0.11699907719634974</c:v>
                </c:pt>
                <c:pt idx="371">
                  <c:v>0.19796343201279276</c:v>
                </c:pt>
                <c:pt idx="372">
                  <c:v>0.1045947988641367</c:v>
                </c:pt>
                <c:pt idx="373">
                  <c:v>9.0694499192967334E-2</c:v>
                </c:pt>
                <c:pt idx="374">
                  <c:v>9.2694071506971343E-2</c:v>
                </c:pt>
                <c:pt idx="375">
                  <c:v>0.17163782185553106</c:v>
                </c:pt>
                <c:pt idx="376">
                  <c:v>0.11516912396325887</c:v>
                </c:pt>
                <c:pt idx="377">
                  <c:v>0.10234298036716943</c:v>
                </c:pt>
                <c:pt idx="378">
                  <c:v>0.13478317311598614</c:v>
                </c:pt>
                <c:pt idx="379">
                  <c:v>0.10847648038200382</c:v>
                </c:pt>
                <c:pt idx="380">
                  <c:v>0.17138349230520156</c:v>
                </c:pt>
                <c:pt idx="381">
                  <c:v>9.1879870433426963E-2</c:v>
                </c:pt>
                <c:pt idx="382">
                  <c:v>0.13375275689167751</c:v>
                </c:pt>
                <c:pt idx="383">
                  <c:v>0.13058497607631461</c:v>
                </c:pt>
                <c:pt idx="384">
                  <c:v>9.5473005954609988E-2</c:v>
                </c:pt>
                <c:pt idx="385">
                  <c:v>9.3383671314727398E-2</c:v>
                </c:pt>
                <c:pt idx="386">
                  <c:v>0.17566671977544907</c:v>
                </c:pt>
                <c:pt idx="387">
                  <c:v>0.18042886370487923</c:v>
                </c:pt>
                <c:pt idx="388">
                  <c:v>9.0953698319106463E-2</c:v>
                </c:pt>
                <c:pt idx="389">
                  <c:v>0.11997112337673409</c:v>
                </c:pt>
                <c:pt idx="390">
                  <c:v>0.14991274506267838</c:v>
                </c:pt>
                <c:pt idx="391">
                  <c:v>9.109513200975998E-2</c:v>
                </c:pt>
                <c:pt idx="392">
                  <c:v>0.11061889596229603</c:v>
                </c:pt>
                <c:pt idx="393">
                  <c:v>9.1786784505358834E-2</c:v>
                </c:pt>
                <c:pt idx="394">
                  <c:v>0.12035885012596725</c:v>
                </c:pt>
                <c:pt idx="395">
                  <c:v>9.6804159775932944E-2</c:v>
                </c:pt>
                <c:pt idx="396">
                  <c:v>0.16332241138157244</c:v>
                </c:pt>
                <c:pt idx="397">
                  <c:v>0.11013433819172573</c:v>
                </c:pt>
                <c:pt idx="398">
                  <c:v>0.11465444665785379</c:v>
                </c:pt>
                <c:pt idx="399">
                  <c:v>0.1221448329168895</c:v>
                </c:pt>
                <c:pt idx="400">
                  <c:v>0.11163555124362939</c:v>
                </c:pt>
                <c:pt idx="401">
                  <c:v>0.16271253102627872</c:v>
                </c:pt>
                <c:pt idx="402">
                  <c:v>0.11198301022077244</c:v>
                </c:pt>
                <c:pt idx="403">
                  <c:v>8.9620714450778877E-2</c:v>
                </c:pt>
                <c:pt idx="404">
                  <c:v>9.356279449443107E-2</c:v>
                </c:pt>
                <c:pt idx="405">
                  <c:v>8.9510898661011654E-2</c:v>
                </c:pt>
                <c:pt idx="406">
                  <c:v>0.13165734922315098</c:v>
                </c:pt>
                <c:pt idx="407">
                  <c:v>9.9465570377956572E-2</c:v>
                </c:pt>
                <c:pt idx="408">
                  <c:v>9.4208304238414114E-2</c:v>
                </c:pt>
                <c:pt idx="409">
                  <c:v>9.0065314481953818E-2</c:v>
                </c:pt>
                <c:pt idx="410">
                  <c:v>8.9487658570225434E-2</c:v>
                </c:pt>
                <c:pt idx="411">
                  <c:v>0.16645931200821318</c:v>
                </c:pt>
                <c:pt idx="412">
                  <c:v>0.15186401597658286</c:v>
                </c:pt>
                <c:pt idx="413">
                  <c:v>9.0161738286830967E-2</c:v>
                </c:pt>
                <c:pt idx="414">
                  <c:v>0.11558012874610157</c:v>
                </c:pt>
                <c:pt idx="415">
                  <c:v>0.15408395537796729</c:v>
                </c:pt>
                <c:pt idx="416">
                  <c:v>8.9552817849210778E-2</c:v>
                </c:pt>
                <c:pt idx="417">
                  <c:v>9.0127620738393546E-2</c:v>
                </c:pt>
                <c:pt idx="418">
                  <c:v>9.8084783126308514E-2</c:v>
                </c:pt>
                <c:pt idx="419">
                  <c:v>0.14058533950064367</c:v>
                </c:pt>
                <c:pt idx="420">
                  <c:v>0.16991404589290668</c:v>
                </c:pt>
                <c:pt idx="421">
                  <c:v>0.10267593134645657</c:v>
                </c:pt>
                <c:pt idx="422">
                  <c:v>9.4015233946678337E-2</c:v>
                </c:pt>
                <c:pt idx="423">
                  <c:v>0.11120698184637209</c:v>
                </c:pt>
                <c:pt idx="424">
                  <c:v>0.18286579208681114</c:v>
                </c:pt>
                <c:pt idx="425">
                  <c:v>0.1956094922799983</c:v>
                </c:pt>
                <c:pt idx="426">
                  <c:v>9.6963109672890596E-2</c:v>
                </c:pt>
                <c:pt idx="427">
                  <c:v>0.15449118365033046</c:v>
                </c:pt>
                <c:pt idx="428">
                  <c:v>0.13893029848313895</c:v>
                </c:pt>
                <c:pt idx="429">
                  <c:v>9.8040132559567297E-2</c:v>
                </c:pt>
                <c:pt idx="430">
                  <c:v>0.12741017472291091</c:v>
                </c:pt>
                <c:pt idx="431">
                  <c:v>0.14749870411332863</c:v>
                </c:pt>
                <c:pt idx="432">
                  <c:v>0.13937508427714076</c:v>
                </c:pt>
                <c:pt idx="433">
                  <c:v>0.10843802953662776</c:v>
                </c:pt>
                <c:pt idx="434">
                  <c:v>0.19975616961428563</c:v>
                </c:pt>
                <c:pt idx="435">
                  <c:v>0.10027486873473564</c:v>
                </c:pt>
                <c:pt idx="436">
                  <c:v>8.9485968323580356E-2</c:v>
                </c:pt>
                <c:pt idx="437">
                  <c:v>0.16458252734515627</c:v>
                </c:pt>
                <c:pt idx="438">
                  <c:v>0.10013513559041687</c:v>
                </c:pt>
                <c:pt idx="439">
                  <c:v>0.11534846514372081</c:v>
                </c:pt>
                <c:pt idx="440">
                  <c:v>9.1375998981263834E-2</c:v>
                </c:pt>
                <c:pt idx="441">
                  <c:v>0.19485141515284912</c:v>
                </c:pt>
                <c:pt idx="442">
                  <c:v>0.10875744393346666</c:v>
                </c:pt>
                <c:pt idx="443">
                  <c:v>9.5523495887657794E-2</c:v>
                </c:pt>
                <c:pt idx="444">
                  <c:v>0.17317200554560663</c:v>
                </c:pt>
                <c:pt idx="445">
                  <c:v>8.9442733282318609E-2</c:v>
                </c:pt>
                <c:pt idx="446">
                  <c:v>8.9688943818882913E-2</c:v>
                </c:pt>
                <c:pt idx="447">
                  <c:v>0.11274875744248586</c:v>
                </c:pt>
                <c:pt idx="448">
                  <c:v>0.1154061713803862</c:v>
                </c:pt>
                <c:pt idx="449">
                  <c:v>0.18330043035253846</c:v>
                </c:pt>
                <c:pt idx="450">
                  <c:v>8.999324843433025E-2</c:v>
                </c:pt>
                <c:pt idx="451">
                  <c:v>9.8129795532210809E-2</c:v>
                </c:pt>
                <c:pt idx="452">
                  <c:v>9.3620155091885593E-2</c:v>
                </c:pt>
                <c:pt idx="453">
                  <c:v>0.10268873248379395</c:v>
                </c:pt>
                <c:pt idx="454">
                  <c:v>9.0751950948390087E-2</c:v>
                </c:pt>
                <c:pt idx="455">
                  <c:v>0.16648008236892339</c:v>
                </c:pt>
                <c:pt idx="456">
                  <c:v>0.14025971092669859</c:v>
                </c:pt>
                <c:pt idx="457">
                  <c:v>9.0857473301015138E-2</c:v>
                </c:pt>
                <c:pt idx="458">
                  <c:v>9.7756887322325681E-2</c:v>
                </c:pt>
                <c:pt idx="459">
                  <c:v>9.9172144481860874E-2</c:v>
                </c:pt>
                <c:pt idx="460">
                  <c:v>9.1867738781129984E-2</c:v>
                </c:pt>
                <c:pt idx="461">
                  <c:v>0.10534808588559846</c:v>
                </c:pt>
                <c:pt idx="462">
                  <c:v>0.11238381042261102</c:v>
                </c:pt>
                <c:pt idx="463">
                  <c:v>0.15658679322730176</c:v>
                </c:pt>
                <c:pt idx="464">
                  <c:v>9.007890979953144E-2</c:v>
                </c:pt>
                <c:pt idx="465">
                  <c:v>8.9684351194191533E-2</c:v>
                </c:pt>
                <c:pt idx="466">
                  <c:v>0.17981332837189043</c:v>
                </c:pt>
                <c:pt idx="467">
                  <c:v>0.11684481374257127</c:v>
                </c:pt>
                <c:pt idx="468">
                  <c:v>9.5995149168681418E-2</c:v>
                </c:pt>
                <c:pt idx="469">
                  <c:v>0.18490987532093531</c:v>
                </c:pt>
                <c:pt idx="470">
                  <c:v>0.10149369896905491</c:v>
                </c:pt>
                <c:pt idx="471">
                  <c:v>9.9883224964273543E-2</c:v>
                </c:pt>
                <c:pt idx="472">
                  <c:v>0.12876498006957982</c:v>
                </c:pt>
                <c:pt idx="473">
                  <c:v>0.13011803535769467</c:v>
                </c:pt>
                <c:pt idx="474">
                  <c:v>9.3736365119473072E-2</c:v>
                </c:pt>
                <c:pt idx="475">
                  <c:v>0.19020770987300664</c:v>
                </c:pt>
                <c:pt idx="476">
                  <c:v>0.15346264599823578</c:v>
                </c:pt>
                <c:pt idx="477">
                  <c:v>0.1055534363612656</c:v>
                </c:pt>
                <c:pt idx="478">
                  <c:v>9.3409593233535579E-2</c:v>
                </c:pt>
                <c:pt idx="479">
                  <c:v>9.5733919383444221E-2</c:v>
                </c:pt>
                <c:pt idx="480">
                  <c:v>0.14075171228834238</c:v>
                </c:pt>
                <c:pt idx="481">
                  <c:v>0.10679996555549864</c:v>
                </c:pt>
                <c:pt idx="482">
                  <c:v>9.211892272155571E-2</c:v>
                </c:pt>
                <c:pt idx="483">
                  <c:v>9.1068529997078901E-2</c:v>
                </c:pt>
                <c:pt idx="484">
                  <c:v>9.3435610270227648E-2</c:v>
                </c:pt>
                <c:pt idx="485">
                  <c:v>9.1228711106816573E-2</c:v>
                </c:pt>
                <c:pt idx="486">
                  <c:v>0.15283055459133826</c:v>
                </c:pt>
                <c:pt idx="487">
                  <c:v>9.081215694304802E-2</c:v>
                </c:pt>
                <c:pt idx="488">
                  <c:v>0.13035560526742046</c:v>
                </c:pt>
                <c:pt idx="489">
                  <c:v>9.687175894692171E-2</c:v>
                </c:pt>
                <c:pt idx="490">
                  <c:v>0.11014445504636249</c:v>
                </c:pt>
                <c:pt idx="491">
                  <c:v>9.9771017689430433E-2</c:v>
                </c:pt>
                <c:pt idx="492">
                  <c:v>0.11352083784813258</c:v>
                </c:pt>
                <c:pt idx="493">
                  <c:v>0.19292111566216624</c:v>
                </c:pt>
                <c:pt idx="494">
                  <c:v>0.16813395248315949</c:v>
                </c:pt>
                <c:pt idx="495">
                  <c:v>8.9715326442853183E-2</c:v>
                </c:pt>
                <c:pt idx="496">
                  <c:v>9.0311253561228905E-2</c:v>
                </c:pt>
                <c:pt idx="497">
                  <c:v>0.11206873934755626</c:v>
                </c:pt>
                <c:pt idx="498">
                  <c:v>8.9829591502516321E-2</c:v>
                </c:pt>
                <c:pt idx="499">
                  <c:v>0.13193468311929293</c:v>
                </c:pt>
                <c:pt idx="500">
                  <c:v>0.19313655386866033</c:v>
                </c:pt>
                <c:pt idx="501">
                  <c:v>0.13345076110547366</c:v>
                </c:pt>
                <c:pt idx="502">
                  <c:v>0.18521055571940592</c:v>
                </c:pt>
                <c:pt idx="503">
                  <c:v>9.7714104836216314E-2</c:v>
                </c:pt>
                <c:pt idx="504">
                  <c:v>9.3665435629409655E-2</c:v>
                </c:pt>
                <c:pt idx="505">
                  <c:v>0.17827632031510232</c:v>
                </c:pt>
                <c:pt idx="506">
                  <c:v>9.4009396501716677E-2</c:v>
                </c:pt>
                <c:pt idx="507">
                  <c:v>0.10478026020665911</c:v>
                </c:pt>
                <c:pt idx="508">
                  <c:v>0.1501807297527839</c:v>
                </c:pt>
                <c:pt idx="509">
                  <c:v>9.1248813436707751E-2</c:v>
                </c:pt>
                <c:pt idx="510">
                  <c:v>0.17413266228600968</c:v>
                </c:pt>
                <c:pt idx="511">
                  <c:v>0.15744788490357756</c:v>
                </c:pt>
                <c:pt idx="512">
                  <c:v>9.0179917255144224E-2</c:v>
                </c:pt>
                <c:pt idx="513">
                  <c:v>0.10935336371750645</c:v>
                </c:pt>
                <c:pt idx="514">
                  <c:v>0.16609414615373633</c:v>
                </c:pt>
                <c:pt idx="515">
                  <c:v>9.8612395562615293E-2</c:v>
                </c:pt>
                <c:pt idx="516">
                  <c:v>9.4465602403883242E-2</c:v>
                </c:pt>
                <c:pt idx="517">
                  <c:v>0.11156956573829768</c:v>
                </c:pt>
                <c:pt idx="518">
                  <c:v>8.9680310741336908E-2</c:v>
                </c:pt>
                <c:pt idx="519">
                  <c:v>9.7614346435401178E-2</c:v>
                </c:pt>
                <c:pt idx="520">
                  <c:v>9.8841567898954638E-2</c:v>
                </c:pt>
                <c:pt idx="521">
                  <c:v>8.9447605662386478E-2</c:v>
                </c:pt>
                <c:pt idx="522">
                  <c:v>0.10076350549214359</c:v>
                </c:pt>
                <c:pt idx="523">
                  <c:v>0.11611256238079321</c:v>
                </c:pt>
                <c:pt idx="524">
                  <c:v>0.10922862717634849</c:v>
                </c:pt>
                <c:pt idx="525">
                  <c:v>0.14107437006300078</c:v>
                </c:pt>
                <c:pt idx="526">
                  <c:v>9.0326801156110095E-2</c:v>
                </c:pt>
                <c:pt idx="527">
                  <c:v>9.8179011121198673E-2</c:v>
                </c:pt>
                <c:pt idx="528">
                  <c:v>0.17529793767939533</c:v>
                </c:pt>
                <c:pt idx="529">
                  <c:v>0.16347132725467761</c:v>
                </c:pt>
                <c:pt idx="530">
                  <c:v>9.0775827816070867E-2</c:v>
                </c:pt>
                <c:pt idx="531">
                  <c:v>0.10566100196509855</c:v>
                </c:pt>
                <c:pt idx="532">
                  <c:v>9.660711844504774E-2</c:v>
                </c:pt>
                <c:pt idx="533">
                  <c:v>9.6533922771990452E-2</c:v>
                </c:pt>
                <c:pt idx="534">
                  <c:v>8.944811473501979E-2</c:v>
                </c:pt>
                <c:pt idx="535">
                  <c:v>9.0601969873987512E-2</c:v>
                </c:pt>
                <c:pt idx="536">
                  <c:v>0.11186009231588701</c:v>
                </c:pt>
                <c:pt idx="537">
                  <c:v>0.1878950558574034</c:v>
                </c:pt>
                <c:pt idx="538">
                  <c:v>0.19820482096416414</c:v>
                </c:pt>
                <c:pt idx="539">
                  <c:v>9.9894618838734003E-2</c:v>
                </c:pt>
                <c:pt idx="540">
                  <c:v>0.11197167791613157</c:v>
                </c:pt>
                <c:pt idx="541">
                  <c:v>0.18108262665891542</c:v>
                </c:pt>
                <c:pt idx="542">
                  <c:v>0.11010534988954887</c:v>
                </c:pt>
                <c:pt idx="543">
                  <c:v>0.1033834676802399</c:v>
                </c:pt>
                <c:pt idx="544">
                  <c:v>0.11390669972497747</c:v>
                </c:pt>
                <c:pt idx="545">
                  <c:v>0.15893181063792719</c:v>
                </c:pt>
                <c:pt idx="546">
                  <c:v>0.17951682950682701</c:v>
                </c:pt>
                <c:pt idx="547">
                  <c:v>0.10618475982807606</c:v>
                </c:pt>
                <c:pt idx="548">
                  <c:v>9.1697192547303644E-2</c:v>
                </c:pt>
                <c:pt idx="549">
                  <c:v>0.12645420093314597</c:v>
                </c:pt>
                <c:pt idx="550">
                  <c:v>0.13690415741617906</c:v>
                </c:pt>
                <c:pt idx="551">
                  <c:v>0.12875437746095567</c:v>
                </c:pt>
                <c:pt idx="552">
                  <c:v>0.10763197252502996</c:v>
                </c:pt>
                <c:pt idx="553">
                  <c:v>0.12070980537518201</c:v>
                </c:pt>
                <c:pt idx="554">
                  <c:v>9.2161990950093475E-2</c:v>
                </c:pt>
                <c:pt idx="555">
                  <c:v>9.0018195186584965E-2</c:v>
                </c:pt>
                <c:pt idx="556">
                  <c:v>9.3709596111020713E-2</c:v>
                </c:pt>
                <c:pt idx="557">
                  <c:v>0.14801153857061256</c:v>
                </c:pt>
                <c:pt idx="558">
                  <c:v>0.16059368823815617</c:v>
                </c:pt>
                <c:pt idx="559">
                  <c:v>0.15482833613516717</c:v>
                </c:pt>
                <c:pt idx="560">
                  <c:v>9.8320806926920842E-2</c:v>
                </c:pt>
                <c:pt idx="561">
                  <c:v>0.15859815637389765</c:v>
                </c:pt>
                <c:pt idx="562">
                  <c:v>8.9482764591531719E-2</c:v>
                </c:pt>
                <c:pt idx="563">
                  <c:v>0.17326299728059893</c:v>
                </c:pt>
                <c:pt idx="564">
                  <c:v>0.11882323205172203</c:v>
                </c:pt>
                <c:pt idx="565">
                  <c:v>9.7838527303894599E-2</c:v>
                </c:pt>
                <c:pt idx="566">
                  <c:v>0.18086392862847669</c:v>
                </c:pt>
                <c:pt idx="567">
                  <c:v>9.602430778509051E-2</c:v>
                </c:pt>
                <c:pt idx="568">
                  <c:v>8.9458460855494859E-2</c:v>
                </c:pt>
                <c:pt idx="569">
                  <c:v>0.12832813437605953</c:v>
                </c:pt>
                <c:pt idx="570">
                  <c:v>0.17348957096650267</c:v>
                </c:pt>
                <c:pt idx="571">
                  <c:v>0.12535989930981378</c:v>
                </c:pt>
                <c:pt idx="572">
                  <c:v>0.15824162625796792</c:v>
                </c:pt>
                <c:pt idx="573">
                  <c:v>0.16895482761663566</c:v>
                </c:pt>
                <c:pt idx="574">
                  <c:v>0.17208031865497653</c:v>
                </c:pt>
                <c:pt idx="575">
                  <c:v>0.17957326046093011</c:v>
                </c:pt>
                <c:pt idx="576">
                  <c:v>0.10274183991959697</c:v>
                </c:pt>
                <c:pt idx="577">
                  <c:v>0.13593079569781061</c:v>
                </c:pt>
                <c:pt idx="578">
                  <c:v>0.18108133043562469</c:v>
                </c:pt>
                <c:pt idx="579">
                  <c:v>9.7718096405080959E-2</c:v>
                </c:pt>
                <c:pt idx="580">
                  <c:v>9.2175631421430926E-2</c:v>
                </c:pt>
                <c:pt idx="581">
                  <c:v>8.9621504330592933E-2</c:v>
                </c:pt>
                <c:pt idx="582">
                  <c:v>0.19819208462955179</c:v>
                </c:pt>
                <c:pt idx="583">
                  <c:v>0.15419559669826971</c:v>
                </c:pt>
                <c:pt idx="584">
                  <c:v>0.12538833906388169</c:v>
                </c:pt>
                <c:pt idx="585">
                  <c:v>0.19868604050788374</c:v>
                </c:pt>
                <c:pt idx="586">
                  <c:v>9.0166391656242559E-2</c:v>
                </c:pt>
                <c:pt idx="587">
                  <c:v>0.19057333878325949</c:v>
                </c:pt>
                <c:pt idx="588">
                  <c:v>8.963309546237129E-2</c:v>
                </c:pt>
                <c:pt idx="589">
                  <c:v>9.0447818129219787E-2</c:v>
                </c:pt>
                <c:pt idx="590">
                  <c:v>0.13163028473338709</c:v>
                </c:pt>
                <c:pt idx="591">
                  <c:v>0.13202825377988328</c:v>
                </c:pt>
                <c:pt idx="592">
                  <c:v>0.17427640229285177</c:v>
                </c:pt>
                <c:pt idx="593">
                  <c:v>8.9522169960003922E-2</c:v>
                </c:pt>
                <c:pt idx="594">
                  <c:v>0.13629108560740016</c:v>
                </c:pt>
                <c:pt idx="595">
                  <c:v>0.11446422794277518</c:v>
                </c:pt>
                <c:pt idx="596">
                  <c:v>0.1498363584620879</c:v>
                </c:pt>
                <c:pt idx="597">
                  <c:v>9.1978623143352534E-2</c:v>
                </c:pt>
                <c:pt idx="598">
                  <c:v>0.11442996106011641</c:v>
                </c:pt>
                <c:pt idx="599">
                  <c:v>8.9598392841639674E-2</c:v>
                </c:pt>
                <c:pt idx="600">
                  <c:v>0.17175448257588541</c:v>
                </c:pt>
                <c:pt idx="601">
                  <c:v>0.15947586739600189</c:v>
                </c:pt>
                <c:pt idx="602">
                  <c:v>0.18029633639327353</c:v>
                </c:pt>
                <c:pt idx="603">
                  <c:v>9.844695654442509E-2</c:v>
                </c:pt>
                <c:pt idx="604">
                  <c:v>0.18974132942085234</c:v>
                </c:pt>
                <c:pt idx="605">
                  <c:v>8.9712549817724779E-2</c:v>
                </c:pt>
                <c:pt idx="606">
                  <c:v>9.6924666952603281E-2</c:v>
                </c:pt>
                <c:pt idx="607">
                  <c:v>0.17472581659357556</c:v>
                </c:pt>
                <c:pt idx="608">
                  <c:v>0.16113652416230076</c:v>
                </c:pt>
                <c:pt idx="609">
                  <c:v>9.1973254768133589E-2</c:v>
                </c:pt>
                <c:pt idx="610">
                  <c:v>0.1573589036764883</c:v>
                </c:pt>
                <c:pt idx="611">
                  <c:v>0.18088357729925808</c:v>
                </c:pt>
                <c:pt idx="612">
                  <c:v>8.9968741391826632E-2</c:v>
                </c:pt>
                <c:pt idx="613">
                  <c:v>9.6804857557046084E-2</c:v>
                </c:pt>
                <c:pt idx="614">
                  <c:v>0.12565989684307854</c:v>
                </c:pt>
                <c:pt idx="615">
                  <c:v>0.19353680513465815</c:v>
                </c:pt>
                <c:pt idx="616">
                  <c:v>0.11177477800790936</c:v>
                </c:pt>
                <c:pt idx="617">
                  <c:v>0.17552258062869083</c:v>
                </c:pt>
                <c:pt idx="618">
                  <c:v>9.7617276316804932E-2</c:v>
                </c:pt>
                <c:pt idx="619">
                  <c:v>0.13321718279938485</c:v>
                </c:pt>
                <c:pt idx="620">
                  <c:v>0.14715260750396095</c:v>
                </c:pt>
                <c:pt idx="621">
                  <c:v>0.10911111707075799</c:v>
                </c:pt>
                <c:pt idx="622">
                  <c:v>9.4773921021864202E-2</c:v>
                </c:pt>
                <c:pt idx="623">
                  <c:v>0.18887897490042233</c:v>
                </c:pt>
                <c:pt idx="624">
                  <c:v>0.15705085391718518</c:v>
                </c:pt>
                <c:pt idx="625">
                  <c:v>9.2391057388290981E-2</c:v>
                </c:pt>
                <c:pt idx="626">
                  <c:v>8.9447196280559846E-2</c:v>
                </c:pt>
                <c:pt idx="627">
                  <c:v>0.15463335180740737</c:v>
                </c:pt>
                <c:pt idx="628">
                  <c:v>0.13719300182947225</c:v>
                </c:pt>
                <c:pt idx="629">
                  <c:v>9.0947947743666643E-2</c:v>
                </c:pt>
                <c:pt idx="630">
                  <c:v>0.17690225917716471</c:v>
                </c:pt>
                <c:pt idx="631">
                  <c:v>0.15101395208572793</c:v>
                </c:pt>
                <c:pt idx="632">
                  <c:v>0.12477670207926661</c:v>
                </c:pt>
                <c:pt idx="633">
                  <c:v>0.16691041894208297</c:v>
                </c:pt>
                <c:pt idx="634">
                  <c:v>0.10097117937795545</c:v>
                </c:pt>
                <c:pt idx="635">
                  <c:v>9.0988180534932142E-2</c:v>
                </c:pt>
                <c:pt idx="636">
                  <c:v>0.13733101742444956</c:v>
                </c:pt>
                <c:pt idx="637">
                  <c:v>0.14056139615306168</c:v>
                </c:pt>
                <c:pt idx="638">
                  <c:v>9.6384396944602879E-2</c:v>
                </c:pt>
                <c:pt idx="639">
                  <c:v>9.7856743802457596E-2</c:v>
                </c:pt>
                <c:pt idx="640">
                  <c:v>9.2415149100854133E-2</c:v>
                </c:pt>
                <c:pt idx="641">
                  <c:v>0.19530195100801076</c:v>
                </c:pt>
                <c:pt idx="642">
                  <c:v>0.10067607094568774</c:v>
                </c:pt>
                <c:pt idx="643">
                  <c:v>9.4402236158756217E-2</c:v>
                </c:pt>
                <c:pt idx="644">
                  <c:v>0.15117015228504127</c:v>
                </c:pt>
                <c:pt idx="645">
                  <c:v>9.783681677546878E-2</c:v>
                </c:pt>
                <c:pt idx="646">
                  <c:v>0.18223170471058905</c:v>
                </c:pt>
                <c:pt idx="647">
                  <c:v>0.11347885276869242</c:v>
                </c:pt>
                <c:pt idx="648">
                  <c:v>9.3452608435610762E-2</c:v>
                </c:pt>
                <c:pt idx="649">
                  <c:v>9.9789513917027395E-2</c:v>
                </c:pt>
                <c:pt idx="650">
                  <c:v>0.191974464705643</c:v>
                </c:pt>
                <c:pt idx="651">
                  <c:v>0.17739963169110046</c:v>
                </c:pt>
                <c:pt idx="652">
                  <c:v>0.19603093759956347</c:v>
                </c:pt>
                <c:pt idx="653">
                  <c:v>0.18204459550014937</c:v>
                </c:pt>
                <c:pt idx="654">
                  <c:v>0.18628495824269528</c:v>
                </c:pt>
                <c:pt idx="655">
                  <c:v>8.9739899014346397E-2</c:v>
                </c:pt>
                <c:pt idx="656">
                  <c:v>0.12293837037257969</c:v>
                </c:pt>
                <c:pt idx="657">
                  <c:v>9.5350581712152979E-2</c:v>
                </c:pt>
                <c:pt idx="658">
                  <c:v>0.16776494792078389</c:v>
                </c:pt>
                <c:pt idx="659">
                  <c:v>8.9480116958323003E-2</c:v>
                </c:pt>
                <c:pt idx="660">
                  <c:v>0.17734776543363509</c:v>
                </c:pt>
                <c:pt idx="661">
                  <c:v>8.9823871196697297E-2</c:v>
                </c:pt>
                <c:pt idx="662">
                  <c:v>8.9647766845323745E-2</c:v>
                </c:pt>
                <c:pt idx="663">
                  <c:v>9.0764565427916874E-2</c:v>
                </c:pt>
                <c:pt idx="664">
                  <c:v>9.1083148982652573E-2</c:v>
                </c:pt>
                <c:pt idx="665">
                  <c:v>0.1970025684584982</c:v>
                </c:pt>
                <c:pt idx="666">
                  <c:v>9.6572447230196867E-2</c:v>
                </c:pt>
              </c:numCache>
            </c:numRef>
          </c:xVal>
          <c:yVal>
            <c:numRef>
              <c:f>'Copy of Copy of Sheet1'!$C$2:$C$800</c:f>
              <c:numCache>
                <c:formatCode>General</c:formatCode>
                <c:ptCount val="799"/>
                <c:pt idx="0">
                  <c:v>7.5512364661997927E-2</c:v>
                </c:pt>
                <c:pt idx="1">
                  <c:v>0.15649763738911515</c:v>
                </c:pt>
                <c:pt idx="2">
                  <c:v>0.12752978891300906</c:v>
                </c:pt>
                <c:pt idx="3">
                  <c:v>7.0625134797067265E-2</c:v>
                </c:pt>
                <c:pt idx="4">
                  <c:v>0.14384090155402518</c:v>
                </c:pt>
                <c:pt idx="5">
                  <c:v>9.9022231690909346E-2</c:v>
                </c:pt>
                <c:pt idx="6">
                  <c:v>4.8913038829483904E-2</c:v>
                </c:pt>
                <c:pt idx="7">
                  <c:v>0.10549805439360975</c:v>
                </c:pt>
                <c:pt idx="8">
                  <c:v>2.6516689511502503E-2</c:v>
                </c:pt>
                <c:pt idx="9">
                  <c:v>6.0630214792363794E-2</c:v>
                </c:pt>
                <c:pt idx="10">
                  <c:v>1.5352374077715641E-2</c:v>
                </c:pt>
                <c:pt idx="11">
                  <c:v>1.6446922171383261E-2</c:v>
                </c:pt>
                <c:pt idx="12">
                  <c:v>7.7660301942720833E-2</c:v>
                </c:pt>
                <c:pt idx="13">
                  <c:v>6.9070410487207495E-2</c:v>
                </c:pt>
                <c:pt idx="14">
                  <c:v>1.7729807345251768E-2</c:v>
                </c:pt>
                <c:pt idx="15">
                  <c:v>9.150950728811405E-2</c:v>
                </c:pt>
                <c:pt idx="16">
                  <c:v>8.6833085036797042E-2</c:v>
                </c:pt>
                <c:pt idx="17">
                  <c:v>0.15033799076571186</c:v>
                </c:pt>
                <c:pt idx="18">
                  <c:v>0.15332267594717622</c:v>
                </c:pt>
                <c:pt idx="19">
                  <c:v>2.8283559011780413E-2</c:v>
                </c:pt>
                <c:pt idx="20">
                  <c:v>2.2562762086030648E-2</c:v>
                </c:pt>
                <c:pt idx="21">
                  <c:v>0.14726108288642351</c:v>
                </c:pt>
                <c:pt idx="22">
                  <c:v>6.732368284922742E-2</c:v>
                </c:pt>
                <c:pt idx="23">
                  <c:v>1.7805279093434156E-2</c:v>
                </c:pt>
                <c:pt idx="24">
                  <c:v>0.14328978020090355</c:v>
                </c:pt>
                <c:pt idx="25">
                  <c:v>2.31429035980232E-2</c:v>
                </c:pt>
                <c:pt idx="26">
                  <c:v>7.6543700607866749E-2</c:v>
                </c:pt>
                <c:pt idx="27">
                  <c:v>0.14240096242417197</c:v>
                </c:pt>
                <c:pt idx="28">
                  <c:v>2.6980588303504048E-2</c:v>
                </c:pt>
                <c:pt idx="29">
                  <c:v>0.11337801314710344</c:v>
                </c:pt>
                <c:pt idx="30">
                  <c:v>0.10284197099197147</c:v>
                </c:pt>
                <c:pt idx="31">
                  <c:v>6.2325282562764671E-2</c:v>
                </c:pt>
                <c:pt idx="32">
                  <c:v>1.5379783018760484E-2</c:v>
                </c:pt>
                <c:pt idx="33">
                  <c:v>3.1733304343384838E-2</c:v>
                </c:pt>
                <c:pt idx="34">
                  <c:v>7.5541193436547138E-2</c:v>
                </c:pt>
                <c:pt idx="35">
                  <c:v>1.4660517790129633E-2</c:v>
                </c:pt>
                <c:pt idx="36">
                  <c:v>3.3584399455673195E-2</c:v>
                </c:pt>
                <c:pt idx="37">
                  <c:v>0.12756971173464074</c:v>
                </c:pt>
                <c:pt idx="38">
                  <c:v>0.15511973576748592</c:v>
                </c:pt>
                <c:pt idx="39">
                  <c:v>9.5407784373709489E-2</c:v>
                </c:pt>
                <c:pt idx="40">
                  <c:v>3.3578678376942263E-2</c:v>
                </c:pt>
                <c:pt idx="41">
                  <c:v>9.7891261532694653E-3</c:v>
                </c:pt>
                <c:pt idx="42">
                  <c:v>9.0970853291279574E-2</c:v>
                </c:pt>
                <c:pt idx="43">
                  <c:v>8.3682731145282657E-2</c:v>
                </c:pt>
                <c:pt idx="44">
                  <c:v>8.7073017116404403E-2</c:v>
                </c:pt>
                <c:pt idx="45">
                  <c:v>2.8461565258171683E-2</c:v>
                </c:pt>
                <c:pt idx="46">
                  <c:v>0.10531807299407749</c:v>
                </c:pt>
                <c:pt idx="47">
                  <c:v>9.1859253256519835E-2</c:v>
                </c:pt>
                <c:pt idx="48">
                  <c:v>1.5529814167189154E-2</c:v>
                </c:pt>
                <c:pt idx="49">
                  <c:v>0.14782193268536889</c:v>
                </c:pt>
                <c:pt idx="50">
                  <c:v>9.8830657150308129E-2</c:v>
                </c:pt>
                <c:pt idx="51">
                  <c:v>6.3117278826018516E-2</c:v>
                </c:pt>
                <c:pt idx="52">
                  <c:v>0.15688101530868695</c:v>
                </c:pt>
                <c:pt idx="53">
                  <c:v>6.0639461288496288E-2</c:v>
                </c:pt>
                <c:pt idx="54">
                  <c:v>0.15747882230615834</c:v>
                </c:pt>
                <c:pt idx="55">
                  <c:v>0.13827775602833198</c:v>
                </c:pt>
                <c:pt idx="56">
                  <c:v>0.11908026771222972</c:v>
                </c:pt>
                <c:pt idx="57">
                  <c:v>0.10256029322601856</c:v>
                </c:pt>
                <c:pt idx="58">
                  <c:v>0.12335754968915123</c:v>
                </c:pt>
                <c:pt idx="59">
                  <c:v>4.8705218798290664E-2</c:v>
                </c:pt>
                <c:pt idx="60">
                  <c:v>3.9367797440389804E-2</c:v>
                </c:pt>
                <c:pt idx="61">
                  <c:v>4.358443329073719E-2</c:v>
                </c:pt>
                <c:pt idx="62">
                  <c:v>5.5996193609779997E-2</c:v>
                </c:pt>
                <c:pt idx="63">
                  <c:v>2.7120400080180841E-2</c:v>
                </c:pt>
                <c:pt idx="64">
                  <c:v>3.9987659614335015E-2</c:v>
                </c:pt>
                <c:pt idx="65">
                  <c:v>0.1336612893938588</c:v>
                </c:pt>
                <c:pt idx="66">
                  <c:v>0.13443080137640193</c:v>
                </c:pt>
                <c:pt idx="67">
                  <c:v>6.8509686412559528E-2</c:v>
                </c:pt>
                <c:pt idx="68">
                  <c:v>0.14889865233366315</c:v>
                </c:pt>
                <c:pt idx="69">
                  <c:v>1.53513398698952E-2</c:v>
                </c:pt>
                <c:pt idx="70">
                  <c:v>0.10611778644083152</c:v>
                </c:pt>
                <c:pt idx="71">
                  <c:v>2.3200750637572265E-2</c:v>
                </c:pt>
                <c:pt idx="72">
                  <c:v>9.5649538107499057E-2</c:v>
                </c:pt>
                <c:pt idx="73">
                  <c:v>0.15913990962343988</c:v>
                </c:pt>
                <c:pt idx="74">
                  <c:v>9.8712330930425182E-2</c:v>
                </c:pt>
                <c:pt idx="75">
                  <c:v>0.1417070847605417</c:v>
                </c:pt>
                <c:pt idx="76">
                  <c:v>0.10198098769123491</c:v>
                </c:pt>
                <c:pt idx="77">
                  <c:v>0.11231131585216542</c:v>
                </c:pt>
                <c:pt idx="78">
                  <c:v>5.4029565323211778E-2</c:v>
                </c:pt>
                <c:pt idx="79">
                  <c:v>2.4509808698668048E-2</c:v>
                </c:pt>
                <c:pt idx="80">
                  <c:v>0.11709148635314738</c:v>
                </c:pt>
                <c:pt idx="81">
                  <c:v>0.12732401669310647</c:v>
                </c:pt>
                <c:pt idx="82">
                  <c:v>0.12207466489466955</c:v>
                </c:pt>
                <c:pt idx="83">
                  <c:v>6.3434901695616858E-2</c:v>
                </c:pt>
                <c:pt idx="84">
                  <c:v>0.14453638419136375</c:v>
                </c:pt>
                <c:pt idx="85">
                  <c:v>3.3148437737547942E-2</c:v>
                </c:pt>
                <c:pt idx="86">
                  <c:v>3.0486612444361801E-2</c:v>
                </c:pt>
                <c:pt idx="87">
                  <c:v>1.0925842479822249E-2</c:v>
                </c:pt>
                <c:pt idx="88">
                  <c:v>0.14388788896148805</c:v>
                </c:pt>
                <c:pt idx="89">
                  <c:v>8.5079779498648866E-2</c:v>
                </c:pt>
                <c:pt idx="90">
                  <c:v>8.4640044570068435E-2</c:v>
                </c:pt>
                <c:pt idx="91">
                  <c:v>0.10496222724531129</c:v>
                </c:pt>
                <c:pt idx="92">
                  <c:v>5.9616345829860251E-2</c:v>
                </c:pt>
                <c:pt idx="93">
                  <c:v>7.4410525105199701E-2</c:v>
                </c:pt>
                <c:pt idx="94">
                  <c:v>9.9450123204467417E-2</c:v>
                </c:pt>
                <c:pt idx="95">
                  <c:v>3.2102702584016776E-2</c:v>
                </c:pt>
                <c:pt idx="96">
                  <c:v>0.12685345552713975</c:v>
                </c:pt>
                <c:pt idx="97">
                  <c:v>0.12242448156414122</c:v>
                </c:pt>
                <c:pt idx="98">
                  <c:v>1.9174260118222521E-2</c:v>
                </c:pt>
                <c:pt idx="99">
                  <c:v>6.5390000220484426E-2</c:v>
                </c:pt>
                <c:pt idx="100">
                  <c:v>8.9032948786948257E-2</c:v>
                </c:pt>
                <c:pt idx="101">
                  <c:v>7.203053381087611E-2</c:v>
                </c:pt>
                <c:pt idx="102">
                  <c:v>4.9703543451889459E-2</c:v>
                </c:pt>
                <c:pt idx="103">
                  <c:v>0.13170654103164817</c:v>
                </c:pt>
                <c:pt idx="104">
                  <c:v>0.12454873625034753</c:v>
                </c:pt>
                <c:pt idx="105">
                  <c:v>5.7635855148406183E-2</c:v>
                </c:pt>
                <c:pt idx="106">
                  <c:v>4.5495020756192606E-2</c:v>
                </c:pt>
                <c:pt idx="107">
                  <c:v>2.1387421417522041E-2</c:v>
                </c:pt>
                <c:pt idx="108">
                  <c:v>0.11616109793741926</c:v>
                </c:pt>
                <c:pt idx="109">
                  <c:v>8.1939563176998534E-2</c:v>
                </c:pt>
                <c:pt idx="110">
                  <c:v>3.8955721604367409E-2</c:v>
                </c:pt>
                <c:pt idx="111">
                  <c:v>9.4188945211604383E-3</c:v>
                </c:pt>
                <c:pt idx="112">
                  <c:v>0.1073728617253495</c:v>
                </c:pt>
                <c:pt idx="113">
                  <c:v>9.8337366350176904E-3</c:v>
                </c:pt>
                <c:pt idx="114">
                  <c:v>8.951636550599186E-2</c:v>
                </c:pt>
                <c:pt idx="115">
                  <c:v>7.8536924299802385E-2</c:v>
                </c:pt>
                <c:pt idx="116">
                  <c:v>7.1517666958822654E-2</c:v>
                </c:pt>
                <c:pt idx="117">
                  <c:v>1.1670773027609504E-2</c:v>
                </c:pt>
                <c:pt idx="118">
                  <c:v>6.426517634801393E-2</c:v>
                </c:pt>
                <c:pt idx="119">
                  <c:v>8.0268312572437842E-2</c:v>
                </c:pt>
                <c:pt idx="120">
                  <c:v>0.10398045890757167</c:v>
                </c:pt>
                <c:pt idx="121">
                  <c:v>2.0443656815259156E-2</c:v>
                </c:pt>
                <c:pt idx="122">
                  <c:v>3.2138587361480779E-2</c:v>
                </c:pt>
                <c:pt idx="123">
                  <c:v>5.0800679318925256E-2</c:v>
                </c:pt>
                <c:pt idx="124">
                  <c:v>4.9336043874392381E-2</c:v>
                </c:pt>
                <c:pt idx="125">
                  <c:v>6.8188087275127221E-2</c:v>
                </c:pt>
                <c:pt idx="126">
                  <c:v>0.10171780621281665</c:v>
                </c:pt>
                <c:pt idx="127">
                  <c:v>3.810970339883326E-2</c:v>
                </c:pt>
                <c:pt idx="128">
                  <c:v>6.1581904377684286E-2</c:v>
                </c:pt>
                <c:pt idx="129">
                  <c:v>0.12819496206801806</c:v>
                </c:pt>
                <c:pt idx="130">
                  <c:v>0.13164305702642859</c:v>
                </c:pt>
                <c:pt idx="131">
                  <c:v>9.0339424847032238E-2</c:v>
                </c:pt>
                <c:pt idx="132">
                  <c:v>3.3299439706888041E-2</c:v>
                </c:pt>
                <c:pt idx="133">
                  <c:v>7.2539919265549951E-2</c:v>
                </c:pt>
                <c:pt idx="134">
                  <c:v>9.7885763221954136E-2</c:v>
                </c:pt>
                <c:pt idx="135">
                  <c:v>0.12753532855582278</c:v>
                </c:pt>
                <c:pt idx="136">
                  <c:v>2.3213591536420313E-2</c:v>
                </c:pt>
                <c:pt idx="137">
                  <c:v>7.6643445271518409E-2</c:v>
                </c:pt>
                <c:pt idx="138">
                  <c:v>7.8902516109123799E-2</c:v>
                </c:pt>
                <c:pt idx="139">
                  <c:v>0.12533627074380632</c:v>
                </c:pt>
                <c:pt idx="140">
                  <c:v>0.13109259775017737</c:v>
                </c:pt>
                <c:pt idx="141">
                  <c:v>5.9884248296596505E-2</c:v>
                </c:pt>
                <c:pt idx="142">
                  <c:v>0.13809400076568229</c:v>
                </c:pt>
                <c:pt idx="143">
                  <c:v>2.2862713108344521E-2</c:v>
                </c:pt>
                <c:pt idx="144">
                  <c:v>3.0311262078780776E-2</c:v>
                </c:pt>
                <c:pt idx="145">
                  <c:v>6.8727651899586378E-2</c:v>
                </c:pt>
                <c:pt idx="146">
                  <c:v>5.1114853639815411E-2</c:v>
                </c:pt>
                <c:pt idx="147">
                  <c:v>0.12497614179970618</c:v>
                </c:pt>
                <c:pt idx="148">
                  <c:v>0.14795271670134505</c:v>
                </c:pt>
                <c:pt idx="149">
                  <c:v>0.15807560477892882</c:v>
                </c:pt>
                <c:pt idx="150">
                  <c:v>3.2104008174752889E-2</c:v>
                </c:pt>
                <c:pt idx="151">
                  <c:v>0.13099965244259229</c:v>
                </c:pt>
                <c:pt idx="152">
                  <c:v>3.1088084918210367E-2</c:v>
                </c:pt>
                <c:pt idx="153">
                  <c:v>6.6147706928222388E-2</c:v>
                </c:pt>
                <c:pt idx="154">
                  <c:v>4.0501432663396106E-2</c:v>
                </c:pt>
                <c:pt idx="155">
                  <c:v>0.15860781135352112</c:v>
                </c:pt>
                <c:pt idx="156">
                  <c:v>0.12299127319614318</c:v>
                </c:pt>
                <c:pt idx="157">
                  <c:v>0.10444071880617192</c:v>
                </c:pt>
                <c:pt idx="158">
                  <c:v>9.9330217960700976E-2</c:v>
                </c:pt>
                <c:pt idx="159">
                  <c:v>5.3853981133361969E-2</c:v>
                </c:pt>
                <c:pt idx="160">
                  <c:v>0.14883737421424639</c:v>
                </c:pt>
                <c:pt idx="161">
                  <c:v>4.3038018618828583E-2</c:v>
                </c:pt>
                <c:pt idx="162">
                  <c:v>2.8348096554435234E-2</c:v>
                </c:pt>
                <c:pt idx="163">
                  <c:v>2.5619124053126135E-2</c:v>
                </c:pt>
                <c:pt idx="164">
                  <c:v>0.15414131515873247</c:v>
                </c:pt>
                <c:pt idx="165">
                  <c:v>1.785882394224781E-2</c:v>
                </c:pt>
                <c:pt idx="166">
                  <c:v>4.1158915152762009E-2</c:v>
                </c:pt>
                <c:pt idx="167">
                  <c:v>8.4293529354039456E-2</c:v>
                </c:pt>
                <c:pt idx="168">
                  <c:v>8.0308666753224567E-2</c:v>
                </c:pt>
                <c:pt idx="169">
                  <c:v>6.5255361030290754E-2</c:v>
                </c:pt>
                <c:pt idx="170">
                  <c:v>7.2341032273755421E-2</c:v>
                </c:pt>
                <c:pt idx="171">
                  <c:v>7.1724369645313785E-2</c:v>
                </c:pt>
                <c:pt idx="172">
                  <c:v>2.4071649452778419E-2</c:v>
                </c:pt>
                <c:pt idx="173">
                  <c:v>8.6841403262831782E-2</c:v>
                </c:pt>
                <c:pt idx="174">
                  <c:v>9.6596063391287262E-2</c:v>
                </c:pt>
                <c:pt idx="175">
                  <c:v>0.13658869998773102</c:v>
                </c:pt>
                <c:pt idx="176">
                  <c:v>5.1943911337615674E-2</c:v>
                </c:pt>
                <c:pt idx="177">
                  <c:v>2.5130482330957774E-2</c:v>
                </c:pt>
                <c:pt idx="178">
                  <c:v>8.3365006721360838E-2</c:v>
                </c:pt>
                <c:pt idx="179">
                  <c:v>0.10444352723923009</c:v>
                </c:pt>
                <c:pt idx="180">
                  <c:v>0.14868733327707875</c:v>
                </c:pt>
                <c:pt idx="181">
                  <c:v>5.5029077322938047E-2</c:v>
                </c:pt>
                <c:pt idx="182">
                  <c:v>0.13895227495277421</c:v>
                </c:pt>
                <c:pt idx="183">
                  <c:v>1.6758109287027985E-2</c:v>
                </c:pt>
                <c:pt idx="184">
                  <c:v>0.14606936475765622</c:v>
                </c:pt>
                <c:pt idx="185">
                  <c:v>0.1414673970605676</c:v>
                </c:pt>
                <c:pt idx="186">
                  <c:v>0.10044846688279419</c:v>
                </c:pt>
                <c:pt idx="187">
                  <c:v>7.906721840522668E-2</c:v>
                </c:pt>
                <c:pt idx="188">
                  <c:v>0.11221822169264274</c:v>
                </c:pt>
                <c:pt idx="189">
                  <c:v>0.14952578413739817</c:v>
                </c:pt>
                <c:pt idx="190">
                  <c:v>0.11304207540742672</c:v>
                </c:pt>
                <c:pt idx="191">
                  <c:v>8.2240123865643416E-2</c:v>
                </c:pt>
                <c:pt idx="192">
                  <c:v>8.8232457763322988E-2</c:v>
                </c:pt>
                <c:pt idx="193">
                  <c:v>2.9927165805193875E-2</c:v>
                </c:pt>
                <c:pt idx="194">
                  <c:v>0.13466482545436892</c:v>
                </c:pt>
                <c:pt idx="195">
                  <c:v>9.6908529410938068E-2</c:v>
                </c:pt>
                <c:pt idx="196">
                  <c:v>8.3626618045778436E-2</c:v>
                </c:pt>
                <c:pt idx="197">
                  <c:v>0.1044771316300748</c:v>
                </c:pt>
                <c:pt idx="198">
                  <c:v>8.093585180934923E-2</c:v>
                </c:pt>
                <c:pt idx="199">
                  <c:v>0.12543605172036024</c:v>
                </c:pt>
                <c:pt idx="200">
                  <c:v>0.12045882723099342</c:v>
                </c:pt>
                <c:pt idx="201">
                  <c:v>0.12162307861722932</c:v>
                </c:pt>
                <c:pt idx="202">
                  <c:v>0.11324945249433477</c:v>
                </c:pt>
                <c:pt idx="203">
                  <c:v>3.8988418100493638E-2</c:v>
                </c:pt>
                <c:pt idx="204">
                  <c:v>0.14729534235020686</c:v>
                </c:pt>
                <c:pt idx="205">
                  <c:v>6.2032067372176168E-2</c:v>
                </c:pt>
                <c:pt idx="206">
                  <c:v>4.236215849507128E-2</c:v>
                </c:pt>
                <c:pt idx="207">
                  <c:v>1.1721863733816763E-2</c:v>
                </c:pt>
                <c:pt idx="208">
                  <c:v>8.0228590060708885E-2</c:v>
                </c:pt>
                <c:pt idx="209">
                  <c:v>0.14540635968529805</c:v>
                </c:pt>
                <c:pt idx="210">
                  <c:v>9.5586276309459803E-2</c:v>
                </c:pt>
                <c:pt idx="211">
                  <c:v>2.2639473631260669E-2</c:v>
                </c:pt>
                <c:pt idx="212">
                  <c:v>2.2069276038247959E-2</c:v>
                </c:pt>
                <c:pt idx="213">
                  <c:v>2.0233471487157803E-2</c:v>
                </c:pt>
                <c:pt idx="214">
                  <c:v>1.923470505854636E-2</c:v>
                </c:pt>
                <c:pt idx="215">
                  <c:v>0.12572483186094097</c:v>
                </c:pt>
                <c:pt idx="216">
                  <c:v>0.12388919062194235</c:v>
                </c:pt>
                <c:pt idx="217">
                  <c:v>7.0839714123979158E-2</c:v>
                </c:pt>
                <c:pt idx="218">
                  <c:v>0.12212155631942803</c:v>
                </c:pt>
                <c:pt idx="219">
                  <c:v>6.3577649403412331E-2</c:v>
                </c:pt>
                <c:pt idx="220">
                  <c:v>0.14618325410616234</c:v>
                </c:pt>
                <c:pt idx="221">
                  <c:v>6.8869484381854584E-2</c:v>
                </c:pt>
                <c:pt idx="222">
                  <c:v>0.1417686611175136</c:v>
                </c:pt>
                <c:pt idx="223">
                  <c:v>9.1012887508981191E-2</c:v>
                </c:pt>
                <c:pt idx="224">
                  <c:v>0.1044226896211905</c:v>
                </c:pt>
                <c:pt idx="225">
                  <c:v>0.14483604003432504</c:v>
                </c:pt>
                <c:pt idx="226">
                  <c:v>0.13361017330220715</c:v>
                </c:pt>
                <c:pt idx="227">
                  <c:v>0.14947977555222153</c:v>
                </c:pt>
                <c:pt idx="228">
                  <c:v>2.4937566204556762E-2</c:v>
                </c:pt>
                <c:pt idx="229">
                  <c:v>0.14501873342873967</c:v>
                </c:pt>
                <c:pt idx="230">
                  <c:v>1.0958948054914517E-2</c:v>
                </c:pt>
                <c:pt idx="231">
                  <c:v>0.14158310402489496</c:v>
                </c:pt>
                <c:pt idx="232">
                  <c:v>7.6646081872127958E-2</c:v>
                </c:pt>
                <c:pt idx="233">
                  <c:v>0.13311203500961713</c:v>
                </c:pt>
                <c:pt idx="234">
                  <c:v>4.9615239160751404E-2</c:v>
                </c:pt>
                <c:pt idx="235">
                  <c:v>0.14854834327116798</c:v>
                </c:pt>
                <c:pt idx="236">
                  <c:v>5.1538101508692993E-2</c:v>
                </c:pt>
                <c:pt idx="237">
                  <c:v>2.2325194332725333E-2</c:v>
                </c:pt>
                <c:pt idx="238">
                  <c:v>9.390718338742067E-2</c:v>
                </c:pt>
                <c:pt idx="239">
                  <c:v>3.7709577945539155E-2</c:v>
                </c:pt>
                <c:pt idx="240">
                  <c:v>0.10619097117220679</c:v>
                </c:pt>
                <c:pt idx="241">
                  <c:v>6.9697151188668149E-2</c:v>
                </c:pt>
                <c:pt idx="242">
                  <c:v>3.120998055088604E-2</c:v>
                </c:pt>
                <c:pt idx="243">
                  <c:v>0.14043533766636079</c:v>
                </c:pt>
                <c:pt idx="244">
                  <c:v>6.3405026873058892E-2</c:v>
                </c:pt>
                <c:pt idx="245">
                  <c:v>5.8904403071054497E-2</c:v>
                </c:pt>
                <c:pt idx="246">
                  <c:v>0.12158938180044172</c:v>
                </c:pt>
                <c:pt idx="247">
                  <c:v>0.13035231661053676</c:v>
                </c:pt>
                <c:pt idx="248">
                  <c:v>9.5533565512964227E-2</c:v>
                </c:pt>
                <c:pt idx="249">
                  <c:v>6.773281732534582E-2</c:v>
                </c:pt>
                <c:pt idx="250">
                  <c:v>0.13671245953805988</c:v>
                </c:pt>
                <c:pt idx="251">
                  <c:v>0.15757932851090087</c:v>
                </c:pt>
                <c:pt idx="252">
                  <c:v>0.10574573165212707</c:v>
                </c:pt>
                <c:pt idx="253">
                  <c:v>0.10241681323519411</c:v>
                </c:pt>
                <c:pt idx="254">
                  <c:v>0.14242533746229416</c:v>
                </c:pt>
                <c:pt idx="255">
                  <c:v>0.13536824091432689</c:v>
                </c:pt>
                <c:pt idx="256">
                  <c:v>0.12227090289818521</c:v>
                </c:pt>
                <c:pt idx="257">
                  <c:v>0.10323052092953425</c:v>
                </c:pt>
                <c:pt idx="258">
                  <c:v>4.0464749784566434E-2</c:v>
                </c:pt>
                <c:pt idx="259">
                  <c:v>7.5315551489489915E-2</c:v>
                </c:pt>
                <c:pt idx="260">
                  <c:v>3.0342513909262427E-2</c:v>
                </c:pt>
                <c:pt idx="261">
                  <c:v>6.4504526099505924E-2</c:v>
                </c:pt>
                <c:pt idx="262">
                  <c:v>0.14385387048877188</c:v>
                </c:pt>
                <c:pt idx="263">
                  <c:v>1.8448645947556457E-2</c:v>
                </c:pt>
                <c:pt idx="264">
                  <c:v>1.2795952348796078E-2</c:v>
                </c:pt>
                <c:pt idx="265">
                  <c:v>3.2996694656082633E-2</c:v>
                </c:pt>
                <c:pt idx="266">
                  <c:v>6.1245348690480213E-2</c:v>
                </c:pt>
                <c:pt idx="267">
                  <c:v>3.2600355084636101E-2</c:v>
                </c:pt>
                <c:pt idx="268">
                  <c:v>0.1002998189649658</c:v>
                </c:pt>
                <c:pt idx="269">
                  <c:v>0.14936854565998292</c:v>
                </c:pt>
                <c:pt idx="270">
                  <c:v>4.2535034008034385E-2</c:v>
                </c:pt>
                <c:pt idx="271">
                  <c:v>1.604517023444927E-2</c:v>
                </c:pt>
                <c:pt idx="272">
                  <c:v>5.2901515025285048E-2</c:v>
                </c:pt>
                <c:pt idx="273">
                  <c:v>5.7191455885523122E-2</c:v>
                </c:pt>
                <c:pt idx="274">
                  <c:v>5.6503552810461981E-2</c:v>
                </c:pt>
                <c:pt idx="275">
                  <c:v>8.3482803335439004E-2</c:v>
                </c:pt>
                <c:pt idx="276">
                  <c:v>0.14800656534530918</c:v>
                </c:pt>
                <c:pt idx="277">
                  <c:v>5.8672085147136684E-2</c:v>
                </c:pt>
                <c:pt idx="278">
                  <c:v>6.2911580952113855E-2</c:v>
                </c:pt>
                <c:pt idx="279">
                  <c:v>0.15839732869819545</c:v>
                </c:pt>
                <c:pt idx="280">
                  <c:v>0.14201723100843838</c:v>
                </c:pt>
                <c:pt idx="281">
                  <c:v>4.6926589141730313E-2</c:v>
                </c:pt>
                <c:pt idx="282">
                  <c:v>0.13051435823436125</c:v>
                </c:pt>
                <c:pt idx="283">
                  <c:v>0.14052644162596853</c:v>
                </c:pt>
                <c:pt idx="284">
                  <c:v>9.1517004867939497E-2</c:v>
                </c:pt>
                <c:pt idx="285">
                  <c:v>9.9502556212182888E-2</c:v>
                </c:pt>
                <c:pt idx="286">
                  <c:v>5.0961071239791711E-2</c:v>
                </c:pt>
                <c:pt idx="287">
                  <c:v>0.11030204952073752</c:v>
                </c:pt>
                <c:pt idx="288">
                  <c:v>3.0637011833555983E-2</c:v>
                </c:pt>
                <c:pt idx="289">
                  <c:v>0.13134218595093441</c:v>
                </c:pt>
                <c:pt idx="290">
                  <c:v>9.4145709712074033E-2</c:v>
                </c:pt>
                <c:pt idx="291">
                  <c:v>7.9892432763937621E-2</c:v>
                </c:pt>
                <c:pt idx="292">
                  <c:v>0.11664216552479169</c:v>
                </c:pt>
                <c:pt idx="293">
                  <c:v>0.12652963200869305</c:v>
                </c:pt>
                <c:pt idx="294">
                  <c:v>0.1409723473539779</c:v>
                </c:pt>
                <c:pt idx="295">
                  <c:v>8.0519776925349076E-2</c:v>
                </c:pt>
                <c:pt idx="296">
                  <c:v>0.16022953537427026</c:v>
                </c:pt>
                <c:pt idx="297">
                  <c:v>0.15550376689987844</c:v>
                </c:pt>
                <c:pt idx="298">
                  <c:v>0.14942412515085579</c:v>
                </c:pt>
                <c:pt idx="299">
                  <c:v>0.11914010054072093</c:v>
                </c:pt>
                <c:pt idx="300">
                  <c:v>3.3966028392692887E-2</c:v>
                </c:pt>
                <c:pt idx="301">
                  <c:v>0.12103412195467785</c:v>
                </c:pt>
                <c:pt idx="302">
                  <c:v>0.15035675820506325</c:v>
                </c:pt>
                <c:pt idx="303">
                  <c:v>5.1112591226778276E-2</c:v>
                </c:pt>
                <c:pt idx="304">
                  <c:v>0.12369550124975047</c:v>
                </c:pt>
                <c:pt idx="305">
                  <c:v>5.1761701403333221E-2</c:v>
                </c:pt>
                <c:pt idx="306">
                  <c:v>0.14668486939668504</c:v>
                </c:pt>
                <c:pt idx="307">
                  <c:v>0.1379910696618909</c:v>
                </c:pt>
                <c:pt idx="308">
                  <c:v>6.6839116313768654E-2</c:v>
                </c:pt>
                <c:pt idx="309">
                  <c:v>0.11200812254421708</c:v>
                </c:pt>
                <c:pt idx="310">
                  <c:v>0.1338107806529297</c:v>
                </c:pt>
                <c:pt idx="311">
                  <c:v>5.7643886776594676E-2</c:v>
                </c:pt>
                <c:pt idx="312">
                  <c:v>0.13476042750674921</c:v>
                </c:pt>
                <c:pt idx="313">
                  <c:v>0.11255328868874727</c:v>
                </c:pt>
                <c:pt idx="314">
                  <c:v>4.1583207999465931E-2</c:v>
                </c:pt>
                <c:pt idx="315">
                  <c:v>0.13133584770622966</c:v>
                </c:pt>
                <c:pt idx="316">
                  <c:v>0.15851319772795847</c:v>
                </c:pt>
                <c:pt idx="317">
                  <c:v>8.6520531641226778E-2</c:v>
                </c:pt>
                <c:pt idx="318">
                  <c:v>0.1030741338743279</c:v>
                </c:pt>
                <c:pt idx="319">
                  <c:v>8.2412780817470319E-2</c:v>
                </c:pt>
                <c:pt idx="320">
                  <c:v>0.1438331218385738</c:v>
                </c:pt>
                <c:pt idx="321">
                  <c:v>0.13422106368500922</c:v>
                </c:pt>
                <c:pt idx="322">
                  <c:v>5.3712971569766108E-2</c:v>
                </c:pt>
                <c:pt idx="323">
                  <c:v>0.1128738184672637</c:v>
                </c:pt>
                <c:pt idx="324">
                  <c:v>3.1010559867920423E-2</c:v>
                </c:pt>
                <c:pt idx="325">
                  <c:v>0.15172519266624745</c:v>
                </c:pt>
                <c:pt idx="326">
                  <c:v>2.5873634160478234E-2</c:v>
                </c:pt>
                <c:pt idx="327">
                  <c:v>9.3682660122753003E-2</c:v>
                </c:pt>
                <c:pt idx="328">
                  <c:v>0.13159765460204562</c:v>
                </c:pt>
                <c:pt idx="329">
                  <c:v>3.2312987021545156E-2</c:v>
                </c:pt>
                <c:pt idx="330">
                  <c:v>6.9230819283997394E-2</c:v>
                </c:pt>
                <c:pt idx="331">
                  <c:v>0.1232195464192003</c:v>
                </c:pt>
                <c:pt idx="332">
                  <c:v>8.3031420441742942E-2</c:v>
                </c:pt>
                <c:pt idx="333">
                  <c:v>3.1672907665620129E-2</c:v>
                </c:pt>
                <c:pt idx="334">
                  <c:v>4.8207058713985403E-2</c:v>
                </c:pt>
                <c:pt idx="335">
                  <c:v>0.13649830393362233</c:v>
                </c:pt>
                <c:pt idx="336">
                  <c:v>4.5706353581403139E-2</c:v>
                </c:pt>
                <c:pt idx="337">
                  <c:v>0.13843428897912599</c:v>
                </c:pt>
                <c:pt idx="338">
                  <c:v>2.7627844813692799E-2</c:v>
                </c:pt>
                <c:pt idx="339">
                  <c:v>4.5439862214099222E-2</c:v>
                </c:pt>
                <c:pt idx="340">
                  <c:v>2.7395572504633998E-2</c:v>
                </c:pt>
                <c:pt idx="341">
                  <c:v>0.15953558676157895</c:v>
                </c:pt>
                <c:pt idx="342">
                  <c:v>9.4405118603907517E-2</c:v>
                </c:pt>
                <c:pt idx="343">
                  <c:v>5.6127682179768205E-2</c:v>
                </c:pt>
                <c:pt idx="344">
                  <c:v>0.12570378030165641</c:v>
                </c:pt>
                <c:pt idx="345">
                  <c:v>5.06680393243302E-2</c:v>
                </c:pt>
                <c:pt idx="346">
                  <c:v>4.343989034922837E-2</c:v>
                </c:pt>
                <c:pt idx="347">
                  <c:v>0.11455490369925893</c:v>
                </c:pt>
                <c:pt idx="348">
                  <c:v>0.14170330195355713</c:v>
                </c:pt>
                <c:pt idx="349">
                  <c:v>0.1025043150772319</c:v>
                </c:pt>
                <c:pt idx="350">
                  <c:v>0.10599538067253</c:v>
                </c:pt>
                <c:pt idx="351">
                  <c:v>4.8219318089189209E-2</c:v>
                </c:pt>
                <c:pt idx="352">
                  <c:v>0.19549111961947246</c:v>
                </c:pt>
                <c:pt idx="353">
                  <c:v>0.13344913769352279</c:v>
                </c:pt>
                <c:pt idx="354">
                  <c:v>0.10887374323344885</c:v>
                </c:pt>
                <c:pt idx="355">
                  <c:v>3.1967403246496121E-2</c:v>
                </c:pt>
                <c:pt idx="356">
                  <c:v>0.17118676757264595</c:v>
                </c:pt>
                <c:pt idx="357">
                  <c:v>2.40051080708986E-2</c:v>
                </c:pt>
                <c:pt idx="358">
                  <c:v>8.3946360918012192E-2</c:v>
                </c:pt>
                <c:pt idx="359">
                  <c:v>0.10607748053964082</c:v>
                </c:pt>
                <c:pt idx="360">
                  <c:v>3.1007231272772551E-2</c:v>
                </c:pt>
                <c:pt idx="361">
                  <c:v>0.14506712580258205</c:v>
                </c:pt>
                <c:pt idx="362">
                  <c:v>4.3925178834349113E-2</c:v>
                </c:pt>
                <c:pt idx="363">
                  <c:v>0.12116544455037254</c:v>
                </c:pt>
                <c:pt idx="364">
                  <c:v>5.3166556020674799E-2</c:v>
                </c:pt>
                <c:pt idx="365">
                  <c:v>5.4290753972240154E-2</c:v>
                </c:pt>
                <c:pt idx="366">
                  <c:v>5.6454700964067864E-2</c:v>
                </c:pt>
                <c:pt idx="367">
                  <c:v>6.3944630524609344E-2</c:v>
                </c:pt>
                <c:pt idx="368">
                  <c:v>9.8675326734397259E-2</c:v>
                </c:pt>
                <c:pt idx="369">
                  <c:v>0.15633156205142495</c:v>
                </c:pt>
                <c:pt idx="370">
                  <c:v>0.1120882367894743</c:v>
                </c:pt>
                <c:pt idx="371">
                  <c:v>0.19806276599847406</c:v>
                </c:pt>
                <c:pt idx="372">
                  <c:v>9.4073115235328852E-2</c:v>
                </c:pt>
                <c:pt idx="373">
                  <c:v>3.5240479760226311E-2</c:v>
                </c:pt>
                <c:pt idx="374">
                  <c:v>2.7322431854458061E-2</c:v>
                </c:pt>
                <c:pt idx="375">
                  <c:v>0.17247405049056028</c:v>
                </c:pt>
                <c:pt idx="376">
                  <c:v>0.10964864456452682</c:v>
                </c:pt>
                <c:pt idx="377">
                  <c:v>9.0264522062528343E-2</c:v>
                </c:pt>
                <c:pt idx="378">
                  <c:v>0.13367505886350139</c:v>
                </c:pt>
                <c:pt idx="379">
                  <c:v>0.10015246865451874</c:v>
                </c:pt>
                <c:pt idx="380">
                  <c:v>0.1722207777945097</c:v>
                </c:pt>
                <c:pt idx="381">
                  <c:v>3.0137764792632415E-2</c:v>
                </c:pt>
                <c:pt idx="382">
                  <c:v>0.13250109811571481</c:v>
                </c:pt>
                <c:pt idx="383">
                  <c:v>0.12884465829779296</c:v>
                </c:pt>
                <c:pt idx="384">
                  <c:v>1.9625742419254487E-2</c:v>
                </c:pt>
                <c:pt idx="385">
                  <c:v>2.5191925349720923E-2</c:v>
                </c:pt>
                <c:pt idx="386">
                  <c:v>0.17646809342117972</c:v>
                </c:pt>
                <c:pt idx="387">
                  <c:v>0.18114804935618123</c:v>
                </c:pt>
                <c:pt idx="388">
                  <c:v>3.3971481839466154E-2</c:v>
                </c:pt>
                <c:pt idx="389">
                  <c:v>0.1159396560247912</c:v>
                </c:pt>
                <c:pt idx="390">
                  <c:v>0.15022576034184501</c:v>
                </c:pt>
                <c:pt idx="391">
                  <c:v>6.2676145978497966E-2</c:v>
                </c:pt>
                <c:pt idx="392">
                  <c:v>0.10330625628180118</c:v>
                </c:pt>
                <c:pt idx="393">
                  <c:v>6.551329696829114E-2</c:v>
                </c:pt>
                <c:pt idx="394">
                  <c:v>0.11643299295100078</c:v>
                </c:pt>
                <c:pt idx="395">
                  <c:v>7.9462592751478447E-2</c:v>
                </c:pt>
                <c:pt idx="396">
                  <c:v>0.16411537220778705</c:v>
                </c:pt>
                <c:pt idx="397">
                  <c:v>0.10260358329017463</c:v>
                </c:pt>
                <c:pt idx="398">
                  <c:v>0.10895206004671423</c:v>
                </c:pt>
                <c:pt idx="399">
                  <c:v>0.11868081826343611</c:v>
                </c:pt>
                <c:pt idx="400">
                  <c:v>0.10476197961365179</c:v>
                </c:pt>
                <c:pt idx="401">
                  <c:v>0.16349552163460673</c:v>
                </c:pt>
                <c:pt idx="402">
                  <c:v>0.10525399973270216</c:v>
                </c:pt>
                <c:pt idx="403">
                  <c:v>5.2797073603597283E-2</c:v>
                </c:pt>
                <c:pt idx="404">
                  <c:v>2.4667930164163396E-2</c:v>
                </c:pt>
                <c:pt idx="405">
                  <c:v>5.096801396754972E-2</c:v>
                </c:pt>
                <c:pt idx="406">
                  <c:v>0.130090808196929</c:v>
                </c:pt>
                <c:pt idx="407">
                  <c:v>8.4973430685047771E-2</c:v>
                </c:pt>
                <c:pt idx="408">
                  <c:v>2.2862424298297518E-2</c:v>
                </c:pt>
                <c:pt idx="409">
                  <c:v>3.9017163581952591E-2</c:v>
                </c:pt>
                <c:pt idx="410">
                  <c:v>5.0409487137806783E-2</c:v>
                </c:pt>
                <c:pt idx="411">
                  <c:v>0.16728823598396791</c:v>
                </c:pt>
                <c:pt idx="412">
                  <c:v>0.15228448825037624</c:v>
                </c:pt>
                <c:pt idx="413">
                  <c:v>3.8343996957748684E-2</c:v>
                </c:pt>
                <c:pt idx="414">
                  <c:v>0.11020152062624378</c:v>
                </c:pt>
                <c:pt idx="415">
                  <c:v>0.15460969350932316</c:v>
                </c:pt>
                <c:pt idx="416">
                  <c:v>5.1772079980314904E-2</c:v>
                </c:pt>
                <c:pt idx="417">
                  <c:v>3.8576765395375252E-2</c:v>
                </c:pt>
                <c:pt idx="418">
                  <c:v>8.2206593218779517E-2</c:v>
                </c:pt>
                <c:pt idx="419">
                  <c:v>0.14016170358002891</c:v>
                </c:pt>
                <c:pt idx="420">
                  <c:v>0.1707546549830396</c:v>
                </c:pt>
                <c:pt idx="421">
                  <c:v>9.0843604491412183E-2</c:v>
                </c:pt>
                <c:pt idx="422">
                  <c:v>2.3389840257667337E-2</c:v>
                </c:pt>
                <c:pt idx="423">
                  <c:v>0.10415130283275606</c:v>
                </c:pt>
                <c:pt idx="424">
                  <c:v>0.18352714228160202</c:v>
                </c:pt>
                <c:pt idx="425">
                  <c:v>0.19581724880868251</c:v>
                </c:pt>
                <c:pt idx="426">
                  <c:v>1.6185980633853875E-2</c:v>
                </c:pt>
                <c:pt idx="427">
                  <c:v>0.15503435731642928</c:v>
                </c:pt>
                <c:pt idx="428">
                  <c:v>0.13833147457024805</c:v>
                </c:pt>
                <c:pt idx="429">
                  <c:v>1.3885950084476694E-2</c:v>
                </c:pt>
                <c:pt idx="430">
                  <c:v>0.12510045780506221</c:v>
                </c:pt>
                <c:pt idx="431">
                  <c:v>0.1476580979665493</c:v>
                </c:pt>
                <c:pt idx="432">
                  <c:v>0.1388248258608944</c:v>
                </c:pt>
                <c:pt idx="433">
                  <c:v>0.10009470330413538</c:v>
                </c:pt>
                <c:pt idx="434">
                  <c:v>0.19976832577931813</c:v>
                </c:pt>
                <c:pt idx="435">
                  <c:v>8.6519418407250512E-2</c:v>
                </c:pt>
                <c:pt idx="436">
                  <c:v>5.0363729332214752E-2</c:v>
                </c:pt>
                <c:pt idx="437">
                  <c:v>0.16539296741238124</c:v>
                </c:pt>
                <c:pt idx="438">
                  <c:v>8.6256068331069607E-2</c:v>
                </c:pt>
                <c:pt idx="439">
                  <c:v>0.10989025604043652</c:v>
                </c:pt>
                <c:pt idx="440">
                  <c:v>6.3886844968491258E-2</c:v>
                </c:pt>
                <c:pt idx="441">
                  <c:v>0.19509258111360706</c:v>
                </c:pt>
                <c:pt idx="442">
                  <c:v>0.10057325482695081</c:v>
                </c:pt>
                <c:pt idx="443">
                  <c:v>1.9503315482590784E-2</c:v>
                </c:pt>
                <c:pt idx="444">
                  <c:v>0.17399892225882119</c:v>
                </c:pt>
                <c:pt idx="445">
                  <c:v>4.7957201370902258E-2</c:v>
                </c:pt>
                <c:pt idx="446">
                  <c:v>5.3643137114792065E-2</c:v>
                </c:pt>
                <c:pt idx="447">
                  <c:v>0.10632896213788907</c:v>
                </c:pt>
                <c:pt idx="448">
                  <c:v>0.10996787822343355</c:v>
                </c:pt>
                <c:pt idx="449">
                  <c:v>0.18395040451606401</c:v>
                </c:pt>
                <c:pt idx="450">
                  <c:v>3.9554729167341839E-2</c:v>
                </c:pt>
                <c:pt idx="451">
                  <c:v>1.3700323779928969E-2</c:v>
                </c:pt>
                <c:pt idx="452">
                  <c:v>7.1497607181743625E-2</c:v>
                </c:pt>
                <c:pt idx="453">
                  <c:v>9.0865749877152041E-2</c:v>
                </c:pt>
                <c:pt idx="454">
                  <c:v>6.1051122016055101E-2</c:v>
                </c:pt>
                <c:pt idx="455">
                  <c:v>0.16730916171885907</c:v>
                </c:pt>
                <c:pt idx="456">
                  <c:v>0.13980278786437828</c:v>
                </c:pt>
                <c:pt idx="457">
                  <c:v>6.1570854367115506E-2</c:v>
                </c:pt>
                <c:pt idx="458">
                  <c:v>1.4477957823518402E-2</c:v>
                </c:pt>
                <c:pt idx="459">
                  <c:v>1.1600103268049711E-2</c:v>
                </c:pt>
                <c:pt idx="460">
                  <c:v>3.0182873644629765E-2</c:v>
                </c:pt>
                <c:pt idx="461">
                  <c:v>9.5296027975151437E-2</c:v>
                </c:pt>
                <c:pt idx="462">
                  <c:v>0.10581822593409521</c:v>
                </c:pt>
                <c:pt idx="463">
                  <c:v>0.15721091517397631</c:v>
                </c:pt>
                <c:pt idx="464">
                  <c:v>5.7080727573563243E-2</c:v>
                </c:pt>
                <c:pt idx="465">
                  <c:v>4.2409810641233406E-2</c:v>
                </c:pt>
                <c:pt idx="466">
                  <c:v>0.18054548453058672</c:v>
                </c:pt>
                <c:pt idx="467">
                  <c:v>0.11188471632513615</c:v>
                </c:pt>
                <c:pt idx="468">
                  <c:v>7.7618905708151345E-2</c:v>
                </c:pt>
                <c:pt idx="469">
                  <c:v>0.18551501720775507</c:v>
                </c:pt>
                <c:pt idx="470">
                  <c:v>8.8759060486768612E-2</c:v>
                </c:pt>
                <c:pt idx="471">
                  <c:v>8.5777606201668938E-2</c:v>
                </c:pt>
                <c:pt idx="472">
                  <c:v>0.12670872446339432</c:v>
                </c:pt>
                <c:pt idx="473">
                  <c:v>0.12829923820622471</c:v>
                </c:pt>
                <c:pt idx="474">
                  <c:v>7.1829759488414122E-2</c:v>
                </c:pt>
                <c:pt idx="475">
                  <c:v>0.19063666579910882</c:v>
                </c:pt>
                <c:pt idx="476">
                  <c:v>0.15396068064860213</c:v>
                </c:pt>
                <c:pt idx="477">
                  <c:v>9.5625446599260394E-2</c:v>
                </c:pt>
                <c:pt idx="478">
                  <c:v>2.5115415188048433E-2</c:v>
                </c:pt>
                <c:pt idx="479">
                  <c:v>7.7002033677182113E-2</c:v>
                </c:pt>
                <c:pt idx="480">
                  <c:v>0.14034486524835274</c:v>
                </c:pt>
                <c:pt idx="481">
                  <c:v>9.7591329564727464E-2</c:v>
                </c:pt>
                <c:pt idx="482">
                  <c:v>2.9269894376156708E-2</c:v>
                </c:pt>
                <c:pt idx="483">
                  <c:v>3.344354072899465E-2</c:v>
                </c:pt>
                <c:pt idx="484">
                  <c:v>7.0961140617648896E-2</c:v>
                </c:pt>
                <c:pt idx="485">
                  <c:v>6.3263463604711079E-2</c:v>
                </c:pt>
                <c:pt idx="486">
                  <c:v>0.15329901621978492</c:v>
                </c:pt>
                <c:pt idx="487">
                  <c:v>3.4649938325070441E-2</c:v>
                </c:pt>
                <c:pt idx="488">
                  <c:v>0.12857695403393493</c:v>
                </c:pt>
                <c:pt idx="489">
                  <c:v>1.6387543499093493E-2</c:v>
                </c:pt>
                <c:pt idx="490">
                  <c:v>0.1026183147463032</c:v>
                </c:pt>
                <c:pt idx="491">
                  <c:v>1.0437081970292703E-2</c:v>
                </c:pt>
                <c:pt idx="492">
                  <c:v>0.10740033679858836</c:v>
                </c:pt>
                <c:pt idx="493">
                  <c:v>0.19324392606555987</c:v>
                </c:pt>
                <c:pt idx="494">
                  <c:v>0.1689720494818284</c:v>
                </c:pt>
                <c:pt idx="495">
                  <c:v>4.2061790278556395E-2</c:v>
                </c:pt>
                <c:pt idx="496">
                  <c:v>3.7383010817749779E-2</c:v>
                </c:pt>
                <c:pt idx="497">
                  <c:v>0.10537498138319755</c:v>
                </c:pt>
                <c:pt idx="498">
                  <c:v>4.0923653635846886E-2</c:v>
                </c:pt>
                <c:pt idx="499">
                  <c:v>0.13041165670138605</c:v>
                </c:pt>
                <c:pt idx="500">
                  <c:v>0.19345049994368912</c:v>
                </c:pt>
                <c:pt idx="501">
                  <c:v>0.13215565501980842</c:v>
                </c:pt>
                <c:pt idx="502">
                  <c:v>0.18580685710015096</c:v>
                </c:pt>
                <c:pt idx="503">
                  <c:v>8.1431862302403943E-2</c:v>
                </c:pt>
                <c:pt idx="504">
                  <c:v>2.4372465502105513E-2</c:v>
                </c:pt>
                <c:pt idx="505">
                  <c:v>0.1790378811261733</c:v>
                </c:pt>
                <c:pt idx="506">
                  <c:v>7.2594054308012287E-2</c:v>
                </c:pt>
                <c:pt idx="507">
                  <c:v>9.4376372375597553E-2</c:v>
                </c:pt>
                <c:pt idx="508">
                  <c:v>0.15050936370554074</c:v>
                </c:pt>
                <c:pt idx="509">
                  <c:v>6.3349976498494179E-2</c:v>
                </c:pt>
                <c:pt idx="510">
                  <c:v>0.17495123828468689</c:v>
                </c:pt>
                <c:pt idx="511">
                  <c:v>0.15810114406562981</c:v>
                </c:pt>
                <c:pt idx="512">
                  <c:v>3.8222197702119196E-2</c:v>
                </c:pt>
                <c:pt idx="513">
                  <c:v>0.10145830327341686</c:v>
                </c:pt>
                <c:pt idx="514">
                  <c:v>0.1669201648547502</c:v>
                </c:pt>
                <c:pt idx="515">
                  <c:v>8.3284842231580752E-2</c:v>
                </c:pt>
                <c:pt idx="516">
                  <c:v>2.2174672759176631E-2</c:v>
                </c:pt>
                <c:pt idx="517">
                  <c:v>0.10466823179967186</c:v>
                </c:pt>
                <c:pt idx="518">
                  <c:v>5.3543191610119924E-2</c:v>
                </c:pt>
                <c:pt idx="519">
                  <c:v>8.122078829389201E-2</c:v>
                </c:pt>
                <c:pt idx="520">
                  <c:v>8.3744808060618861E-2</c:v>
                </c:pt>
                <c:pt idx="521">
                  <c:v>4.7205555158743868E-2</c:v>
                </c:pt>
                <c:pt idx="522">
                  <c:v>8.7429317470698265E-2</c:v>
                </c:pt>
                <c:pt idx="523">
                  <c:v>0.11091339918476392</c:v>
                </c:pt>
                <c:pt idx="524">
                  <c:v>0.10127386547142106</c:v>
                </c:pt>
                <c:pt idx="525">
                  <c:v>0.14069966577944892</c:v>
                </c:pt>
                <c:pt idx="526">
                  <c:v>3.7287941975375806E-2</c:v>
                </c:pt>
                <c:pt idx="527">
                  <c:v>1.3598788418723981E-2</c:v>
                </c:pt>
                <c:pt idx="528">
                  <c:v>0.17610387559030641</c:v>
                </c:pt>
                <c:pt idx="529">
                  <c:v>0.16426657142292045</c:v>
                </c:pt>
                <c:pt idx="530">
                  <c:v>6.1170465486470343E-2</c:v>
                </c:pt>
                <c:pt idx="531">
                  <c:v>9.5797349056050168E-2</c:v>
                </c:pt>
                <c:pt idx="532">
                  <c:v>7.902223898000367E-2</c:v>
                </c:pt>
                <c:pt idx="533">
                  <c:v>1.7142710206006391E-2</c:v>
                </c:pt>
                <c:pt idx="534">
                  <c:v>4.8834802855031632E-2</c:v>
                </c:pt>
                <c:pt idx="535">
                  <c:v>3.5724266444570767E-2</c:v>
                </c:pt>
                <c:pt idx="536">
                  <c:v>0.10508025177421126</c:v>
                </c:pt>
                <c:pt idx="537">
                  <c:v>0.18840614856659296</c:v>
                </c:pt>
                <c:pt idx="538">
                  <c:v>0.19829264473213934</c:v>
                </c:pt>
                <c:pt idx="539">
                  <c:v>1.0200648441279372E-2</c:v>
                </c:pt>
                <c:pt idx="540">
                  <c:v>0.10523799529303519</c:v>
                </c:pt>
                <c:pt idx="541">
                  <c:v>0.18178730344578192</c:v>
                </c:pt>
                <c:pt idx="542">
                  <c:v>0.10256135802602961</c:v>
                </c:pt>
                <c:pt idx="543">
                  <c:v>9.2054943914217535E-2</c:v>
                </c:pt>
                <c:pt idx="544">
                  <c:v>0.10793129038235807</c:v>
                </c:pt>
                <c:pt idx="545">
                  <c:v>0.15962987661183389</c:v>
                </c:pt>
                <c:pt idx="546">
                  <c:v>0.18025499188690108</c:v>
                </c:pt>
                <c:pt idx="547">
                  <c:v>9.662814745244519E-2</c:v>
                </c:pt>
                <c:pt idx="548">
                  <c:v>3.0828895277142023E-2</c:v>
                </c:pt>
                <c:pt idx="549">
                  <c:v>0.12395564549188171</c:v>
                </c:pt>
                <c:pt idx="550">
                  <c:v>0.13606965587236103</c:v>
                </c:pt>
                <c:pt idx="551">
                  <c:v>0.1266962005085929</c:v>
                </c:pt>
                <c:pt idx="552">
                  <c:v>9.8873481991623074E-2</c:v>
                </c:pt>
                <c:pt idx="553">
                  <c:v>0.11687785446790383</c:v>
                </c:pt>
                <c:pt idx="554">
                  <c:v>2.9117544656770654E-2</c:v>
                </c:pt>
                <c:pt idx="555">
                  <c:v>5.6635096147546832E-2</c:v>
                </c:pt>
                <c:pt idx="556">
                  <c:v>2.4246376546391224E-2</c:v>
                </c:pt>
                <c:pt idx="557">
                  <c:v>0.1482055588634125</c:v>
                </c:pt>
                <c:pt idx="558">
                  <c:v>0.16133410877046866</c:v>
                </c:pt>
                <c:pt idx="559">
                  <c:v>0.15538551797154712</c:v>
                </c:pt>
                <c:pt idx="560">
                  <c:v>8.269236711406891E-2</c:v>
                </c:pt>
                <c:pt idx="561">
                  <c:v>0.15928673280384273</c:v>
                </c:pt>
                <c:pt idx="562">
                  <c:v>4.5725523190446898E-2</c:v>
                </c:pt>
                <c:pt idx="563">
                  <c:v>0.17408920578561132</c:v>
                </c:pt>
                <c:pt idx="564">
                  <c:v>0.11446720592222114</c:v>
                </c:pt>
                <c:pt idx="565">
                  <c:v>8.1693567647940418E-2</c:v>
                </c:pt>
                <c:pt idx="566">
                  <c:v>0.18157354232850564</c:v>
                </c:pt>
                <c:pt idx="567">
                  <c:v>7.7687069053838639E-2</c:v>
                </c:pt>
                <c:pt idx="568">
                  <c:v>4.657405825721201E-2</c:v>
                </c:pt>
                <c:pt idx="569">
                  <c:v>0.12619191436652305</c:v>
                </c:pt>
                <c:pt idx="570">
                  <c:v>0.17431394123789312</c:v>
                </c:pt>
                <c:pt idx="571">
                  <c:v>0.12263447825426209</c:v>
                </c:pt>
                <c:pt idx="572">
                  <c:v>0.15891969016686508</c:v>
                </c:pt>
                <c:pt idx="573">
                  <c:v>0.16979499080638016</c:v>
                </c:pt>
                <c:pt idx="574">
                  <c:v>0.1729143756394097</c:v>
                </c:pt>
                <c:pt idx="575">
                  <c:v>0.18031029188991629</c:v>
                </c:pt>
                <c:pt idx="576">
                  <c:v>9.0957530815751877E-2</c:v>
                </c:pt>
                <c:pt idx="577">
                  <c:v>0.13497427688774899</c:v>
                </c:pt>
                <c:pt idx="578">
                  <c:v>0.18178603672934826</c:v>
                </c:pt>
                <c:pt idx="579">
                  <c:v>8.144028462130079E-2</c:v>
                </c:pt>
                <c:pt idx="580">
                  <c:v>2.9069533704308634E-2</c:v>
                </c:pt>
                <c:pt idx="581">
                  <c:v>5.2807716275059188E-2</c:v>
                </c:pt>
                <c:pt idx="582">
                  <c:v>0.19828051749937833</c:v>
                </c:pt>
                <c:pt idx="583">
                  <c:v>0.15472617126881202</c:v>
                </c:pt>
                <c:pt idx="584">
                  <c:v>0.12266896332379104</c:v>
                </c:pt>
                <c:pt idx="585">
                  <c:v>0.1987507048876711</c:v>
                </c:pt>
                <c:pt idx="586">
                  <c:v>3.8312675856068325E-2</c:v>
                </c:pt>
                <c:pt idx="587">
                  <c:v>0.19098859591767897</c:v>
                </c:pt>
                <c:pt idx="588">
                  <c:v>5.2961278178479773E-2</c:v>
                </c:pt>
                <c:pt idx="589">
                  <c:v>3.6574448165147738E-2</c:v>
                </c:pt>
                <c:pt idx="590">
                  <c:v>0.13005946625583567</c:v>
                </c:pt>
                <c:pt idx="591">
                  <c:v>0.13051977928249275</c:v>
                </c:pt>
                <c:pt idx="592">
                  <c:v>0.17509356747693022</c:v>
                </c:pt>
                <c:pt idx="593">
                  <c:v>5.120406868826699E-2</c:v>
                </c:pt>
                <c:pt idx="594">
                  <c:v>0.13538041961208208</c:v>
                </c:pt>
                <c:pt idx="595">
                  <c:v>0.10869338467660787</c:v>
                </c:pt>
                <c:pt idx="596">
                  <c:v>0.15014487053691661</c:v>
                </c:pt>
                <c:pt idx="597">
                  <c:v>6.6225489219234587E-2</c:v>
                </c:pt>
                <c:pt idx="598">
                  <c:v>0.1086467142019637</c:v>
                </c:pt>
                <c:pt idx="599">
                  <c:v>5.2485931771556228E-2</c:v>
                </c:pt>
                <c:pt idx="600">
                  <c:v>0.17259017958773923</c:v>
                </c:pt>
                <c:pt idx="601">
                  <c:v>0.16018869260042468</c:v>
                </c:pt>
                <c:pt idx="602">
                  <c:v>0.18101837150542749</c:v>
                </c:pt>
                <c:pt idx="603">
                  <c:v>1.3050294013184291E-2</c:v>
                </c:pt>
                <c:pt idx="604">
                  <c:v>0.190187479931474</c:v>
                </c:pt>
                <c:pt idx="605">
                  <c:v>4.2092155093100665E-2</c:v>
                </c:pt>
                <c:pt idx="606">
                  <c:v>1.6270670537870579E-2</c:v>
                </c:pt>
                <c:pt idx="607">
                  <c:v>0.17553830064203726</c:v>
                </c:pt>
                <c:pt idx="608">
                  <c:v>0.1618890475006082</c:v>
                </c:pt>
                <c:pt idx="609">
                  <c:v>6.6205918430251587E-2</c:v>
                </c:pt>
                <c:pt idx="610">
                  <c:v>0.15800926023223813</c:v>
                </c:pt>
                <c:pt idx="611">
                  <c:v>0.18159275086399096</c:v>
                </c:pt>
                <c:pt idx="612">
                  <c:v>3.9745405113004548E-2</c:v>
                </c:pt>
                <c:pt idx="613">
                  <c:v>1.6535857194672113E-2</c:v>
                </c:pt>
                <c:pt idx="614">
                  <c:v>0.12299783853599175</c:v>
                </c:pt>
                <c:pt idx="615">
                  <c:v>0.19383411585746843</c:v>
                </c:pt>
                <c:pt idx="616">
                  <c:v>0.10495945857426997</c:v>
                </c:pt>
                <c:pt idx="617">
                  <c:v>0.17632577019531545</c:v>
                </c:pt>
                <c:pt idx="618">
                  <c:v>1.4772996481186226E-2</c:v>
                </c:pt>
                <c:pt idx="619">
                  <c:v>0.13188803518112346</c:v>
                </c:pt>
                <c:pt idx="620">
                  <c:v>0.14728800785767168</c:v>
                </c:pt>
                <c:pt idx="621">
                  <c:v>0.10109972031004955</c:v>
                </c:pt>
                <c:pt idx="622">
                  <c:v>7.4628431955897717E-2</c:v>
                </c:pt>
                <c:pt idx="623">
                  <c:v>0.18935608543360141</c:v>
                </c:pt>
                <c:pt idx="624">
                  <c:v>0.15769096980625388</c:v>
                </c:pt>
                <c:pt idx="625">
                  <c:v>2.8325915411239154E-2</c:v>
                </c:pt>
                <c:pt idx="626">
                  <c:v>4.7239561961061986E-2</c:v>
                </c:pt>
                <c:pt idx="627">
                  <c:v>0.15518247926149892</c:v>
                </c:pt>
                <c:pt idx="628">
                  <c:v>0.13639358608071461</c:v>
                </c:pt>
                <c:pt idx="629">
                  <c:v>6.2001574251582134E-2</c:v>
                </c:pt>
                <c:pt idx="630">
                  <c:v>0.17768640451501844</c:v>
                </c:pt>
                <c:pt idx="631">
                  <c:v>0.15138938199411719</c:v>
                </c:pt>
                <c:pt idx="632">
                  <c:v>0.12192550794985285</c:v>
                </c:pt>
                <c:pt idx="633">
                  <c:v>0.16774247993476016</c:v>
                </c:pt>
                <c:pt idx="634">
                  <c:v>8.7811044760369397E-2</c:v>
                </c:pt>
                <c:pt idx="635">
                  <c:v>3.3810955780058813E-2</c:v>
                </c:pt>
                <c:pt idx="636">
                  <c:v>0.13654818815997585</c:v>
                </c:pt>
                <c:pt idx="637">
                  <c:v>0.14013533196280087</c:v>
                </c:pt>
                <c:pt idx="638">
                  <c:v>7.8517950873192438E-2</c:v>
                </c:pt>
                <c:pt idx="639">
                  <c:v>1.4268259070994986E-2</c:v>
                </c:pt>
                <c:pt idx="640">
                  <c:v>6.7755610938831992E-2</c:v>
                </c:pt>
                <c:pt idx="641">
                  <c:v>0.19552335134737342</c:v>
                </c:pt>
                <c:pt idx="642">
                  <c:v>8.7267730396422855E-2</c:v>
                </c:pt>
                <c:pt idx="643">
                  <c:v>7.3657489013161895E-2</c:v>
                </c:pt>
                <c:pt idx="644">
                  <c:v>0.15155406118563974</c:v>
                </c:pt>
                <c:pt idx="645">
                  <c:v>8.1689981322320457E-2</c:v>
                </c:pt>
                <c:pt idx="646">
                  <c:v>0.18290908276927514</c:v>
                </c:pt>
                <c:pt idx="647">
                  <c:v>0.10734238719965998</c:v>
                </c:pt>
                <c:pt idx="648">
                  <c:v>2.4988967930382994E-2</c:v>
                </c:pt>
                <c:pt idx="649">
                  <c:v>1.0401625069836499E-2</c:v>
                </c:pt>
                <c:pt idx="650">
                  <c:v>0.19233547333033252</c:v>
                </c:pt>
                <c:pt idx="651">
                  <c:v>0.17817601304398484</c:v>
                </c:pt>
                <c:pt idx="652">
                  <c:v>0.19621979886044363</c:v>
                </c:pt>
                <c:pt idx="653">
                  <c:v>0.18272657306592113</c:v>
                </c:pt>
                <c:pt idx="654">
                  <c:v>0.18684849963871603</c:v>
                </c:pt>
                <c:pt idx="655">
                  <c:v>4.1799506388530472E-2</c:v>
                </c:pt>
                <c:pt idx="656">
                  <c:v>0.11966724901182513</c:v>
                </c:pt>
                <c:pt idx="657">
                  <c:v>7.6075461501367792E-2</c:v>
                </c:pt>
                <c:pt idx="658">
                  <c:v>0.16860160088540835</c:v>
                </c:pt>
                <c:pt idx="659">
                  <c:v>5.0197985644145265E-2</c:v>
                </c:pt>
                <c:pt idx="660">
                  <c:v>0.17812497835122679</c:v>
                </c:pt>
                <c:pt idx="661">
                  <c:v>4.0976276048893548E-2</c:v>
                </c:pt>
                <c:pt idx="662">
                  <c:v>5.3149112200685335E-2</c:v>
                </c:pt>
                <c:pt idx="663">
                  <c:v>3.4885695765919142E-2</c:v>
                </c:pt>
                <c:pt idx="664">
                  <c:v>6.2622349354545345E-2</c:v>
                </c:pt>
                <c:pt idx="665">
                  <c:v>0.19714700348654374</c:v>
                </c:pt>
                <c:pt idx="666">
                  <c:v>1.7055799877375197E-2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12-43BD-BC80-ABA511626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593317"/>
        <c:axId val="1075969852"/>
      </c:scatterChart>
      <c:valAx>
        <c:axId val="364593317"/>
        <c:scaling>
          <c:orientation val="minMax"/>
          <c:min val="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75969852"/>
        <c:crosses val="autoZero"/>
        <c:crossBetween val="midCat"/>
      </c:valAx>
      <c:valAx>
        <c:axId val="10759698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64593317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12</xdr:row>
      <xdr:rowOff>85725</xdr:rowOff>
    </xdr:from>
    <xdr:ext cx="10315575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704850</xdr:colOff>
      <xdr:row>8</xdr:row>
      <xdr:rowOff>152400</xdr:rowOff>
    </xdr:from>
    <xdr:ext cx="8296275" cy="35337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704850</xdr:colOff>
      <xdr:row>8</xdr:row>
      <xdr:rowOff>152400</xdr:rowOff>
    </xdr:from>
    <xdr:ext cx="8296275" cy="35337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25"/>
  <sheetViews>
    <sheetView workbookViewId="0"/>
  </sheetViews>
  <sheetFormatPr defaultColWidth="14.42578125" defaultRowHeight="15.75" customHeight="1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>
        <v>0.1</v>
      </c>
      <c r="I1" s="1">
        <v>0.3</v>
      </c>
    </row>
    <row r="2" spans="1:15">
      <c r="A2" s="2">
        <f t="shared" ref="A2:A325" ca="1" si="0">C2/B2</f>
        <v>1.1917571700658258</v>
      </c>
      <c r="B2" s="2">
        <f t="shared" ref="B2:B325" ca="1" si="1">SQRT(D2^2*$H$2+E2^2*$I$3)</f>
        <v>0.17495466619478417</v>
      </c>
      <c r="C2" s="2">
        <f t="shared" ref="C2:C325" ca="1" si="2">D2*$H$1+E2*$I$1</f>
        <v>0.2085034778741072</v>
      </c>
      <c r="D2" s="2">
        <f t="shared" ref="D2:D325" ca="1" si="3">RAND()</f>
        <v>0.45748261062946405</v>
      </c>
      <c r="E2" s="2">
        <f t="shared" ref="E2:E325" ca="1" si="4">1-D2</f>
        <v>0.54251738937053595</v>
      </c>
      <c r="F2" s="1"/>
      <c r="G2" s="1" t="s">
        <v>6</v>
      </c>
      <c r="H2" s="1">
        <v>0.09</v>
      </c>
      <c r="I2" s="1">
        <v>0</v>
      </c>
    </row>
    <row r="3" spans="1:15">
      <c r="A3" s="2">
        <f t="shared" ca="1" si="0"/>
        <v>1.0002495501447204</v>
      </c>
      <c r="B3" s="2">
        <f t="shared" ca="1" si="1"/>
        <v>0.18886719561404644</v>
      </c>
      <c r="C3" s="2">
        <f t="shared" ca="1" si="2"/>
        <v>0.18891432745004486</v>
      </c>
      <c r="D3" s="2">
        <f t="shared" ca="1" si="3"/>
        <v>0.55542836274977569</v>
      </c>
      <c r="E3" s="2">
        <f t="shared" ca="1" si="4"/>
        <v>0.44457163725022431</v>
      </c>
      <c r="H3" s="1">
        <v>0</v>
      </c>
      <c r="I3" s="1">
        <v>0.04</v>
      </c>
      <c r="O3" s="1" t="s">
        <v>7</v>
      </c>
    </row>
    <row r="4" spans="1:15">
      <c r="A4" s="2">
        <f t="shared" ca="1" si="0"/>
        <v>1.2249378285891199</v>
      </c>
      <c r="B4" s="2">
        <f t="shared" ca="1" si="1"/>
        <v>0.17309654233489716</v>
      </c>
      <c r="C4" s="2">
        <f t="shared" ca="1" si="2"/>
        <v>0.2120325027039936</v>
      </c>
      <c r="D4" s="2">
        <f t="shared" ca="1" si="3"/>
        <v>0.43983748648003207</v>
      </c>
      <c r="E4" s="2">
        <f t="shared" ca="1" si="4"/>
        <v>0.56016251351996793</v>
      </c>
      <c r="H4" s="2" t="s">
        <v>1</v>
      </c>
      <c r="I4" s="2" t="s">
        <v>2</v>
      </c>
      <c r="J4" s="2" t="s">
        <v>0</v>
      </c>
      <c r="K4" s="2" t="s">
        <v>3</v>
      </c>
      <c r="L4" s="2" t="s">
        <v>4</v>
      </c>
    </row>
    <row r="5" spans="1:15">
      <c r="A5" s="2">
        <f t="shared" ca="1" si="0"/>
        <v>1.2382763514623114</v>
      </c>
      <c r="B5" s="2">
        <f t="shared" ca="1" si="1"/>
        <v>0.1723981437205642</v>
      </c>
      <c r="C5" s="2">
        <f t="shared" ca="1" si="2"/>
        <v>0.21347654440517541</v>
      </c>
      <c r="D5" s="2">
        <f t="shared" ca="1" si="3"/>
        <v>0.43261727797412297</v>
      </c>
      <c r="E5" s="2">
        <f t="shared" ca="1" si="4"/>
        <v>0.56738272202587703</v>
      </c>
      <c r="F5" s="1"/>
      <c r="G5" s="2" t="s">
        <v>8</v>
      </c>
      <c r="H5" s="2">
        <f ca="1">MIN(B2:B325)</f>
        <v>0.16641141023716058</v>
      </c>
      <c r="I5" s="2">
        <f ca="1">VLOOKUP(H5,B:C,2,FALSE)</f>
        <v>0.23883354541468318</v>
      </c>
      <c r="J5" s="2">
        <f ca="1">I5/H5</f>
        <v>1.4351993356363635</v>
      </c>
      <c r="K5" s="2">
        <f ca="1">VLOOKUP(H5,B:E,3,FALSE)</f>
        <v>0.3058322729265841</v>
      </c>
      <c r="L5" s="2">
        <f ca="1">VLOOKUP(H5,B:E,4,FALSE)</f>
        <v>0.6941677270734159</v>
      </c>
    </row>
    <row r="6" spans="1:15">
      <c r="A6" s="2">
        <f t="shared" ca="1" si="0"/>
        <v>1.3832956060096284</v>
      </c>
      <c r="B6" s="2">
        <f t="shared" ca="1" si="1"/>
        <v>0.16695949131126744</v>
      </c>
      <c r="C6" s="2">
        <f t="shared" ca="1" si="2"/>
        <v>0.23095433071247898</v>
      </c>
      <c r="D6" s="2">
        <f t="shared" ca="1" si="3"/>
        <v>0.34522834643760514</v>
      </c>
      <c r="E6" s="2">
        <f t="shared" ca="1" si="4"/>
        <v>0.65477165356239486</v>
      </c>
      <c r="F6" s="1"/>
      <c r="G6" s="2" t="s">
        <v>9</v>
      </c>
      <c r="H6" s="2">
        <f ca="1">VLOOKUP(J6,A:C,2,FALSE)</f>
        <v>0.1786725693782942</v>
      </c>
      <c r="I6" s="2">
        <f ca="1">VLOOKUP(J6,A:C,3,FALSE)</f>
        <v>0.27454511391090819</v>
      </c>
      <c r="J6" s="2">
        <f ca="1">MAX(A2:A325)</f>
        <v>1.5365823353087178</v>
      </c>
      <c r="K6" s="2">
        <f ca="1">VLOOKUP(J6,A:E,4,FALSE)</f>
        <v>0.12727443044545894</v>
      </c>
      <c r="L6" s="2">
        <f ca="1">VLOOKUP(J6,A:E,5,FALSE)</f>
        <v>0.87272556955454106</v>
      </c>
    </row>
    <row r="7" spans="1:15">
      <c r="A7" s="2">
        <f t="shared" ca="1" si="0"/>
        <v>1.4527602721101718</v>
      </c>
      <c r="B7" s="2">
        <f t="shared" ca="1" si="1"/>
        <v>0.16652708244532102</v>
      </c>
      <c r="C7" s="2">
        <f t="shared" ca="1" si="2"/>
        <v>0.24192392960697756</v>
      </c>
      <c r="D7" s="2">
        <f t="shared" ca="1" si="3"/>
        <v>0.29038035196511214</v>
      </c>
      <c r="E7" s="2">
        <f t="shared" ca="1" si="4"/>
        <v>0.70961964803488786</v>
      </c>
    </row>
    <row r="8" spans="1:15">
      <c r="A8" s="2">
        <f t="shared" ca="1" si="0"/>
        <v>1.2826039278406407</v>
      </c>
      <c r="B8" s="2">
        <f t="shared" ca="1" si="1"/>
        <v>0.17028946775418383</v>
      </c>
      <c r="C8" s="2">
        <f t="shared" ca="1" si="2"/>
        <v>0.21841394021140831</v>
      </c>
      <c r="D8" s="2">
        <f t="shared" ca="1" si="3"/>
        <v>0.40793029894295851</v>
      </c>
      <c r="E8" s="2">
        <f t="shared" ca="1" si="4"/>
        <v>0.59206970105704149</v>
      </c>
    </row>
    <row r="9" spans="1:15">
      <c r="A9" s="2">
        <f t="shared" ca="1" si="0"/>
        <v>0.73833821178597225</v>
      </c>
      <c r="B9" s="2">
        <f t="shared" ca="1" si="1"/>
        <v>0.2176171225341722</v>
      </c>
      <c r="C9" s="2">
        <f t="shared" ca="1" si="2"/>
        <v>0.16067503710588951</v>
      </c>
      <c r="D9" s="2">
        <f t="shared" ca="1" si="3"/>
        <v>0.69662481447055247</v>
      </c>
      <c r="E9" s="2">
        <f t="shared" ca="1" si="4"/>
        <v>0.30337518552944753</v>
      </c>
    </row>
    <row r="10" spans="1:15">
      <c r="A10" s="2">
        <f t="shared" ca="1" si="0"/>
        <v>0.56899119038043777</v>
      </c>
      <c r="B10" s="2">
        <f t="shared" ca="1" si="1"/>
        <v>0.24448427726437844</v>
      </c>
      <c r="C10" s="2">
        <f t="shared" ca="1" si="2"/>
        <v>0.13910939994995969</v>
      </c>
      <c r="D10" s="2">
        <f t="shared" ca="1" si="3"/>
        <v>0.8044530002502015</v>
      </c>
      <c r="E10" s="2">
        <f t="shared" ca="1" si="4"/>
        <v>0.1955469997497985</v>
      </c>
    </row>
    <row r="11" spans="1:15">
      <c r="A11" s="2">
        <f t="shared" ca="1" si="0"/>
        <v>0.50579025396015032</v>
      </c>
      <c r="B11" s="2">
        <f t="shared" ca="1" si="1"/>
        <v>0.25686721014066916</v>
      </c>
      <c r="C11" s="2">
        <f t="shared" ca="1" si="2"/>
        <v>0.12992093145108435</v>
      </c>
      <c r="D11" s="2">
        <f t="shared" ca="1" si="3"/>
        <v>0.85039534274457829</v>
      </c>
      <c r="E11" s="2">
        <f t="shared" ca="1" si="4"/>
        <v>0.14960465725542171</v>
      </c>
    </row>
    <row r="12" spans="1:15">
      <c r="A12" s="2">
        <f t="shared" ca="1" si="0"/>
        <v>0.63865934842397198</v>
      </c>
      <c r="B12" s="2">
        <f t="shared" ca="1" si="1"/>
        <v>0.23243489215734278</v>
      </c>
      <c r="C12" s="2">
        <f t="shared" ca="1" si="2"/>
        <v>0.14844671677620475</v>
      </c>
      <c r="D12" s="2">
        <f t="shared" ca="1" si="3"/>
        <v>0.75776641611897622</v>
      </c>
      <c r="E12" s="2">
        <f t="shared" ca="1" si="4"/>
        <v>0.24223358388102378</v>
      </c>
    </row>
    <row r="13" spans="1:15">
      <c r="A13" s="2">
        <f t="shared" ca="1" si="0"/>
        <v>0.52904756427305277</v>
      </c>
      <c r="B13" s="2">
        <f t="shared" ca="1" si="1"/>
        <v>0.25213428343650174</v>
      </c>
      <c r="C13" s="2">
        <f t="shared" ca="1" si="2"/>
        <v>0.13339102852181275</v>
      </c>
      <c r="D13" s="2">
        <f t="shared" ca="1" si="3"/>
        <v>0.83304485739093626</v>
      </c>
      <c r="E13" s="2">
        <f t="shared" ca="1" si="4"/>
        <v>0.16695514260906374</v>
      </c>
    </row>
    <row r="14" spans="1:15">
      <c r="A14" s="2">
        <f t="shared" ca="1" si="0"/>
        <v>0.36081010895372878</v>
      </c>
      <c r="B14" s="2">
        <f t="shared" ca="1" si="1"/>
        <v>0.2920093223972508</v>
      </c>
      <c r="C14" s="2">
        <f t="shared" ca="1" si="2"/>
        <v>0.10535991542965657</v>
      </c>
      <c r="D14" s="2">
        <f t="shared" ca="1" si="3"/>
        <v>0.97320042285171715</v>
      </c>
      <c r="E14" s="2">
        <f t="shared" ca="1" si="4"/>
        <v>2.6799577148282849E-2</v>
      </c>
    </row>
    <row r="15" spans="1:15">
      <c r="A15" s="2">
        <f t="shared" ca="1" si="0"/>
        <v>1.4393567356368389</v>
      </c>
      <c r="B15" s="2">
        <f t="shared" ca="1" si="1"/>
        <v>0.166421411343468</v>
      </c>
      <c r="C15" s="2">
        <f t="shared" ca="1" si="2"/>
        <v>0.23953977937140969</v>
      </c>
      <c r="D15" s="2">
        <f t="shared" ca="1" si="3"/>
        <v>0.30230110314295155</v>
      </c>
      <c r="E15" s="2">
        <f t="shared" ca="1" si="4"/>
        <v>0.69769889685704845</v>
      </c>
    </row>
    <row r="16" spans="1:15">
      <c r="A16" s="2">
        <f t="shared" ca="1" si="0"/>
        <v>0.60537416803354016</v>
      </c>
      <c r="B16" s="2">
        <f t="shared" ca="1" si="1"/>
        <v>0.23799938916690222</v>
      </c>
      <c r="C16" s="2">
        <f t="shared" ca="1" si="2"/>
        <v>0.14407868220940417</v>
      </c>
      <c r="D16" s="2">
        <f t="shared" ca="1" si="3"/>
        <v>0.77960658895297907</v>
      </c>
      <c r="E16" s="2">
        <f t="shared" ca="1" si="4"/>
        <v>0.22039341104702093</v>
      </c>
    </row>
    <row r="17" spans="1:5">
      <c r="A17" s="2">
        <f t="shared" ca="1" si="0"/>
        <v>1.0194765941422701</v>
      </c>
      <c r="B17" s="2">
        <f t="shared" ca="1" si="1"/>
        <v>0.18722462835972975</v>
      </c>
      <c r="C17" s="2">
        <f t="shared" ca="1" si="2"/>
        <v>0.19087112645972956</v>
      </c>
      <c r="D17" s="2">
        <f t="shared" ca="1" si="3"/>
        <v>0.54564436770135216</v>
      </c>
      <c r="E17" s="2">
        <f t="shared" ca="1" si="4"/>
        <v>0.45435563229864784</v>
      </c>
    </row>
    <row r="18" spans="1:5">
      <c r="A18" s="2">
        <f t="shared" ca="1" si="0"/>
        <v>1.5310241670138187</v>
      </c>
      <c r="B18" s="2">
        <f t="shared" ca="1" si="1"/>
        <v>0.17336375503432661</v>
      </c>
      <c r="C18" s="2">
        <f t="shared" ca="1" si="2"/>
        <v>0.2654240986418176</v>
      </c>
      <c r="D18" s="2">
        <f t="shared" ca="1" si="3"/>
        <v>0.17287950679091202</v>
      </c>
      <c r="E18" s="2">
        <f t="shared" ca="1" si="4"/>
        <v>0.82712049320908798</v>
      </c>
    </row>
    <row r="19" spans="1:5">
      <c r="A19" s="2">
        <f t="shared" ca="1" si="0"/>
        <v>1.4351993356363635</v>
      </c>
      <c r="B19" s="2">
        <f t="shared" ca="1" si="1"/>
        <v>0.16641141023716058</v>
      </c>
      <c r="C19" s="2">
        <f t="shared" ca="1" si="2"/>
        <v>0.23883354541468318</v>
      </c>
      <c r="D19" s="2">
        <f t="shared" ca="1" si="3"/>
        <v>0.3058322729265841</v>
      </c>
      <c r="E19" s="2">
        <f t="shared" ca="1" si="4"/>
        <v>0.6941677270734159</v>
      </c>
    </row>
    <row r="20" spans="1:5">
      <c r="A20" s="2">
        <f t="shared" ca="1" si="0"/>
        <v>1.2124267160522333</v>
      </c>
      <c r="B20" s="2">
        <f t="shared" ca="1" si="1"/>
        <v>0.17377719897999649</v>
      </c>
      <c r="C20" s="2">
        <f t="shared" ca="1" si="2"/>
        <v>0.21069211868407267</v>
      </c>
      <c r="D20" s="2">
        <f t="shared" ca="1" si="3"/>
        <v>0.44653940657963664</v>
      </c>
      <c r="E20" s="2">
        <f t="shared" ca="1" si="4"/>
        <v>0.55346059342036336</v>
      </c>
    </row>
    <row r="21" spans="1:5">
      <c r="A21" s="2">
        <f t="shared" ca="1" si="0"/>
        <v>0.40465849133873233</v>
      </c>
      <c r="B21" s="2">
        <f t="shared" ca="1" si="1"/>
        <v>0.28022639178027803</v>
      </c>
      <c r="C21" s="2">
        <f t="shared" ca="1" si="2"/>
        <v>0.11339598893110385</v>
      </c>
      <c r="D21" s="2">
        <f t="shared" ca="1" si="3"/>
        <v>0.93302005534448074</v>
      </c>
      <c r="E21" s="2">
        <f t="shared" ca="1" si="4"/>
        <v>6.6979944655519263E-2</v>
      </c>
    </row>
    <row r="22" spans="1:5">
      <c r="A22" s="2">
        <f t="shared" ca="1" si="0"/>
        <v>1.5137079394180712</v>
      </c>
      <c r="B22" s="2">
        <f t="shared" ca="1" si="1"/>
        <v>0.1696766136267821</v>
      </c>
      <c r="C22" s="2">
        <f t="shared" ca="1" si="2"/>
        <v>0.25684083718043255</v>
      </c>
      <c r="D22" s="2">
        <f t="shared" ca="1" si="3"/>
        <v>0.21579581409783732</v>
      </c>
      <c r="E22" s="2">
        <f t="shared" ca="1" si="4"/>
        <v>0.78420418590216268</v>
      </c>
    </row>
    <row r="23" spans="1:5">
      <c r="A23" s="2">
        <f t="shared" ca="1" si="0"/>
        <v>1.532653006307618</v>
      </c>
      <c r="B23" s="2">
        <f t="shared" ca="1" si="1"/>
        <v>0.17406806671094466</v>
      </c>
      <c r="C23" s="2">
        <f t="shared" ca="1" si="2"/>
        <v>0.26678594574668435</v>
      </c>
      <c r="D23" s="2">
        <f t="shared" ca="1" si="3"/>
        <v>0.16607027126657814</v>
      </c>
      <c r="E23" s="2">
        <f t="shared" ca="1" si="4"/>
        <v>0.83392972873342186</v>
      </c>
    </row>
    <row r="24" spans="1:5">
      <c r="A24" s="2">
        <f t="shared" ca="1" si="0"/>
        <v>1.4193630807321596</v>
      </c>
      <c r="B24" s="2">
        <f t="shared" ca="1" si="1"/>
        <v>0.16645724091045347</v>
      </c>
      <c r="C24" s="2">
        <f t="shared" ca="1" si="2"/>
        <v>0.23626326226883651</v>
      </c>
      <c r="D24" s="2">
        <f t="shared" ca="1" si="3"/>
        <v>0.31868368865581742</v>
      </c>
      <c r="E24" s="2">
        <f t="shared" ca="1" si="4"/>
        <v>0.68131631134418258</v>
      </c>
    </row>
    <row r="25" spans="1:5">
      <c r="A25" s="2">
        <f t="shared" ca="1" si="0"/>
        <v>0.46973897134624565</v>
      </c>
      <c r="B25" s="2">
        <f t="shared" ca="1" si="1"/>
        <v>0.26464690976113037</v>
      </c>
      <c r="C25" s="2">
        <f t="shared" ca="1" si="2"/>
        <v>0.12431496716115607</v>
      </c>
      <c r="D25" s="2">
        <f t="shared" ca="1" si="3"/>
        <v>0.87842516419421968</v>
      </c>
      <c r="E25" s="2">
        <f t="shared" ca="1" si="4"/>
        <v>0.12157483580578032</v>
      </c>
    </row>
    <row r="26" spans="1:5">
      <c r="A26" s="2">
        <f t="shared" ca="1" si="0"/>
        <v>1.5292327583392029</v>
      </c>
      <c r="B26" s="2">
        <f t="shared" ca="1" si="1"/>
        <v>0.17273422638200275</v>
      </c>
      <c r="C26" s="2">
        <f t="shared" ca="1" si="2"/>
        <v>0.26415083746973839</v>
      </c>
      <c r="D26" s="2">
        <f t="shared" ca="1" si="3"/>
        <v>0.1792458126513079</v>
      </c>
      <c r="E26" s="2">
        <f t="shared" ca="1" si="4"/>
        <v>0.8207541873486921</v>
      </c>
    </row>
    <row r="27" spans="1:5">
      <c r="A27" s="2">
        <f t="shared" ca="1" si="0"/>
        <v>0.70241658136281848</v>
      </c>
      <c r="B27" s="2">
        <f t="shared" ca="1" si="1"/>
        <v>0.22266073642313144</v>
      </c>
      <c r="C27" s="2">
        <f t="shared" ca="1" si="2"/>
        <v>0.1564005932820636</v>
      </c>
      <c r="D27" s="2">
        <f t="shared" ca="1" si="3"/>
        <v>0.71799703358968203</v>
      </c>
      <c r="E27" s="2">
        <f t="shared" ca="1" si="4"/>
        <v>0.28200296641031797</v>
      </c>
    </row>
    <row r="28" spans="1:5">
      <c r="A28" s="2">
        <f t="shared" ca="1" si="0"/>
        <v>1.5259257181250638</v>
      </c>
      <c r="B28" s="2">
        <f t="shared" ca="1" si="1"/>
        <v>0.18832396849173824</v>
      </c>
      <c r="C28" s="2">
        <f t="shared" ca="1" si="2"/>
        <v>0.28736838686091759</v>
      </c>
      <c r="D28" s="2">
        <f t="shared" ca="1" si="3"/>
        <v>6.3158065695412047E-2</v>
      </c>
      <c r="E28" s="2">
        <f t="shared" ca="1" si="4"/>
        <v>0.93684193430458795</v>
      </c>
    </row>
    <row r="29" spans="1:5">
      <c r="A29" s="2">
        <f t="shared" ca="1" si="0"/>
        <v>1.1941326403918555</v>
      </c>
      <c r="B29" s="2">
        <f t="shared" ca="1" si="1"/>
        <v>0.17481603443728144</v>
      </c>
      <c r="C29" s="2">
        <f t="shared" ca="1" si="2"/>
        <v>0.20875353278542441</v>
      </c>
      <c r="D29" s="2">
        <f t="shared" ca="1" si="3"/>
        <v>0.45623233607287794</v>
      </c>
      <c r="E29" s="2">
        <f t="shared" ca="1" si="4"/>
        <v>0.54376766392712206</v>
      </c>
    </row>
    <row r="30" spans="1:5">
      <c r="A30" s="2">
        <f t="shared" ca="1" si="0"/>
        <v>1.4674426828083291</v>
      </c>
      <c r="B30" s="2">
        <f t="shared" ca="1" si="1"/>
        <v>0.16679774706248895</v>
      </c>
      <c r="C30" s="2">
        <f t="shared" ca="1" si="2"/>
        <v>0.24476613343576389</v>
      </c>
      <c r="D30" s="2">
        <f t="shared" ca="1" si="3"/>
        <v>0.2761693328211805</v>
      </c>
      <c r="E30" s="2">
        <f t="shared" ca="1" si="4"/>
        <v>0.7238306671788195</v>
      </c>
    </row>
    <row r="31" spans="1:5">
      <c r="A31" s="2">
        <f t="shared" ca="1" si="0"/>
        <v>0.39185504794510601</v>
      </c>
      <c r="B31" s="2">
        <f t="shared" ca="1" si="1"/>
        <v>0.28355127753949266</v>
      </c>
      <c r="C31" s="2">
        <f t="shared" ca="1" si="2"/>
        <v>0.11111099945513396</v>
      </c>
      <c r="D31" s="2">
        <f t="shared" ca="1" si="3"/>
        <v>0.94444500272433018</v>
      </c>
      <c r="E31" s="2">
        <f t="shared" ca="1" si="4"/>
        <v>5.5554997275669815E-2</v>
      </c>
    </row>
    <row r="32" spans="1:5">
      <c r="A32" s="2">
        <f t="shared" ca="1" si="0"/>
        <v>0.86396626963804646</v>
      </c>
      <c r="B32" s="2">
        <f t="shared" ca="1" si="1"/>
        <v>0.20223009688500321</v>
      </c>
      <c r="C32" s="2">
        <f t="shared" ca="1" si="2"/>
        <v>0.17471998241427694</v>
      </c>
      <c r="D32" s="2">
        <f t="shared" ca="1" si="3"/>
        <v>0.62640008792861535</v>
      </c>
      <c r="E32" s="2">
        <f t="shared" ca="1" si="4"/>
        <v>0.37359991207138465</v>
      </c>
    </row>
    <row r="33" spans="1:5">
      <c r="A33" s="2">
        <f t="shared" ca="1" si="0"/>
        <v>0.51630883944035044</v>
      </c>
      <c r="B33" s="2">
        <f t="shared" ca="1" si="1"/>
        <v>0.25470004365322885</v>
      </c>
      <c r="C33" s="2">
        <f t="shared" ca="1" si="2"/>
        <v>0.1315038839440052</v>
      </c>
      <c r="D33" s="2">
        <f t="shared" ca="1" si="3"/>
        <v>0.84248058027997397</v>
      </c>
      <c r="E33" s="2">
        <f t="shared" ca="1" si="4"/>
        <v>0.15751941972002603</v>
      </c>
    </row>
    <row r="34" spans="1:5">
      <c r="A34" s="2">
        <f t="shared" ca="1" si="0"/>
        <v>1.322043660611852</v>
      </c>
      <c r="B34" s="2">
        <f t="shared" ca="1" si="1"/>
        <v>0.16871419667425583</v>
      </c>
      <c r="C34" s="2">
        <f t="shared" ca="1" si="2"/>
        <v>0.2230475341684211</v>
      </c>
      <c r="D34" s="2">
        <f t="shared" ca="1" si="3"/>
        <v>0.38476232915789454</v>
      </c>
      <c r="E34" s="2">
        <f t="shared" ca="1" si="4"/>
        <v>0.61523767084210546</v>
      </c>
    </row>
    <row r="35" spans="1:5">
      <c r="A35" s="2">
        <f t="shared" ca="1" si="0"/>
        <v>1.5362445065437829</v>
      </c>
      <c r="B35" s="2">
        <f t="shared" ca="1" si="1"/>
        <v>0.17996210869606688</v>
      </c>
      <c r="C35" s="2">
        <f t="shared" ca="1" si="2"/>
        <v>0.27646580087036787</v>
      </c>
      <c r="D35" s="2">
        <f t="shared" ca="1" si="3"/>
        <v>0.11767099564816041</v>
      </c>
      <c r="E35" s="2">
        <f t="shared" ca="1" si="4"/>
        <v>0.88232900435183959</v>
      </c>
    </row>
    <row r="36" spans="1:5">
      <c r="A36" s="2">
        <f t="shared" ca="1" si="0"/>
        <v>0.68045744142824327</v>
      </c>
      <c r="B36" s="2">
        <f t="shared" ca="1" si="1"/>
        <v>0.22590330727142821</v>
      </c>
      <c r="C36" s="2">
        <f t="shared" ca="1" si="2"/>
        <v>0.15371758647609429</v>
      </c>
      <c r="D36" s="2">
        <f t="shared" ca="1" si="3"/>
        <v>0.73141206761952859</v>
      </c>
      <c r="E36" s="2">
        <f t="shared" ca="1" si="4"/>
        <v>0.26858793238047141</v>
      </c>
    </row>
    <row r="37" spans="1:5">
      <c r="A37" s="2">
        <f t="shared" ca="1" si="0"/>
        <v>1.4156133397780069</v>
      </c>
      <c r="B37" s="2">
        <f t="shared" ca="1" si="1"/>
        <v>0.16648563235971733</v>
      </c>
      <c r="C37" s="2">
        <f t="shared" ca="1" si="2"/>
        <v>0.23567928204979288</v>
      </c>
      <c r="D37" s="2">
        <f t="shared" ca="1" si="3"/>
        <v>0.32160358975103553</v>
      </c>
      <c r="E37" s="2">
        <f t="shared" ca="1" si="4"/>
        <v>0.67839641024896447</v>
      </c>
    </row>
    <row r="38" spans="1:5">
      <c r="A38" s="2">
        <f t="shared" ca="1" si="0"/>
        <v>0.8639162458529237</v>
      </c>
      <c r="B38" s="2">
        <f t="shared" ca="1" si="1"/>
        <v>0.20223559461156954</v>
      </c>
      <c r="C38" s="2">
        <f t="shared" ca="1" si="2"/>
        <v>0.17471461567466093</v>
      </c>
      <c r="D38" s="2">
        <f t="shared" ca="1" si="3"/>
        <v>0.62642692162669533</v>
      </c>
      <c r="E38" s="2">
        <f t="shared" ca="1" si="4"/>
        <v>0.37357307837330467</v>
      </c>
    </row>
    <row r="39" spans="1:5">
      <c r="A39" s="2">
        <f t="shared" ca="1" si="0"/>
        <v>0.8304996617524657</v>
      </c>
      <c r="B39" s="2">
        <f t="shared" ca="1" si="1"/>
        <v>0.20601406120904922</v>
      </c>
      <c r="C39" s="2">
        <f t="shared" ca="1" si="2"/>
        <v>0.17109460815036714</v>
      </c>
      <c r="D39" s="2">
        <f t="shared" ca="1" si="3"/>
        <v>0.64452695924816428</v>
      </c>
      <c r="E39" s="2">
        <f t="shared" ca="1" si="4"/>
        <v>0.35547304075183572</v>
      </c>
    </row>
    <row r="40" spans="1:5">
      <c r="A40" s="2">
        <f t="shared" ca="1" si="0"/>
        <v>1.51004032469784</v>
      </c>
      <c r="B40" s="2">
        <f t="shared" ca="1" si="1"/>
        <v>0.1692412037141397</v>
      </c>
      <c r="C40" s="2">
        <f t="shared" ca="1" si="2"/>
        <v>0.25556104220875281</v>
      </c>
      <c r="D40" s="2">
        <f t="shared" ca="1" si="3"/>
        <v>0.22219478895623601</v>
      </c>
      <c r="E40" s="2">
        <f t="shared" ca="1" si="4"/>
        <v>0.77780521104376399</v>
      </c>
    </row>
    <row r="41" spans="1:5">
      <c r="A41" s="2">
        <f t="shared" ca="1" si="0"/>
        <v>0.5261683355726966</v>
      </c>
      <c r="B41" s="2">
        <f t="shared" ca="1" si="1"/>
        <v>0.25270866681479848</v>
      </c>
      <c r="C41" s="2">
        <f t="shared" ca="1" si="2"/>
        <v>0.13296729860273765</v>
      </c>
      <c r="D41" s="2">
        <f t="shared" ca="1" si="3"/>
        <v>0.8351635069863117</v>
      </c>
      <c r="E41" s="2">
        <f t="shared" ca="1" si="4"/>
        <v>0.1648364930136883</v>
      </c>
    </row>
    <row r="42" spans="1:5">
      <c r="A42" s="2">
        <f t="shared" ca="1" si="0"/>
        <v>1.5330924529116747</v>
      </c>
      <c r="B42" s="2">
        <f t="shared" ca="1" si="1"/>
        <v>0.17428963366119002</v>
      </c>
      <c r="C42" s="2">
        <f t="shared" ca="1" si="2"/>
        <v>0.26720212198671101</v>
      </c>
      <c r="D42" s="2">
        <f t="shared" ca="1" si="3"/>
        <v>0.16398939006644475</v>
      </c>
      <c r="E42" s="2">
        <f t="shared" ca="1" si="4"/>
        <v>0.83601060993355525</v>
      </c>
    </row>
    <row r="43" spans="1:5">
      <c r="A43" s="2">
        <f t="shared" ca="1" si="0"/>
        <v>1.5167002038923558</v>
      </c>
      <c r="B43" s="2">
        <f t="shared" ca="1" si="1"/>
        <v>0.19291676634865718</v>
      </c>
      <c r="C43" s="2">
        <f t="shared" ca="1" si="2"/>
        <v>0.2925968988552623</v>
      </c>
      <c r="D43" s="2">
        <f t="shared" ca="1" si="3"/>
        <v>3.7015505723688391E-2</v>
      </c>
      <c r="E43" s="2">
        <f t="shared" ca="1" si="4"/>
        <v>0.96298449427631161</v>
      </c>
    </row>
    <row r="44" spans="1:5">
      <c r="A44" s="2">
        <f t="shared" ca="1" si="0"/>
        <v>0.44465215988189</v>
      </c>
      <c r="B44" s="2">
        <f t="shared" ca="1" si="1"/>
        <v>0.27040439765876123</v>
      </c>
      <c r="C44" s="2">
        <f t="shared" ca="1" si="2"/>
        <v>0.12023589946052966</v>
      </c>
      <c r="D44" s="2">
        <f t="shared" ca="1" si="3"/>
        <v>0.8988205026973517</v>
      </c>
      <c r="E44" s="2">
        <f t="shared" ca="1" si="4"/>
        <v>0.1011794973026483</v>
      </c>
    </row>
    <row r="45" spans="1:5">
      <c r="A45" s="2">
        <f t="shared" ca="1" si="0"/>
        <v>1.3363727926633409</v>
      </c>
      <c r="B45" s="2">
        <f t="shared" ca="1" si="1"/>
        <v>0.16822109967021673</v>
      </c>
      <c r="C45" s="2">
        <f t="shared" ca="1" si="2"/>
        <v>0.22480610075118573</v>
      </c>
      <c r="D45" s="2">
        <f t="shared" ca="1" si="3"/>
        <v>0.37596949624407139</v>
      </c>
      <c r="E45" s="2">
        <f t="shared" ca="1" si="4"/>
        <v>0.62403050375592861</v>
      </c>
    </row>
    <row r="46" spans="1:5">
      <c r="A46" s="2">
        <f t="shared" ca="1" si="0"/>
        <v>0.41420078906517344</v>
      </c>
      <c r="B46" s="2">
        <f t="shared" ca="1" si="1"/>
        <v>0.27780707112036529</v>
      </c>
      <c r="C46" s="2">
        <f t="shared" ca="1" si="2"/>
        <v>0.11506790806594006</v>
      </c>
      <c r="D46" s="2">
        <f t="shared" ca="1" si="3"/>
        <v>0.92466045967029975</v>
      </c>
      <c r="E46" s="2">
        <f t="shared" ca="1" si="4"/>
        <v>7.533954032970025E-2</v>
      </c>
    </row>
    <row r="47" spans="1:5">
      <c r="A47" s="2">
        <f t="shared" ca="1" si="0"/>
        <v>1.5295025295261544</v>
      </c>
      <c r="B47" s="2">
        <f t="shared" ca="1" si="1"/>
        <v>0.17282170344298936</v>
      </c>
      <c r="C47" s="2">
        <f t="shared" ca="1" si="2"/>
        <v>0.26433123257307112</v>
      </c>
      <c r="D47" s="2">
        <f t="shared" ca="1" si="3"/>
        <v>0.17834383713464441</v>
      </c>
      <c r="E47" s="2">
        <f t="shared" ca="1" si="4"/>
        <v>0.82165616286535559</v>
      </c>
    </row>
    <row r="48" spans="1:5">
      <c r="A48" s="2">
        <f t="shared" ca="1" si="0"/>
        <v>1.1559134083778686</v>
      </c>
      <c r="B48" s="2">
        <f t="shared" ca="1" si="1"/>
        <v>0.17714886610008876</v>
      </c>
      <c r="C48" s="2">
        <f t="shared" ca="1" si="2"/>
        <v>0.20476874960402824</v>
      </c>
      <c r="D48" s="2">
        <f t="shared" ca="1" si="3"/>
        <v>0.47615625197985878</v>
      </c>
      <c r="E48" s="2">
        <f t="shared" ca="1" si="4"/>
        <v>0.52384374802014122</v>
      </c>
    </row>
    <row r="49" spans="1:5">
      <c r="A49" s="2">
        <f t="shared" ca="1" si="0"/>
        <v>0.51992036473722669</v>
      </c>
      <c r="B49" s="2">
        <f t="shared" ca="1" si="1"/>
        <v>0.25396616900017605</v>
      </c>
      <c r="C49" s="2">
        <f t="shared" ca="1" si="2"/>
        <v>0.13204218321748767</v>
      </c>
      <c r="D49" s="2">
        <f t="shared" ca="1" si="3"/>
        <v>0.83978908391256157</v>
      </c>
      <c r="E49" s="2">
        <f t="shared" ca="1" si="4"/>
        <v>0.16021091608743843</v>
      </c>
    </row>
    <row r="50" spans="1:5">
      <c r="A50" s="2">
        <f t="shared" ca="1" si="0"/>
        <v>1.3092795346015877</v>
      </c>
      <c r="B50" s="2">
        <f t="shared" ca="1" si="1"/>
        <v>0.1691903783776704</v>
      </c>
      <c r="C50" s="2">
        <f t="shared" ca="1" si="2"/>
        <v>0.22151749986138283</v>
      </c>
      <c r="D50" s="2">
        <f t="shared" ca="1" si="3"/>
        <v>0.39241250069308586</v>
      </c>
      <c r="E50" s="2">
        <f t="shared" ca="1" si="4"/>
        <v>0.60758749930691414</v>
      </c>
    </row>
    <row r="51" spans="1:5">
      <c r="A51" s="2">
        <f t="shared" ca="1" si="0"/>
        <v>1.4928349733743262</v>
      </c>
      <c r="B51" s="2">
        <f t="shared" ca="1" si="1"/>
        <v>0.16782878498625201</v>
      </c>
      <c r="C51" s="2">
        <f t="shared" ca="1" si="2"/>
        <v>0.25054067976639705</v>
      </c>
      <c r="D51" s="2">
        <f t="shared" ca="1" si="3"/>
        <v>0.24729660116801477</v>
      </c>
      <c r="E51" s="2">
        <f t="shared" ca="1" si="4"/>
        <v>0.75270339883198523</v>
      </c>
    </row>
    <row r="52" spans="1:5">
      <c r="A52" s="2">
        <f t="shared" ca="1" si="0"/>
        <v>1.5087201989676142</v>
      </c>
      <c r="B52" s="2">
        <f t="shared" ca="1" si="1"/>
        <v>0.19642125409362254</v>
      </c>
      <c r="C52" s="2">
        <f t="shared" ca="1" si="2"/>
        <v>0.2963447135575985</v>
      </c>
      <c r="D52" s="2">
        <f t="shared" ca="1" si="3"/>
        <v>1.8276432212007254E-2</v>
      </c>
      <c r="E52" s="2">
        <f t="shared" ca="1" si="4"/>
        <v>0.98172356778799275</v>
      </c>
    </row>
    <row r="53" spans="1:5">
      <c r="A53" s="2">
        <f t="shared" ca="1" si="0"/>
        <v>1.466447313760822</v>
      </c>
      <c r="B53" s="2">
        <f t="shared" ca="1" si="1"/>
        <v>0.16677335245525662</v>
      </c>
      <c r="C53" s="2">
        <f t="shared" ca="1" si="2"/>
        <v>0.24456433471489789</v>
      </c>
      <c r="D53" s="2">
        <f t="shared" ca="1" si="3"/>
        <v>0.27717832642551055</v>
      </c>
      <c r="E53" s="2">
        <f t="shared" ca="1" si="4"/>
        <v>0.72282167357448945</v>
      </c>
    </row>
    <row r="54" spans="1:5">
      <c r="A54" s="2">
        <f t="shared" ca="1" si="0"/>
        <v>1.5004976432281767</v>
      </c>
      <c r="B54" s="2">
        <f t="shared" ca="1" si="1"/>
        <v>0.16835530724417408</v>
      </c>
      <c r="C54" s="2">
        <f t="shared" ca="1" si="2"/>
        <v>0.25261674174483878</v>
      </c>
      <c r="D54" s="2">
        <f t="shared" ca="1" si="3"/>
        <v>0.23691629127580605</v>
      </c>
      <c r="E54" s="2">
        <f t="shared" ca="1" si="4"/>
        <v>0.76308370872419395</v>
      </c>
    </row>
    <row r="55" spans="1:5">
      <c r="A55" s="2">
        <f t="shared" ca="1" si="0"/>
        <v>1.3399811859944675</v>
      </c>
      <c r="B55" s="2">
        <f t="shared" ca="1" si="1"/>
        <v>0.16810420220892705</v>
      </c>
      <c r="C55" s="2">
        <f t="shared" ca="1" si="2"/>
        <v>0.22525646824657183</v>
      </c>
      <c r="D55" s="2">
        <f t="shared" ca="1" si="3"/>
        <v>0.3737176587671408</v>
      </c>
      <c r="E55" s="2">
        <f t="shared" ca="1" si="4"/>
        <v>0.6262823412328592</v>
      </c>
    </row>
    <row r="56" spans="1:5">
      <c r="A56" s="2">
        <f t="shared" ca="1" si="0"/>
        <v>1.3725873299283544</v>
      </c>
      <c r="B56" s="2">
        <f t="shared" ca="1" si="1"/>
        <v>0.16719437877832738</v>
      </c>
      <c r="C56" s="2">
        <f t="shared" ca="1" si="2"/>
        <v>0.22948888594637432</v>
      </c>
      <c r="D56" s="2">
        <f t="shared" ca="1" si="3"/>
        <v>0.35255557026812845</v>
      </c>
      <c r="E56" s="2">
        <f t="shared" ca="1" si="4"/>
        <v>0.64744442973187155</v>
      </c>
    </row>
    <row r="57" spans="1:5">
      <c r="A57" s="2">
        <f t="shared" ca="1" si="0"/>
        <v>0.4288980764979971</v>
      </c>
      <c r="B57" s="2">
        <f t="shared" ca="1" si="1"/>
        <v>0.27417521066379813</v>
      </c>
      <c r="C57" s="2">
        <f t="shared" ca="1" si="2"/>
        <v>0.11759322047713616</v>
      </c>
      <c r="D57" s="2">
        <f t="shared" ca="1" si="3"/>
        <v>0.91203389761431919</v>
      </c>
      <c r="E57" s="2">
        <f t="shared" ca="1" si="4"/>
        <v>8.7966102385680811E-2</v>
      </c>
    </row>
    <row r="58" spans="1:5">
      <c r="A58" s="2">
        <f t="shared" ca="1" si="0"/>
        <v>0.49838618070574486</v>
      </c>
      <c r="B58" s="2">
        <f t="shared" ca="1" si="1"/>
        <v>0.25841977542043354</v>
      </c>
      <c r="C58" s="2">
        <f t="shared" ca="1" si="2"/>
        <v>0.1287928448906262</v>
      </c>
      <c r="D58" s="2">
        <f t="shared" ca="1" si="3"/>
        <v>0.85603577554686894</v>
      </c>
      <c r="E58" s="2">
        <f t="shared" ca="1" si="4"/>
        <v>0.14396422445313106</v>
      </c>
    </row>
    <row r="59" spans="1:5">
      <c r="A59" s="2">
        <f t="shared" ca="1" si="0"/>
        <v>1.1292145887462963</v>
      </c>
      <c r="B59" s="2">
        <f t="shared" ca="1" si="1"/>
        <v>0.17890620961907461</v>
      </c>
      <c r="C59" s="2">
        <f t="shared" ca="1" si="2"/>
        <v>0.20202350191916202</v>
      </c>
      <c r="D59" s="2">
        <f t="shared" ca="1" si="3"/>
        <v>0.48988249040418996</v>
      </c>
      <c r="E59" s="2">
        <f t="shared" ca="1" si="4"/>
        <v>0.51011750959581004</v>
      </c>
    </row>
    <row r="60" spans="1:5">
      <c r="A60" s="2">
        <f t="shared" ca="1" si="0"/>
        <v>0.72861244666202662</v>
      </c>
      <c r="B60" s="2">
        <f t="shared" ca="1" si="1"/>
        <v>0.21895181319803464</v>
      </c>
      <c r="C60" s="2">
        <f t="shared" ca="1" si="2"/>
        <v>0.15953101631530703</v>
      </c>
      <c r="D60" s="2">
        <f t="shared" ca="1" si="3"/>
        <v>0.7023449184234648</v>
      </c>
      <c r="E60" s="2">
        <f t="shared" ca="1" si="4"/>
        <v>0.2976550815765352</v>
      </c>
    </row>
    <row r="61" spans="1:5">
      <c r="A61" s="2">
        <f t="shared" ca="1" si="0"/>
        <v>1.5363008539810927</v>
      </c>
      <c r="B61" s="2">
        <f t="shared" ca="1" si="1"/>
        <v>0.17714429614894572</v>
      </c>
      <c r="C61" s="2">
        <f t="shared" ca="1" si="2"/>
        <v>0.27214693345150492</v>
      </c>
      <c r="D61" s="2">
        <f t="shared" ca="1" si="3"/>
        <v>0.13926533274247532</v>
      </c>
      <c r="E61" s="2">
        <f t="shared" ca="1" si="4"/>
        <v>0.86073466725752468</v>
      </c>
    </row>
    <row r="62" spans="1:5">
      <c r="A62" s="2">
        <f t="shared" ca="1" si="0"/>
        <v>0.3723327251275943</v>
      </c>
      <c r="B62" s="2">
        <f t="shared" ca="1" si="1"/>
        <v>0.2888023487304896</v>
      </c>
      <c r="C62" s="2">
        <f t="shared" ca="1" si="2"/>
        <v>0.10753056552607301</v>
      </c>
      <c r="D62" s="2">
        <f t="shared" ca="1" si="3"/>
        <v>0.96234717236963496</v>
      </c>
      <c r="E62" s="2">
        <f t="shared" ca="1" si="4"/>
        <v>3.7652827630365038E-2</v>
      </c>
    </row>
    <row r="63" spans="1:5">
      <c r="A63" s="2">
        <f t="shared" ca="1" si="0"/>
        <v>1.5138331473789663</v>
      </c>
      <c r="B63" s="2">
        <f t="shared" ca="1" si="1"/>
        <v>0.19420980870038837</v>
      </c>
      <c r="C63" s="2">
        <f t="shared" ca="1" si="2"/>
        <v>0.2940012459567759</v>
      </c>
      <c r="D63" s="2">
        <f t="shared" ca="1" si="3"/>
        <v>2.9993770216120264E-2</v>
      </c>
      <c r="E63" s="2">
        <f t="shared" ca="1" si="4"/>
        <v>0.97000622978387974</v>
      </c>
    </row>
    <row r="64" spans="1:5">
      <c r="A64" s="2">
        <f t="shared" ca="1" si="0"/>
        <v>1.521210646005446</v>
      </c>
      <c r="B64" s="2">
        <f t="shared" ca="1" si="1"/>
        <v>0.19077466786337527</v>
      </c>
      <c r="C64" s="2">
        <f t="shared" ca="1" si="2"/>
        <v>0.2902084557419195</v>
      </c>
      <c r="D64" s="2">
        <f t="shared" ca="1" si="3"/>
        <v>4.8957721290402434E-2</v>
      </c>
      <c r="E64" s="2">
        <f t="shared" ca="1" si="4"/>
        <v>0.95104227870959757</v>
      </c>
    </row>
    <row r="65" spans="1:5">
      <c r="A65" s="2">
        <f t="shared" ca="1" si="0"/>
        <v>1.060746318695674</v>
      </c>
      <c r="B65" s="2">
        <f t="shared" ca="1" si="1"/>
        <v>0.1838878994852477</v>
      </c>
      <c r="C65" s="2">
        <f t="shared" ca="1" si="2"/>
        <v>0.19505841243165661</v>
      </c>
      <c r="D65" s="2">
        <f t="shared" ca="1" si="3"/>
        <v>0.52470793784171688</v>
      </c>
      <c r="E65" s="2">
        <f t="shared" ca="1" si="4"/>
        <v>0.47529206215828312</v>
      </c>
    </row>
    <row r="66" spans="1:5">
      <c r="A66" s="2">
        <f t="shared" ca="1" si="0"/>
        <v>1.4751225753273352</v>
      </c>
      <c r="B66" s="2">
        <f t="shared" ca="1" si="1"/>
        <v>0.16702058188045776</v>
      </c>
      <c r="C66" s="2">
        <f t="shared" ca="1" si="2"/>
        <v>0.2463758308761709</v>
      </c>
      <c r="D66" s="2">
        <f t="shared" ca="1" si="3"/>
        <v>0.26812084561914551</v>
      </c>
      <c r="E66" s="2">
        <f t="shared" ca="1" si="4"/>
        <v>0.73187915438085449</v>
      </c>
    </row>
    <row r="67" spans="1:5">
      <c r="A67" s="2">
        <f t="shared" ca="1" si="0"/>
        <v>1.5225217770584953</v>
      </c>
      <c r="B67" s="2">
        <f t="shared" ca="1" si="1"/>
        <v>0.17106862046086677</v>
      </c>
      <c r="C67" s="2">
        <f t="shared" ca="1" si="2"/>
        <v>0.26045570002302415</v>
      </c>
      <c r="D67" s="2">
        <f t="shared" ca="1" si="3"/>
        <v>0.19772149988487919</v>
      </c>
      <c r="E67" s="2">
        <f t="shared" ca="1" si="4"/>
        <v>0.80227850011512081</v>
      </c>
    </row>
    <row r="68" spans="1:5">
      <c r="A68" s="2">
        <f t="shared" ca="1" si="0"/>
        <v>1.5137055896713834</v>
      </c>
      <c r="B68" s="2">
        <f t="shared" ca="1" si="1"/>
        <v>0.1696763131667258</v>
      </c>
      <c r="C68" s="2">
        <f t="shared" ca="1" si="2"/>
        <v>0.25683998367530497</v>
      </c>
      <c r="D68" s="2">
        <f t="shared" ca="1" si="3"/>
        <v>0.21580008162347519</v>
      </c>
      <c r="E68" s="2">
        <f t="shared" ca="1" si="4"/>
        <v>0.78419991837652481</v>
      </c>
    </row>
    <row r="69" spans="1:5">
      <c r="A69" s="2">
        <f t="shared" ca="1" si="0"/>
        <v>0.85870338331315288</v>
      </c>
      <c r="B69" s="2">
        <f t="shared" ca="1" si="1"/>
        <v>0.20281105722836981</v>
      </c>
      <c r="C69" s="2">
        <f t="shared" ca="1" si="2"/>
        <v>0.17415454101531863</v>
      </c>
      <c r="D69" s="2">
        <f t="shared" ca="1" si="3"/>
        <v>0.6292272949234069</v>
      </c>
      <c r="E69" s="2">
        <f t="shared" ca="1" si="4"/>
        <v>0.3707727050765931</v>
      </c>
    </row>
    <row r="70" spans="1:5">
      <c r="A70" s="2">
        <f t="shared" ca="1" si="0"/>
        <v>1.5240905481085065</v>
      </c>
      <c r="B70" s="2">
        <f t="shared" ca="1" si="1"/>
        <v>0.18931120183490249</v>
      </c>
      <c r="C70" s="2">
        <f t="shared" ca="1" si="2"/>
        <v>0.28852741336763665</v>
      </c>
      <c r="D70" s="2">
        <f t="shared" ca="1" si="3"/>
        <v>5.736293316181662E-2</v>
      </c>
      <c r="E70" s="2">
        <f t="shared" ca="1" si="4"/>
        <v>0.94263706683818338</v>
      </c>
    </row>
    <row r="71" spans="1:5">
      <c r="A71" s="2">
        <f t="shared" ca="1" si="0"/>
        <v>1.2875423546718325</v>
      </c>
      <c r="B71" s="2">
        <f t="shared" ca="1" si="1"/>
        <v>0.17007585839972086</v>
      </c>
      <c r="C71" s="2">
        <f t="shared" ca="1" si="2"/>
        <v>0.21897987119680978</v>
      </c>
      <c r="D71" s="2">
        <f t="shared" ca="1" si="3"/>
        <v>0.40510064401595114</v>
      </c>
      <c r="E71" s="2">
        <f t="shared" ca="1" si="4"/>
        <v>0.59489935598404886</v>
      </c>
    </row>
    <row r="72" spans="1:5">
      <c r="A72" s="2">
        <f t="shared" ca="1" si="0"/>
        <v>0.60169947689046122</v>
      </c>
      <c r="B72" s="2">
        <f t="shared" ca="1" si="1"/>
        <v>0.23863470265645023</v>
      </c>
      <c r="C72" s="2">
        <f t="shared" ca="1" si="2"/>
        <v>0.14358637575629685</v>
      </c>
      <c r="D72" s="2">
        <f t="shared" ca="1" si="3"/>
        <v>0.78206812121851577</v>
      </c>
      <c r="E72" s="2">
        <f t="shared" ca="1" si="4"/>
        <v>0.21793187878148423</v>
      </c>
    </row>
    <row r="73" spans="1:5">
      <c r="A73" s="2">
        <f t="shared" ca="1" si="0"/>
        <v>1.5252514560627566</v>
      </c>
      <c r="B73" s="2">
        <f t="shared" ca="1" si="1"/>
        <v>0.18869253344903805</v>
      </c>
      <c r="C73" s="2">
        <f t="shared" ca="1" si="2"/>
        <v>0.28780356139131569</v>
      </c>
      <c r="D73" s="2">
        <f t="shared" ca="1" si="3"/>
        <v>6.0982193043421451E-2</v>
      </c>
      <c r="E73" s="2">
        <f t="shared" ca="1" si="4"/>
        <v>0.93901780695657855</v>
      </c>
    </row>
    <row r="74" spans="1:5">
      <c r="A74" s="2">
        <f t="shared" ca="1" si="0"/>
        <v>0.55454963133610791</v>
      </c>
      <c r="B74" s="2">
        <f t="shared" ca="1" si="1"/>
        <v>0.24718324554673315</v>
      </c>
      <c r="C74" s="2">
        <f t="shared" ca="1" si="2"/>
        <v>0.13707537769040351</v>
      </c>
      <c r="D74" s="2">
        <f t="shared" ca="1" si="3"/>
        <v>0.8146231115479825</v>
      </c>
      <c r="E74" s="2">
        <f t="shared" ca="1" si="4"/>
        <v>0.1853768884520175</v>
      </c>
    </row>
    <row r="75" spans="1:5">
      <c r="A75" s="2">
        <f t="shared" ca="1" si="0"/>
        <v>1.4637978114296513</v>
      </c>
      <c r="B75" s="2">
        <f t="shared" ca="1" si="1"/>
        <v>0.16671302816967096</v>
      </c>
      <c r="C75" s="2">
        <f t="shared" ca="1" si="2"/>
        <v>0.24403416577157414</v>
      </c>
      <c r="D75" s="2">
        <f t="shared" ca="1" si="3"/>
        <v>0.27982917114212935</v>
      </c>
      <c r="E75" s="2">
        <f t="shared" ca="1" si="4"/>
        <v>0.72017082885787065</v>
      </c>
    </row>
    <row r="76" spans="1:5">
      <c r="A76" s="2">
        <f t="shared" ca="1" si="0"/>
        <v>1.4382547301312676</v>
      </c>
      <c r="B76" s="2">
        <f t="shared" ca="1" si="1"/>
        <v>0.16641778716132019</v>
      </c>
      <c r="C76" s="2">
        <f t="shared" ca="1" si="2"/>
        <v>0.2393511695627473</v>
      </c>
      <c r="D76" s="2">
        <f t="shared" ca="1" si="3"/>
        <v>0.30324415218626355</v>
      </c>
      <c r="E76" s="2">
        <f t="shared" ca="1" si="4"/>
        <v>0.69675584781373645</v>
      </c>
    </row>
    <row r="77" spans="1:5">
      <c r="A77" s="2">
        <f t="shared" ca="1" si="0"/>
        <v>1.3524383240746192</v>
      </c>
      <c r="B77" s="2">
        <f t="shared" ca="1" si="1"/>
        <v>0.1677244287064934</v>
      </c>
      <c r="C77" s="2">
        <f t="shared" ca="1" si="2"/>
        <v>0.22683694526618287</v>
      </c>
      <c r="D77" s="2">
        <f t="shared" ca="1" si="3"/>
        <v>0.36581527366908562</v>
      </c>
      <c r="E77" s="2">
        <f t="shared" ca="1" si="4"/>
        <v>0.63418472633091438</v>
      </c>
    </row>
    <row r="78" spans="1:5">
      <c r="A78" s="2">
        <f t="shared" ca="1" si="0"/>
        <v>1.5094224924298121</v>
      </c>
      <c r="B78" s="2">
        <f t="shared" ca="1" si="1"/>
        <v>0.16917390891307316</v>
      </c>
      <c r="C78" s="2">
        <f t="shared" ca="1" si="2"/>
        <v>0.2553549032456649</v>
      </c>
      <c r="D78" s="2">
        <f t="shared" ca="1" si="3"/>
        <v>0.2232254837716755</v>
      </c>
      <c r="E78" s="2">
        <f t="shared" ca="1" si="4"/>
        <v>0.7767745162283245</v>
      </c>
    </row>
    <row r="79" spans="1:5">
      <c r="A79" s="2">
        <f t="shared" ca="1" si="0"/>
        <v>1.5365823353087178</v>
      </c>
      <c r="B79" s="2">
        <f t="shared" ca="1" si="1"/>
        <v>0.1786725693782942</v>
      </c>
      <c r="C79" s="2">
        <f t="shared" ca="1" si="2"/>
        <v>0.27454511391090819</v>
      </c>
      <c r="D79" s="2">
        <f t="shared" ca="1" si="3"/>
        <v>0.12727443044545894</v>
      </c>
      <c r="E79" s="2">
        <f t="shared" ca="1" si="4"/>
        <v>0.87272556955454106</v>
      </c>
    </row>
    <row r="80" spans="1:5">
      <c r="A80" s="2">
        <f t="shared" ca="1" si="0"/>
        <v>0.35622657995531815</v>
      </c>
      <c r="B80" s="2">
        <f t="shared" ca="1" si="1"/>
        <v>0.29330807850587198</v>
      </c>
      <c r="C80" s="2">
        <f t="shared" ca="1" si="2"/>
        <v>0.10448413367941274</v>
      </c>
      <c r="D80" s="2">
        <f t="shared" ca="1" si="3"/>
        <v>0.97757933160293631</v>
      </c>
      <c r="E80" s="2">
        <f t="shared" ca="1" si="4"/>
        <v>2.2420668397063692E-2</v>
      </c>
    </row>
    <row r="81" spans="1:5">
      <c r="A81" s="2">
        <f t="shared" ca="1" si="0"/>
        <v>1.4960524341093864</v>
      </c>
      <c r="B81" s="2">
        <f t="shared" ca="1" si="1"/>
        <v>0.16803356639351483</v>
      </c>
      <c r="C81" s="2">
        <f t="shared" ca="1" si="2"/>
        <v>0.25138702601509905</v>
      </c>
      <c r="D81" s="2">
        <f t="shared" ca="1" si="3"/>
        <v>0.24306486992450482</v>
      </c>
      <c r="E81" s="2">
        <f t="shared" ca="1" si="4"/>
        <v>0.75693513007549518</v>
      </c>
    </row>
    <row r="82" spans="1:5">
      <c r="A82" s="2">
        <f t="shared" ca="1" si="0"/>
        <v>1.5164014404658765</v>
      </c>
      <c r="B82" s="2">
        <f t="shared" ca="1" si="1"/>
        <v>0.19305365801872451</v>
      </c>
      <c r="C82" s="2">
        <f t="shared" ca="1" si="2"/>
        <v>0.29274684510680055</v>
      </c>
      <c r="D82" s="2">
        <f t="shared" ca="1" si="3"/>
        <v>3.6265774465997214E-2</v>
      </c>
      <c r="E82" s="2">
        <f t="shared" ca="1" si="4"/>
        <v>0.96373422553400279</v>
      </c>
    </row>
    <row r="83" spans="1:5">
      <c r="A83" s="2">
        <f t="shared" ca="1" si="0"/>
        <v>0.42233893790514687</v>
      </c>
      <c r="B83" s="2">
        <f t="shared" ca="1" si="1"/>
        <v>0.27578214596675044</v>
      </c>
      <c r="C83" s="2">
        <f t="shared" ca="1" si="2"/>
        <v>0.11647353862079957</v>
      </c>
      <c r="D83" s="2">
        <f t="shared" ca="1" si="3"/>
        <v>0.91763230689600217</v>
      </c>
      <c r="E83" s="2">
        <f t="shared" ca="1" si="4"/>
        <v>8.236769310399783E-2</v>
      </c>
    </row>
    <row r="84" spans="1:5">
      <c r="A84" s="2">
        <f t="shared" ca="1" si="0"/>
        <v>0.73447969267207136</v>
      </c>
      <c r="B84" s="2">
        <f t="shared" ca="1" si="1"/>
        <v>0.21814395493432057</v>
      </c>
      <c r="C84" s="2">
        <f t="shared" ca="1" si="2"/>
        <v>0.16022230497842996</v>
      </c>
      <c r="D84" s="2">
        <f t="shared" ca="1" si="3"/>
        <v>0.69888847510785024</v>
      </c>
      <c r="E84" s="2">
        <f t="shared" ca="1" si="4"/>
        <v>0.30111152489214976</v>
      </c>
    </row>
    <row r="85" spans="1:5">
      <c r="A85" s="2">
        <f t="shared" ca="1" si="0"/>
        <v>1.5285255175833135</v>
      </c>
      <c r="B85" s="2">
        <f t="shared" ca="1" si="1"/>
        <v>0.18682325859514848</v>
      </c>
      <c r="C85" s="2">
        <f t="shared" ca="1" si="2"/>
        <v>0.28556411804075055</v>
      </c>
      <c r="D85" s="2">
        <f t="shared" ca="1" si="3"/>
        <v>7.2179409796247262E-2</v>
      </c>
      <c r="E85" s="2">
        <f t="shared" ca="1" si="4"/>
        <v>0.92782059020375274</v>
      </c>
    </row>
    <row r="86" spans="1:5">
      <c r="A86" s="2">
        <f t="shared" ca="1" si="0"/>
        <v>0.35807319472504057</v>
      </c>
      <c r="B86" s="2">
        <f t="shared" ca="1" si="1"/>
        <v>0.29278323133115486</v>
      </c>
      <c r="C86" s="2">
        <f t="shared" ca="1" si="2"/>
        <v>0.10483782700466722</v>
      </c>
      <c r="D86" s="2">
        <f t="shared" ca="1" si="3"/>
        <v>0.97581086497666392</v>
      </c>
      <c r="E86" s="2">
        <f t="shared" ca="1" si="4"/>
        <v>2.4189135023336084E-2</v>
      </c>
    </row>
    <row r="87" spans="1:5">
      <c r="A87" s="2">
        <f t="shared" ca="1" si="0"/>
        <v>1.4007452436996981</v>
      </c>
      <c r="B87" s="2">
        <f t="shared" ca="1" si="1"/>
        <v>0.16665587346933522</v>
      </c>
      <c r="C87" s="2">
        <f t="shared" ca="1" si="2"/>
        <v>0.23344242209679</v>
      </c>
      <c r="D87" s="2">
        <f t="shared" ca="1" si="3"/>
        <v>0.33278788951604998</v>
      </c>
      <c r="E87" s="2">
        <f t="shared" ca="1" si="4"/>
        <v>0.66721211048395002</v>
      </c>
    </row>
    <row r="88" spans="1:5">
      <c r="A88" s="2">
        <f t="shared" ca="1" si="0"/>
        <v>1.5272727955693892</v>
      </c>
      <c r="B88" s="2">
        <f t="shared" ca="1" si="1"/>
        <v>0.18756391398261998</v>
      </c>
      <c r="C88" s="2">
        <f t="shared" ca="1" si="2"/>
        <v>0.28646126325617249</v>
      </c>
      <c r="D88" s="2">
        <f t="shared" ca="1" si="3"/>
        <v>6.7693683719137421E-2</v>
      </c>
      <c r="E88" s="2">
        <f t="shared" ca="1" si="4"/>
        <v>0.93230631628086258</v>
      </c>
    </row>
    <row r="89" spans="1:5">
      <c r="A89" s="2">
        <f t="shared" ca="1" si="0"/>
        <v>0.33553074926393522</v>
      </c>
      <c r="B89" s="2">
        <f t="shared" ca="1" si="1"/>
        <v>0.29934243437154739</v>
      </c>
      <c r="C89" s="2">
        <f t="shared" ca="1" si="2"/>
        <v>0.10043859129117565</v>
      </c>
      <c r="D89" s="2">
        <f t="shared" ca="1" si="3"/>
        <v>0.99780704354412175</v>
      </c>
      <c r="E89" s="2">
        <f t="shared" ca="1" si="4"/>
        <v>2.1929564558782477E-3</v>
      </c>
    </row>
    <row r="90" spans="1:5">
      <c r="A90" s="2">
        <f t="shared" ca="1" si="0"/>
        <v>1.086338483912159</v>
      </c>
      <c r="B90" s="2">
        <f t="shared" ca="1" si="1"/>
        <v>0.1819456784750299</v>
      </c>
      <c r="C90" s="2">
        <f t="shared" ca="1" si="2"/>
        <v>0.19765459250893314</v>
      </c>
      <c r="D90" s="2">
        <f t="shared" ca="1" si="3"/>
        <v>0.51172703745533432</v>
      </c>
      <c r="E90" s="2">
        <f t="shared" ca="1" si="4"/>
        <v>0.48827296254466568</v>
      </c>
    </row>
    <row r="91" spans="1:5">
      <c r="A91" s="2">
        <f t="shared" ca="1" si="0"/>
        <v>1.1278180569929512</v>
      </c>
      <c r="B91" s="2">
        <f t="shared" ca="1" si="1"/>
        <v>0.17900099303466438</v>
      </c>
      <c r="C91" s="2">
        <f t="shared" ca="1" si="2"/>
        <v>0.20188055216416398</v>
      </c>
      <c r="D91" s="2">
        <f t="shared" ca="1" si="3"/>
        <v>0.49059723917918008</v>
      </c>
      <c r="E91" s="2">
        <f t="shared" ca="1" si="4"/>
        <v>0.50940276082081992</v>
      </c>
    </row>
    <row r="92" spans="1:5">
      <c r="A92" s="2">
        <f t="shared" ca="1" si="0"/>
        <v>0.41081448274772531</v>
      </c>
      <c r="B92" s="2">
        <f t="shared" ca="1" si="1"/>
        <v>0.27865999609900566</v>
      </c>
      <c r="C92" s="2">
        <f t="shared" ca="1" si="2"/>
        <v>0.11447756215989616</v>
      </c>
      <c r="D92" s="2">
        <f t="shared" ca="1" si="3"/>
        <v>0.92761218920051924</v>
      </c>
      <c r="E92" s="2">
        <f t="shared" ca="1" si="4"/>
        <v>7.2387810799480756E-2</v>
      </c>
    </row>
    <row r="93" spans="1:5">
      <c r="A93" s="2">
        <f t="shared" ca="1" si="0"/>
        <v>1.5242860418031503</v>
      </c>
      <c r="B93" s="2">
        <f t="shared" ca="1" si="1"/>
        <v>0.18920832712783825</v>
      </c>
      <c r="C93" s="2">
        <f t="shared" ca="1" si="2"/>
        <v>0.28840761203388821</v>
      </c>
      <c r="D93" s="2">
        <f t="shared" ca="1" si="3"/>
        <v>5.7961939830558973E-2</v>
      </c>
      <c r="E93" s="2">
        <f t="shared" ca="1" si="4"/>
        <v>0.94203806016944103</v>
      </c>
    </row>
    <row r="94" spans="1:5">
      <c r="A94" s="2">
        <f t="shared" ca="1" si="0"/>
        <v>1.5123349899261695</v>
      </c>
      <c r="B94" s="2">
        <f t="shared" ca="1" si="1"/>
        <v>0.16950598287776858</v>
      </c>
      <c r="C94" s="2">
        <f t="shared" ca="1" si="2"/>
        <v>0.25634982890787561</v>
      </c>
      <c r="D94" s="2">
        <f t="shared" ca="1" si="3"/>
        <v>0.21825085546062184</v>
      </c>
      <c r="E94" s="2">
        <f t="shared" ca="1" si="4"/>
        <v>0.78174914453937816</v>
      </c>
    </row>
    <row r="95" spans="1:5">
      <c r="A95" s="2">
        <f t="shared" ca="1" si="0"/>
        <v>0.9852940201174778</v>
      </c>
      <c r="B95" s="2">
        <f t="shared" ca="1" si="1"/>
        <v>0.19018439431532955</v>
      </c>
      <c r="C95" s="2">
        <f t="shared" ca="1" si="2"/>
        <v>0.18738754643855865</v>
      </c>
      <c r="D95" s="2">
        <f t="shared" ca="1" si="3"/>
        <v>0.5630622678072067</v>
      </c>
      <c r="E95" s="2">
        <f t="shared" ca="1" si="4"/>
        <v>0.4369377321927933</v>
      </c>
    </row>
    <row r="96" spans="1:5">
      <c r="A96" s="2">
        <f t="shared" ca="1" si="0"/>
        <v>0.98012701994113649</v>
      </c>
      <c r="B96" s="2">
        <f t="shared" ca="1" si="1"/>
        <v>0.19064762440466362</v>
      </c>
      <c r="C96" s="2">
        <f t="shared" ca="1" si="2"/>
        <v>0.18685888796660005</v>
      </c>
      <c r="D96" s="2">
        <f t="shared" ca="1" si="3"/>
        <v>0.5657055601669998</v>
      </c>
      <c r="E96" s="2">
        <f t="shared" ca="1" si="4"/>
        <v>0.4342944398330002</v>
      </c>
    </row>
    <row r="97" spans="1:5">
      <c r="A97" s="2">
        <f t="shared" ca="1" si="0"/>
        <v>0.90890451801797623</v>
      </c>
      <c r="B97" s="2">
        <f t="shared" ca="1" si="1"/>
        <v>0.19747477641855649</v>
      </c>
      <c r="C97" s="2">
        <f t="shared" ca="1" si="2"/>
        <v>0.1794857164814157</v>
      </c>
      <c r="D97" s="2">
        <f t="shared" ca="1" si="3"/>
        <v>0.60257141759292154</v>
      </c>
      <c r="E97" s="2">
        <f t="shared" ca="1" si="4"/>
        <v>0.39742858240707846</v>
      </c>
    </row>
    <row r="98" spans="1:5">
      <c r="A98" s="2">
        <f t="shared" ca="1" si="0"/>
        <v>1.5146328711877657</v>
      </c>
      <c r="B98" s="2">
        <f t="shared" ca="1" si="1"/>
        <v>0.16979724727317297</v>
      </c>
      <c r="C98" s="2">
        <f t="shared" ca="1" si="2"/>
        <v>0.257180492157145</v>
      </c>
      <c r="D98" s="2">
        <f t="shared" ca="1" si="3"/>
        <v>0.21409753921427499</v>
      </c>
      <c r="E98" s="2">
        <f t="shared" ca="1" si="4"/>
        <v>0.78590246078572501</v>
      </c>
    </row>
    <row r="99" spans="1:5">
      <c r="A99" s="2">
        <f t="shared" ca="1" si="0"/>
        <v>1.5172155821223048</v>
      </c>
      <c r="B99" s="2">
        <f t="shared" ca="1" si="1"/>
        <v>0.17016124631388529</v>
      </c>
      <c r="C99" s="2">
        <f t="shared" ca="1" si="2"/>
        <v>0.25817129438077835</v>
      </c>
      <c r="D99" s="2">
        <f t="shared" ca="1" si="3"/>
        <v>0.20914352809610814</v>
      </c>
      <c r="E99" s="2">
        <f t="shared" ca="1" si="4"/>
        <v>0.79085647190389186</v>
      </c>
    </row>
    <row r="100" spans="1:5">
      <c r="A100" s="2">
        <f t="shared" ca="1" si="0"/>
        <v>0.48974975222413797</v>
      </c>
      <c r="B100" s="2">
        <f t="shared" ca="1" si="1"/>
        <v>0.26025972755543009</v>
      </c>
      <c r="C100" s="2">
        <f t="shared" ca="1" si="2"/>
        <v>0.12746213708419354</v>
      </c>
      <c r="D100" s="2">
        <f t="shared" ca="1" si="3"/>
        <v>0.86268931457903231</v>
      </c>
      <c r="E100" s="2">
        <f t="shared" ca="1" si="4"/>
        <v>0.13731068542096769</v>
      </c>
    </row>
    <row r="101" spans="1:5">
      <c r="A101" s="2">
        <f t="shared" ca="1" si="0"/>
        <v>1.380554621713155</v>
      </c>
      <c r="B101" s="2">
        <f t="shared" ca="1" si="1"/>
        <v>0.16701629670121651</v>
      </c>
      <c r="C101" s="2">
        <f t="shared" ca="1" si="2"/>
        <v>0.23057512031228</v>
      </c>
      <c r="D101" s="2">
        <f t="shared" ca="1" si="3"/>
        <v>0.34712439843859999</v>
      </c>
      <c r="E101" s="2">
        <f t="shared" ca="1" si="4"/>
        <v>0.65287560156140001</v>
      </c>
    </row>
    <row r="102" spans="1:5">
      <c r="A102" s="2">
        <f t="shared" ca="1" si="0"/>
        <v>0.66069522749978249</v>
      </c>
      <c r="B102" s="2">
        <f t="shared" ca="1" si="1"/>
        <v>0.22893084840314165</v>
      </c>
      <c r="C102" s="2">
        <f t="shared" ca="1" si="2"/>
        <v>0.15125351896743189</v>
      </c>
      <c r="D102" s="2">
        <f t="shared" ca="1" si="3"/>
        <v>0.74373240516284056</v>
      </c>
      <c r="E102" s="2">
        <f t="shared" ca="1" si="4"/>
        <v>0.25626759483715944</v>
      </c>
    </row>
    <row r="103" spans="1:5">
      <c r="A103" s="2">
        <f t="shared" ca="1" si="0"/>
        <v>0.46390682841030467</v>
      </c>
      <c r="B103" s="2">
        <f t="shared" ca="1" si="1"/>
        <v>0.26595921943943224</v>
      </c>
      <c r="C103" s="2">
        <f t="shared" ca="1" si="2"/>
        <v>0.12338029797662725</v>
      </c>
      <c r="D103" s="2">
        <f t="shared" ca="1" si="3"/>
        <v>0.88309851011686369</v>
      </c>
      <c r="E103" s="2">
        <f t="shared" ca="1" si="4"/>
        <v>0.11690148988313631</v>
      </c>
    </row>
    <row r="104" spans="1:5">
      <c r="A104" s="2">
        <f t="shared" ca="1" si="0"/>
        <v>1.3909678681660045</v>
      </c>
      <c r="B104" s="2">
        <f t="shared" ca="1" si="1"/>
        <v>0.16681326111592287</v>
      </c>
      <c r="C104" s="2">
        <f t="shared" ca="1" si="2"/>
        <v>0.2320318861962343</v>
      </c>
      <c r="D104" s="2">
        <f t="shared" ca="1" si="3"/>
        <v>0.33984056901882853</v>
      </c>
      <c r="E104" s="2">
        <f t="shared" ca="1" si="4"/>
        <v>0.66015943098117147</v>
      </c>
    </row>
    <row r="105" spans="1:5">
      <c r="A105" s="2">
        <f t="shared" ca="1" si="0"/>
        <v>1.5211573170274362</v>
      </c>
      <c r="B105" s="2">
        <f t="shared" ca="1" si="1"/>
        <v>0.19080095403207073</v>
      </c>
      <c r="C105" s="2">
        <f t="shared" ca="1" si="2"/>
        <v>0.29023826732169988</v>
      </c>
      <c r="D105" s="2">
        <f t="shared" ca="1" si="3"/>
        <v>4.8808663391500695E-2</v>
      </c>
      <c r="E105" s="2">
        <f t="shared" ca="1" si="4"/>
        <v>0.9511913366084993</v>
      </c>
    </row>
    <row r="106" spans="1:5">
      <c r="A106" s="2">
        <f t="shared" ca="1" si="0"/>
        <v>1.536264304897546</v>
      </c>
      <c r="B106" s="2">
        <f t="shared" ca="1" si="1"/>
        <v>0.17706764124075164</v>
      </c>
      <c r="C106" s="2">
        <f t="shared" ca="1" si="2"/>
        <v>0.27202269679057134</v>
      </c>
      <c r="D106" s="2">
        <f t="shared" ca="1" si="3"/>
        <v>0.13988651604714331</v>
      </c>
      <c r="E106" s="2">
        <f t="shared" ca="1" si="4"/>
        <v>0.86011348395285669</v>
      </c>
    </row>
    <row r="107" spans="1:5">
      <c r="A107" s="2">
        <f t="shared" ca="1" si="0"/>
        <v>1.5094156159980445</v>
      </c>
      <c r="B107" s="2">
        <f t="shared" ca="1" si="1"/>
        <v>0.1961264155300573</v>
      </c>
      <c r="C107" s="2">
        <f t="shared" ca="1" si="2"/>
        <v>0.29603627431078988</v>
      </c>
      <c r="D107" s="2">
        <f t="shared" ca="1" si="3"/>
        <v>1.9818628446050535E-2</v>
      </c>
      <c r="E107" s="2">
        <f t="shared" ca="1" si="4"/>
        <v>0.98018137155394947</v>
      </c>
    </row>
    <row r="108" spans="1:5">
      <c r="A108" s="2">
        <f t="shared" ca="1" si="0"/>
        <v>1.4662043016687234</v>
      </c>
      <c r="B108" s="2">
        <f t="shared" ca="1" si="1"/>
        <v>0.16676754282509346</v>
      </c>
      <c r="C108" s="2">
        <f t="shared" ca="1" si="2"/>
        <v>0.24451528866887509</v>
      </c>
      <c r="D108" s="2">
        <f t="shared" ca="1" si="3"/>
        <v>0.27742355665562457</v>
      </c>
      <c r="E108" s="2">
        <f t="shared" ca="1" si="4"/>
        <v>0.72257644334437543</v>
      </c>
    </row>
    <row r="109" spans="1:5">
      <c r="A109" s="2">
        <f t="shared" ca="1" si="0"/>
        <v>0.49971024740384973</v>
      </c>
      <c r="B109" s="2">
        <f t="shared" ca="1" si="1"/>
        <v>0.25814046264461271</v>
      </c>
      <c r="C109" s="2">
        <f t="shared" ca="1" si="2"/>
        <v>0.12899543445308365</v>
      </c>
      <c r="D109" s="2">
        <f t="shared" ca="1" si="3"/>
        <v>0.85502282773458171</v>
      </c>
      <c r="E109" s="2">
        <f t="shared" ca="1" si="4"/>
        <v>0.14497717226541829</v>
      </c>
    </row>
    <row r="110" spans="1:5">
      <c r="A110" s="2">
        <f t="shared" ca="1" si="0"/>
        <v>1.3164001356226676</v>
      </c>
      <c r="B110" s="2">
        <f t="shared" ca="1" si="1"/>
        <v>0.16892057706904151</v>
      </c>
      <c r="C110" s="2">
        <f t="shared" ca="1" si="2"/>
        <v>0.22236707056314553</v>
      </c>
      <c r="D110" s="2">
        <f t="shared" ca="1" si="3"/>
        <v>0.38816464718427235</v>
      </c>
      <c r="E110" s="2">
        <f t="shared" ca="1" si="4"/>
        <v>0.61183535281572765</v>
      </c>
    </row>
    <row r="111" spans="1:5">
      <c r="A111" s="2">
        <f t="shared" ca="1" si="0"/>
        <v>1.2290392246502684</v>
      </c>
      <c r="B111" s="2">
        <f t="shared" ca="1" si="1"/>
        <v>0.17287876951390854</v>
      </c>
      <c r="C111" s="2">
        <f t="shared" ca="1" si="2"/>
        <v>0.2124747888418666</v>
      </c>
      <c r="D111" s="2">
        <f t="shared" ca="1" si="3"/>
        <v>0.43762605579066705</v>
      </c>
      <c r="E111" s="2">
        <f t="shared" ca="1" si="4"/>
        <v>0.56237394420933295</v>
      </c>
    </row>
    <row r="112" spans="1:5">
      <c r="A112" s="2">
        <f t="shared" ca="1" si="0"/>
        <v>1.3604797397245598</v>
      </c>
      <c r="B112" s="2">
        <f t="shared" ca="1" si="1"/>
        <v>0.16749984200289836</v>
      </c>
      <c r="C112" s="2">
        <f t="shared" ca="1" si="2"/>
        <v>0.22788014145200805</v>
      </c>
      <c r="D112" s="2">
        <f t="shared" ca="1" si="3"/>
        <v>0.36059929273995972</v>
      </c>
      <c r="E112" s="2">
        <f t="shared" ca="1" si="4"/>
        <v>0.63940070726004028</v>
      </c>
    </row>
    <row r="113" spans="1:5">
      <c r="A113" s="2">
        <f t="shared" ca="1" si="0"/>
        <v>1.1794765308214556</v>
      </c>
      <c r="B113" s="2">
        <f t="shared" ca="1" si="1"/>
        <v>0.17568490270820403</v>
      </c>
      <c r="C113" s="2">
        <f t="shared" ca="1" si="2"/>
        <v>0.20721621956397746</v>
      </c>
      <c r="D113" s="2">
        <f t="shared" ca="1" si="3"/>
        <v>0.46391890218011278</v>
      </c>
      <c r="E113" s="2">
        <f t="shared" ca="1" si="4"/>
        <v>0.53608109781988722</v>
      </c>
    </row>
    <row r="114" spans="1:5">
      <c r="A114" s="2">
        <f t="shared" ca="1" si="0"/>
        <v>0.62827688080438171</v>
      </c>
      <c r="B114" s="2">
        <f t="shared" ca="1" si="1"/>
        <v>0.23413461928230461</v>
      </c>
      <c r="C114" s="2">
        <f t="shared" ca="1" si="2"/>
        <v>0.14710136829100778</v>
      </c>
      <c r="D114" s="2">
        <f t="shared" ca="1" si="3"/>
        <v>0.76449315854496103</v>
      </c>
      <c r="E114" s="2">
        <f t="shared" ca="1" si="4"/>
        <v>0.23550684145503897</v>
      </c>
    </row>
    <row r="115" spans="1:5">
      <c r="A115" s="2">
        <f t="shared" ca="1" si="0"/>
        <v>0.37042990229145112</v>
      </c>
      <c r="B115" s="2">
        <f t="shared" ca="1" si="1"/>
        <v>0.28932630860122621</v>
      </c>
      <c r="C115" s="2">
        <f t="shared" ca="1" si="2"/>
        <v>0.10717511622549845</v>
      </c>
      <c r="D115" s="2">
        <f t="shared" ca="1" si="3"/>
        <v>0.96412441887250777</v>
      </c>
      <c r="E115" s="2">
        <f t="shared" ca="1" si="4"/>
        <v>3.5875581127492229E-2</v>
      </c>
    </row>
    <row r="116" spans="1:5">
      <c r="A116" s="2">
        <f t="shared" ca="1" si="0"/>
        <v>1.367066382154456</v>
      </c>
      <c r="B116" s="2">
        <f t="shared" ca="1" si="1"/>
        <v>0.16732862777978436</v>
      </c>
      <c r="C116" s="2">
        <f t="shared" ca="1" si="2"/>
        <v>0.22874934180977941</v>
      </c>
      <c r="D116" s="2">
        <f t="shared" ca="1" si="3"/>
        <v>0.35625329095110292</v>
      </c>
      <c r="E116" s="2">
        <f t="shared" ca="1" si="4"/>
        <v>0.64374670904889708</v>
      </c>
    </row>
    <row r="117" spans="1:5">
      <c r="A117" s="2">
        <f t="shared" ca="1" si="0"/>
        <v>1.5361790496856556</v>
      </c>
      <c r="B117" s="2">
        <f t="shared" ca="1" si="1"/>
        <v>0.17690510481972122</v>
      </c>
      <c r="C117" s="2">
        <f t="shared" ca="1" si="2"/>
        <v>0.27175791580650061</v>
      </c>
      <c r="D117" s="2">
        <f t="shared" ca="1" si="3"/>
        <v>0.14121042096749692</v>
      </c>
      <c r="E117" s="2">
        <f t="shared" ca="1" si="4"/>
        <v>0.85878957903250308</v>
      </c>
    </row>
    <row r="118" spans="1:5">
      <c r="A118" s="2">
        <f t="shared" ca="1" si="0"/>
        <v>1.1796686205047313</v>
      </c>
      <c r="B118" s="2">
        <f t="shared" ca="1" si="1"/>
        <v>0.17567330669686052</v>
      </c>
      <c r="C118" s="2">
        <f t="shared" ca="1" si="2"/>
        <v>0.20723628737059002</v>
      </c>
      <c r="D118" s="2">
        <f t="shared" ca="1" si="3"/>
        <v>0.46381856314704994</v>
      </c>
      <c r="E118" s="2">
        <f t="shared" ca="1" si="4"/>
        <v>0.53618143685295006</v>
      </c>
    </row>
    <row r="119" spans="1:5">
      <c r="A119" s="2">
        <f t="shared" ca="1" si="0"/>
        <v>1.5016284872548828</v>
      </c>
      <c r="B119" s="2">
        <f t="shared" ca="1" si="1"/>
        <v>0.1993458700503275</v>
      </c>
      <c r="C119" s="2">
        <f t="shared" ca="1" si="2"/>
        <v>0.29934343728418172</v>
      </c>
      <c r="D119" s="2">
        <f t="shared" ca="1" si="3"/>
        <v>3.282813579091326E-3</v>
      </c>
      <c r="E119" s="2">
        <f t="shared" ca="1" si="4"/>
        <v>0.99671718642090867</v>
      </c>
    </row>
    <row r="120" spans="1:5">
      <c r="A120" s="2">
        <f t="shared" ca="1" si="0"/>
        <v>0.57012490223577728</v>
      </c>
      <c r="B120" s="2">
        <f t="shared" ca="1" si="1"/>
        <v>0.24427549361646198</v>
      </c>
      <c r="C120" s="2">
        <f t="shared" ca="1" si="2"/>
        <v>0.13926754191668161</v>
      </c>
      <c r="D120" s="2">
        <f t="shared" ca="1" si="3"/>
        <v>0.80366229041659187</v>
      </c>
      <c r="E120" s="2">
        <f t="shared" ca="1" si="4"/>
        <v>0.19633770958340813</v>
      </c>
    </row>
    <row r="121" spans="1:5">
      <c r="A121" s="2">
        <f t="shared" ca="1" si="0"/>
        <v>1.3844945715693928</v>
      </c>
      <c r="B121" s="2">
        <f t="shared" ca="1" si="1"/>
        <v>0.16693538477146139</v>
      </c>
      <c r="C121" s="2">
        <f t="shared" ca="1" si="2"/>
        <v>0.23112113401893616</v>
      </c>
      <c r="D121" s="2">
        <f t="shared" ca="1" si="3"/>
        <v>0.34439432990531915</v>
      </c>
      <c r="E121" s="2">
        <f t="shared" ca="1" si="4"/>
        <v>0.65560567009468085</v>
      </c>
    </row>
    <row r="122" spans="1:5">
      <c r="A122" s="2">
        <f t="shared" ca="1" si="0"/>
        <v>0.71679638668537715</v>
      </c>
      <c r="B122" s="2">
        <f t="shared" ca="1" si="1"/>
        <v>0.22060388480714602</v>
      </c>
      <c r="C122" s="2">
        <f t="shared" ca="1" si="2"/>
        <v>0.15812806751851943</v>
      </c>
      <c r="D122" s="2">
        <f t="shared" ca="1" si="3"/>
        <v>0.70935966240740278</v>
      </c>
      <c r="E122" s="2">
        <f t="shared" ca="1" si="4"/>
        <v>0.29064033759259722</v>
      </c>
    </row>
    <row r="123" spans="1:5">
      <c r="A123" s="2">
        <f t="shared" ca="1" si="0"/>
        <v>1.5005468071183778</v>
      </c>
      <c r="B123" s="2">
        <f t="shared" ca="1" si="1"/>
        <v>0.16835914411219863</v>
      </c>
      <c r="C123" s="2">
        <f t="shared" ca="1" si="2"/>
        <v>0.25263077614674251</v>
      </c>
      <c r="D123" s="2">
        <f t="shared" ca="1" si="3"/>
        <v>0.23684611926628729</v>
      </c>
      <c r="E123" s="2">
        <f t="shared" ca="1" si="4"/>
        <v>0.76315388073371271</v>
      </c>
    </row>
    <row r="124" spans="1:5">
      <c r="A124" s="2">
        <f t="shared" ca="1" si="0"/>
        <v>0.47491535347830738</v>
      </c>
      <c r="B124" s="2">
        <f t="shared" ca="1" si="1"/>
        <v>0.26349506121286204</v>
      </c>
      <c r="C124" s="2">
        <f t="shared" ca="1" si="2"/>
        <v>0.12513785013569462</v>
      </c>
      <c r="D124" s="2">
        <f t="shared" ca="1" si="3"/>
        <v>0.87431074932152686</v>
      </c>
      <c r="E124" s="2">
        <f t="shared" ca="1" si="4"/>
        <v>0.12568925067847314</v>
      </c>
    </row>
    <row r="125" spans="1:5">
      <c r="A125" s="2">
        <f t="shared" ca="1" si="0"/>
        <v>0.76912590168207484</v>
      </c>
      <c r="B125" s="2">
        <f t="shared" ca="1" si="1"/>
        <v>0.21353637668061345</v>
      </c>
      <c r="C125" s="2">
        <f t="shared" ca="1" si="2"/>
        <v>0.16423635825640001</v>
      </c>
      <c r="D125" s="2">
        <f t="shared" ca="1" si="3"/>
        <v>0.67881820871799992</v>
      </c>
      <c r="E125" s="2">
        <f t="shared" ca="1" si="4"/>
        <v>0.32118179128200008</v>
      </c>
    </row>
    <row r="126" spans="1:5">
      <c r="A126" s="2">
        <f t="shared" ca="1" si="0"/>
        <v>1.16690218591605</v>
      </c>
      <c r="B126" s="2">
        <f t="shared" ca="1" si="1"/>
        <v>0.17645592331489704</v>
      </c>
      <c r="C126" s="2">
        <f t="shared" ca="1" si="2"/>
        <v>0.20590680263398825</v>
      </c>
      <c r="D126" s="2">
        <f t="shared" ca="1" si="3"/>
        <v>0.47046598683005869</v>
      </c>
      <c r="E126" s="2">
        <f t="shared" ca="1" si="4"/>
        <v>0.52953401316994131</v>
      </c>
    </row>
    <row r="127" spans="1:5">
      <c r="A127" s="2">
        <f t="shared" ca="1" si="0"/>
        <v>0.75316380910862002</v>
      </c>
      <c r="B127" s="2">
        <f t="shared" ca="1" si="1"/>
        <v>0.21562513875880615</v>
      </c>
      <c r="C127" s="2">
        <f t="shared" ca="1" si="2"/>
        <v>0.16240105084715717</v>
      </c>
      <c r="D127" s="2">
        <f t="shared" ca="1" si="3"/>
        <v>0.68799474576421416</v>
      </c>
      <c r="E127" s="2">
        <f t="shared" ca="1" si="4"/>
        <v>0.31200525423578584</v>
      </c>
    </row>
    <row r="128" spans="1:5">
      <c r="A128" s="2">
        <f t="shared" ca="1" si="0"/>
        <v>0.46358733381718437</v>
      </c>
      <c r="B128" s="2">
        <f t="shared" ca="1" si="1"/>
        <v>0.26603155992242222</v>
      </c>
      <c r="C128" s="2">
        <f t="shared" ca="1" si="2"/>
        <v>0.12332886157566224</v>
      </c>
      <c r="D128" s="2">
        <f t="shared" ca="1" si="3"/>
        <v>0.88335569212168885</v>
      </c>
      <c r="E128" s="2">
        <f t="shared" ca="1" si="4"/>
        <v>0.11664430787831115</v>
      </c>
    </row>
    <row r="129" spans="1:5">
      <c r="A129" s="2">
        <f t="shared" ca="1" si="0"/>
        <v>1.5362510580335493</v>
      </c>
      <c r="B129" s="2">
        <f t="shared" ca="1" si="1"/>
        <v>0.17704100166397205</v>
      </c>
      <c r="C129" s="2">
        <f t="shared" ca="1" si="2"/>
        <v>0.27197942612159642</v>
      </c>
      <c r="D129" s="2">
        <f t="shared" ca="1" si="3"/>
        <v>0.14010286939201799</v>
      </c>
      <c r="E129" s="2">
        <f t="shared" ca="1" si="4"/>
        <v>0.85989713060798201</v>
      </c>
    </row>
    <row r="130" spans="1:5">
      <c r="A130" s="2">
        <f t="shared" ca="1" si="0"/>
        <v>0.58049462330303658</v>
      </c>
      <c r="B130" s="2">
        <f t="shared" ca="1" si="1"/>
        <v>0.24238626247073553</v>
      </c>
      <c r="C130" s="2">
        <f t="shared" ca="1" si="2"/>
        <v>0.14070392212678057</v>
      </c>
      <c r="D130" s="2">
        <f t="shared" ca="1" si="3"/>
        <v>0.79648038936609722</v>
      </c>
      <c r="E130" s="2">
        <f t="shared" ca="1" si="4"/>
        <v>0.20351961063390278</v>
      </c>
    </row>
    <row r="131" spans="1:5">
      <c r="A131" s="2">
        <f t="shared" ca="1" si="0"/>
        <v>1.1086158772657806</v>
      </c>
      <c r="B131" s="2">
        <f t="shared" ca="1" si="1"/>
        <v>0.18033303625996586</v>
      </c>
      <c r="C131" s="2">
        <f t="shared" ca="1" si="2"/>
        <v>0.19992006719334388</v>
      </c>
      <c r="D131" s="2">
        <f t="shared" ca="1" si="3"/>
        <v>0.50039966403328062</v>
      </c>
      <c r="E131" s="2">
        <f t="shared" ca="1" si="4"/>
        <v>0.49960033596671938</v>
      </c>
    </row>
    <row r="132" spans="1:5">
      <c r="A132" s="2">
        <f t="shared" ca="1" si="0"/>
        <v>0.73837447596578787</v>
      </c>
      <c r="B132" s="2">
        <f t="shared" ca="1" si="1"/>
        <v>0.21761218773350058</v>
      </c>
      <c r="C132" s="2">
        <f t="shared" ca="1" si="2"/>
        <v>0.16067928508149215</v>
      </c>
      <c r="D132" s="2">
        <f t="shared" ca="1" si="3"/>
        <v>0.6966035745925393</v>
      </c>
      <c r="E132" s="2">
        <f t="shared" ca="1" si="4"/>
        <v>0.3033964254074607</v>
      </c>
    </row>
    <row r="133" spans="1:5">
      <c r="A133" s="2">
        <f t="shared" ca="1" si="0"/>
        <v>0.6733375283688422</v>
      </c>
      <c r="B133" s="2">
        <f t="shared" ca="1" si="1"/>
        <v>0.22698186727043748</v>
      </c>
      <c r="C133" s="2">
        <f t="shared" ca="1" si="2"/>
        <v>0.15283540949242097</v>
      </c>
      <c r="D133" s="2">
        <f t="shared" ca="1" si="3"/>
        <v>0.73582295253789509</v>
      </c>
      <c r="E133" s="2">
        <f t="shared" ca="1" si="4"/>
        <v>0.26417704746210491</v>
      </c>
    </row>
    <row r="134" spans="1:5">
      <c r="A134" s="2">
        <f t="shared" ca="1" si="0"/>
        <v>0.39629437728441125</v>
      </c>
      <c r="B134" s="2">
        <f t="shared" ca="1" si="1"/>
        <v>0.28238803382036487</v>
      </c>
      <c r="C134" s="2">
        <f t="shared" ca="1" si="2"/>
        <v>0.11190879001541076</v>
      </c>
      <c r="D134" s="2">
        <f t="shared" ca="1" si="3"/>
        <v>0.94045604992294618</v>
      </c>
      <c r="E134" s="2">
        <f t="shared" ca="1" si="4"/>
        <v>5.954395007705382E-2</v>
      </c>
    </row>
    <row r="135" spans="1:5">
      <c r="A135" s="2">
        <f t="shared" ca="1" si="0"/>
        <v>0.72536695055774658</v>
      </c>
      <c r="B135" s="2">
        <f t="shared" ca="1" si="1"/>
        <v>0.21940221889380032</v>
      </c>
      <c r="C135" s="2">
        <f t="shared" ca="1" si="2"/>
        <v>0.15914711846459914</v>
      </c>
      <c r="D135" s="2">
        <f t="shared" ca="1" si="3"/>
        <v>0.70426440767700427</v>
      </c>
      <c r="E135" s="2">
        <f t="shared" ca="1" si="4"/>
        <v>0.29573559232299573</v>
      </c>
    </row>
    <row r="136" spans="1:5">
      <c r="A136" s="2">
        <f t="shared" ca="1" si="0"/>
        <v>0.53142429087596166</v>
      </c>
      <c r="B136" s="2">
        <f t="shared" ca="1" si="1"/>
        <v>0.2516625479553638</v>
      </c>
      <c r="C136" s="2">
        <f t="shared" ca="1" si="2"/>
        <v>0.13373959108721689</v>
      </c>
      <c r="D136" s="2">
        <f t="shared" ca="1" si="3"/>
        <v>0.83130204456391565</v>
      </c>
      <c r="E136" s="2">
        <f t="shared" ca="1" si="4"/>
        <v>0.16869795543608435</v>
      </c>
    </row>
    <row r="137" spans="1:5">
      <c r="A137" s="2">
        <f t="shared" ca="1" si="0"/>
        <v>0.38070746803743077</v>
      </c>
      <c r="B137" s="2">
        <f t="shared" ca="1" si="1"/>
        <v>0.28652222228164936</v>
      </c>
      <c r="C137" s="2">
        <f t="shared" ca="1" si="2"/>
        <v>0.10908114978130466</v>
      </c>
      <c r="D137" s="2">
        <f t="shared" ca="1" si="3"/>
        <v>0.95459425109347673</v>
      </c>
      <c r="E137" s="2">
        <f t="shared" ca="1" si="4"/>
        <v>4.5405748906523269E-2</v>
      </c>
    </row>
    <row r="138" spans="1:5">
      <c r="A138" s="2">
        <f t="shared" ca="1" si="0"/>
        <v>1.5351420704556717</v>
      </c>
      <c r="B138" s="2">
        <f t="shared" ca="1" si="1"/>
        <v>0.18166697963292994</v>
      </c>
      <c r="C138" s="2">
        <f t="shared" ca="1" si="2"/>
        <v>0.27888462324712443</v>
      </c>
      <c r="D138" s="2">
        <f t="shared" ca="1" si="3"/>
        <v>0.10557688376437779</v>
      </c>
      <c r="E138" s="2">
        <f t="shared" ca="1" si="4"/>
        <v>0.89442311623562221</v>
      </c>
    </row>
    <row r="139" spans="1:5">
      <c r="A139" s="2">
        <f t="shared" ca="1" si="0"/>
        <v>0.69166719651194386</v>
      </c>
      <c r="B139" s="2">
        <f t="shared" ca="1" si="1"/>
        <v>0.22423241042370731</v>
      </c>
      <c r="C139" s="2">
        <f t="shared" ca="1" si="2"/>
        <v>0.15509420268488122</v>
      </c>
      <c r="D139" s="2">
        <f t="shared" ca="1" si="3"/>
        <v>0.72452898657559395</v>
      </c>
      <c r="E139" s="2">
        <f t="shared" ca="1" si="4"/>
        <v>0.27547101342440605</v>
      </c>
    </row>
    <row r="140" spans="1:5">
      <c r="A140" s="2">
        <f t="shared" ca="1" si="0"/>
        <v>0.46476644211837292</v>
      </c>
      <c r="B140" s="2">
        <f t="shared" ca="1" si="1"/>
        <v>0.26576481745599928</v>
      </c>
      <c r="C140" s="2">
        <f t="shared" ca="1" si="2"/>
        <v>0.12351856864926364</v>
      </c>
      <c r="D140" s="2">
        <f t="shared" ca="1" si="3"/>
        <v>0.88240715675368175</v>
      </c>
      <c r="E140" s="2">
        <f t="shared" ca="1" si="4"/>
        <v>0.11759284324631825</v>
      </c>
    </row>
    <row r="141" spans="1:5">
      <c r="A141" s="2">
        <f t="shared" ca="1" si="0"/>
        <v>1.5265383809223774</v>
      </c>
      <c r="B141" s="2">
        <f t="shared" ca="1" si="1"/>
        <v>0.17196592515797612</v>
      </c>
      <c r="C141" s="2">
        <f t="shared" ca="1" si="2"/>
        <v>0.2625125849644756</v>
      </c>
      <c r="D141" s="2">
        <f t="shared" ca="1" si="3"/>
        <v>0.18743707517762198</v>
      </c>
      <c r="E141" s="2">
        <f t="shared" ca="1" si="4"/>
        <v>0.81256292482237802</v>
      </c>
    </row>
    <row r="142" spans="1:5">
      <c r="A142" s="2">
        <f t="shared" ca="1" si="0"/>
        <v>1.533820742816812</v>
      </c>
      <c r="B142" s="2">
        <f t="shared" ca="1" si="1"/>
        <v>0.17469899661188584</v>
      </c>
      <c r="C142" s="2">
        <f t="shared" ca="1" si="2"/>
        <v>0.26795694475259446</v>
      </c>
      <c r="D142" s="2">
        <f t="shared" ca="1" si="3"/>
        <v>0.16021527623702769</v>
      </c>
      <c r="E142" s="2">
        <f t="shared" ca="1" si="4"/>
        <v>0.83978472376297231</v>
      </c>
    </row>
    <row r="143" spans="1:5">
      <c r="A143" s="2">
        <f t="shared" ca="1" si="0"/>
        <v>1.5285323784861864</v>
      </c>
      <c r="B143" s="2">
        <f t="shared" ca="1" si="1"/>
        <v>0.18681909804092667</v>
      </c>
      <c r="C143" s="2">
        <f t="shared" ca="1" si="2"/>
        <v>0.28555904027514167</v>
      </c>
      <c r="D143" s="2">
        <f t="shared" ca="1" si="3"/>
        <v>7.2204798624291411E-2</v>
      </c>
      <c r="E143" s="2">
        <f t="shared" ca="1" si="4"/>
        <v>0.92779520137570859</v>
      </c>
    </row>
    <row r="144" spans="1:5">
      <c r="A144" s="2">
        <f t="shared" ca="1" si="0"/>
        <v>1.5359600325587546</v>
      </c>
      <c r="B144" s="2">
        <f t="shared" ca="1" si="1"/>
        <v>0.1765572713626804</v>
      </c>
      <c r="C144" s="2">
        <f t="shared" ca="1" si="2"/>
        <v>0.27118491227070746</v>
      </c>
      <c r="D144" s="2">
        <f t="shared" ca="1" si="3"/>
        <v>0.14407543864646266</v>
      </c>
      <c r="E144" s="2">
        <f t="shared" ca="1" si="4"/>
        <v>0.85592456135353734</v>
      </c>
    </row>
    <row r="145" spans="1:5">
      <c r="A145" s="2">
        <f t="shared" ca="1" si="0"/>
        <v>1.5303124204635556</v>
      </c>
      <c r="B145" s="2">
        <f t="shared" ca="1" si="1"/>
        <v>0.18569276119876463</v>
      </c>
      <c r="C145" s="2">
        <f t="shared" ca="1" si="2"/>
        <v>0.28416793885264252</v>
      </c>
      <c r="D145" s="2">
        <f t="shared" ca="1" si="3"/>
        <v>7.916030573678734E-2</v>
      </c>
      <c r="E145" s="2">
        <f t="shared" ca="1" si="4"/>
        <v>0.92083969426321266</v>
      </c>
    </row>
    <row r="146" spans="1:5">
      <c r="A146" s="2">
        <f t="shared" ca="1" si="0"/>
        <v>0.54893932323187111</v>
      </c>
      <c r="B146" s="2">
        <f t="shared" ca="1" si="1"/>
        <v>0.24825182704136042</v>
      </c>
      <c r="C146" s="2">
        <f t="shared" ca="1" si="2"/>
        <v>0.13627518992715992</v>
      </c>
      <c r="D146" s="2">
        <f t="shared" ca="1" si="3"/>
        <v>0.81862405036420038</v>
      </c>
      <c r="E146" s="2">
        <f t="shared" ca="1" si="4"/>
        <v>0.18137594963579962</v>
      </c>
    </row>
    <row r="147" spans="1:5">
      <c r="A147" s="2">
        <f t="shared" ca="1" si="0"/>
        <v>1.5110181177634927</v>
      </c>
      <c r="B147" s="2">
        <f t="shared" ca="1" si="1"/>
        <v>0.19544033989045703</v>
      </c>
      <c r="C147" s="2">
        <f t="shared" ca="1" si="2"/>
        <v>0.29531389451633566</v>
      </c>
      <c r="D147" s="2">
        <f t="shared" ca="1" si="3"/>
        <v>2.3430527418321634E-2</v>
      </c>
      <c r="E147" s="2">
        <f t="shared" ca="1" si="4"/>
        <v>0.97656947258167837</v>
      </c>
    </row>
    <row r="148" spans="1:5">
      <c r="A148" s="2">
        <f t="shared" ca="1" si="0"/>
        <v>1.3187662703710521</v>
      </c>
      <c r="B148" s="2">
        <f t="shared" ca="1" si="1"/>
        <v>0.16883323490817945</v>
      </c>
      <c r="C148" s="2">
        <f t="shared" ca="1" si="2"/>
        <v>0.22265157551453951</v>
      </c>
      <c r="D148" s="2">
        <f t="shared" ca="1" si="3"/>
        <v>0.38674212242730244</v>
      </c>
      <c r="E148" s="2">
        <f t="shared" ca="1" si="4"/>
        <v>0.61325787757269756</v>
      </c>
    </row>
    <row r="149" spans="1:5">
      <c r="A149" s="2">
        <f t="shared" ca="1" si="0"/>
        <v>1.0258898888827781</v>
      </c>
      <c r="B149" s="2">
        <f t="shared" ca="1" si="1"/>
        <v>0.1866893012716335</v>
      </c>
      <c r="C149" s="2">
        <f t="shared" ca="1" si="2"/>
        <v>0.19152266653715957</v>
      </c>
      <c r="D149" s="2">
        <f t="shared" ca="1" si="3"/>
        <v>0.54238666731420215</v>
      </c>
      <c r="E149" s="2">
        <f t="shared" ca="1" si="4"/>
        <v>0.45761333268579785</v>
      </c>
    </row>
    <row r="150" spans="1:5">
      <c r="A150" s="2">
        <f t="shared" ca="1" si="0"/>
        <v>1.2073585795946082</v>
      </c>
      <c r="B150" s="2">
        <f t="shared" ca="1" si="1"/>
        <v>0.17405985613660638</v>
      </c>
      <c r="C150" s="2">
        <f t="shared" ca="1" si="2"/>
        <v>0.21015266066953495</v>
      </c>
      <c r="D150" s="2">
        <f t="shared" ca="1" si="3"/>
        <v>0.44923669665232524</v>
      </c>
      <c r="E150" s="2">
        <f t="shared" ca="1" si="4"/>
        <v>0.55076330334767476</v>
      </c>
    </row>
    <row r="151" spans="1:5">
      <c r="A151" s="2">
        <f t="shared" ca="1" si="0"/>
        <v>0.88383614945527966</v>
      </c>
      <c r="B151" s="2">
        <f t="shared" ca="1" si="1"/>
        <v>0.20008274896780895</v>
      </c>
      <c r="C151" s="2">
        <f t="shared" ca="1" si="2"/>
        <v>0.17684036642013559</v>
      </c>
      <c r="D151" s="2">
        <f t="shared" ca="1" si="3"/>
        <v>0.61579816789932207</v>
      </c>
      <c r="E151" s="2">
        <f t="shared" ca="1" si="4"/>
        <v>0.38420183210067793</v>
      </c>
    </row>
    <row r="152" spans="1:5">
      <c r="A152" s="2">
        <f t="shared" ca="1" si="0"/>
        <v>0.51255357043748606</v>
      </c>
      <c r="B152" s="2">
        <f t="shared" ca="1" si="1"/>
        <v>0.25546863160029581</v>
      </c>
      <c r="C152" s="2">
        <f t="shared" ca="1" si="2"/>
        <v>0.1309413592615104</v>
      </c>
      <c r="D152" s="2">
        <f t="shared" ca="1" si="3"/>
        <v>0.84529320369244798</v>
      </c>
      <c r="E152" s="2">
        <f t="shared" ca="1" si="4"/>
        <v>0.15470679630755202</v>
      </c>
    </row>
    <row r="153" spans="1:5">
      <c r="A153" s="2">
        <f t="shared" ca="1" si="0"/>
        <v>1.2973326637537053</v>
      </c>
      <c r="B153" s="2">
        <f t="shared" ca="1" si="1"/>
        <v>0.16966579936570858</v>
      </c>
      <c r="C153" s="2">
        <f t="shared" ca="1" si="2"/>
        <v>0.22011298343901642</v>
      </c>
      <c r="D153" s="2">
        <f t="shared" ca="1" si="3"/>
        <v>0.39943508280491791</v>
      </c>
      <c r="E153" s="2">
        <f t="shared" ca="1" si="4"/>
        <v>0.60056491719508209</v>
      </c>
    </row>
    <row r="154" spans="1:5">
      <c r="A154" s="2">
        <f t="shared" ca="1" si="0"/>
        <v>0.51327103861433998</v>
      </c>
      <c r="B154" s="2">
        <f t="shared" ca="1" si="1"/>
        <v>0.25532135171472647</v>
      </c>
      <c r="C154" s="2">
        <f t="shared" ca="1" si="2"/>
        <v>0.13104905537503486</v>
      </c>
      <c r="D154" s="2">
        <f t="shared" ca="1" si="3"/>
        <v>0.84475472312482569</v>
      </c>
      <c r="E154" s="2">
        <f t="shared" ca="1" si="4"/>
        <v>0.15524527687517431</v>
      </c>
    </row>
    <row r="155" spans="1:5">
      <c r="A155" s="2">
        <f t="shared" ca="1" si="0"/>
        <v>1.167381533931545</v>
      </c>
      <c r="B155" s="2">
        <f t="shared" ca="1" si="1"/>
        <v>0.1764261013946368</v>
      </c>
      <c r="C155" s="2">
        <f t="shared" ca="1" si="2"/>
        <v>0.20595657287163338</v>
      </c>
      <c r="D155" s="2">
        <f t="shared" ca="1" si="3"/>
        <v>0.47021713564183309</v>
      </c>
      <c r="E155" s="2">
        <f t="shared" ca="1" si="4"/>
        <v>0.52978286435816691</v>
      </c>
    </row>
    <row r="156" spans="1:5">
      <c r="A156" s="2">
        <f t="shared" ca="1" si="0"/>
        <v>1.5289704647829487</v>
      </c>
      <c r="B156" s="2">
        <f t="shared" ca="1" si="1"/>
        <v>0.18655082605662529</v>
      </c>
      <c r="C156" s="2">
        <f t="shared" ca="1" si="2"/>
        <v>0.2852307032214414</v>
      </c>
      <c r="D156" s="2">
        <f t="shared" ca="1" si="3"/>
        <v>7.3846483892793024E-2</v>
      </c>
      <c r="E156" s="2">
        <f t="shared" ca="1" si="4"/>
        <v>0.92615351610720698</v>
      </c>
    </row>
    <row r="157" spans="1:5">
      <c r="A157" s="2">
        <f t="shared" ca="1" si="0"/>
        <v>1.4107306468184526</v>
      </c>
      <c r="B157" s="2">
        <f t="shared" ca="1" si="1"/>
        <v>0.1665317063275652</v>
      </c>
      <c r="C157" s="2">
        <f t="shared" ca="1" si="2"/>
        <v>0.23493138178326667</v>
      </c>
      <c r="D157" s="2">
        <f t="shared" ca="1" si="3"/>
        <v>0.32534309108366666</v>
      </c>
      <c r="E157" s="2">
        <f t="shared" ca="1" si="4"/>
        <v>0.67465690891633334</v>
      </c>
    </row>
    <row r="158" spans="1:5">
      <c r="A158" s="2">
        <f t="shared" ca="1" si="0"/>
        <v>0.37870375819851498</v>
      </c>
      <c r="B158" s="2">
        <f t="shared" ca="1" si="1"/>
        <v>0.28706394359859155</v>
      </c>
      <c r="C158" s="2">
        <f t="shared" ca="1" si="2"/>
        <v>0.10871219428407315</v>
      </c>
      <c r="D158" s="2">
        <f t="shared" ca="1" si="3"/>
        <v>0.95643902857963425</v>
      </c>
      <c r="E158" s="2">
        <f t="shared" ca="1" si="4"/>
        <v>4.3560971420365746E-2</v>
      </c>
    </row>
    <row r="159" spans="1:5">
      <c r="A159" s="2">
        <f t="shared" ca="1" si="0"/>
        <v>0.41286266564637036</v>
      </c>
      <c r="B159" s="2">
        <f t="shared" ca="1" si="1"/>
        <v>0.27814337689508417</v>
      </c>
      <c r="C159" s="2">
        <f t="shared" ca="1" si="2"/>
        <v>0.11483501601678751</v>
      </c>
      <c r="D159" s="2">
        <f t="shared" ca="1" si="3"/>
        <v>0.92582491991606242</v>
      </c>
      <c r="E159" s="2">
        <f t="shared" ca="1" si="4"/>
        <v>7.4175080083937583E-2</v>
      </c>
    </row>
    <row r="160" spans="1:5">
      <c r="A160" s="2">
        <f t="shared" ca="1" si="0"/>
        <v>0.93386030710947776</v>
      </c>
      <c r="B160" s="2">
        <f t="shared" ca="1" si="1"/>
        <v>0.19498678022159896</v>
      </c>
      <c r="C160" s="2">
        <f t="shared" ca="1" si="2"/>
        <v>0.18209041446003066</v>
      </c>
      <c r="D160" s="2">
        <f t="shared" ca="1" si="3"/>
        <v>0.58954792769984665</v>
      </c>
      <c r="E160" s="2">
        <f t="shared" ca="1" si="4"/>
        <v>0.41045207230015335</v>
      </c>
    </row>
    <row r="161" spans="1:5">
      <c r="A161" s="2">
        <f t="shared" ca="1" si="0"/>
        <v>0.45726848414263127</v>
      </c>
      <c r="B161" s="2">
        <f t="shared" ca="1" si="1"/>
        <v>0.26747200222145068</v>
      </c>
      <c r="C161" s="2">
        <f t="shared" ca="1" si="2"/>
        <v>0.12230651700639726</v>
      </c>
      <c r="D161" s="2">
        <f t="shared" ca="1" si="3"/>
        <v>0.88846741496801374</v>
      </c>
      <c r="E161" s="2">
        <f t="shared" ca="1" si="4"/>
        <v>0.11153258503198626</v>
      </c>
    </row>
    <row r="162" spans="1:5">
      <c r="A162" s="2">
        <f t="shared" ca="1" si="0"/>
        <v>0.36814813723638284</v>
      </c>
      <c r="B162" s="2">
        <f t="shared" ca="1" si="1"/>
        <v>0.28995752940411634</v>
      </c>
      <c r="C162" s="2">
        <f t="shared" ca="1" si="2"/>
        <v>0.10674732432778913</v>
      </c>
      <c r="D162" s="2">
        <f t="shared" ca="1" si="3"/>
        <v>0.96626337836105436</v>
      </c>
      <c r="E162" s="2">
        <f t="shared" ca="1" si="4"/>
        <v>3.3736621638945641E-2</v>
      </c>
    </row>
    <row r="163" spans="1:5">
      <c r="A163" s="2">
        <f t="shared" ca="1" si="0"/>
        <v>1.4976189651851792</v>
      </c>
      <c r="B163" s="2">
        <f t="shared" ca="1" si="1"/>
        <v>0.16814149079877894</v>
      </c>
      <c r="C163" s="2">
        <f t="shared" ca="1" si="2"/>
        <v>0.25181188545476063</v>
      </c>
      <c r="D163" s="2">
        <f t="shared" ca="1" si="3"/>
        <v>0.24094057272619684</v>
      </c>
      <c r="E163" s="2">
        <f t="shared" ca="1" si="4"/>
        <v>0.75905942727380316</v>
      </c>
    </row>
    <row r="164" spans="1:5">
      <c r="A164" s="2">
        <f t="shared" ca="1" si="0"/>
        <v>0.6722191912526132</v>
      </c>
      <c r="B164" s="2">
        <f t="shared" ca="1" si="1"/>
        <v>0.22715251648405063</v>
      </c>
      <c r="C164" s="2">
        <f t="shared" ca="1" si="2"/>
        <v>0.1526962809219044</v>
      </c>
      <c r="D164" s="2">
        <f t="shared" ca="1" si="3"/>
        <v>0.73651859539047793</v>
      </c>
      <c r="E164" s="2">
        <f t="shared" ca="1" si="4"/>
        <v>0.26348140460952207</v>
      </c>
    </row>
    <row r="165" spans="1:5">
      <c r="A165" s="2">
        <f t="shared" ca="1" si="0"/>
        <v>1.4433556295625032</v>
      </c>
      <c r="B165" s="2">
        <f t="shared" ca="1" si="1"/>
        <v>0.16644070385726181</v>
      </c>
      <c r="C165" s="2">
        <f t="shared" ca="1" si="2"/>
        <v>0.24023312690072429</v>
      </c>
      <c r="D165" s="2">
        <f t="shared" ca="1" si="3"/>
        <v>0.29883436549637854</v>
      </c>
      <c r="E165" s="2">
        <f t="shared" ca="1" si="4"/>
        <v>0.70116563450362146</v>
      </c>
    </row>
    <row r="166" spans="1:5">
      <c r="A166" s="2">
        <f t="shared" ca="1" si="0"/>
        <v>0.59062903690635749</v>
      </c>
      <c r="B166" s="2">
        <f t="shared" ca="1" si="1"/>
        <v>0.24057488489788545</v>
      </c>
      <c r="C166" s="2">
        <f t="shared" ca="1" si="2"/>
        <v>0.14209051257109589</v>
      </c>
      <c r="D166" s="2">
        <f t="shared" ca="1" si="3"/>
        <v>0.78954743714452047</v>
      </c>
      <c r="E166" s="2">
        <f t="shared" ca="1" si="4"/>
        <v>0.21045256285547953</v>
      </c>
    </row>
    <row r="167" spans="1:5">
      <c r="A167" s="2">
        <f t="shared" ca="1" si="0"/>
        <v>1.1487380648431655</v>
      </c>
      <c r="B167" s="2">
        <f t="shared" ca="1" si="1"/>
        <v>0.17761091449082297</v>
      </c>
      <c r="C167" s="2">
        <f t="shared" ca="1" si="2"/>
        <v>0.20402841820721293</v>
      </c>
      <c r="D167" s="2">
        <f t="shared" ca="1" si="3"/>
        <v>0.47985790896393532</v>
      </c>
      <c r="E167" s="2">
        <f t="shared" ca="1" si="4"/>
        <v>0.52014209103606468</v>
      </c>
    </row>
    <row r="168" spans="1:5">
      <c r="A168" s="2">
        <f t="shared" ca="1" si="0"/>
        <v>0.62325160629347454</v>
      </c>
      <c r="B168" s="2">
        <f t="shared" ca="1" si="1"/>
        <v>0.23496886145536147</v>
      </c>
      <c r="C168" s="2">
        <f t="shared" ca="1" si="2"/>
        <v>0.14644472033100292</v>
      </c>
      <c r="D168" s="2">
        <f t="shared" ca="1" si="3"/>
        <v>0.76777639834498534</v>
      </c>
      <c r="E168" s="2">
        <f t="shared" ca="1" si="4"/>
        <v>0.23222360165501466</v>
      </c>
    </row>
    <row r="169" spans="1:5">
      <c r="A169" s="2">
        <f t="shared" ca="1" si="0"/>
        <v>1.2076531397509402</v>
      </c>
      <c r="B169" s="2">
        <f t="shared" ca="1" si="1"/>
        <v>0.17404331966210548</v>
      </c>
      <c r="C169" s="2">
        <f t="shared" ca="1" si="2"/>
        <v>0.21018396144261822</v>
      </c>
      <c r="D169" s="2">
        <f t="shared" ca="1" si="3"/>
        <v>0.44908019278690892</v>
      </c>
      <c r="E169" s="2">
        <f t="shared" ca="1" si="4"/>
        <v>0.55091980721309108</v>
      </c>
    </row>
    <row r="170" spans="1:5">
      <c r="A170" s="2">
        <f t="shared" ca="1" si="0"/>
        <v>0.75065634481543952</v>
      </c>
      <c r="B170" s="2">
        <f t="shared" ca="1" si="1"/>
        <v>0.21595848605245396</v>
      </c>
      <c r="C170" s="2">
        <f t="shared" ca="1" si="2"/>
        <v>0.16211060777201117</v>
      </c>
      <c r="D170" s="2">
        <f t="shared" ca="1" si="3"/>
        <v>0.68944696113994419</v>
      </c>
      <c r="E170" s="2">
        <f t="shared" ca="1" si="4"/>
        <v>0.31055303886005581</v>
      </c>
    </row>
    <row r="171" spans="1:5">
      <c r="A171" s="2">
        <f t="shared" ca="1" si="0"/>
        <v>0.62459219856939674</v>
      </c>
      <c r="B171" s="2">
        <f t="shared" ca="1" si="1"/>
        <v>0.2347455657567756</v>
      </c>
      <c r="C171" s="2">
        <f t="shared" ca="1" si="2"/>
        <v>0.14662024902044138</v>
      </c>
      <c r="D171" s="2">
        <f t="shared" ca="1" si="3"/>
        <v>0.76689875489779313</v>
      </c>
      <c r="E171" s="2">
        <f t="shared" ca="1" si="4"/>
        <v>0.23310124510220687</v>
      </c>
    </row>
    <row r="172" spans="1:5">
      <c r="A172" s="2">
        <f t="shared" ca="1" si="0"/>
        <v>0.54801167205431389</v>
      </c>
      <c r="B172" s="2">
        <f t="shared" ca="1" si="1"/>
        <v>0.24842961652190532</v>
      </c>
      <c r="C172" s="2">
        <f t="shared" ca="1" si="2"/>
        <v>0.13614232953798133</v>
      </c>
      <c r="D172" s="2">
        <f t="shared" ca="1" si="3"/>
        <v>0.81928835231009345</v>
      </c>
      <c r="E172" s="2">
        <f t="shared" ca="1" si="4"/>
        <v>0.18071164768990655</v>
      </c>
    </row>
    <row r="173" spans="1:5">
      <c r="A173" s="2">
        <f t="shared" ca="1" si="0"/>
        <v>1.5325976291507684</v>
      </c>
      <c r="B173" s="2">
        <f t="shared" ca="1" si="1"/>
        <v>0.18405413302319876</v>
      </c>
      <c r="C173" s="2">
        <f t="shared" ca="1" si="2"/>
        <v>0.28208092790675454</v>
      </c>
      <c r="D173" s="2">
        <f t="shared" ca="1" si="3"/>
        <v>8.959536046622707E-2</v>
      </c>
      <c r="E173" s="2">
        <f t="shared" ca="1" si="4"/>
        <v>0.91040463953377293</v>
      </c>
    </row>
    <row r="174" spans="1:5">
      <c r="A174" s="2">
        <f t="shared" ca="1" si="0"/>
        <v>1.4596311450211201</v>
      </c>
      <c r="B174" s="2">
        <f t="shared" ca="1" si="1"/>
        <v>0.16663100302108369</v>
      </c>
      <c r="C174" s="2">
        <f t="shared" ca="1" si="2"/>
        <v>0.24321980173568211</v>
      </c>
      <c r="D174" s="2">
        <f t="shared" ca="1" si="3"/>
        <v>0.28390099132158941</v>
      </c>
      <c r="E174" s="2">
        <f t="shared" ca="1" si="4"/>
        <v>0.71609900867841059</v>
      </c>
    </row>
    <row r="175" spans="1:5">
      <c r="A175" s="2">
        <f t="shared" ca="1" si="0"/>
        <v>1.3942720708743839</v>
      </c>
      <c r="B175" s="2">
        <f t="shared" ca="1" si="1"/>
        <v>0.16675631922290979</v>
      </c>
      <c r="C175" s="2">
        <f t="shared" ca="1" si="2"/>
        <v>0.23250367853431625</v>
      </c>
      <c r="D175" s="2">
        <f t="shared" ca="1" si="3"/>
        <v>0.33748160732841881</v>
      </c>
      <c r="E175" s="2">
        <f t="shared" ca="1" si="4"/>
        <v>0.66251839267158119</v>
      </c>
    </row>
    <row r="176" spans="1:5">
      <c r="A176" s="2">
        <f t="shared" ca="1" si="0"/>
        <v>0.82638822030091275</v>
      </c>
      <c r="B176" s="2">
        <f t="shared" ca="1" si="1"/>
        <v>0.20649387604604494</v>
      </c>
      <c r="C176" s="2">
        <f t="shared" ca="1" si="2"/>
        <v>0.17064410672872835</v>
      </c>
      <c r="D176" s="2">
        <f t="shared" ca="1" si="3"/>
        <v>0.6467794663563583</v>
      </c>
      <c r="E176" s="2">
        <f t="shared" ca="1" si="4"/>
        <v>0.3532205336436417</v>
      </c>
    </row>
    <row r="177" spans="1:5">
      <c r="A177" s="2">
        <f t="shared" ca="1" si="0"/>
        <v>1.529719879205103</v>
      </c>
      <c r="B177" s="2">
        <f t="shared" ca="1" si="1"/>
        <v>0.18607897442156779</v>
      </c>
      <c r="C177" s="2">
        <f t="shared" ca="1" si="2"/>
        <v>0.28464870627477012</v>
      </c>
      <c r="D177" s="2">
        <f t="shared" ca="1" si="3"/>
        <v>7.6756468626149266E-2</v>
      </c>
      <c r="E177" s="2">
        <f t="shared" ca="1" si="4"/>
        <v>0.92324353137385073</v>
      </c>
    </row>
    <row r="178" spans="1:5">
      <c r="A178" s="2">
        <f t="shared" ca="1" si="0"/>
        <v>0.94226607405496965</v>
      </c>
      <c r="B178" s="2">
        <f t="shared" ca="1" si="1"/>
        <v>0.19417241278252226</v>
      </c>
      <c r="C178" s="2">
        <f t="shared" ca="1" si="2"/>
        <v>0.18296207708236825</v>
      </c>
      <c r="D178" s="2">
        <f t="shared" ca="1" si="3"/>
        <v>0.58518961458815877</v>
      </c>
      <c r="E178" s="2">
        <f t="shared" ca="1" si="4"/>
        <v>0.41481038541184123</v>
      </c>
    </row>
    <row r="179" spans="1:5">
      <c r="A179" s="2">
        <f t="shared" ca="1" si="0"/>
        <v>1.042058959644995</v>
      </c>
      <c r="B179" s="2">
        <f t="shared" ca="1" si="1"/>
        <v>0.18536721270102077</v>
      </c>
      <c r="C179" s="2">
        <f t="shared" ca="1" si="2"/>
        <v>0.19316356481951819</v>
      </c>
      <c r="D179" s="2">
        <f t="shared" ca="1" si="3"/>
        <v>0.53418217590240913</v>
      </c>
      <c r="E179" s="2">
        <f t="shared" ca="1" si="4"/>
        <v>0.46581782409759087</v>
      </c>
    </row>
    <row r="180" spans="1:5">
      <c r="A180" s="2">
        <f t="shared" ca="1" si="0"/>
        <v>1.5123369875419768</v>
      </c>
      <c r="B180" s="2">
        <f t="shared" ca="1" si="1"/>
        <v>0.16950622418195613</v>
      </c>
      <c r="C180" s="2">
        <f t="shared" ca="1" si="2"/>
        <v>0.2563505324489545</v>
      </c>
      <c r="D180" s="2">
        <f t="shared" ca="1" si="3"/>
        <v>0.21824733775522753</v>
      </c>
      <c r="E180" s="2">
        <f t="shared" ca="1" si="4"/>
        <v>0.78175266224477247</v>
      </c>
    </row>
    <row r="181" spans="1:5">
      <c r="A181" s="2">
        <f t="shared" ca="1" si="0"/>
        <v>0.35509317179663674</v>
      </c>
      <c r="B181" s="2">
        <f t="shared" ca="1" si="1"/>
        <v>0.29363129548596917</v>
      </c>
      <c r="C181" s="2">
        <f t="shared" ca="1" si="2"/>
        <v>0.10426646805286825</v>
      </c>
      <c r="D181" s="2">
        <f t="shared" ca="1" si="3"/>
        <v>0.97866765973565872</v>
      </c>
      <c r="E181" s="2">
        <f t="shared" ca="1" si="4"/>
        <v>2.1332340264341276E-2</v>
      </c>
    </row>
    <row r="182" spans="1:5">
      <c r="A182" s="2">
        <f t="shared" ca="1" si="0"/>
        <v>1.5309323008200137</v>
      </c>
      <c r="B182" s="2">
        <f t="shared" ca="1" si="1"/>
        <v>0.17332835076299991</v>
      </c>
      <c r="C182" s="2">
        <f t="shared" ca="1" si="2"/>
        <v>0.26535397083093781</v>
      </c>
      <c r="D182" s="2">
        <f t="shared" ca="1" si="3"/>
        <v>0.17323014584531093</v>
      </c>
      <c r="E182" s="2">
        <f t="shared" ca="1" si="4"/>
        <v>0.82676985415468907</v>
      </c>
    </row>
    <row r="183" spans="1:5">
      <c r="A183" s="2">
        <f t="shared" ca="1" si="0"/>
        <v>0.68598871080118895</v>
      </c>
      <c r="B183" s="2">
        <f t="shared" ca="1" si="1"/>
        <v>0.2250747096358495</v>
      </c>
      <c r="C183" s="2">
        <f t="shared" ca="1" si="2"/>
        <v>0.15439870989704835</v>
      </c>
      <c r="D183" s="2">
        <f t="shared" ca="1" si="3"/>
        <v>0.72800645051475821</v>
      </c>
      <c r="E183" s="2">
        <f t="shared" ca="1" si="4"/>
        <v>0.27199354948524179</v>
      </c>
    </row>
    <row r="184" spans="1:5">
      <c r="A184" s="2">
        <f t="shared" ca="1" si="0"/>
        <v>0.59438797723787806</v>
      </c>
      <c r="B184" s="2">
        <f t="shared" ca="1" si="1"/>
        <v>0.23991164542636484</v>
      </c>
      <c r="C184" s="2">
        <f t="shared" ca="1" si="2"/>
        <v>0.14260059764078803</v>
      </c>
      <c r="D184" s="2">
        <f t="shared" ca="1" si="3"/>
        <v>0.78699701179605996</v>
      </c>
      <c r="E184" s="2">
        <f t="shared" ca="1" si="4"/>
        <v>0.21300298820394004</v>
      </c>
    </row>
    <row r="185" spans="1:5">
      <c r="A185" s="2">
        <f t="shared" ca="1" si="0"/>
        <v>1.0788049151599208</v>
      </c>
      <c r="B185" s="2">
        <f t="shared" ca="1" si="1"/>
        <v>0.18250742383660573</v>
      </c>
      <c r="C185" s="2">
        <f t="shared" ca="1" si="2"/>
        <v>0.19688990588810518</v>
      </c>
      <c r="D185" s="2">
        <f t="shared" ca="1" si="3"/>
        <v>0.51555047055947412</v>
      </c>
      <c r="E185" s="2">
        <f t="shared" ca="1" si="4"/>
        <v>0.48444952944052588</v>
      </c>
    </row>
    <row r="186" spans="1:5">
      <c r="A186" s="2">
        <f t="shared" ca="1" si="0"/>
        <v>1.5003068040726379</v>
      </c>
      <c r="B186" s="2">
        <f t="shared" ca="1" si="1"/>
        <v>0.16834047484558939</v>
      </c>
      <c r="C186" s="2">
        <f t="shared" ca="1" si="2"/>
        <v>0.25256235981165653</v>
      </c>
      <c r="D186" s="2">
        <f t="shared" ca="1" si="3"/>
        <v>0.23718820094171733</v>
      </c>
      <c r="E186" s="2">
        <f t="shared" ca="1" si="4"/>
        <v>0.76281179905828267</v>
      </c>
    </row>
    <row r="187" spans="1:5">
      <c r="A187" s="2">
        <f t="shared" ca="1" si="0"/>
        <v>1.51345370160393</v>
      </c>
      <c r="B187" s="2">
        <f t="shared" ca="1" si="1"/>
        <v>0.16964427627904108</v>
      </c>
      <c r="C187" s="2">
        <f t="shared" ca="1" si="2"/>
        <v>0.2567487578904345</v>
      </c>
      <c r="D187" s="2">
        <f t="shared" ca="1" si="3"/>
        <v>0.21625621054782751</v>
      </c>
      <c r="E187" s="2">
        <f t="shared" ca="1" si="4"/>
        <v>0.78374378945217249</v>
      </c>
    </row>
    <row r="188" spans="1:5">
      <c r="A188" s="2">
        <f t="shared" ca="1" si="0"/>
        <v>1.1499588127105604</v>
      </c>
      <c r="B188" s="2">
        <f t="shared" ca="1" si="1"/>
        <v>0.17753177308950507</v>
      </c>
      <c r="C188" s="2">
        <f t="shared" ca="1" si="2"/>
        <v>0.20415422700040786</v>
      </c>
      <c r="D188" s="2">
        <f t="shared" ca="1" si="3"/>
        <v>0.47922886499796069</v>
      </c>
      <c r="E188" s="2">
        <f t="shared" ca="1" si="4"/>
        <v>0.52077113500203931</v>
      </c>
    </row>
    <row r="189" spans="1:5">
      <c r="A189" s="2">
        <f t="shared" ca="1" si="0"/>
        <v>0.5476228785582713</v>
      </c>
      <c r="B189" s="2">
        <f t="shared" ca="1" si="1"/>
        <v>0.24850422450925416</v>
      </c>
      <c r="C189" s="2">
        <f t="shared" ca="1" si="2"/>
        <v>0.13608659875964868</v>
      </c>
      <c r="D189" s="2">
        <f t="shared" ca="1" si="3"/>
        <v>0.81956700620175671</v>
      </c>
      <c r="E189" s="2">
        <f t="shared" ca="1" si="4"/>
        <v>0.18043299379824329</v>
      </c>
    </row>
    <row r="190" spans="1:5">
      <c r="A190" s="2">
        <f t="shared" ca="1" si="0"/>
        <v>0.44538768650268434</v>
      </c>
      <c r="B190" s="2">
        <f t="shared" ca="1" si="1"/>
        <v>0.27023134114369435</v>
      </c>
      <c r="C190" s="2">
        <f t="shared" ca="1" si="2"/>
        <v>0.12035771185250768</v>
      </c>
      <c r="D190" s="2">
        <f t="shared" ca="1" si="3"/>
        <v>0.89821144073746162</v>
      </c>
      <c r="E190" s="2">
        <f t="shared" ca="1" si="4"/>
        <v>0.10178855926253838</v>
      </c>
    </row>
    <row r="191" spans="1:5">
      <c r="A191" s="2">
        <f t="shared" ca="1" si="0"/>
        <v>0.51311882533220521</v>
      </c>
      <c r="B191" s="2">
        <f t="shared" ca="1" si="1"/>
        <v>0.25535258036617847</v>
      </c>
      <c r="C191" s="2">
        <f t="shared" ca="1" si="2"/>
        <v>0.13102621608304102</v>
      </c>
      <c r="D191" s="2">
        <f t="shared" ca="1" si="3"/>
        <v>0.84486891958479493</v>
      </c>
      <c r="E191" s="2">
        <f t="shared" ca="1" si="4"/>
        <v>0.15513108041520507</v>
      </c>
    </row>
    <row r="192" spans="1:5">
      <c r="A192" s="2">
        <f t="shared" ca="1" si="0"/>
        <v>0.72563919021375267</v>
      </c>
      <c r="B192" s="2">
        <f t="shared" ca="1" si="1"/>
        <v>0.21936434048966216</v>
      </c>
      <c r="C192" s="2">
        <f t="shared" ca="1" si="2"/>
        <v>0.15917936239469238</v>
      </c>
      <c r="D192" s="2">
        <f t="shared" ca="1" si="3"/>
        <v>0.70410318802653815</v>
      </c>
      <c r="E192" s="2">
        <f t="shared" ca="1" si="4"/>
        <v>0.29589681197346185</v>
      </c>
    </row>
    <row r="193" spans="1:5">
      <c r="A193" s="2">
        <f t="shared" ca="1" si="0"/>
        <v>0.47249809379845303</v>
      </c>
      <c r="B193" s="2">
        <f t="shared" ca="1" si="1"/>
        <v>0.2640314515470582</v>
      </c>
      <c r="C193" s="2">
        <f t="shared" ca="1" si="2"/>
        <v>0.12475435755882361</v>
      </c>
      <c r="D193" s="2">
        <f t="shared" ca="1" si="3"/>
        <v>0.87622821220588198</v>
      </c>
      <c r="E193" s="2">
        <f t="shared" ca="1" si="4"/>
        <v>0.12377178779411802</v>
      </c>
    </row>
    <row r="194" spans="1:5">
      <c r="A194" s="2">
        <f t="shared" ca="1" si="0"/>
        <v>1.0289697292383782</v>
      </c>
      <c r="B194" s="2">
        <f t="shared" ca="1" si="1"/>
        <v>0.18643443748070773</v>
      </c>
      <c r="C194" s="2">
        <f t="shared" ca="1" si="2"/>
        <v>0.19183539265523319</v>
      </c>
      <c r="D194" s="2">
        <f t="shared" ca="1" si="3"/>
        <v>0.54082303672383403</v>
      </c>
      <c r="E194" s="2">
        <f t="shared" ca="1" si="4"/>
        <v>0.45917696327616597</v>
      </c>
    </row>
    <row r="195" spans="1:5">
      <c r="A195" s="2">
        <f t="shared" ca="1" si="0"/>
        <v>0.54580120371477003</v>
      </c>
      <c r="B195" s="2">
        <f t="shared" ca="1" si="1"/>
        <v>0.24885453506572661</v>
      </c>
      <c r="C195" s="2">
        <f t="shared" ca="1" si="2"/>
        <v>0.13582510478875304</v>
      </c>
      <c r="D195" s="2">
        <f t="shared" ca="1" si="3"/>
        <v>0.82087447605623476</v>
      </c>
      <c r="E195" s="2">
        <f t="shared" ca="1" si="4"/>
        <v>0.17912552394376524</v>
      </c>
    </row>
    <row r="196" spans="1:5">
      <c r="A196" s="2">
        <f t="shared" ca="1" si="0"/>
        <v>1.1484352385598475</v>
      </c>
      <c r="B196" s="2">
        <f t="shared" ca="1" si="1"/>
        <v>0.17763058057145342</v>
      </c>
      <c r="C196" s="2">
        <f t="shared" ca="1" si="2"/>
        <v>0.20399721817410132</v>
      </c>
      <c r="D196" s="2">
        <f t="shared" ca="1" si="3"/>
        <v>0.48001390912949338</v>
      </c>
      <c r="E196" s="2">
        <f t="shared" ca="1" si="4"/>
        <v>0.51998609087050662</v>
      </c>
    </row>
    <row r="197" spans="1:5">
      <c r="A197" s="2">
        <f t="shared" ca="1" si="0"/>
        <v>0.70398167184041915</v>
      </c>
      <c r="B197" s="2">
        <f t="shared" ca="1" si="1"/>
        <v>0.22243435969032102</v>
      </c>
      <c r="C197" s="2">
        <f t="shared" ca="1" si="2"/>
        <v>0.15658971240954533</v>
      </c>
      <c r="D197" s="2">
        <f t="shared" ca="1" si="3"/>
        <v>0.71705143795227333</v>
      </c>
      <c r="E197" s="2">
        <f t="shared" ca="1" si="4"/>
        <v>0.28294856204772667</v>
      </c>
    </row>
    <row r="198" spans="1:5">
      <c r="A198" s="2">
        <f t="shared" ca="1" si="0"/>
        <v>1.2337128272443034</v>
      </c>
      <c r="B198" s="2">
        <f t="shared" ca="1" si="1"/>
        <v>0.17263388012852579</v>
      </c>
      <c r="C198" s="2">
        <f t="shared" ca="1" si="2"/>
        <v>0.21298063233151771</v>
      </c>
      <c r="D198" s="2">
        <f t="shared" ca="1" si="3"/>
        <v>0.43509683834241153</v>
      </c>
      <c r="E198" s="2">
        <f t="shared" ca="1" si="4"/>
        <v>0.56490316165758847</v>
      </c>
    </row>
    <row r="199" spans="1:5">
      <c r="A199" s="2">
        <f t="shared" ca="1" si="0"/>
        <v>0.51755527078168784</v>
      </c>
      <c r="B199" s="2">
        <f t="shared" ca="1" si="1"/>
        <v>0.2544461805368583</v>
      </c>
      <c r="C199" s="2">
        <f t="shared" ca="1" si="2"/>
        <v>0.13168996186711993</v>
      </c>
      <c r="D199" s="2">
        <f t="shared" ca="1" si="3"/>
        <v>0.8415501906644004</v>
      </c>
      <c r="E199" s="2">
        <f t="shared" ca="1" si="4"/>
        <v>0.1584498093355996</v>
      </c>
    </row>
    <row r="200" spans="1:5">
      <c r="A200" s="2">
        <f t="shared" ca="1" si="0"/>
        <v>1.3976740747848819</v>
      </c>
      <c r="B200" s="2">
        <f t="shared" ca="1" si="1"/>
        <v>0.16670165676305279</v>
      </c>
      <c r="C200" s="2">
        <f t="shared" ca="1" si="2"/>
        <v>0.23299458388140676</v>
      </c>
      <c r="D200" s="2">
        <f t="shared" ca="1" si="3"/>
        <v>0.33502708059296626</v>
      </c>
      <c r="E200" s="2">
        <f t="shared" ca="1" si="4"/>
        <v>0.66497291940703374</v>
      </c>
    </row>
    <row r="201" spans="1:5">
      <c r="A201" s="2">
        <f t="shared" ca="1" si="0"/>
        <v>0.54447721924740355</v>
      </c>
      <c r="B201" s="2">
        <f t="shared" ca="1" si="1"/>
        <v>0.24910990484994075</v>
      </c>
      <c r="C201" s="2">
        <f t="shared" ca="1" si="2"/>
        <v>0.13563466827968101</v>
      </c>
      <c r="D201" s="2">
        <f t="shared" ca="1" si="3"/>
        <v>0.82182665860159498</v>
      </c>
      <c r="E201" s="2">
        <f t="shared" ca="1" si="4"/>
        <v>0.17817334139840502</v>
      </c>
    </row>
    <row r="202" spans="1:5">
      <c r="A202" s="2">
        <f t="shared" ca="1" si="0"/>
        <v>0.41443021304371447</v>
      </c>
      <c r="B202" s="2">
        <f t="shared" ca="1" si="1"/>
        <v>0.27774950673495441</v>
      </c>
      <c r="C202" s="2">
        <f t="shared" ca="1" si="2"/>
        <v>0.11510778724895376</v>
      </c>
      <c r="D202" s="2">
        <f t="shared" ca="1" si="3"/>
        <v>0.92446106375523118</v>
      </c>
      <c r="E202" s="2">
        <f t="shared" ca="1" si="4"/>
        <v>7.5538936244768817E-2</v>
      </c>
    </row>
    <row r="203" spans="1:5">
      <c r="A203" s="2">
        <f t="shared" ca="1" si="0"/>
        <v>0.95764017629782261</v>
      </c>
      <c r="B203" s="2">
        <f t="shared" ca="1" si="1"/>
        <v>0.19271311640049621</v>
      </c>
      <c r="C203" s="2">
        <f t="shared" ca="1" si="2"/>
        <v>0.18454982276467399</v>
      </c>
      <c r="D203" s="2">
        <f t="shared" ca="1" si="3"/>
        <v>0.57725088617663001</v>
      </c>
      <c r="E203" s="2">
        <f t="shared" ca="1" si="4"/>
        <v>0.42274911382336999</v>
      </c>
    </row>
    <row r="204" spans="1:5">
      <c r="A204" s="2">
        <f t="shared" ca="1" si="0"/>
        <v>1.5217574765504587</v>
      </c>
      <c r="B204" s="2">
        <f t="shared" ca="1" si="1"/>
        <v>0.19050357099948637</v>
      </c>
      <c r="C204" s="2">
        <f t="shared" ca="1" si="2"/>
        <v>0.28990023347802951</v>
      </c>
      <c r="D204" s="2">
        <f t="shared" ca="1" si="3"/>
        <v>5.0498832609852329E-2</v>
      </c>
      <c r="E204" s="2">
        <f t="shared" ca="1" si="4"/>
        <v>0.94950116739014767</v>
      </c>
    </row>
    <row r="205" spans="1:5">
      <c r="A205" s="2">
        <f t="shared" ca="1" si="0"/>
        <v>0.89658952841843143</v>
      </c>
      <c r="B205" s="2">
        <f t="shared" ca="1" si="1"/>
        <v>0.19874208855688794</v>
      </c>
      <c r="C205" s="2">
        <f t="shared" ca="1" si="2"/>
        <v>0.17819007545611429</v>
      </c>
      <c r="D205" s="2">
        <f t="shared" ca="1" si="3"/>
        <v>0.60904962271942853</v>
      </c>
      <c r="E205" s="2">
        <f t="shared" ca="1" si="4"/>
        <v>0.39095037728057147</v>
      </c>
    </row>
    <row r="206" spans="1:5">
      <c r="A206" s="2">
        <f t="shared" ca="1" si="0"/>
        <v>0.64797775182143169</v>
      </c>
      <c r="B206" s="2">
        <f t="shared" ca="1" si="1"/>
        <v>0.23093621837284159</v>
      </c>
      <c r="C206" s="2">
        <f t="shared" ca="1" si="2"/>
        <v>0.1496415315953771</v>
      </c>
      <c r="D206" s="2">
        <f t="shared" ca="1" si="3"/>
        <v>0.75179234202311451</v>
      </c>
      <c r="E206" s="2">
        <f t="shared" ca="1" si="4"/>
        <v>0.24820765797688549</v>
      </c>
    </row>
    <row r="207" spans="1:5">
      <c r="A207" s="2">
        <f t="shared" ca="1" si="0"/>
        <v>1.3504394415179752</v>
      </c>
      <c r="B207" s="2">
        <f t="shared" ca="1" si="1"/>
        <v>0.16778281337134485</v>
      </c>
      <c r="C207" s="2">
        <f t="shared" ca="1" si="2"/>
        <v>0.2265805287855136</v>
      </c>
      <c r="D207" s="2">
        <f t="shared" ca="1" si="3"/>
        <v>0.36709735607243199</v>
      </c>
      <c r="E207" s="2">
        <f t="shared" ca="1" si="4"/>
        <v>0.63290264392756801</v>
      </c>
    </row>
    <row r="208" spans="1:5">
      <c r="A208" s="2">
        <f t="shared" ca="1" si="0"/>
        <v>0.82955411969525128</v>
      </c>
      <c r="B208" s="2">
        <f t="shared" ca="1" si="1"/>
        <v>0.20612411278128792</v>
      </c>
      <c r="C208" s="2">
        <f t="shared" ca="1" si="2"/>
        <v>0.170991106926246</v>
      </c>
      <c r="D208" s="2">
        <f t="shared" ca="1" si="3"/>
        <v>0.64504446536877003</v>
      </c>
      <c r="E208" s="2">
        <f t="shared" ca="1" si="4"/>
        <v>0.35495553463122997</v>
      </c>
    </row>
    <row r="209" spans="1:5">
      <c r="A209" s="2">
        <f t="shared" ca="1" si="0"/>
        <v>1.5183672157001069</v>
      </c>
      <c r="B209" s="2">
        <f t="shared" ca="1" si="1"/>
        <v>0.19214254040364984</v>
      </c>
      <c r="C209" s="2">
        <f t="shared" ca="1" si="2"/>
        <v>0.29174293409023511</v>
      </c>
      <c r="D209" s="2">
        <f t="shared" ca="1" si="3"/>
        <v>4.1285329548824357E-2</v>
      </c>
      <c r="E209" s="2">
        <f t="shared" ca="1" si="4"/>
        <v>0.95871467045117564</v>
      </c>
    </row>
    <row r="210" spans="1:5">
      <c r="A210" s="2">
        <f t="shared" ca="1" si="0"/>
        <v>1.5325094621940729</v>
      </c>
      <c r="B210" s="2">
        <f t="shared" ca="1" si="1"/>
        <v>0.18412310575761934</v>
      </c>
      <c r="C210" s="2">
        <f t="shared" ca="1" si="2"/>
        <v>0.28217040178211161</v>
      </c>
      <c r="D210" s="2">
        <f t="shared" ca="1" si="3"/>
        <v>8.9147991089441714E-2</v>
      </c>
      <c r="E210" s="2">
        <f t="shared" ca="1" si="4"/>
        <v>0.91085200891055829</v>
      </c>
    </row>
    <row r="211" spans="1:5">
      <c r="A211" s="2">
        <f t="shared" ca="1" si="0"/>
        <v>1.5337779697668048</v>
      </c>
      <c r="B211" s="2">
        <f t="shared" ca="1" si="1"/>
        <v>0.17467322774300451</v>
      </c>
      <c r="C211" s="2">
        <f t="shared" ca="1" si="2"/>
        <v>0.26790994862028017</v>
      </c>
      <c r="D211" s="2">
        <f t="shared" ca="1" si="3"/>
        <v>0.16045025689859893</v>
      </c>
      <c r="E211" s="2">
        <f t="shared" ca="1" si="4"/>
        <v>0.83954974310140107</v>
      </c>
    </row>
    <row r="212" spans="1:5">
      <c r="A212" s="2">
        <f t="shared" ca="1" si="0"/>
        <v>0.61357792696269997</v>
      </c>
      <c r="B212" s="2">
        <f t="shared" ca="1" si="1"/>
        <v>0.23659641555428004</v>
      </c>
      <c r="C212" s="2">
        <f t="shared" ca="1" si="2"/>
        <v>0.14517033818260064</v>
      </c>
      <c r="D212" s="2">
        <f t="shared" ca="1" si="3"/>
        <v>0.77414830908699683</v>
      </c>
      <c r="E212" s="2">
        <f t="shared" ca="1" si="4"/>
        <v>0.22585169091300317</v>
      </c>
    </row>
    <row r="213" spans="1:5">
      <c r="A213" s="2">
        <f t="shared" ca="1" si="0"/>
        <v>0.38356862764472693</v>
      </c>
      <c r="B213" s="2">
        <f t="shared" ca="1" si="1"/>
        <v>0.28575279047601193</v>
      </c>
      <c r="C213" s="2">
        <f t="shared" ca="1" si="2"/>
        <v>0.10960580568853509</v>
      </c>
      <c r="D213" s="2">
        <f t="shared" ca="1" si="3"/>
        <v>0.95197097155732457</v>
      </c>
      <c r="E213" s="2">
        <f t="shared" ca="1" si="4"/>
        <v>4.8029028442675425E-2</v>
      </c>
    </row>
    <row r="214" spans="1:5">
      <c r="A214" s="2">
        <f t="shared" ca="1" si="0"/>
        <v>1.5355278372071666</v>
      </c>
      <c r="B214" s="2">
        <f t="shared" ca="1" si="1"/>
        <v>0.17603050885098973</v>
      </c>
      <c r="C214" s="2">
        <f t="shared" ca="1" si="2"/>
        <v>0.27029974653843725</v>
      </c>
      <c r="D214" s="2">
        <f t="shared" ca="1" si="3"/>
        <v>0.14850126730781377</v>
      </c>
      <c r="E214" s="2">
        <f t="shared" ca="1" si="4"/>
        <v>0.85149873269218623</v>
      </c>
    </row>
    <row r="215" spans="1:5">
      <c r="A215" s="2">
        <f t="shared" ca="1" si="0"/>
        <v>0.49535968620357029</v>
      </c>
      <c r="B215" s="2">
        <f t="shared" ca="1" si="1"/>
        <v>0.25906097135327222</v>
      </c>
      <c r="C215" s="2">
        <f t="shared" ca="1" si="2"/>
        <v>0.12832836147714904</v>
      </c>
      <c r="D215" s="2">
        <f t="shared" ca="1" si="3"/>
        <v>0.85835819261425472</v>
      </c>
      <c r="E215" s="2">
        <f t="shared" ca="1" si="4"/>
        <v>0.14164180738574528</v>
      </c>
    </row>
    <row r="216" spans="1:5">
      <c r="A216" s="2">
        <f t="shared" ca="1" si="0"/>
        <v>1.1069256538748524</v>
      </c>
      <c r="B216" s="2">
        <f t="shared" ca="1" si="1"/>
        <v>0.1804528550853165</v>
      </c>
      <c r="C216" s="2">
        <f t="shared" ca="1" si="2"/>
        <v>0.19974789460889794</v>
      </c>
      <c r="D216" s="2">
        <f t="shared" ca="1" si="3"/>
        <v>0.50126052695551027</v>
      </c>
      <c r="E216" s="2">
        <f t="shared" ca="1" si="4"/>
        <v>0.49873947304448973</v>
      </c>
    </row>
    <row r="217" spans="1:5">
      <c r="A217" s="2">
        <f t="shared" ca="1" si="0"/>
        <v>0.6477137842282763</v>
      </c>
      <c r="B217" s="2">
        <f t="shared" ca="1" si="1"/>
        <v>0.23097832778819299</v>
      </c>
      <c r="C217" s="2">
        <f t="shared" ca="1" si="2"/>
        <v>0.1496078467664097</v>
      </c>
      <c r="D217" s="2">
        <f t="shared" ca="1" si="3"/>
        <v>0.75196076616795149</v>
      </c>
      <c r="E217" s="2">
        <f t="shared" ca="1" si="4"/>
        <v>0.24803923383204851</v>
      </c>
    </row>
    <row r="218" spans="1:5">
      <c r="A218" s="2">
        <f t="shared" ca="1" si="0"/>
        <v>1.0380379477252519</v>
      </c>
      <c r="B218" s="2">
        <f t="shared" ca="1" si="1"/>
        <v>0.18569232648638706</v>
      </c>
      <c r="C218" s="2">
        <f t="shared" ca="1" si="2"/>
        <v>0.19275568149425665</v>
      </c>
      <c r="D218" s="2">
        <f t="shared" ca="1" si="3"/>
        <v>0.53622159252871682</v>
      </c>
      <c r="E218" s="2">
        <f t="shared" ca="1" si="4"/>
        <v>0.46377840747128318</v>
      </c>
    </row>
    <row r="219" spans="1:5">
      <c r="A219" s="2">
        <f t="shared" ca="1" si="0"/>
        <v>1.4824524537480173</v>
      </c>
      <c r="B219" s="2">
        <f t="shared" ca="1" si="1"/>
        <v>0.16729833850012907</v>
      </c>
      <c r="C219" s="2">
        <f t="shared" ca="1" si="2"/>
        <v>0.24801183241748273</v>
      </c>
      <c r="D219" s="2">
        <f t="shared" ca="1" si="3"/>
        <v>0.25994083791258638</v>
      </c>
      <c r="E219" s="2">
        <f t="shared" ca="1" si="4"/>
        <v>0.74005916208741362</v>
      </c>
    </row>
    <row r="220" spans="1:5">
      <c r="A220" s="2">
        <f t="shared" ca="1" si="0"/>
        <v>0.80063763870470139</v>
      </c>
      <c r="B220" s="2">
        <f t="shared" ca="1" si="1"/>
        <v>0.20957623750322407</v>
      </c>
      <c r="C220" s="2">
        <f t="shared" ca="1" si="2"/>
        <v>0.16779462392319699</v>
      </c>
      <c r="D220" s="2">
        <f t="shared" ca="1" si="3"/>
        <v>0.66102688038401503</v>
      </c>
      <c r="E220" s="2">
        <f t="shared" ca="1" si="4"/>
        <v>0.33897311961598497</v>
      </c>
    </row>
    <row r="221" spans="1:5">
      <c r="A221" s="2">
        <f t="shared" ca="1" si="0"/>
        <v>0.68765919568932299</v>
      </c>
      <c r="B221" s="2">
        <f t="shared" ca="1" si="1"/>
        <v>0.22482605003304726</v>
      </c>
      <c r="C221" s="2">
        <f t="shared" ca="1" si="2"/>
        <v>0.15460370073573276</v>
      </c>
      <c r="D221" s="2">
        <f t="shared" ca="1" si="3"/>
        <v>0.72698149632133624</v>
      </c>
      <c r="E221" s="2">
        <f t="shared" ca="1" si="4"/>
        <v>0.27301850367866376</v>
      </c>
    </row>
    <row r="222" spans="1:5">
      <c r="A222" s="2">
        <f t="shared" ca="1" si="0"/>
        <v>0.37030402189748607</v>
      </c>
      <c r="B222" s="2">
        <f t="shared" ca="1" si="1"/>
        <v>0.28936104873550894</v>
      </c>
      <c r="C222" s="2">
        <f t="shared" ca="1" si="2"/>
        <v>0.10715156012723344</v>
      </c>
      <c r="D222" s="2">
        <f t="shared" ca="1" si="3"/>
        <v>0.96424219936383282</v>
      </c>
      <c r="E222" s="2">
        <f t="shared" ca="1" si="4"/>
        <v>3.5757800636167181E-2</v>
      </c>
    </row>
    <row r="223" spans="1:5">
      <c r="A223" s="2">
        <f t="shared" ca="1" si="0"/>
        <v>0.68776574482048547</v>
      </c>
      <c r="B223" s="2">
        <f t="shared" ca="1" si="1"/>
        <v>0.22481021447107355</v>
      </c>
      <c r="C223" s="2">
        <f t="shared" ca="1" si="2"/>
        <v>0.15461676459895099</v>
      </c>
      <c r="D223" s="2">
        <f t="shared" ca="1" si="3"/>
        <v>0.72691617700524502</v>
      </c>
      <c r="E223" s="2">
        <f t="shared" ca="1" si="4"/>
        <v>0.27308382299475498</v>
      </c>
    </row>
    <row r="224" spans="1:5">
      <c r="A224" s="2">
        <f t="shared" ca="1" si="0"/>
        <v>0.54190843021280666</v>
      </c>
      <c r="B224" s="2">
        <f t="shared" ca="1" si="1"/>
        <v>0.24960722000648838</v>
      </c>
      <c r="C224" s="2">
        <f t="shared" ca="1" si="2"/>
        <v>0.13526425676349879</v>
      </c>
      <c r="D224" s="2">
        <f t="shared" ca="1" si="3"/>
        <v>0.82367871618250599</v>
      </c>
      <c r="E224" s="2">
        <f t="shared" ca="1" si="4"/>
        <v>0.17632128381749401</v>
      </c>
    </row>
    <row r="225" spans="1:5">
      <c r="A225" s="2">
        <f t="shared" ca="1" si="0"/>
        <v>1.5331843247256314</v>
      </c>
      <c r="B225" s="2">
        <f t="shared" ca="1" si="1"/>
        <v>0.18357895315384312</v>
      </c>
      <c r="C225" s="2">
        <f t="shared" ca="1" si="2"/>
        <v>0.28146037332501328</v>
      </c>
      <c r="D225" s="2">
        <f t="shared" ca="1" si="3"/>
        <v>9.2698133374933489E-2</v>
      </c>
      <c r="E225" s="2">
        <f t="shared" ca="1" si="4"/>
        <v>0.90730186662506651</v>
      </c>
    </row>
    <row r="226" spans="1:5">
      <c r="A226" s="2">
        <f t="shared" ca="1" si="0"/>
        <v>0.39198107726693365</v>
      </c>
      <c r="B226" s="2">
        <f t="shared" ca="1" si="1"/>
        <v>0.28351809951995122</v>
      </c>
      <c r="C226" s="2">
        <f t="shared" ca="1" si="2"/>
        <v>0.11113373007450418</v>
      </c>
      <c r="D226" s="2">
        <f t="shared" ca="1" si="3"/>
        <v>0.94433134962747911</v>
      </c>
      <c r="E226" s="2">
        <f t="shared" ca="1" si="4"/>
        <v>5.5668650372520889E-2</v>
      </c>
    </row>
    <row r="227" spans="1:5">
      <c r="A227" s="2">
        <f t="shared" ca="1" si="0"/>
        <v>0.67984658909995432</v>
      </c>
      <c r="B227" s="2">
        <f t="shared" ca="1" si="1"/>
        <v>0.2259953110202732</v>
      </c>
      <c r="C227" s="2">
        <f t="shared" ca="1" si="2"/>
        <v>0.15364214134971604</v>
      </c>
      <c r="D227" s="2">
        <f t="shared" ca="1" si="3"/>
        <v>0.73178929325141973</v>
      </c>
      <c r="E227" s="2">
        <f t="shared" ca="1" si="4"/>
        <v>0.26821070674858027</v>
      </c>
    </row>
    <row r="228" spans="1:5">
      <c r="A228" s="2">
        <f t="shared" ca="1" si="0"/>
        <v>0.41437648141222494</v>
      </c>
      <c r="B228" s="2">
        <f t="shared" ca="1" si="1"/>
        <v>0.27776298593434073</v>
      </c>
      <c r="C228" s="2">
        <f t="shared" ca="1" si="2"/>
        <v>0.11509844877802544</v>
      </c>
      <c r="D228" s="2">
        <f t="shared" ca="1" si="3"/>
        <v>0.92450775610987279</v>
      </c>
      <c r="E228" s="2">
        <f t="shared" ca="1" si="4"/>
        <v>7.5492243890127209E-2</v>
      </c>
    </row>
    <row r="229" spans="1:5">
      <c r="A229" s="2">
        <f t="shared" ca="1" si="0"/>
        <v>1.5305633948610555</v>
      </c>
      <c r="B229" s="2">
        <f t="shared" ca="1" si="1"/>
        <v>0.18552523015877434</v>
      </c>
      <c r="C229" s="2">
        <f t="shared" ca="1" si="2"/>
        <v>0.28395812610419235</v>
      </c>
      <c r="D229" s="2">
        <f t="shared" ca="1" si="3"/>
        <v>8.0209369479038006E-2</v>
      </c>
      <c r="E229" s="2">
        <f t="shared" ca="1" si="4"/>
        <v>0.91979063052096199</v>
      </c>
    </row>
    <row r="230" spans="1:5">
      <c r="A230" s="2">
        <f t="shared" ca="1" si="0"/>
        <v>1.3176545933131709</v>
      </c>
      <c r="B230" s="2">
        <f t="shared" ca="1" si="1"/>
        <v>0.16887412533138141</v>
      </c>
      <c r="C230" s="2">
        <f t="shared" ca="1" si="2"/>
        <v>0.22251776693463882</v>
      </c>
      <c r="D230" s="2">
        <f t="shared" ca="1" si="3"/>
        <v>0.38741116532680597</v>
      </c>
      <c r="E230" s="2">
        <f t="shared" ca="1" si="4"/>
        <v>0.61258883467319403</v>
      </c>
    </row>
    <row r="231" spans="1:5">
      <c r="A231" s="2">
        <f t="shared" ca="1" si="0"/>
        <v>0.85801183486037569</v>
      </c>
      <c r="B231" s="2">
        <f t="shared" ca="1" si="1"/>
        <v>0.2028877810726957</v>
      </c>
      <c r="C231" s="2">
        <f t="shared" ca="1" si="2"/>
        <v>0.17408011730893383</v>
      </c>
      <c r="D231" s="2">
        <f t="shared" ca="1" si="3"/>
        <v>0.62959941345533088</v>
      </c>
      <c r="E231" s="2">
        <f t="shared" ca="1" si="4"/>
        <v>0.37040058654466912</v>
      </c>
    </row>
    <row r="232" spans="1:5">
      <c r="A232" s="2">
        <f t="shared" ca="1" si="0"/>
        <v>1.138124090731282</v>
      </c>
      <c r="B232" s="2">
        <f t="shared" ca="1" si="1"/>
        <v>0.1783082048470982</v>
      </c>
      <c r="C232" s="2">
        <f t="shared" ca="1" si="2"/>
        <v>0.20293686351153079</v>
      </c>
      <c r="D232" s="2">
        <f t="shared" ca="1" si="3"/>
        <v>0.48531568244234613</v>
      </c>
      <c r="E232" s="2">
        <f t="shared" ca="1" si="4"/>
        <v>0.51468431755765387</v>
      </c>
    </row>
    <row r="233" spans="1:5">
      <c r="A233" s="2">
        <f t="shared" ca="1" si="0"/>
        <v>1.5342554770747601</v>
      </c>
      <c r="B233" s="2">
        <f t="shared" ca="1" si="1"/>
        <v>0.17497590157697696</v>
      </c>
      <c r="C233" s="2">
        <f t="shared" ca="1" si="2"/>
        <v>0.26845773535057105</v>
      </c>
      <c r="D233" s="2">
        <f t="shared" ca="1" si="3"/>
        <v>0.15771132324714465</v>
      </c>
      <c r="E233" s="2">
        <f t="shared" ca="1" si="4"/>
        <v>0.84228867675285535</v>
      </c>
    </row>
    <row r="234" spans="1:5">
      <c r="A234" s="2">
        <f t="shared" ca="1" si="0"/>
        <v>1.4548577939741878</v>
      </c>
      <c r="B234" s="2">
        <f t="shared" ca="1" si="1"/>
        <v>0.16655490023763964</v>
      </c>
      <c r="C234" s="2">
        <f t="shared" ca="1" si="2"/>
        <v>0.24231369473532333</v>
      </c>
      <c r="D234" s="2">
        <f t="shared" ca="1" si="3"/>
        <v>0.28843152632338342</v>
      </c>
      <c r="E234" s="2">
        <f t="shared" ca="1" si="4"/>
        <v>0.71156847367661658</v>
      </c>
    </row>
    <row r="235" spans="1:5">
      <c r="A235" s="2">
        <f t="shared" ca="1" si="0"/>
        <v>0.72039178975157447</v>
      </c>
      <c r="B235" s="2">
        <f t="shared" ca="1" si="1"/>
        <v>0.22009760172507001</v>
      </c>
      <c r="C235" s="2">
        <f t="shared" ca="1" si="2"/>
        <v>0.15855650522675241</v>
      </c>
      <c r="D235" s="2">
        <f t="shared" ca="1" si="3"/>
        <v>0.7072174738662379</v>
      </c>
      <c r="E235" s="2">
        <f t="shared" ca="1" si="4"/>
        <v>0.2927825261337621</v>
      </c>
    </row>
    <row r="236" spans="1:5">
      <c r="A236" s="2">
        <f t="shared" ca="1" si="0"/>
        <v>1.4057503221291061</v>
      </c>
      <c r="B236" s="2">
        <f t="shared" ca="1" si="1"/>
        <v>0.16658878430171434</v>
      </c>
      <c r="C236" s="2">
        <f t="shared" ca="1" si="2"/>
        <v>0.2341822371952311</v>
      </c>
      <c r="D236" s="2">
        <f t="shared" ca="1" si="3"/>
        <v>0.32908881402384449</v>
      </c>
      <c r="E236" s="2">
        <f t="shared" ca="1" si="4"/>
        <v>0.67091118597615551</v>
      </c>
    </row>
    <row r="237" spans="1:5">
      <c r="A237" s="2">
        <f t="shared" ca="1" si="0"/>
        <v>0.65403995429628636</v>
      </c>
      <c r="B237" s="2">
        <f t="shared" ca="1" si="1"/>
        <v>0.22997460583342011</v>
      </c>
      <c r="C237" s="2">
        <f t="shared" ca="1" si="2"/>
        <v>0.15041258068859656</v>
      </c>
      <c r="D237" s="2">
        <f t="shared" ca="1" si="3"/>
        <v>0.74793709655701723</v>
      </c>
      <c r="E237" s="2">
        <f t="shared" ca="1" si="4"/>
        <v>0.25206290344298277</v>
      </c>
    </row>
    <row r="238" spans="1:5">
      <c r="A238" s="2">
        <f t="shared" ca="1" si="0"/>
        <v>1.2879160596252337</v>
      </c>
      <c r="B238" s="2">
        <f t="shared" ca="1" si="1"/>
        <v>0.1700598766526748</v>
      </c>
      <c r="C238" s="2">
        <f t="shared" ca="1" si="2"/>
        <v>0.21902284623886623</v>
      </c>
      <c r="D238" s="2">
        <f t="shared" ca="1" si="3"/>
        <v>0.40488576880566884</v>
      </c>
      <c r="E238" s="2">
        <f t="shared" ca="1" si="4"/>
        <v>0.59511423119433116</v>
      </c>
    </row>
    <row r="239" spans="1:5">
      <c r="A239" s="2">
        <f t="shared" ca="1" si="0"/>
        <v>0.37730980171903117</v>
      </c>
      <c r="B239" s="2">
        <f t="shared" ca="1" si="1"/>
        <v>0.28744221984242635</v>
      </c>
      <c r="C239" s="2">
        <f t="shared" ca="1" si="2"/>
        <v>0.10845476697442405</v>
      </c>
      <c r="D239" s="2">
        <f t="shared" ca="1" si="3"/>
        <v>0.95772616512787978</v>
      </c>
      <c r="E239" s="2">
        <f t="shared" ca="1" si="4"/>
        <v>4.227383487212022E-2</v>
      </c>
    </row>
    <row r="240" spans="1:5">
      <c r="A240" s="2">
        <f t="shared" ca="1" si="0"/>
        <v>1.5307842922902721</v>
      </c>
      <c r="B240" s="2">
        <f t="shared" ca="1" si="1"/>
        <v>0.17327211337691764</v>
      </c>
      <c r="C240" s="2">
        <f t="shared" ca="1" si="2"/>
        <v>0.26524222944932468</v>
      </c>
      <c r="D240" s="2">
        <f t="shared" ca="1" si="3"/>
        <v>0.17378885275337663</v>
      </c>
      <c r="E240" s="2">
        <f t="shared" ca="1" si="4"/>
        <v>0.82621114724662337</v>
      </c>
    </row>
    <row r="241" spans="1:5">
      <c r="A241" s="2">
        <f t="shared" ca="1" si="0"/>
        <v>1.1314081670728839</v>
      </c>
      <c r="B241" s="2">
        <f t="shared" ca="1" si="1"/>
        <v>0.17875790359209637</v>
      </c>
      <c r="C241" s="2">
        <f t="shared" ca="1" si="2"/>
        <v>0.20224815205292504</v>
      </c>
      <c r="D241" s="2">
        <f t="shared" ca="1" si="3"/>
        <v>0.48875923973537483</v>
      </c>
      <c r="E241" s="2">
        <f t="shared" ca="1" si="4"/>
        <v>0.51124076026462517</v>
      </c>
    </row>
    <row r="242" spans="1:5">
      <c r="A242" s="2">
        <f t="shared" ca="1" si="0"/>
        <v>1.5254795592382038</v>
      </c>
      <c r="B242" s="2">
        <f t="shared" ca="1" si="1"/>
        <v>0.18856865719830487</v>
      </c>
      <c r="C242" s="2">
        <f t="shared" ca="1" si="2"/>
        <v>0.28765763206901007</v>
      </c>
      <c r="D242" s="2">
        <f t="shared" ca="1" si="3"/>
        <v>6.171183965494953E-2</v>
      </c>
      <c r="E242" s="2">
        <f t="shared" ca="1" si="4"/>
        <v>0.93828816034505047</v>
      </c>
    </row>
    <row r="243" spans="1:5">
      <c r="A243" s="2">
        <f t="shared" ca="1" si="0"/>
        <v>1.5046028349556115</v>
      </c>
      <c r="B243" s="2">
        <f t="shared" ca="1" si="1"/>
        <v>0.19813569908289419</v>
      </c>
      <c r="C243" s="2">
        <f t="shared" ca="1" si="2"/>
        <v>0.29811553454603457</v>
      </c>
      <c r="D243" s="2">
        <f t="shared" ca="1" si="3"/>
        <v>9.4223272698271687E-3</v>
      </c>
      <c r="E243" s="2">
        <f t="shared" ca="1" si="4"/>
        <v>0.99057767273017283</v>
      </c>
    </row>
    <row r="244" spans="1:5">
      <c r="A244" s="2">
        <f t="shared" ca="1" si="0"/>
        <v>0.88981237147181935</v>
      </c>
      <c r="B244" s="2">
        <f t="shared" ca="1" si="1"/>
        <v>0.19945090521795736</v>
      </c>
      <c r="C244" s="2">
        <f t="shared" ca="1" si="2"/>
        <v>0.1774738829641917</v>
      </c>
      <c r="D244" s="2">
        <f t="shared" ca="1" si="3"/>
        <v>0.61263058517904156</v>
      </c>
      <c r="E244" s="2">
        <f t="shared" ca="1" si="4"/>
        <v>0.38736941482095844</v>
      </c>
    </row>
    <row r="245" spans="1:5">
      <c r="A245" s="2">
        <f t="shared" ca="1" si="0"/>
        <v>1.0988664843666791</v>
      </c>
      <c r="B245" s="2">
        <f t="shared" ca="1" si="1"/>
        <v>0.18102988428293657</v>
      </c>
      <c r="C245" s="2">
        <f t="shared" ca="1" si="2"/>
        <v>0.19892767250729723</v>
      </c>
      <c r="D245" s="2">
        <f t="shared" ca="1" si="3"/>
        <v>0.50536163746351381</v>
      </c>
      <c r="E245" s="2">
        <f t="shared" ca="1" si="4"/>
        <v>0.49463836253648619</v>
      </c>
    </row>
    <row r="246" spans="1:5">
      <c r="A246" s="2">
        <f t="shared" ca="1" si="0"/>
        <v>1.5132980847973334</v>
      </c>
      <c r="B246" s="2">
        <f t="shared" ca="1" si="1"/>
        <v>0.16962465244515745</v>
      </c>
      <c r="C246" s="2">
        <f t="shared" ca="1" si="2"/>
        <v>0.25669266167967009</v>
      </c>
      <c r="D246" s="2">
        <f t="shared" ca="1" si="3"/>
        <v>0.21653669160164946</v>
      </c>
      <c r="E246" s="2">
        <f t="shared" ca="1" si="4"/>
        <v>0.78346330839835054</v>
      </c>
    </row>
    <row r="247" spans="1:5">
      <c r="A247" s="2">
        <f t="shared" ca="1" si="0"/>
        <v>1.515798802512762</v>
      </c>
      <c r="B247" s="2">
        <f t="shared" ca="1" si="1"/>
        <v>0.19332818001950977</v>
      </c>
      <c r="C247" s="2">
        <f t="shared" ca="1" si="2"/>
        <v>0.29304662376554458</v>
      </c>
      <c r="D247" s="2">
        <f t="shared" ca="1" si="3"/>
        <v>3.4766881172277109E-2</v>
      </c>
      <c r="E247" s="2">
        <f t="shared" ca="1" si="4"/>
        <v>0.96523311882772289</v>
      </c>
    </row>
    <row r="248" spans="1:5">
      <c r="A248" s="2">
        <f t="shared" ca="1" si="0"/>
        <v>1.2321416540624224</v>
      </c>
      <c r="B248" s="2">
        <f t="shared" ca="1" si="1"/>
        <v>0.17271581721630444</v>
      </c>
      <c r="C248" s="2">
        <f t="shared" ca="1" si="2"/>
        <v>0.21281035270764037</v>
      </c>
      <c r="D248" s="2">
        <f t="shared" ca="1" si="3"/>
        <v>0.43594823646179814</v>
      </c>
      <c r="E248" s="2">
        <f t="shared" ca="1" si="4"/>
        <v>0.56405176353820186</v>
      </c>
    </row>
    <row r="249" spans="1:5">
      <c r="A249" s="2">
        <f t="shared" ca="1" si="0"/>
        <v>0.93699812460022802</v>
      </c>
      <c r="B249" s="2">
        <f t="shared" ca="1" si="1"/>
        <v>0.19468140555308958</v>
      </c>
      <c r="C249" s="2">
        <f t="shared" ca="1" si="2"/>
        <v>0.18241611189778134</v>
      </c>
      <c r="D249" s="2">
        <f t="shared" ca="1" si="3"/>
        <v>0.58791944051109335</v>
      </c>
      <c r="E249" s="2">
        <f t="shared" ca="1" si="4"/>
        <v>0.41208055948890665</v>
      </c>
    </row>
    <row r="250" spans="1:5">
      <c r="A250" s="2">
        <f t="shared" ca="1" si="0"/>
        <v>1.471438861386543</v>
      </c>
      <c r="B250" s="2">
        <f t="shared" ca="1" si="1"/>
        <v>0.16690575526537543</v>
      </c>
      <c r="C250" s="2">
        <f t="shared" ca="1" si="2"/>
        <v>0.24559161448654504</v>
      </c>
      <c r="D250" s="2">
        <f t="shared" ca="1" si="3"/>
        <v>0.27204192756727485</v>
      </c>
      <c r="E250" s="2">
        <f t="shared" ca="1" si="4"/>
        <v>0.72795807243272515</v>
      </c>
    </row>
    <row r="251" spans="1:5">
      <c r="A251" s="2">
        <f t="shared" ca="1" si="0"/>
        <v>0.87413069237133745</v>
      </c>
      <c r="B251" s="2">
        <f t="shared" ca="1" si="1"/>
        <v>0.20112260081611716</v>
      </c>
      <c r="C251" s="2">
        <f t="shared" ca="1" si="2"/>
        <v>0.17580743830291662</v>
      </c>
      <c r="D251" s="2">
        <f t="shared" ca="1" si="3"/>
        <v>0.62096280848541696</v>
      </c>
      <c r="E251" s="2">
        <f t="shared" ca="1" si="4"/>
        <v>0.37903719151458304</v>
      </c>
    </row>
    <row r="252" spans="1:5">
      <c r="A252" s="2">
        <f t="shared" ca="1" si="0"/>
        <v>0.8603159932187695</v>
      </c>
      <c r="B252" s="2">
        <f t="shared" ca="1" si="1"/>
        <v>0.20263249440031947</v>
      </c>
      <c r="C252" s="2">
        <f t="shared" ca="1" si="2"/>
        <v>0.1743279756784076</v>
      </c>
      <c r="D252" s="2">
        <f t="shared" ca="1" si="3"/>
        <v>0.62836012160796195</v>
      </c>
      <c r="E252" s="2">
        <f t="shared" ca="1" si="4"/>
        <v>0.37163987839203805</v>
      </c>
    </row>
    <row r="253" spans="1:5">
      <c r="A253" s="2">
        <f t="shared" ca="1" si="0"/>
        <v>0.69572223353554852</v>
      </c>
      <c r="B253" s="2">
        <f t="shared" ca="1" si="1"/>
        <v>0.22363604096780962</v>
      </c>
      <c r="C253" s="2">
        <f t="shared" ca="1" si="2"/>
        <v>0.15558856592117193</v>
      </c>
      <c r="D253" s="2">
        <f t="shared" ca="1" si="3"/>
        <v>0.72205717039414041</v>
      </c>
      <c r="E253" s="2">
        <f t="shared" ca="1" si="4"/>
        <v>0.27794282960585959</v>
      </c>
    </row>
    <row r="254" spans="1:5">
      <c r="A254" s="2">
        <f t="shared" ca="1" si="0"/>
        <v>1.1175971525359367</v>
      </c>
      <c r="B254" s="2">
        <f t="shared" ca="1" si="1"/>
        <v>0.17970333275115441</v>
      </c>
      <c r="C254" s="2">
        <f t="shared" ca="1" si="2"/>
        <v>0.20083593298390812</v>
      </c>
      <c r="D254" s="2">
        <f t="shared" ca="1" si="3"/>
        <v>0.49582033508045942</v>
      </c>
      <c r="E254" s="2">
        <f t="shared" ca="1" si="4"/>
        <v>0.50417966491954058</v>
      </c>
    </row>
    <row r="255" spans="1:5">
      <c r="A255" s="2">
        <f t="shared" ca="1" si="0"/>
        <v>1.3442099320948437</v>
      </c>
      <c r="B255" s="2">
        <f t="shared" ca="1" si="1"/>
        <v>0.16797108423544244</v>
      </c>
      <c r="C255" s="2">
        <f t="shared" ca="1" si="2"/>
        <v>0.22578839973402134</v>
      </c>
      <c r="D255" s="2">
        <f t="shared" ca="1" si="3"/>
        <v>0.37105800132989331</v>
      </c>
      <c r="E255" s="2">
        <f t="shared" ca="1" si="4"/>
        <v>0.62894199867010669</v>
      </c>
    </row>
    <row r="256" spans="1:5">
      <c r="A256" s="2">
        <f t="shared" ca="1" si="0"/>
        <v>1.5131665612582887</v>
      </c>
      <c r="B256" s="2">
        <f t="shared" ca="1" si="1"/>
        <v>0.16960816607615234</v>
      </c>
      <c r="C256" s="2">
        <f t="shared" ca="1" si="2"/>
        <v>0.2566454054227762</v>
      </c>
      <c r="D256" s="2">
        <f t="shared" ca="1" si="3"/>
        <v>0.21677297288611885</v>
      </c>
      <c r="E256" s="2">
        <f t="shared" ca="1" si="4"/>
        <v>0.78322702711388115</v>
      </c>
    </row>
    <row r="257" spans="1:5">
      <c r="A257" s="2">
        <f t="shared" ca="1" si="0"/>
        <v>0.44662180252703793</v>
      </c>
      <c r="B257" s="2">
        <f t="shared" ca="1" si="1"/>
        <v>0.26994156521038898</v>
      </c>
      <c r="C257" s="2">
        <f t="shared" ca="1" si="2"/>
        <v>0.12056178843123387</v>
      </c>
      <c r="D257" s="2">
        <f t="shared" ca="1" si="3"/>
        <v>0.89719105784383069</v>
      </c>
      <c r="E257" s="2">
        <f t="shared" ca="1" si="4"/>
        <v>0.10280894215616931</v>
      </c>
    </row>
    <row r="258" spans="1:5">
      <c r="A258" s="2">
        <f t="shared" ca="1" si="0"/>
        <v>0.36451187836537285</v>
      </c>
      <c r="B258" s="2">
        <f t="shared" ca="1" si="1"/>
        <v>0.29097007961595428</v>
      </c>
      <c r="C258" s="2">
        <f t="shared" ca="1" si="2"/>
        <v>0.10606205026893359</v>
      </c>
      <c r="D258" s="2">
        <f t="shared" ca="1" si="3"/>
        <v>0.96968974865533208</v>
      </c>
      <c r="E258" s="2">
        <f t="shared" ca="1" si="4"/>
        <v>3.0310251344667916E-2</v>
      </c>
    </row>
    <row r="259" spans="1:5">
      <c r="A259" s="2">
        <f t="shared" ca="1" si="0"/>
        <v>1.0328640707298193</v>
      </c>
      <c r="B259" s="2">
        <f t="shared" ca="1" si="1"/>
        <v>0.18611422208681855</v>
      </c>
      <c r="C259" s="2">
        <f t="shared" ca="1" si="2"/>
        <v>0.19223069304530507</v>
      </c>
      <c r="D259" s="2">
        <f t="shared" ca="1" si="3"/>
        <v>0.53884653477347466</v>
      </c>
      <c r="E259" s="2">
        <f t="shared" ca="1" si="4"/>
        <v>0.46115346522652534</v>
      </c>
    </row>
    <row r="260" spans="1:5">
      <c r="A260" s="2">
        <f t="shared" ca="1" si="0"/>
        <v>0.98699331923101186</v>
      </c>
      <c r="B260" s="2">
        <f t="shared" ca="1" si="1"/>
        <v>0.1900329681923249</v>
      </c>
      <c r="C260" s="2">
        <f t="shared" ca="1" si="2"/>
        <v>0.18756127003946405</v>
      </c>
      <c r="D260" s="2">
        <f t="shared" ca="1" si="3"/>
        <v>0.56219364980267972</v>
      </c>
      <c r="E260" s="2">
        <f t="shared" ca="1" si="4"/>
        <v>0.43780635019732028</v>
      </c>
    </row>
    <row r="261" spans="1:5">
      <c r="A261" s="2">
        <f t="shared" ca="1" si="0"/>
        <v>0.9347298341385466</v>
      </c>
      <c r="B261" s="2">
        <f t="shared" ca="1" si="1"/>
        <v>0.19490199241038234</v>
      </c>
      <c r="C261" s="2">
        <f t="shared" ca="1" si="2"/>
        <v>0.18218070703902894</v>
      </c>
      <c r="D261" s="2">
        <f t="shared" ca="1" si="3"/>
        <v>0.58909646480485534</v>
      </c>
      <c r="E261" s="2">
        <f t="shared" ca="1" si="4"/>
        <v>0.41090353519514466</v>
      </c>
    </row>
    <row r="262" spans="1:5">
      <c r="A262" s="2">
        <f t="shared" ca="1" si="0"/>
        <v>0.7302468615525286</v>
      </c>
      <c r="B262" s="2">
        <f t="shared" ca="1" si="1"/>
        <v>0.21872594732468686</v>
      </c>
      <c r="C262" s="2">
        <f t="shared" ca="1" si="2"/>
        <v>0.15972393657395628</v>
      </c>
      <c r="D262" s="2">
        <f t="shared" ca="1" si="3"/>
        <v>0.70138031713021864</v>
      </c>
      <c r="E262" s="2">
        <f t="shared" ca="1" si="4"/>
        <v>0.29861968286978136</v>
      </c>
    </row>
    <row r="263" spans="1:5">
      <c r="A263" s="2">
        <f t="shared" ca="1" si="0"/>
        <v>1.4929500947698551</v>
      </c>
      <c r="B263" s="2">
        <f t="shared" ca="1" si="1"/>
        <v>0.16783574239283125</v>
      </c>
      <c r="C263" s="2">
        <f t="shared" ca="1" si="2"/>
        <v>0.25057038751114641</v>
      </c>
      <c r="D263" s="2">
        <f t="shared" ca="1" si="3"/>
        <v>0.2471480624442679</v>
      </c>
      <c r="E263" s="2">
        <f t="shared" ca="1" si="4"/>
        <v>0.7528519375557321</v>
      </c>
    </row>
    <row r="264" spans="1:5">
      <c r="A264" s="2">
        <f t="shared" ca="1" si="0"/>
        <v>0.38229846677726131</v>
      </c>
      <c r="B264" s="2">
        <f t="shared" ca="1" si="1"/>
        <v>0.28609377173012124</v>
      </c>
      <c r="C264" s="2">
        <f t="shared" ca="1" si="2"/>
        <v>0.10937321028694913</v>
      </c>
      <c r="D264" s="2">
        <f t="shared" ca="1" si="3"/>
        <v>0.95313394856525435</v>
      </c>
      <c r="E264" s="2">
        <f t="shared" ca="1" si="4"/>
        <v>4.6866051434745648E-2</v>
      </c>
    </row>
    <row r="265" spans="1:5">
      <c r="A265" s="2">
        <f t="shared" ca="1" si="0"/>
        <v>1.0598267501635332</v>
      </c>
      <c r="B265" s="2">
        <f t="shared" ca="1" si="1"/>
        <v>0.18395948137268203</v>
      </c>
      <c r="C265" s="2">
        <f t="shared" ca="1" si="2"/>
        <v>0.19496517930497861</v>
      </c>
      <c r="D265" s="2">
        <f t="shared" ca="1" si="3"/>
        <v>0.52517410347510696</v>
      </c>
      <c r="E265" s="2">
        <f t="shared" ca="1" si="4"/>
        <v>0.47482589652489304</v>
      </c>
    </row>
    <row r="266" spans="1:5">
      <c r="A266" s="2">
        <f t="shared" ca="1" si="0"/>
        <v>1.1170918470543214</v>
      </c>
      <c r="B266" s="2">
        <f t="shared" ca="1" si="1"/>
        <v>0.17973844963586705</v>
      </c>
      <c r="C266" s="2">
        <f t="shared" ca="1" si="2"/>
        <v>0.20078435669041084</v>
      </c>
      <c r="D266" s="2">
        <f t="shared" ca="1" si="3"/>
        <v>0.49607821654794582</v>
      </c>
      <c r="E266" s="2">
        <f t="shared" ca="1" si="4"/>
        <v>0.50392178345205418</v>
      </c>
    </row>
    <row r="267" spans="1:5">
      <c r="A267" s="2">
        <f t="shared" ca="1" si="0"/>
        <v>1.4981047577151838</v>
      </c>
      <c r="B267" s="2">
        <f t="shared" ca="1" si="1"/>
        <v>0.16817612750502645</v>
      </c>
      <c r="C267" s="2">
        <f t="shared" ca="1" si="2"/>
        <v>0.2519454567493955</v>
      </c>
      <c r="D267" s="2">
        <f t="shared" ca="1" si="3"/>
        <v>0.24027271625302238</v>
      </c>
      <c r="E267" s="2">
        <f t="shared" ca="1" si="4"/>
        <v>0.75972728374697762</v>
      </c>
    </row>
    <row r="268" spans="1:5">
      <c r="A268" s="2">
        <f t="shared" ca="1" si="0"/>
        <v>0.46374137632272899</v>
      </c>
      <c r="B268" s="2">
        <f t="shared" ca="1" si="1"/>
        <v>0.26599667550074685</v>
      </c>
      <c r="C268" s="2">
        <f t="shared" ca="1" si="2"/>
        <v>0.12335366439398668</v>
      </c>
      <c r="D268" s="2">
        <f t="shared" ca="1" si="3"/>
        <v>0.88323167803006664</v>
      </c>
      <c r="E268" s="2">
        <f t="shared" ca="1" si="4"/>
        <v>0.11676832196993336</v>
      </c>
    </row>
    <row r="269" spans="1:5">
      <c r="A269" s="2">
        <f t="shared" ca="1" si="0"/>
        <v>0.44031279112175825</v>
      </c>
      <c r="B269" s="2">
        <f t="shared" ca="1" si="1"/>
        <v>0.27143075255968702</v>
      </c>
      <c r="C269" s="2">
        <f t="shared" ca="1" si="2"/>
        <v>0.11951443225583512</v>
      </c>
      <c r="D269" s="2">
        <f t="shared" ca="1" si="3"/>
        <v>0.90242783872082444</v>
      </c>
      <c r="E269" s="2">
        <f t="shared" ca="1" si="4"/>
        <v>9.7572161279175562E-2</v>
      </c>
    </row>
    <row r="270" spans="1:5">
      <c r="A270" s="2">
        <f t="shared" ca="1" si="0"/>
        <v>0.55224208499832872</v>
      </c>
      <c r="B270" s="2">
        <f t="shared" ca="1" si="1"/>
        <v>0.24762137839241397</v>
      </c>
      <c r="C270" s="2">
        <f t="shared" ca="1" si="2"/>
        <v>0.1367469462935868</v>
      </c>
      <c r="D270" s="2">
        <f t="shared" ca="1" si="3"/>
        <v>0.81626526853206594</v>
      </c>
      <c r="E270" s="2">
        <f t="shared" ca="1" si="4"/>
        <v>0.18373473146793406</v>
      </c>
    </row>
    <row r="271" spans="1:5">
      <c r="A271" s="2">
        <f t="shared" ca="1" si="0"/>
        <v>1.3591077582173434</v>
      </c>
      <c r="B271" s="2">
        <f t="shared" ca="1" si="1"/>
        <v>0.16753697122053537</v>
      </c>
      <c r="C271" s="2">
        <f t="shared" ca="1" si="2"/>
        <v>0.2277007973740654</v>
      </c>
      <c r="D271" s="2">
        <f t="shared" ca="1" si="3"/>
        <v>0.36149601312967305</v>
      </c>
      <c r="E271" s="2">
        <f t="shared" ca="1" si="4"/>
        <v>0.63850398687032695</v>
      </c>
    </row>
    <row r="272" spans="1:5">
      <c r="A272" s="2">
        <f t="shared" ca="1" si="0"/>
        <v>0.54867860826236414</v>
      </c>
      <c r="B272" s="2">
        <f t="shared" ca="1" si="1"/>
        <v>0.2483017627511335</v>
      </c>
      <c r="C272" s="2">
        <f t="shared" ca="1" si="2"/>
        <v>0.13623786561538365</v>
      </c>
      <c r="D272" s="2">
        <f t="shared" ca="1" si="3"/>
        <v>0.81881067192308177</v>
      </c>
      <c r="E272" s="2">
        <f t="shared" ca="1" si="4"/>
        <v>0.18118932807691823</v>
      </c>
    </row>
    <row r="273" spans="1:5">
      <c r="A273" s="2">
        <f t="shared" ca="1" si="0"/>
        <v>1.2234751760942721</v>
      </c>
      <c r="B273" s="2">
        <f t="shared" ca="1" si="1"/>
        <v>0.17317484932962002</v>
      </c>
      <c r="C273" s="2">
        <f t="shared" ca="1" si="2"/>
        <v>0.2118751292786559</v>
      </c>
      <c r="D273" s="2">
        <f t="shared" ca="1" si="3"/>
        <v>0.44062435360672048</v>
      </c>
      <c r="E273" s="2">
        <f t="shared" ca="1" si="4"/>
        <v>0.55937564639327952</v>
      </c>
    </row>
    <row r="274" spans="1:5">
      <c r="A274" s="2">
        <f t="shared" ca="1" si="0"/>
        <v>0.45240963565010728</v>
      </c>
      <c r="B274" s="2">
        <f t="shared" ca="1" si="1"/>
        <v>0.26859234559887629</v>
      </c>
      <c r="C274" s="2">
        <f t="shared" ca="1" si="2"/>
        <v>0.12151376521079532</v>
      </c>
      <c r="D274" s="2">
        <f t="shared" ca="1" si="3"/>
        <v>0.89243117394602345</v>
      </c>
      <c r="E274" s="2">
        <f t="shared" ca="1" si="4"/>
        <v>0.10756882605397655</v>
      </c>
    </row>
    <row r="275" spans="1:5">
      <c r="A275" s="2">
        <f t="shared" ca="1" si="0"/>
        <v>1.5052338407700072</v>
      </c>
      <c r="B275" s="2">
        <f t="shared" ca="1" si="1"/>
        <v>0.1687568357673371</v>
      </c>
      <c r="C275" s="2">
        <f t="shared" ca="1" si="2"/>
        <v>0.25401850005826215</v>
      </c>
      <c r="D275" s="2">
        <f t="shared" ca="1" si="3"/>
        <v>0.22990749970868907</v>
      </c>
      <c r="E275" s="2">
        <f t="shared" ca="1" si="4"/>
        <v>0.77009250029131093</v>
      </c>
    </row>
    <row r="276" spans="1:5">
      <c r="A276" s="2">
        <f t="shared" ca="1" si="0"/>
        <v>1.4038592673234744</v>
      </c>
      <c r="B276" s="2">
        <f t="shared" ca="1" si="1"/>
        <v>0.16661301342962573</v>
      </c>
      <c r="C276" s="2">
        <f t="shared" ca="1" si="2"/>
        <v>0.23390122295987056</v>
      </c>
      <c r="D276" s="2">
        <f t="shared" ca="1" si="3"/>
        <v>0.33049388520064715</v>
      </c>
      <c r="E276" s="2">
        <f t="shared" ca="1" si="4"/>
        <v>0.66950611479935285</v>
      </c>
    </row>
    <row r="277" spans="1:5">
      <c r="A277" s="2">
        <f t="shared" ca="1" si="0"/>
        <v>1.5191247618357806</v>
      </c>
      <c r="B277" s="2">
        <f t="shared" ca="1" si="1"/>
        <v>0.17045980120192511</v>
      </c>
      <c r="C277" s="2">
        <f t="shared" ca="1" si="2"/>
        <v>0.25894970490344899</v>
      </c>
      <c r="D277" s="2">
        <f t="shared" ca="1" si="3"/>
        <v>0.20525147548275513</v>
      </c>
      <c r="E277" s="2">
        <f t="shared" ca="1" si="4"/>
        <v>0.79474852451724487</v>
      </c>
    </row>
    <row r="278" spans="1:5">
      <c r="A278" s="2">
        <f t="shared" ca="1" si="0"/>
        <v>1.1148925254648003</v>
      </c>
      <c r="B278" s="2">
        <f t="shared" ca="1" si="1"/>
        <v>0.17989172714011972</v>
      </c>
      <c r="C278" s="2">
        <f t="shared" ca="1" si="2"/>
        <v>0.20055994198147284</v>
      </c>
      <c r="D278" s="2">
        <f t="shared" ca="1" si="3"/>
        <v>0.49720029009263578</v>
      </c>
      <c r="E278" s="2">
        <f t="shared" ca="1" si="4"/>
        <v>0.50279970990736422</v>
      </c>
    </row>
    <row r="279" spans="1:5">
      <c r="A279" s="2">
        <f t="shared" ca="1" si="0"/>
        <v>0.91908742830339374</v>
      </c>
      <c r="B279" s="2">
        <f t="shared" ca="1" si="1"/>
        <v>0.19644675436653938</v>
      </c>
      <c r="C279" s="2">
        <f t="shared" ca="1" si="2"/>
        <v>0.18055174226929116</v>
      </c>
      <c r="D279" s="2">
        <f t="shared" ca="1" si="3"/>
        <v>0.5972412886535442</v>
      </c>
      <c r="E279" s="2">
        <f t="shared" ca="1" si="4"/>
        <v>0.4027587113464558</v>
      </c>
    </row>
    <row r="280" spans="1:5">
      <c r="A280" s="2">
        <f t="shared" ca="1" si="0"/>
        <v>1.506415442429061</v>
      </c>
      <c r="B280" s="2">
        <f t="shared" ca="1" si="1"/>
        <v>0.19738710971027304</v>
      </c>
      <c r="C280" s="2">
        <f t="shared" ca="1" si="2"/>
        <v>0.29734699020399458</v>
      </c>
      <c r="D280" s="2">
        <f t="shared" ca="1" si="3"/>
        <v>1.3265048980027005E-2</v>
      </c>
      <c r="E280" s="2">
        <f t="shared" ca="1" si="4"/>
        <v>0.98673495101997299</v>
      </c>
    </row>
    <row r="281" spans="1:5">
      <c r="A281" s="2">
        <f t="shared" ca="1" si="0"/>
        <v>1.5032867433375647</v>
      </c>
      <c r="B281" s="2">
        <f t="shared" ca="1" si="1"/>
        <v>0.16858363256028633</v>
      </c>
      <c r="C281" s="2">
        <f t="shared" ca="1" si="2"/>
        <v>0.25342953997156947</v>
      </c>
      <c r="D281" s="2">
        <f t="shared" ca="1" si="3"/>
        <v>0.23285230014215264</v>
      </c>
      <c r="E281" s="2">
        <f t="shared" ca="1" si="4"/>
        <v>0.76714769985784736</v>
      </c>
    </row>
    <row r="282" spans="1:5">
      <c r="A282" s="2">
        <f t="shared" ca="1" si="0"/>
        <v>0.8885347263402904</v>
      </c>
      <c r="B282" s="2">
        <f t="shared" ca="1" si="1"/>
        <v>0.19958544839188683</v>
      </c>
      <c r="C282" s="2">
        <f t="shared" ca="1" si="2"/>
        <v>0.17733860176838931</v>
      </c>
      <c r="D282" s="2">
        <f t="shared" ca="1" si="3"/>
        <v>0.61330699115805343</v>
      </c>
      <c r="E282" s="2">
        <f t="shared" ca="1" si="4"/>
        <v>0.38669300884194657</v>
      </c>
    </row>
    <row r="283" spans="1:5">
      <c r="A283" s="2">
        <f t="shared" ca="1" si="0"/>
        <v>1.347120623053095</v>
      </c>
      <c r="B283" s="2">
        <f t="shared" ca="1" si="1"/>
        <v>0.16788193875279575</v>
      </c>
      <c r="C283" s="2">
        <f t="shared" ca="1" si="2"/>
        <v>0.22615722193202775</v>
      </c>
      <c r="D283" s="2">
        <f t="shared" ca="1" si="3"/>
        <v>0.36921389033986129</v>
      </c>
      <c r="E283" s="2">
        <f t="shared" ca="1" si="4"/>
        <v>0.63078610966013871</v>
      </c>
    </row>
    <row r="284" spans="1:5">
      <c r="A284" s="2">
        <f t="shared" ca="1" si="0"/>
        <v>1.417116659143661</v>
      </c>
      <c r="B284" s="2">
        <f t="shared" ca="1" si="1"/>
        <v>0.16647350233419031</v>
      </c>
      <c r="C284" s="2">
        <f t="shared" ca="1" si="2"/>
        <v>0.23591237346377222</v>
      </c>
      <c r="D284" s="2">
        <f t="shared" ca="1" si="3"/>
        <v>0.32043813268113885</v>
      </c>
      <c r="E284" s="2">
        <f t="shared" ca="1" si="4"/>
        <v>0.67956186731886115</v>
      </c>
    </row>
    <row r="285" spans="1:5">
      <c r="A285" s="2">
        <f t="shared" ca="1" si="0"/>
        <v>0.64747006962134057</v>
      </c>
      <c r="B285" s="2">
        <f t="shared" ca="1" si="1"/>
        <v>0.23101722405184888</v>
      </c>
      <c r="C285" s="2">
        <f t="shared" ca="1" si="2"/>
        <v>0.14957673814057942</v>
      </c>
      <c r="D285" s="2">
        <f t="shared" ca="1" si="3"/>
        <v>0.75211630929710283</v>
      </c>
      <c r="E285" s="2">
        <f t="shared" ca="1" si="4"/>
        <v>0.24788369070289717</v>
      </c>
    </row>
    <row r="286" spans="1:5">
      <c r="A286" s="2">
        <f t="shared" ca="1" si="0"/>
        <v>1.2963439841949007</v>
      </c>
      <c r="B286" s="2">
        <f t="shared" ca="1" si="1"/>
        <v>0.16970638651988562</v>
      </c>
      <c r="C286" s="2">
        <f t="shared" ca="1" si="2"/>
        <v>0.21999785324450832</v>
      </c>
      <c r="D286" s="2">
        <f t="shared" ca="1" si="3"/>
        <v>0.40001073377745833</v>
      </c>
      <c r="E286" s="2">
        <f t="shared" ca="1" si="4"/>
        <v>0.59998926622254167</v>
      </c>
    </row>
    <row r="287" spans="1:5">
      <c r="A287" s="2">
        <f t="shared" ca="1" si="0"/>
        <v>1.5301274732029895</v>
      </c>
      <c r="B287" s="2">
        <f t="shared" ca="1" si="1"/>
        <v>0.18581466517323059</v>
      </c>
      <c r="C287" s="2">
        <f t="shared" ca="1" si="2"/>
        <v>0.28432012410557483</v>
      </c>
      <c r="D287" s="2">
        <f t="shared" ca="1" si="3"/>
        <v>7.8399379472125941E-2</v>
      </c>
      <c r="E287" s="2">
        <f t="shared" ca="1" si="4"/>
        <v>0.92160062052787406</v>
      </c>
    </row>
    <row r="288" spans="1:5">
      <c r="A288" s="2">
        <f t="shared" ca="1" si="0"/>
        <v>0.93234208338407343</v>
      </c>
      <c r="B288" s="2">
        <f t="shared" ca="1" si="1"/>
        <v>0.19513512617234549</v>
      </c>
      <c r="C288" s="2">
        <f t="shared" ca="1" si="2"/>
        <v>0.18193269007693863</v>
      </c>
      <c r="D288" s="2">
        <f t="shared" ca="1" si="3"/>
        <v>0.5903365496153069</v>
      </c>
      <c r="E288" s="2">
        <f t="shared" ca="1" si="4"/>
        <v>0.4096634503846931</v>
      </c>
    </row>
    <row r="289" spans="1:5">
      <c r="A289" s="2">
        <f t="shared" ca="1" si="0"/>
        <v>0.5361865908661112</v>
      </c>
      <c r="B289" s="2">
        <f t="shared" ca="1" si="1"/>
        <v>0.25072380253466753</v>
      </c>
      <c r="C289" s="2">
        <f t="shared" ca="1" si="2"/>
        <v>0.13443474093005142</v>
      </c>
      <c r="D289" s="2">
        <f t="shared" ca="1" si="3"/>
        <v>0.82782629534974295</v>
      </c>
      <c r="E289" s="2">
        <f t="shared" ca="1" si="4"/>
        <v>0.17217370465025705</v>
      </c>
    </row>
    <row r="290" spans="1:5">
      <c r="A290" s="2">
        <f t="shared" ca="1" si="0"/>
        <v>1.5145883415279686</v>
      </c>
      <c r="B290" s="2">
        <f t="shared" ca="1" si="1"/>
        <v>0.19387347056171356</v>
      </c>
      <c r="C290" s="2">
        <f t="shared" ca="1" si="2"/>
        <v>0.29363849824433719</v>
      </c>
      <c r="D290" s="2">
        <f t="shared" ca="1" si="3"/>
        <v>3.1807508778314064E-2</v>
      </c>
      <c r="E290" s="2">
        <f t="shared" ca="1" si="4"/>
        <v>0.96819249122168594</v>
      </c>
    </row>
    <row r="291" spans="1:5">
      <c r="A291" s="2">
        <f t="shared" ca="1" si="0"/>
        <v>0.40678405827740377</v>
      </c>
      <c r="B291" s="2">
        <f t="shared" ca="1" si="1"/>
        <v>0.27968320996589491</v>
      </c>
      <c r="C291" s="2">
        <f t="shared" ca="1" si="2"/>
        <v>0.11377067118197795</v>
      </c>
      <c r="D291" s="2">
        <f t="shared" ca="1" si="3"/>
        <v>0.93114664409011028</v>
      </c>
      <c r="E291" s="2">
        <f t="shared" ca="1" si="4"/>
        <v>6.8853355909889724E-2</v>
      </c>
    </row>
    <row r="292" spans="1:5">
      <c r="A292" s="2">
        <f t="shared" ca="1" si="0"/>
        <v>1.5046463785885249</v>
      </c>
      <c r="B292" s="2">
        <f t="shared" ca="1" si="1"/>
        <v>0.19811782045087387</v>
      </c>
      <c r="C292" s="2">
        <f t="shared" ca="1" si="2"/>
        <v>0.29809726107525897</v>
      </c>
      <c r="D292" s="2">
        <f t="shared" ca="1" si="3"/>
        <v>9.5136946237051045E-3</v>
      </c>
      <c r="E292" s="2">
        <f t="shared" ca="1" si="4"/>
        <v>0.9904863053762949</v>
      </c>
    </row>
    <row r="293" spans="1:5">
      <c r="A293" s="2">
        <f t="shared" ca="1" si="0"/>
        <v>1.5203447648729991</v>
      </c>
      <c r="B293" s="2">
        <f t="shared" ca="1" si="1"/>
        <v>0.17066590822152913</v>
      </c>
      <c r="C293" s="2">
        <f t="shared" ca="1" si="2"/>
        <v>0.25947102010689754</v>
      </c>
      <c r="D293" s="2">
        <f t="shared" ca="1" si="3"/>
        <v>0.20264489946551234</v>
      </c>
      <c r="E293" s="2">
        <f t="shared" ca="1" si="4"/>
        <v>0.79735510053448766</v>
      </c>
    </row>
    <row r="294" spans="1:5">
      <c r="A294" s="2">
        <f t="shared" ca="1" si="0"/>
        <v>0.57797228148630864</v>
      </c>
      <c r="B294" s="2">
        <f t="shared" ca="1" si="1"/>
        <v>0.24284243329355318</v>
      </c>
      <c r="C294" s="2">
        <f t="shared" ca="1" si="2"/>
        <v>0.14035619521236165</v>
      </c>
      <c r="D294" s="2">
        <f t="shared" ca="1" si="3"/>
        <v>0.79821902393819189</v>
      </c>
      <c r="E294" s="2">
        <f t="shared" ca="1" si="4"/>
        <v>0.20178097606180811</v>
      </c>
    </row>
    <row r="295" spans="1:5">
      <c r="A295" s="2">
        <f t="shared" ca="1" si="0"/>
        <v>1.3481550956698238</v>
      </c>
      <c r="B295" s="2">
        <f t="shared" ca="1" si="1"/>
        <v>0.16785075116801126</v>
      </c>
      <c r="C295" s="2">
        <f t="shared" ca="1" si="2"/>
        <v>0.22628884549916201</v>
      </c>
      <c r="D295" s="2">
        <f t="shared" ca="1" si="3"/>
        <v>0.36855577250418992</v>
      </c>
      <c r="E295" s="2">
        <f t="shared" ca="1" si="4"/>
        <v>0.63144422749581008</v>
      </c>
    </row>
    <row r="296" spans="1:5">
      <c r="A296" s="2">
        <f t="shared" ca="1" si="0"/>
        <v>1.5013204642589115</v>
      </c>
      <c r="B296" s="2">
        <f t="shared" ca="1" si="1"/>
        <v>0.19947002662018948</v>
      </c>
      <c r="C296" s="2">
        <f t="shared" ca="1" si="2"/>
        <v>0.29946843297116033</v>
      </c>
      <c r="D296" s="2">
        <f t="shared" ca="1" si="3"/>
        <v>2.6578351441984838E-3</v>
      </c>
      <c r="E296" s="2">
        <f t="shared" ca="1" si="4"/>
        <v>0.99734216485580152</v>
      </c>
    </row>
    <row r="297" spans="1:5">
      <c r="A297" s="2">
        <f t="shared" ca="1" si="0"/>
        <v>1.3128657133319166</v>
      </c>
      <c r="B297" s="2">
        <f t="shared" ca="1" si="1"/>
        <v>0.16905320345731964</v>
      </c>
      <c r="C297" s="2">
        <f t="shared" ca="1" si="2"/>
        <v>0.22194415454803959</v>
      </c>
      <c r="D297" s="2">
        <f t="shared" ca="1" si="3"/>
        <v>0.39027922725980202</v>
      </c>
      <c r="E297" s="2">
        <f t="shared" ca="1" si="4"/>
        <v>0.60972077274019798</v>
      </c>
    </row>
    <row r="298" spans="1:5">
      <c r="A298" s="2">
        <f t="shared" ca="1" si="0"/>
        <v>0.37117764095668504</v>
      </c>
      <c r="B298" s="2">
        <f t="shared" ca="1" si="1"/>
        <v>0.28912014894769444</v>
      </c>
      <c r="C298" s="2">
        <f t="shared" ca="1" si="2"/>
        <v>0.10731493483945063</v>
      </c>
      <c r="D298" s="2">
        <f t="shared" ca="1" si="3"/>
        <v>0.96342532580274687</v>
      </c>
      <c r="E298" s="2">
        <f t="shared" ca="1" si="4"/>
        <v>3.6574674197253132E-2</v>
      </c>
    </row>
    <row r="299" spans="1:5">
      <c r="A299" s="2">
        <f t="shared" ca="1" si="0"/>
        <v>1.0511984706905144</v>
      </c>
      <c r="B299" s="2">
        <f t="shared" ca="1" si="1"/>
        <v>0.1846372326937086</v>
      </c>
      <c r="C299" s="2">
        <f t="shared" ca="1" si="2"/>
        <v>0.19409037664015513</v>
      </c>
      <c r="D299" s="2">
        <f t="shared" ca="1" si="3"/>
        <v>0.52954811679922431</v>
      </c>
      <c r="E299" s="2">
        <f t="shared" ca="1" si="4"/>
        <v>0.47045188320077569</v>
      </c>
    </row>
    <row r="300" spans="1:5">
      <c r="A300" s="2">
        <f t="shared" ca="1" si="0"/>
        <v>1.5314842664804227</v>
      </c>
      <c r="B300" s="2">
        <f t="shared" ca="1" si="1"/>
        <v>0.17354720266919849</v>
      </c>
      <c r="C300" s="2">
        <f t="shared" ca="1" si="2"/>
        <v>0.26578481037956669</v>
      </c>
      <c r="D300" s="2">
        <f t="shared" ca="1" si="3"/>
        <v>0.17107594810216642</v>
      </c>
      <c r="E300" s="2">
        <f t="shared" ca="1" si="4"/>
        <v>0.82892405189783358</v>
      </c>
    </row>
    <row r="301" spans="1:5">
      <c r="A301" s="2">
        <f t="shared" ca="1" si="0"/>
        <v>0.91918425543222615</v>
      </c>
      <c r="B301" s="2">
        <f t="shared" ca="1" si="1"/>
        <v>0.1964370645671169</v>
      </c>
      <c r="C301" s="2">
        <f t="shared" ca="1" si="2"/>
        <v>0.18056185693341748</v>
      </c>
      <c r="D301" s="2">
        <f t="shared" ca="1" si="3"/>
        <v>0.59719071533291268</v>
      </c>
      <c r="E301" s="2">
        <f t="shared" ca="1" si="4"/>
        <v>0.40280928466708732</v>
      </c>
    </row>
    <row r="302" spans="1:5">
      <c r="A302" s="2">
        <f t="shared" ca="1" si="0"/>
        <v>1.4795023432930285</v>
      </c>
      <c r="B302" s="2">
        <f t="shared" ca="1" si="1"/>
        <v>0.16717810453076432</v>
      </c>
      <c r="C302" s="2">
        <f t="shared" ca="1" si="2"/>
        <v>0.24734039740055266</v>
      </c>
      <c r="D302" s="2">
        <f t="shared" ca="1" si="3"/>
        <v>0.26329801299723665</v>
      </c>
      <c r="E302" s="2">
        <f t="shared" ca="1" si="4"/>
        <v>0.73670198700276335</v>
      </c>
    </row>
    <row r="303" spans="1:5">
      <c r="A303" s="2">
        <f t="shared" ca="1" si="0"/>
        <v>0.73715592639344207</v>
      </c>
      <c r="B303" s="2">
        <f t="shared" ca="1" si="1"/>
        <v>0.21777817618479844</v>
      </c>
      <c r="C303" s="2">
        <f t="shared" ca="1" si="2"/>
        <v>0.16053647321377934</v>
      </c>
      <c r="D303" s="2">
        <f t="shared" ca="1" si="3"/>
        <v>0.69731763393110324</v>
      </c>
      <c r="E303" s="2">
        <f t="shared" ca="1" si="4"/>
        <v>0.30268236606889676</v>
      </c>
    </row>
    <row r="304" spans="1:5">
      <c r="A304" s="2">
        <f t="shared" ca="1" si="0"/>
        <v>0.6165194003901423</v>
      </c>
      <c r="B304" s="2">
        <f t="shared" ca="1" si="1"/>
        <v>0.23609848435470837</v>
      </c>
      <c r="C304" s="2">
        <f t="shared" ca="1" si="2"/>
        <v>0.14555929600738621</v>
      </c>
      <c r="D304" s="2">
        <f t="shared" ca="1" si="3"/>
        <v>0.77220351996306891</v>
      </c>
      <c r="E304" s="2">
        <f t="shared" ca="1" si="4"/>
        <v>0.22779648003693109</v>
      </c>
    </row>
    <row r="305" spans="1:5">
      <c r="A305" s="2">
        <f t="shared" ca="1" si="0"/>
        <v>0.75855513355833393</v>
      </c>
      <c r="B305" s="2">
        <f t="shared" ca="1" si="1"/>
        <v>0.2149132449664502</v>
      </c>
      <c r="C305" s="2">
        <f t="shared" ca="1" si="2"/>
        <v>0.16302354523898058</v>
      </c>
      <c r="D305" s="2">
        <f t="shared" ca="1" si="3"/>
        <v>0.68488227380509714</v>
      </c>
      <c r="E305" s="2">
        <f t="shared" ca="1" si="4"/>
        <v>0.31511772619490286</v>
      </c>
    </row>
    <row r="306" spans="1:5">
      <c r="A306" s="2">
        <f t="shared" ca="1" si="0"/>
        <v>1.425024266389336</v>
      </c>
      <c r="B306" s="2">
        <f t="shared" ca="1" si="1"/>
        <v>0.16642655239684437</v>
      </c>
      <c r="C306" s="2">
        <f t="shared" ca="1" si="2"/>
        <v>0.23716187573701955</v>
      </c>
      <c r="D306" s="2">
        <f t="shared" ca="1" si="3"/>
        <v>0.31419062131490227</v>
      </c>
      <c r="E306" s="2">
        <f t="shared" ca="1" si="4"/>
        <v>0.68580937868509773</v>
      </c>
    </row>
    <row r="307" spans="1:5">
      <c r="A307" s="2">
        <f t="shared" ca="1" si="0"/>
        <v>1.0012686572810692</v>
      </c>
      <c r="B307" s="2">
        <f t="shared" ca="1" si="1"/>
        <v>0.18877870523055337</v>
      </c>
      <c r="C307" s="2">
        <f t="shared" ca="1" si="2"/>
        <v>0.18901820070945494</v>
      </c>
      <c r="D307" s="2">
        <f t="shared" ca="1" si="3"/>
        <v>0.55490899645272529</v>
      </c>
      <c r="E307" s="2">
        <f t="shared" ca="1" si="4"/>
        <v>0.44509100354727471</v>
      </c>
    </row>
    <row r="308" spans="1:5">
      <c r="A308" s="2">
        <f t="shared" ca="1" si="0"/>
        <v>1.3717774327448577</v>
      </c>
      <c r="B308" s="2">
        <f t="shared" ca="1" si="1"/>
        <v>0.16721352909829632</v>
      </c>
      <c r="C308" s="2">
        <f t="shared" ca="1" si="2"/>
        <v>0.22937974566666849</v>
      </c>
      <c r="D308" s="2">
        <f t="shared" ca="1" si="3"/>
        <v>0.3531012716666575</v>
      </c>
      <c r="E308" s="2">
        <f t="shared" ca="1" si="4"/>
        <v>0.6468987283333425</v>
      </c>
    </row>
    <row r="309" spans="1:5">
      <c r="A309" s="2">
        <f t="shared" ca="1" si="0"/>
        <v>1.3859893800244456</v>
      </c>
      <c r="B309" s="2">
        <f t="shared" ca="1" si="1"/>
        <v>0.16690597163698495</v>
      </c>
      <c r="C309" s="2">
        <f t="shared" ca="1" si="2"/>
        <v>0.23132990415152249</v>
      </c>
      <c r="D309" s="2">
        <f t="shared" ca="1" si="3"/>
        <v>0.34335047924238749</v>
      </c>
      <c r="E309" s="2">
        <f t="shared" ca="1" si="4"/>
        <v>0.65664952075761251</v>
      </c>
    </row>
    <row r="310" spans="1:5">
      <c r="A310" s="2">
        <f t="shared" ca="1" si="0"/>
        <v>1.4842048581867351</v>
      </c>
      <c r="B310" s="2">
        <f t="shared" ca="1" si="1"/>
        <v>0.16737560429342374</v>
      </c>
      <c r="C310" s="2">
        <f t="shared" ca="1" si="2"/>
        <v>0.24841968503424008</v>
      </c>
      <c r="D310" s="2">
        <f t="shared" ca="1" si="3"/>
        <v>0.25790157482879961</v>
      </c>
      <c r="E310" s="2">
        <f t="shared" ca="1" si="4"/>
        <v>0.74209842517120039</v>
      </c>
    </row>
    <row r="311" spans="1:5">
      <c r="A311" s="2">
        <f t="shared" ca="1" si="0"/>
        <v>0.57120060224805946</v>
      </c>
      <c r="B311" s="2">
        <f t="shared" ca="1" si="1"/>
        <v>0.24407780403716475</v>
      </c>
      <c r="C311" s="2">
        <f t="shared" ca="1" si="2"/>
        <v>0.13941738866141234</v>
      </c>
      <c r="D311" s="2">
        <f t="shared" ca="1" si="3"/>
        <v>0.80291305669293822</v>
      </c>
      <c r="E311" s="2">
        <f t="shared" ca="1" si="4"/>
        <v>0.19708694330706178</v>
      </c>
    </row>
    <row r="312" spans="1:5">
      <c r="A312" s="2">
        <f t="shared" ca="1" si="0"/>
        <v>1.535208485402372</v>
      </c>
      <c r="B312" s="2">
        <f t="shared" ca="1" si="1"/>
        <v>0.18158697254049491</v>
      </c>
      <c r="C312" s="2">
        <f t="shared" ca="1" si="2"/>
        <v>0.27877386108269531</v>
      </c>
      <c r="D312" s="2">
        <f t="shared" ca="1" si="3"/>
        <v>0.10613069458652358</v>
      </c>
      <c r="E312" s="2">
        <f t="shared" ca="1" si="4"/>
        <v>0.89386930541347642</v>
      </c>
    </row>
    <row r="313" spans="1:5">
      <c r="A313" s="2">
        <f t="shared" ca="1" si="0"/>
        <v>1.336653928634737</v>
      </c>
      <c r="B313" s="2">
        <f t="shared" ca="1" si="1"/>
        <v>0.1682118841144461</v>
      </c>
      <c r="C313" s="2">
        <f t="shared" ca="1" si="2"/>
        <v>0.22484107574462547</v>
      </c>
      <c r="D313" s="2">
        <f t="shared" ca="1" si="3"/>
        <v>0.37579462127687258</v>
      </c>
      <c r="E313" s="2">
        <f t="shared" ca="1" si="4"/>
        <v>0.62420537872312742</v>
      </c>
    </row>
    <row r="314" spans="1:5">
      <c r="A314" s="2">
        <f t="shared" ca="1" si="0"/>
        <v>1.5148030226832065</v>
      </c>
      <c r="B314" s="2">
        <f t="shared" ca="1" si="1"/>
        <v>0.19377733111517956</v>
      </c>
      <c r="C314" s="2">
        <f t="shared" ca="1" si="2"/>
        <v>0.29353448690075856</v>
      </c>
      <c r="D314" s="2">
        <f t="shared" ca="1" si="3"/>
        <v>3.2327565496207189E-2</v>
      </c>
      <c r="E314" s="2">
        <f t="shared" ca="1" si="4"/>
        <v>0.96767243450379281</v>
      </c>
    </row>
    <row r="315" spans="1:5">
      <c r="A315" s="2">
        <f t="shared" ca="1" si="0"/>
        <v>0.66087129177118686</v>
      </c>
      <c r="B315" s="2">
        <f t="shared" ca="1" si="1"/>
        <v>0.22890340382717309</v>
      </c>
      <c r="C315" s="2">
        <f t="shared" ca="1" si="2"/>
        <v>0.15127568817808551</v>
      </c>
      <c r="D315" s="2">
        <f t="shared" ca="1" si="3"/>
        <v>0.74362155910957239</v>
      </c>
      <c r="E315" s="2">
        <f t="shared" ca="1" si="4"/>
        <v>0.25637844089042761</v>
      </c>
    </row>
    <row r="316" spans="1:5">
      <c r="A316" s="2">
        <f t="shared" ca="1" si="0"/>
        <v>0.63103978141115757</v>
      </c>
      <c r="B316" s="2">
        <f t="shared" ca="1" si="1"/>
        <v>0.23367918074526808</v>
      </c>
      <c r="C316" s="2">
        <f t="shared" ca="1" si="2"/>
        <v>0.14746085913783236</v>
      </c>
      <c r="D316" s="2">
        <f t="shared" ca="1" si="3"/>
        <v>0.76269570431083822</v>
      </c>
      <c r="E316" s="2">
        <f t="shared" ca="1" si="4"/>
        <v>0.23730429568916178</v>
      </c>
    </row>
    <row r="317" spans="1:5">
      <c r="A317" s="2">
        <f t="shared" ca="1" si="0"/>
        <v>1.5359402523635743</v>
      </c>
      <c r="B317" s="2">
        <f t="shared" ca="1" si="1"/>
        <v>0.18055268187344881</v>
      </c>
      <c r="C317" s="2">
        <f t="shared" ca="1" si="2"/>
        <v>0.27731813176162512</v>
      </c>
      <c r="D317" s="2">
        <f t="shared" ca="1" si="3"/>
        <v>0.11340934119187418</v>
      </c>
      <c r="E317" s="2">
        <f t="shared" ca="1" si="4"/>
        <v>0.88659065880812582</v>
      </c>
    </row>
    <row r="318" spans="1:5">
      <c r="A318" s="2">
        <f t="shared" ca="1" si="0"/>
        <v>0.50978975854286379</v>
      </c>
      <c r="B318" s="2">
        <f t="shared" ca="1" si="1"/>
        <v>0.25603791644172519</v>
      </c>
      <c r="C318" s="2">
        <f t="shared" ca="1" si="2"/>
        <v>0.13052550760064502</v>
      </c>
      <c r="D318" s="2">
        <f t="shared" ca="1" si="3"/>
        <v>0.84737246199677496</v>
      </c>
      <c r="E318" s="2">
        <f t="shared" ca="1" si="4"/>
        <v>0.15262753800322504</v>
      </c>
    </row>
    <row r="319" spans="1:5">
      <c r="A319" s="2">
        <f t="shared" ca="1" si="0"/>
        <v>1.1760338928396474</v>
      </c>
      <c r="B319" s="2">
        <f t="shared" ca="1" si="1"/>
        <v>0.1758936595011398</v>
      </c>
      <c r="C319" s="2">
        <f t="shared" ca="1" si="2"/>
        <v>0.20685690510893689</v>
      </c>
      <c r="D319" s="2">
        <f t="shared" ca="1" si="3"/>
        <v>0.46571547445531547</v>
      </c>
      <c r="E319" s="2">
        <f t="shared" ca="1" si="4"/>
        <v>0.53428452554468453</v>
      </c>
    </row>
    <row r="320" spans="1:5">
      <c r="A320" s="2">
        <f t="shared" ca="1" si="0"/>
        <v>0.79667946010843405</v>
      </c>
      <c r="B320" s="2">
        <f t="shared" ca="1" si="1"/>
        <v>0.21006208564725828</v>
      </c>
      <c r="C320" s="2">
        <f t="shared" ca="1" si="2"/>
        <v>0.16735214898270936</v>
      </c>
      <c r="D320" s="2">
        <f t="shared" ca="1" si="3"/>
        <v>0.66323925508645321</v>
      </c>
      <c r="E320" s="2">
        <f t="shared" ca="1" si="4"/>
        <v>0.33676074491354679</v>
      </c>
    </row>
    <row r="321" spans="1:5">
      <c r="A321" s="2">
        <f t="shared" ca="1" si="0"/>
        <v>1.2172125119329797</v>
      </c>
      <c r="B321" s="2">
        <f t="shared" ca="1" si="1"/>
        <v>0.17351394183606669</v>
      </c>
      <c r="C321" s="2">
        <f t="shared" ca="1" si="2"/>
        <v>0.21120334099767168</v>
      </c>
      <c r="D321" s="2">
        <f t="shared" ca="1" si="3"/>
        <v>0.44398329501164158</v>
      </c>
      <c r="E321" s="2">
        <f t="shared" ca="1" si="4"/>
        <v>0.55601670498835842</v>
      </c>
    </row>
    <row r="322" spans="1:5">
      <c r="A322" s="2">
        <f t="shared" ca="1" si="0"/>
        <v>0.66791840907014888</v>
      </c>
      <c r="B322" s="2">
        <f t="shared" ca="1" si="1"/>
        <v>0.22781194219038806</v>
      </c>
      <c r="C322" s="2">
        <f t="shared" ca="1" si="2"/>
        <v>0.15215978999498472</v>
      </c>
      <c r="D322" s="2">
        <f t="shared" ca="1" si="3"/>
        <v>0.73920105002507641</v>
      </c>
      <c r="E322" s="2">
        <f t="shared" ca="1" si="4"/>
        <v>0.26079894997492359</v>
      </c>
    </row>
    <row r="323" spans="1:5">
      <c r="A323" s="2">
        <f t="shared" ca="1" si="0"/>
        <v>0.62808979570061407</v>
      </c>
      <c r="B323" s="2">
        <f t="shared" ca="1" si="1"/>
        <v>0.23416554101684531</v>
      </c>
      <c r="C323" s="2">
        <f t="shared" ca="1" si="2"/>
        <v>0.14707698681739415</v>
      </c>
      <c r="D323" s="2">
        <f t="shared" ca="1" si="3"/>
        <v>0.7646150659130293</v>
      </c>
      <c r="E323" s="2">
        <f t="shared" ca="1" si="4"/>
        <v>0.2353849340869707</v>
      </c>
    </row>
    <row r="324" spans="1:5">
      <c r="A324" s="2">
        <f t="shared" ca="1" si="0"/>
        <v>1.2216534686772866</v>
      </c>
      <c r="B324" s="2">
        <f t="shared" ca="1" si="1"/>
        <v>0.17327285087951386</v>
      </c>
      <c r="C324" s="2">
        <f t="shared" ca="1" si="2"/>
        <v>0.21167937930456032</v>
      </c>
      <c r="D324" s="2">
        <f t="shared" ca="1" si="3"/>
        <v>0.44160310347719844</v>
      </c>
      <c r="E324" s="2">
        <f t="shared" ca="1" si="4"/>
        <v>0.55839689652280156</v>
      </c>
    </row>
    <row r="325" spans="1:5">
      <c r="A325" s="2">
        <f t="shared" ca="1" si="0"/>
        <v>0.65445339772593314</v>
      </c>
      <c r="B325" s="2">
        <f t="shared" ca="1" si="1"/>
        <v>0.2299094028617317</v>
      </c>
      <c r="C325" s="2">
        <f t="shared" ca="1" si="2"/>
        <v>0.15046498987200069</v>
      </c>
      <c r="D325" s="2">
        <f t="shared" ca="1" si="3"/>
        <v>0.74767505063999651</v>
      </c>
      <c r="E325" s="2">
        <f t="shared" ca="1" si="4"/>
        <v>0.25232494936000349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668"/>
  <sheetViews>
    <sheetView workbookViewId="0"/>
  </sheetViews>
  <sheetFormatPr defaultColWidth="14.42578125" defaultRowHeight="15.75" customHeight="1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12</v>
      </c>
      <c r="I1" s="1" t="s">
        <v>5</v>
      </c>
      <c r="J1" s="1">
        <v>0.01</v>
      </c>
      <c r="K1" s="1">
        <v>0.2</v>
      </c>
    </row>
    <row r="2" spans="1:14">
      <c r="A2" s="2">
        <f t="shared" ref="A2:A668" ca="1" si="0">C2/B2</f>
        <v>0.98395475446712255</v>
      </c>
      <c r="B2" s="2">
        <f t="shared" ref="B2:B668" ca="1" si="1">SQRT(G2^2*$J$2+H2^2*$K$3)</f>
        <v>0.10297223219198585</v>
      </c>
      <c r="C2" s="2">
        <f t="shared" ref="C2:C668" ca="1" si="2">G2*$J$1+H2*$K$1</f>
        <v>0.10132001744339697</v>
      </c>
      <c r="D2" s="2">
        <f t="shared" ref="D2:D668" ca="1" si="3">RAND()</f>
        <v>0.38605251681975683</v>
      </c>
      <c r="E2" s="2">
        <f t="shared" ref="E2:E668" ca="1" si="4">1-D2</f>
        <v>0.61394748318024317</v>
      </c>
      <c r="F2" s="1">
        <v>0.2</v>
      </c>
      <c r="G2" s="1">
        <f t="shared" ref="G2:G668" ca="1" si="5">(1-F2)*D2</f>
        <v>0.30884201345580548</v>
      </c>
      <c r="H2" s="1">
        <f t="shared" ref="H2:H668" ca="1" si="6">(1-F2)*E2</f>
        <v>0.49115798654419457</v>
      </c>
      <c r="I2" s="1" t="s">
        <v>6</v>
      </c>
      <c r="J2" s="1">
        <v>0.01</v>
      </c>
      <c r="K2" s="1">
        <v>0</v>
      </c>
    </row>
    <row r="3" spans="1:14">
      <c r="A3" s="2">
        <f t="shared" ca="1" si="0"/>
        <v>0.67955398746164075</v>
      </c>
      <c r="B3" s="2">
        <f t="shared" ca="1" si="1"/>
        <v>7.2719319158992018E-2</v>
      </c>
      <c r="C3" s="2">
        <f t="shared" ca="1" si="2"/>
        <v>4.9416703299988714E-2</v>
      </c>
      <c r="D3" s="2">
        <f t="shared" ca="1" si="3"/>
        <v>0.72752168881586377</v>
      </c>
      <c r="E3" s="2">
        <f t="shared" ca="1" si="4"/>
        <v>0.27247831118413623</v>
      </c>
      <c r="F3" s="1">
        <v>0.2</v>
      </c>
      <c r="G3" s="1">
        <f t="shared" ca="1" si="5"/>
        <v>0.58201735105269103</v>
      </c>
      <c r="H3" s="1">
        <f t="shared" ca="1" si="6"/>
        <v>0.21798264894730901</v>
      </c>
      <c r="J3" s="1">
        <v>0</v>
      </c>
      <c r="K3" s="1">
        <v>0.04</v>
      </c>
    </row>
    <row r="4" spans="1:14">
      <c r="A4" s="2">
        <f t="shared" ca="1" si="0"/>
        <v>1.0047411438080891</v>
      </c>
      <c r="B4" s="2">
        <f t="shared" ca="1" si="1"/>
        <v>0.13890237259426991</v>
      </c>
      <c r="C4" s="2">
        <f t="shared" ca="1" si="2"/>
        <v>0.13956092871802411</v>
      </c>
      <c r="D4" s="2">
        <f t="shared" ca="1" si="3"/>
        <v>0.13446757422352573</v>
      </c>
      <c r="E4" s="2">
        <f t="shared" ca="1" si="4"/>
        <v>0.86553242577647427</v>
      </c>
      <c r="F4" s="1">
        <v>0.2</v>
      </c>
      <c r="G4" s="1">
        <f t="shared" ca="1" si="5"/>
        <v>0.10757405937882059</v>
      </c>
      <c r="H4" s="1">
        <f t="shared" ca="1" si="6"/>
        <v>0.69242594062117946</v>
      </c>
      <c r="J4" s="2" t="s">
        <v>1</v>
      </c>
      <c r="K4" s="2" t="s">
        <v>2</v>
      </c>
      <c r="L4" s="2" t="s">
        <v>0</v>
      </c>
      <c r="M4" s="2" t="s">
        <v>3</v>
      </c>
      <c r="N4" s="2" t="s">
        <v>4</v>
      </c>
    </row>
    <row r="5" spans="1:14">
      <c r="A5" s="2">
        <f t="shared" ca="1" si="0"/>
        <v>0.95814542932248825</v>
      </c>
      <c r="B5" s="2">
        <f t="shared" ca="1" si="1"/>
        <v>9.3630169884980935E-2</v>
      </c>
      <c r="C5" s="2">
        <f t="shared" ca="1" si="2"/>
        <v>8.9711319321982563E-2</v>
      </c>
      <c r="D5" s="2">
        <f t="shared" ca="1" si="3"/>
        <v>0.46242553077643056</v>
      </c>
      <c r="E5" s="2">
        <f t="shared" ca="1" si="4"/>
        <v>0.53757446922356944</v>
      </c>
      <c r="F5" s="1">
        <v>0.2</v>
      </c>
      <c r="G5" s="1">
        <f t="shared" ca="1" si="5"/>
        <v>0.36994042462114446</v>
      </c>
      <c r="H5" s="1">
        <f t="shared" ca="1" si="6"/>
        <v>0.43005957537885559</v>
      </c>
      <c r="I5" s="2" t="s">
        <v>8</v>
      </c>
      <c r="J5" s="2">
        <f ca="1">MIN(B2:B325)</f>
        <v>7.1554259564364953E-2</v>
      </c>
      <c r="K5" s="2">
        <f ca="1">VLOOKUP(J5,B:C,2,FALSE)</f>
        <v>3.8306679997548602E-2</v>
      </c>
      <c r="L5" s="2">
        <f ca="1">K5/J5</f>
        <v>0.53535149732198306</v>
      </c>
      <c r="M5" s="2">
        <f ca="1">VLOOKUP(J5,B:E,3,FALSE)</f>
        <v>0.80061394738454872</v>
      </c>
      <c r="N5" s="2">
        <f ca="1">VLOOKUP(J5,B:E,4,FALSE)</f>
        <v>0.19938605261545128</v>
      </c>
    </row>
    <row r="6" spans="1:14">
      <c r="A6" s="2">
        <f t="shared" ca="1" si="0"/>
        <v>1.0026412495142765</v>
      </c>
      <c r="B6" s="2">
        <f t="shared" ca="1" si="1"/>
        <v>0.15063858736610436</v>
      </c>
      <c r="C6" s="2">
        <f t="shared" ca="1" si="2"/>
        <v>0.15103646146181637</v>
      </c>
      <c r="D6" s="2">
        <f t="shared" ca="1" si="3"/>
        <v>5.8970648277524074E-2</v>
      </c>
      <c r="E6" s="2">
        <f t="shared" ca="1" si="4"/>
        <v>0.94102935172247593</v>
      </c>
      <c r="F6" s="1">
        <v>0.2</v>
      </c>
      <c r="G6" s="1">
        <f t="shared" ca="1" si="5"/>
        <v>4.7176518622019263E-2</v>
      </c>
      <c r="H6" s="1">
        <f t="shared" ca="1" si="6"/>
        <v>0.75282348137798083</v>
      </c>
      <c r="I6" s="2" t="s">
        <v>9</v>
      </c>
      <c r="J6" s="2">
        <f ca="1">VLOOKUP(L6,A:C,2,FALSE)</f>
        <v>0.13390810877837384</v>
      </c>
      <c r="K6" s="2">
        <f ca="1">VLOOKUP(L6,A:C,3,FALSE)</f>
        <v>0.13457597159761778</v>
      </c>
      <c r="L6" s="2">
        <f ca="1">MAX(A2:A325)</f>
        <v>1.0049874710750288</v>
      </c>
      <c r="M6" s="2">
        <f ca="1">VLOOKUP(L6,A:E,4,FALSE)</f>
        <v>0.1672633447525147</v>
      </c>
      <c r="N6" s="2">
        <f ca="1">VLOOKUP(L6,A:E,5,FALSE)</f>
        <v>0.8327366552474853</v>
      </c>
    </row>
    <row r="7" spans="1:14">
      <c r="A7" s="2">
        <f t="shared" ca="1" si="0"/>
        <v>1.0006180194945449</v>
      </c>
      <c r="B7" s="2">
        <f t="shared" ca="1" si="1"/>
        <v>0.15798606203571153</v>
      </c>
      <c r="C7" s="2">
        <f t="shared" ca="1" si="2"/>
        <v>0.15808370050191597</v>
      </c>
      <c r="D7" s="2">
        <f t="shared" ca="1" si="3"/>
        <v>1.2607233540026463E-2</v>
      </c>
      <c r="E7" s="2">
        <f t="shared" ca="1" si="4"/>
        <v>0.98739276645997354</v>
      </c>
      <c r="F7" s="1">
        <v>0.2</v>
      </c>
      <c r="G7" s="1">
        <f t="shared" ca="1" si="5"/>
        <v>1.0085786832021172E-2</v>
      </c>
      <c r="H7" s="1">
        <f t="shared" ca="1" si="6"/>
        <v>0.78991421316797883</v>
      </c>
    </row>
    <row r="8" spans="1:14">
      <c r="A8" s="2">
        <f t="shared" ca="1" si="0"/>
        <v>0.13400504732608734</v>
      </c>
      <c r="B8" s="2">
        <f t="shared" ca="1" si="1"/>
        <v>7.8705203046140329E-2</v>
      </c>
      <c r="C8" s="2">
        <f t="shared" ca="1" si="2"/>
        <v>1.0546894459007349E-2</v>
      </c>
      <c r="D8" s="2">
        <f t="shared" ca="1" si="3"/>
        <v>0.98324411540126744</v>
      </c>
      <c r="E8" s="2">
        <f t="shared" ca="1" si="4"/>
        <v>1.6755884598732562E-2</v>
      </c>
      <c r="F8" s="1">
        <v>0.2</v>
      </c>
      <c r="G8" s="1">
        <f t="shared" ca="1" si="5"/>
        <v>0.78659529232101399</v>
      </c>
      <c r="H8" s="1">
        <f t="shared" ca="1" si="6"/>
        <v>1.340470767898605E-2</v>
      </c>
    </row>
    <row r="9" spans="1:14">
      <c r="A9" s="2">
        <f t="shared" ca="1" si="0"/>
        <v>1.0049872597087703</v>
      </c>
      <c r="B9" s="2">
        <f t="shared" ca="1" si="1"/>
        <v>0.13383399517889588</v>
      </c>
      <c r="C9" s="2">
        <f t="shared" ca="1" si="2"/>
        <v>0.13450146007071537</v>
      </c>
      <c r="D9" s="2">
        <f t="shared" ca="1" si="3"/>
        <v>0.16775355216634646</v>
      </c>
      <c r="E9" s="2">
        <f t="shared" ca="1" si="4"/>
        <v>0.83224644783365354</v>
      </c>
      <c r="F9" s="1">
        <v>0.2</v>
      </c>
      <c r="G9" s="1">
        <f t="shared" ca="1" si="5"/>
        <v>0.13420284173307717</v>
      </c>
      <c r="H9" s="1">
        <f t="shared" ca="1" si="6"/>
        <v>0.66579715826692287</v>
      </c>
    </row>
    <row r="10" spans="1:14">
      <c r="A10" s="2">
        <f t="shared" ca="1" si="0"/>
        <v>0.78729237545950881</v>
      </c>
      <c r="B10" s="2">
        <f t="shared" ca="1" si="1"/>
        <v>7.5813014689201569E-2</v>
      </c>
      <c r="C10" s="2">
        <f t="shared" ca="1" si="2"/>
        <v>5.9687008425408139E-2</v>
      </c>
      <c r="D10" s="2">
        <f t="shared" ca="1" si="3"/>
        <v>0.65995389193810439</v>
      </c>
      <c r="E10" s="2">
        <f t="shared" ca="1" si="4"/>
        <v>0.34004610806189561</v>
      </c>
      <c r="F10" s="1">
        <v>0.2</v>
      </c>
      <c r="G10" s="1">
        <f t="shared" ca="1" si="5"/>
        <v>0.52796311355048353</v>
      </c>
      <c r="H10" s="1">
        <f t="shared" ca="1" si="6"/>
        <v>0.27203688644951651</v>
      </c>
    </row>
    <row r="11" spans="1:14">
      <c r="A11" s="2">
        <f t="shared" ca="1" si="0"/>
        <v>0.90161840331884235</v>
      </c>
      <c r="B11" s="2">
        <f t="shared" ca="1" si="1"/>
        <v>8.3929244793884375E-2</v>
      </c>
      <c r="C11" s="2">
        <f t="shared" ca="1" si="2"/>
        <v>7.5672151682818295E-2</v>
      </c>
      <c r="D11" s="2">
        <f t="shared" ca="1" si="3"/>
        <v>0.55478847577093227</v>
      </c>
      <c r="E11" s="2">
        <f t="shared" ca="1" si="4"/>
        <v>0.44521152422906773</v>
      </c>
      <c r="F11" s="1">
        <v>0.2</v>
      </c>
      <c r="G11" s="1">
        <f t="shared" ca="1" si="5"/>
        <v>0.44383078061674586</v>
      </c>
      <c r="H11" s="1">
        <f t="shared" ca="1" si="6"/>
        <v>0.35616921938325419</v>
      </c>
    </row>
    <row r="12" spans="1:14">
      <c r="A12" s="2">
        <f t="shared" ca="1" si="0"/>
        <v>0.9344908555785385</v>
      </c>
      <c r="B12" s="2">
        <f t="shared" ca="1" si="1"/>
        <v>8.8599197381073497E-2</v>
      </c>
      <c r="C12" s="2">
        <f t="shared" ca="1" si="2"/>
        <v>8.2795139764211184E-2</v>
      </c>
      <c r="D12" s="2">
        <f t="shared" ca="1" si="3"/>
        <v>0.50792671207755813</v>
      </c>
      <c r="E12" s="2">
        <f t="shared" ca="1" si="4"/>
        <v>0.49207328792244187</v>
      </c>
      <c r="F12" s="1">
        <v>0.2</v>
      </c>
      <c r="G12" s="1">
        <f t="shared" ca="1" si="5"/>
        <v>0.40634136966204654</v>
      </c>
      <c r="H12" s="1">
        <f t="shared" ca="1" si="6"/>
        <v>0.39365863033795351</v>
      </c>
    </row>
    <row r="13" spans="1:14">
      <c r="A13" s="2">
        <f t="shared" ca="1" si="0"/>
        <v>1.002951544319286</v>
      </c>
      <c r="B13" s="2">
        <f t="shared" ca="1" si="1"/>
        <v>0.14934508667339605</v>
      </c>
      <c r="C13" s="2">
        <f t="shared" ca="1" si="2"/>
        <v>0.14978588531558018</v>
      </c>
      <c r="D13" s="2">
        <f t="shared" ca="1" si="3"/>
        <v>6.7198122923814774E-2</v>
      </c>
      <c r="E13" s="2">
        <f t="shared" ca="1" si="4"/>
        <v>0.93280187707618523</v>
      </c>
      <c r="F13" s="1">
        <v>0.2</v>
      </c>
      <c r="G13" s="1">
        <f t="shared" ca="1" si="5"/>
        <v>5.3758498339051823E-2</v>
      </c>
      <c r="H13" s="1">
        <f t="shared" ca="1" si="6"/>
        <v>0.74624150166094827</v>
      </c>
    </row>
    <row r="14" spans="1:14">
      <c r="A14" s="2">
        <f t="shared" ca="1" si="0"/>
        <v>0.98873656844090418</v>
      </c>
      <c r="B14" s="2">
        <f t="shared" ca="1" si="1"/>
        <v>0.10572568208166869</v>
      </c>
      <c r="C14" s="2">
        <f t="shared" ca="1" si="2"/>
        <v>0.10453484809750309</v>
      </c>
      <c r="D14" s="2">
        <f t="shared" ca="1" si="3"/>
        <v>0.3649023151480062</v>
      </c>
      <c r="E14" s="2">
        <f t="shared" ca="1" si="4"/>
        <v>0.6350976848519938</v>
      </c>
      <c r="F14" s="1">
        <v>0.2</v>
      </c>
      <c r="G14" s="1">
        <f t="shared" ca="1" si="5"/>
        <v>0.29192185211840499</v>
      </c>
      <c r="H14" s="1">
        <f t="shared" ca="1" si="6"/>
        <v>0.50807814788159511</v>
      </c>
    </row>
    <row r="15" spans="1:14">
      <c r="A15" s="2">
        <f t="shared" ca="1" si="0"/>
        <v>0.7606275630826046</v>
      </c>
      <c r="B15" s="2">
        <f t="shared" ca="1" si="1"/>
        <v>7.4788531806571912E-2</v>
      </c>
      <c r="C15" s="2">
        <f t="shared" ca="1" si="2"/>
        <v>5.6886218694558656E-2</v>
      </c>
      <c r="D15" s="2">
        <f t="shared" ca="1" si="3"/>
        <v>0.67838014016737724</v>
      </c>
      <c r="E15" s="2">
        <f t="shared" ca="1" si="4"/>
        <v>0.32161985983262276</v>
      </c>
      <c r="F15" s="1">
        <v>0.2</v>
      </c>
      <c r="G15" s="1">
        <f t="shared" ca="1" si="5"/>
        <v>0.54270411213390179</v>
      </c>
      <c r="H15" s="1">
        <f t="shared" ca="1" si="6"/>
        <v>0.25729588786609819</v>
      </c>
    </row>
    <row r="16" spans="1:14">
      <c r="A16" s="2">
        <f t="shared" ca="1" si="0"/>
        <v>0.54544799791168741</v>
      </c>
      <c r="B16" s="2">
        <f t="shared" ca="1" si="1"/>
        <v>7.1558030942999146E-2</v>
      </c>
      <c r="C16" s="2">
        <f t="shared" ca="1" si="2"/>
        <v>3.9031184712361458E-2</v>
      </c>
      <c r="D16" s="2">
        <f t="shared" ca="1" si="3"/>
        <v>0.79584746899762204</v>
      </c>
      <c r="E16" s="2">
        <f t="shared" ca="1" si="4"/>
        <v>0.20415253100237796</v>
      </c>
      <c r="F16" s="1">
        <v>0.2</v>
      </c>
      <c r="G16" s="1">
        <f t="shared" ca="1" si="5"/>
        <v>0.63667797519809766</v>
      </c>
      <c r="H16" s="1">
        <f t="shared" ca="1" si="6"/>
        <v>0.16332202480190239</v>
      </c>
    </row>
    <row r="17" spans="1:8">
      <c r="A17" s="2">
        <f t="shared" ca="1" si="0"/>
        <v>0.26213541450300321</v>
      </c>
      <c r="B17" s="2">
        <f t="shared" ca="1" si="1"/>
        <v>7.4886249895501439E-2</v>
      </c>
      <c r="C17" s="2">
        <f t="shared" ca="1" si="2"/>
        <v>1.9630338156932752E-2</v>
      </c>
      <c r="D17" s="2">
        <f t="shared" ca="1" si="3"/>
        <v>0.92348461738860033</v>
      </c>
      <c r="E17" s="2">
        <f t="shared" ca="1" si="4"/>
        <v>7.6515382611399674E-2</v>
      </c>
      <c r="F17" s="1">
        <v>0.2</v>
      </c>
      <c r="G17" s="1">
        <f t="shared" ca="1" si="5"/>
        <v>0.73878769391088028</v>
      </c>
      <c r="H17" s="1">
        <f t="shared" ca="1" si="6"/>
        <v>6.121230608911974E-2</v>
      </c>
    </row>
    <row r="18" spans="1:8">
      <c r="A18" s="2">
        <f t="shared" ca="1" si="0"/>
        <v>0.70745857278983437</v>
      </c>
      <c r="B18" s="2">
        <f t="shared" ca="1" si="1"/>
        <v>7.3282679451909097E-2</v>
      </c>
      <c r="C18" s="2">
        <f t="shared" ca="1" si="2"/>
        <v>5.1844459815262534E-2</v>
      </c>
      <c r="D18" s="2">
        <f t="shared" ca="1" si="3"/>
        <v>0.71154960647853605</v>
      </c>
      <c r="E18" s="2">
        <f t="shared" ca="1" si="4"/>
        <v>0.28845039352146395</v>
      </c>
      <c r="F18" s="1">
        <v>0.2</v>
      </c>
      <c r="G18" s="1">
        <f t="shared" ca="1" si="5"/>
        <v>0.56923968518282886</v>
      </c>
      <c r="H18" s="1">
        <f t="shared" ca="1" si="6"/>
        <v>0.23076031481717119</v>
      </c>
    </row>
    <row r="19" spans="1:8">
      <c r="A19" s="2">
        <f t="shared" ca="1" si="0"/>
        <v>1.0047113996631249</v>
      </c>
      <c r="B19" s="2">
        <f t="shared" ca="1" si="1"/>
        <v>0.12923710896037796</v>
      </c>
      <c r="C19" s="2">
        <f t="shared" ca="1" si="2"/>
        <v>0.12984599663199714</v>
      </c>
      <c r="D19" s="2">
        <f t="shared" ca="1" si="3"/>
        <v>0.19838160110528202</v>
      </c>
      <c r="E19" s="2">
        <f t="shared" ca="1" si="4"/>
        <v>0.80161839889471798</v>
      </c>
      <c r="F19" s="1">
        <v>0.2</v>
      </c>
      <c r="G19" s="1">
        <f t="shared" ca="1" si="5"/>
        <v>0.15870528088422564</v>
      </c>
      <c r="H19" s="1">
        <f t="shared" ca="1" si="6"/>
        <v>0.6412947191157744</v>
      </c>
    </row>
    <row r="20" spans="1:8">
      <c r="A20" s="2">
        <f t="shared" ca="1" si="0"/>
        <v>1.001733353251862</v>
      </c>
      <c r="B20" s="2">
        <f t="shared" ca="1" si="1"/>
        <v>0.15411896711120823</v>
      </c>
      <c r="C20" s="2">
        <f t="shared" ca="1" si="2"/>
        <v>0.15438610972402406</v>
      </c>
      <c r="D20" s="2">
        <f t="shared" ca="1" si="3"/>
        <v>3.6933488657736602E-2</v>
      </c>
      <c r="E20" s="2">
        <f t="shared" ca="1" si="4"/>
        <v>0.9630665113422634</v>
      </c>
      <c r="F20" s="1">
        <v>0.2</v>
      </c>
      <c r="G20" s="1">
        <f t="shared" ca="1" si="5"/>
        <v>2.9546790926189281E-2</v>
      </c>
      <c r="H20" s="1">
        <f t="shared" ca="1" si="6"/>
        <v>0.77045320907381076</v>
      </c>
    </row>
    <row r="21" spans="1:8">
      <c r="A21" s="2">
        <f t="shared" ca="1" si="0"/>
        <v>0.13310320053981328</v>
      </c>
      <c r="B21" s="2">
        <f t="shared" ca="1" si="1"/>
        <v>7.8737893724508429E-2</v>
      </c>
      <c r="C21" s="2">
        <f t="shared" ca="1" si="2"/>
        <v>1.0480265658495752E-2</v>
      </c>
      <c r="D21" s="2">
        <f t="shared" ca="1" si="3"/>
        <v>0.98368246277305427</v>
      </c>
      <c r="E21" s="2">
        <f t="shared" ca="1" si="4"/>
        <v>1.6317537226945733E-2</v>
      </c>
      <c r="F21" s="1">
        <v>0.2</v>
      </c>
      <c r="G21" s="1">
        <f t="shared" ca="1" si="5"/>
        <v>0.78694597021844348</v>
      </c>
      <c r="H21" s="1">
        <f t="shared" ca="1" si="6"/>
        <v>1.3054029781556587E-2</v>
      </c>
    </row>
    <row r="22" spans="1:8">
      <c r="A22" s="2">
        <f t="shared" ca="1" si="0"/>
        <v>1.0016581438952523</v>
      </c>
      <c r="B22" s="2">
        <f t="shared" ca="1" si="1"/>
        <v>0.15439158428092647</v>
      </c>
      <c r="C22" s="2">
        <f t="shared" ca="1" si="2"/>
        <v>0.15464758774388024</v>
      </c>
      <c r="D22" s="2">
        <f t="shared" ca="1" si="3"/>
        <v>3.5213238527103785E-2</v>
      </c>
      <c r="E22" s="2">
        <f t="shared" ca="1" si="4"/>
        <v>0.96478676147289621</v>
      </c>
      <c r="F22" s="1">
        <v>0.2</v>
      </c>
      <c r="G22" s="1">
        <f t="shared" ca="1" si="5"/>
        <v>2.8170590821683029E-2</v>
      </c>
      <c r="H22" s="1">
        <f t="shared" ca="1" si="6"/>
        <v>0.77182940917831699</v>
      </c>
    </row>
    <row r="23" spans="1:8">
      <c r="A23" s="2">
        <f t="shared" ca="1" si="0"/>
        <v>0.35773697368332308</v>
      </c>
      <c r="B23" s="2">
        <f t="shared" ca="1" si="1"/>
        <v>7.3000246595505525E-2</v>
      </c>
      <c r="C23" s="2">
        <f t="shared" ca="1" si="2"/>
        <v>2.6114887295212455E-2</v>
      </c>
      <c r="D23" s="2">
        <f t="shared" ca="1" si="3"/>
        <v>0.88082310989991808</v>
      </c>
      <c r="E23" s="2">
        <f t="shared" ca="1" si="4"/>
        <v>0.11917689010008192</v>
      </c>
      <c r="F23" s="1">
        <v>0.2</v>
      </c>
      <c r="G23" s="1">
        <f t="shared" ca="1" si="5"/>
        <v>0.70465848791993446</v>
      </c>
      <c r="H23" s="1">
        <f t="shared" ca="1" si="6"/>
        <v>9.5341512080065541E-2</v>
      </c>
    </row>
    <row r="24" spans="1:8">
      <c r="A24" s="2">
        <f t="shared" ca="1" si="0"/>
        <v>0.7107636607241743</v>
      </c>
      <c r="B24" s="2">
        <f t="shared" ca="1" si="1"/>
        <v>7.3358753298490578E-2</v>
      </c>
      <c r="C24" s="2">
        <f t="shared" ca="1" si="2"/>
        <v>5.2140736040596762E-2</v>
      </c>
      <c r="D24" s="2">
        <f t="shared" ca="1" si="3"/>
        <v>0.70960042078554764</v>
      </c>
      <c r="E24" s="2">
        <f t="shared" ca="1" si="4"/>
        <v>0.29039957921445236</v>
      </c>
      <c r="F24" s="1">
        <v>0.2</v>
      </c>
      <c r="G24" s="1">
        <f t="shared" ca="1" si="5"/>
        <v>0.56768033662843809</v>
      </c>
      <c r="H24" s="1">
        <f t="shared" ca="1" si="6"/>
        <v>0.2323196633715619</v>
      </c>
    </row>
    <row r="25" spans="1:8">
      <c r="A25" s="2">
        <f t="shared" ca="1" si="0"/>
        <v>0.99798398094189711</v>
      </c>
      <c r="B25" s="2">
        <f t="shared" ca="1" si="1"/>
        <v>0.11359352504374097</v>
      </c>
      <c r="C25" s="2">
        <f t="shared" ca="1" si="2"/>
        <v>0.11336451833237569</v>
      </c>
      <c r="D25" s="2">
        <f t="shared" ca="1" si="3"/>
        <v>0.30681237939226524</v>
      </c>
      <c r="E25" s="2">
        <f t="shared" ca="1" si="4"/>
        <v>0.69318762060773476</v>
      </c>
      <c r="F25" s="1">
        <v>0.2</v>
      </c>
      <c r="G25" s="1">
        <f t="shared" ca="1" si="5"/>
        <v>0.24544990351381221</v>
      </c>
      <c r="H25" s="1">
        <f t="shared" ca="1" si="6"/>
        <v>0.5545500964861878</v>
      </c>
    </row>
    <row r="26" spans="1:8">
      <c r="A26" s="2">
        <f t="shared" ca="1" si="0"/>
        <v>0.62572360066206156</v>
      </c>
      <c r="B26" s="2">
        <f t="shared" ca="1" si="1"/>
        <v>7.1979531079521236E-2</v>
      </c>
      <c r="C26" s="2">
        <f t="shared" ca="1" si="2"/>
        <v>4.5039291361044793E-2</v>
      </c>
      <c r="D26" s="2">
        <f t="shared" ca="1" si="3"/>
        <v>0.75632045157207373</v>
      </c>
      <c r="E26" s="2">
        <f t="shared" ca="1" si="4"/>
        <v>0.24367954842792627</v>
      </c>
      <c r="F26" s="1">
        <v>0.2</v>
      </c>
      <c r="G26" s="1">
        <f t="shared" ca="1" si="5"/>
        <v>0.60505636125765905</v>
      </c>
      <c r="H26" s="1">
        <f t="shared" ca="1" si="6"/>
        <v>0.19494363874234102</v>
      </c>
    </row>
    <row r="27" spans="1:8">
      <c r="A27" s="2">
        <f t="shared" ca="1" si="0"/>
        <v>0.3455297978027615</v>
      </c>
      <c r="B27" s="2">
        <f t="shared" ca="1" si="1"/>
        <v>7.3198169224791582E-2</v>
      </c>
      <c r="C27" s="2">
        <f t="shared" ca="1" si="2"/>
        <v>2.5292148611774555E-2</v>
      </c>
      <c r="D27" s="2">
        <f t="shared" ca="1" si="3"/>
        <v>0.88623586439622004</v>
      </c>
      <c r="E27" s="2">
        <f t="shared" ca="1" si="4"/>
        <v>0.11376413560377996</v>
      </c>
      <c r="F27" s="1">
        <v>0.2</v>
      </c>
      <c r="G27" s="1">
        <f t="shared" ca="1" si="5"/>
        <v>0.70898869151697608</v>
      </c>
      <c r="H27" s="1">
        <f t="shared" ca="1" si="6"/>
        <v>9.1011308483023967E-2</v>
      </c>
    </row>
    <row r="28" spans="1:8">
      <c r="A28" s="2">
        <f t="shared" ca="1" si="0"/>
        <v>0.90419550098543389</v>
      </c>
      <c r="B28" s="2">
        <f t="shared" ca="1" si="1"/>
        <v>8.4232222552721572E-2</v>
      </c>
      <c r="C28" s="2">
        <f t="shared" ca="1" si="2"/>
        <v>7.6162396670174645E-2</v>
      </c>
      <c r="D28" s="2">
        <f t="shared" ca="1" si="3"/>
        <v>0.55156317980148262</v>
      </c>
      <c r="E28" s="2">
        <f t="shared" ca="1" si="4"/>
        <v>0.44843682019851738</v>
      </c>
      <c r="F28" s="1">
        <v>0.2</v>
      </c>
      <c r="G28" s="1">
        <f t="shared" ca="1" si="5"/>
        <v>0.44125054384118612</v>
      </c>
      <c r="H28" s="1">
        <f t="shared" ca="1" si="6"/>
        <v>0.35874945615881393</v>
      </c>
    </row>
    <row r="29" spans="1:8">
      <c r="A29" s="2">
        <f t="shared" ca="1" si="0"/>
        <v>0.91287289636893909</v>
      </c>
      <c r="B29" s="2">
        <f t="shared" ca="1" si="1"/>
        <v>8.532016396768459E-2</v>
      </c>
      <c r="C29" s="2">
        <f t="shared" ca="1" si="2"/>
        <v>7.7886465199853025E-2</v>
      </c>
      <c r="D29" s="2">
        <f t="shared" ca="1" si="3"/>
        <v>0.54022062368517754</v>
      </c>
      <c r="E29" s="2">
        <f t="shared" ca="1" si="4"/>
        <v>0.45977937631482246</v>
      </c>
      <c r="F29" s="1">
        <v>0.2</v>
      </c>
      <c r="G29" s="1">
        <f t="shared" ca="1" si="5"/>
        <v>0.43217649894814203</v>
      </c>
      <c r="H29" s="1">
        <f t="shared" ca="1" si="6"/>
        <v>0.36782350105185802</v>
      </c>
    </row>
    <row r="30" spans="1:8">
      <c r="A30" s="2">
        <f t="shared" ca="1" si="0"/>
        <v>0.24821744985901581</v>
      </c>
      <c r="B30" s="2">
        <f t="shared" ca="1" si="1"/>
        <v>7.5226466920402094E-2</v>
      </c>
      <c r="C30" s="2">
        <f t="shared" ca="1" si="2"/>
        <v>1.8672521780885819E-2</v>
      </c>
      <c r="D30" s="2">
        <f t="shared" ca="1" si="3"/>
        <v>0.92978604091522488</v>
      </c>
      <c r="E30" s="2">
        <f t="shared" ca="1" si="4"/>
        <v>7.0213959084775124E-2</v>
      </c>
      <c r="F30" s="1">
        <v>0.2</v>
      </c>
      <c r="G30" s="1">
        <f t="shared" ca="1" si="5"/>
        <v>0.74382883273217992</v>
      </c>
      <c r="H30" s="1">
        <f t="shared" ca="1" si="6"/>
        <v>5.61711672678201E-2</v>
      </c>
    </row>
    <row r="31" spans="1:8">
      <c r="A31" s="2">
        <f t="shared" ca="1" si="0"/>
        <v>0.86324793949144174</v>
      </c>
      <c r="B31" s="2">
        <f t="shared" ca="1" si="1"/>
        <v>8.0253523200120233E-2</v>
      </c>
      <c r="C31" s="2">
        <f t="shared" ca="1" si="2"/>
        <v>6.9278688539432406E-2</v>
      </c>
      <c r="D31" s="2">
        <f t="shared" ca="1" si="3"/>
        <v>0.59685073329320792</v>
      </c>
      <c r="E31" s="2">
        <f t="shared" ca="1" si="4"/>
        <v>0.40314926670679208</v>
      </c>
      <c r="F31" s="1">
        <v>0.2</v>
      </c>
      <c r="G31" s="1">
        <f t="shared" ca="1" si="5"/>
        <v>0.47748058663456638</v>
      </c>
      <c r="H31" s="1">
        <f t="shared" ca="1" si="6"/>
        <v>0.32251941336543366</v>
      </c>
    </row>
    <row r="32" spans="1:8">
      <c r="A32" s="2">
        <f t="shared" ca="1" si="0"/>
        <v>1.0028056496572797</v>
      </c>
      <c r="B32" s="2">
        <f t="shared" ca="1" si="1"/>
        <v>0.14996150275640108</v>
      </c>
      <c r="C32" s="2">
        <f t="shared" ca="1" si="2"/>
        <v>0.15038224219521473</v>
      </c>
      <c r="D32" s="2">
        <f t="shared" ca="1" si="3"/>
        <v>6.3274722399903061E-2</v>
      </c>
      <c r="E32" s="2">
        <f t="shared" ca="1" si="4"/>
        <v>0.93672527760009694</v>
      </c>
      <c r="F32" s="1">
        <v>0.2</v>
      </c>
      <c r="G32" s="1">
        <f t="shared" ca="1" si="5"/>
        <v>5.0619777919922448E-2</v>
      </c>
      <c r="H32" s="1">
        <f t="shared" ca="1" si="6"/>
        <v>0.7493802220800776</v>
      </c>
    </row>
    <row r="33" spans="1:8">
      <c r="A33" s="2">
        <f t="shared" ca="1" si="0"/>
        <v>0.43175443838348637</v>
      </c>
      <c r="B33" s="2">
        <f t="shared" ca="1" si="1"/>
        <v>7.2066007994782286E-2</v>
      </c>
      <c r="C33" s="2">
        <f t="shared" ca="1" si="2"/>
        <v>3.1114818808327064E-2</v>
      </c>
      <c r="D33" s="2">
        <f t="shared" ca="1" si="3"/>
        <v>0.84792882362942723</v>
      </c>
      <c r="E33" s="2">
        <f t="shared" ca="1" si="4"/>
        <v>0.15207117637057277</v>
      </c>
      <c r="F33" s="1">
        <v>0.2</v>
      </c>
      <c r="G33" s="1">
        <f t="shared" ca="1" si="5"/>
        <v>0.67834305890354185</v>
      </c>
      <c r="H33" s="1">
        <f t="shared" ca="1" si="6"/>
        <v>0.12165694109645822</v>
      </c>
    </row>
    <row r="34" spans="1:8">
      <c r="A34" s="2">
        <f t="shared" ca="1" si="0"/>
        <v>0.4723573657471935</v>
      </c>
      <c r="B34" s="2">
        <f t="shared" ca="1" si="1"/>
        <v>7.1750594957612587E-2</v>
      </c>
      <c r="C34" s="2">
        <f t="shared" ca="1" si="2"/>
        <v>3.3891922024971745E-2</v>
      </c>
      <c r="D34" s="2">
        <f t="shared" ca="1" si="3"/>
        <v>0.82965840773044908</v>
      </c>
      <c r="E34" s="2">
        <f t="shared" ca="1" si="4"/>
        <v>0.17034159226955092</v>
      </c>
      <c r="F34" s="1">
        <v>0.2</v>
      </c>
      <c r="G34" s="1">
        <f t="shared" ca="1" si="5"/>
        <v>0.66372672618435935</v>
      </c>
      <c r="H34" s="1">
        <f t="shared" ca="1" si="6"/>
        <v>0.13627327381564075</v>
      </c>
    </row>
    <row r="35" spans="1:8">
      <c r="A35" s="2">
        <f t="shared" ca="1" si="0"/>
        <v>0.96056556599797605</v>
      </c>
      <c r="B35" s="2">
        <f t="shared" ca="1" si="1"/>
        <v>9.4276444302088036E-2</v>
      </c>
      <c r="C35" s="2">
        <f t="shared" ca="1" si="2"/>
        <v>9.0558706081311863E-2</v>
      </c>
      <c r="D35" s="2">
        <f t="shared" ca="1" si="3"/>
        <v>0.45685061788610626</v>
      </c>
      <c r="E35" s="2">
        <f t="shared" ca="1" si="4"/>
        <v>0.54314938211389374</v>
      </c>
      <c r="F35" s="1">
        <v>0.2</v>
      </c>
      <c r="G35" s="1">
        <f t="shared" ca="1" si="5"/>
        <v>0.36548049430888502</v>
      </c>
      <c r="H35" s="1">
        <f t="shared" ca="1" si="6"/>
        <v>0.43451950569111503</v>
      </c>
    </row>
    <row r="36" spans="1:8">
      <c r="A36" s="2">
        <f t="shared" ca="1" si="0"/>
        <v>1.0049465490083023</v>
      </c>
      <c r="B36" s="2">
        <f t="shared" ca="1" si="1"/>
        <v>0.13211394739493251</v>
      </c>
      <c r="C36" s="2">
        <f t="shared" ca="1" si="2"/>
        <v>0.13276745551040181</v>
      </c>
      <c r="D36" s="2">
        <f t="shared" ca="1" si="3"/>
        <v>0.17916147690525142</v>
      </c>
      <c r="E36" s="2">
        <f t="shared" ca="1" si="4"/>
        <v>0.82083852309474858</v>
      </c>
      <c r="F36" s="1">
        <v>0.2</v>
      </c>
      <c r="G36" s="1">
        <f t="shared" ca="1" si="5"/>
        <v>0.14332918152420113</v>
      </c>
      <c r="H36" s="1">
        <f t="shared" ca="1" si="6"/>
        <v>0.65667081847579889</v>
      </c>
    </row>
    <row r="37" spans="1:8">
      <c r="A37" s="2">
        <f t="shared" ca="1" si="0"/>
        <v>0.54277401115271318</v>
      </c>
      <c r="B37" s="2">
        <f t="shared" ca="1" si="1"/>
        <v>7.1556038406070721E-2</v>
      </c>
      <c r="C37" s="2">
        <f t="shared" ca="1" si="2"/>
        <v>3.88387579878606E-2</v>
      </c>
      <c r="D37" s="2">
        <f t="shared" ca="1" si="3"/>
        <v>0.79711343429039083</v>
      </c>
      <c r="E37" s="2">
        <f t="shared" ca="1" si="4"/>
        <v>0.20288656570960917</v>
      </c>
      <c r="F37" s="1">
        <v>0.2</v>
      </c>
      <c r="G37" s="1">
        <f t="shared" ca="1" si="5"/>
        <v>0.63769074743231269</v>
      </c>
      <c r="H37" s="1">
        <f t="shared" ca="1" si="6"/>
        <v>0.16230925256768736</v>
      </c>
    </row>
    <row r="38" spans="1:8">
      <c r="A38" s="2">
        <f t="shared" ca="1" si="0"/>
        <v>1.0034712239839685</v>
      </c>
      <c r="B38" s="2">
        <f t="shared" ca="1" si="1"/>
        <v>0.14700104268402966</v>
      </c>
      <c r="C38" s="2">
        <f t="shared" ca="1" si="2"/>
        <v>0.14751131622906286</v>
      </c>
      <c r="D38" s="2">
        <f t="shared" ca="1" si="3"/>
        <v>8.216239322984964E-2</v>
      </c>
      <c r="E38" s="2">
        <f t="shared" ca="1" si="4"/>
        <v>0.91783760677015036</v>
      </c>
      <c r="F38" s="1">
        <v>0.2</v>
      </c>
      <c r="G38" s="1">
        <f t="shared" ca="1" si="5"/>
        <v>6.5729914583879709E-2</v>
      </c>
      <c r="H38" s="1">
        <f t="shared" ca="1" si="6"/>
        <v>0.73427008541612038</v>
      </c>
    </row>
    <row r="39" spans="1:8">
      <c r="A39" s="2">
        <f t="shared" ca="1" si="0"/>
        <v>0.89303608475327734</v>
      </c>
      <c r="B39" s="2">
        <f t="shared" ca="1" si="1"/>
        <v>8.2979357005574711E-2</v>
      </c>
      <c r="C39" s="2">
        <f t="shared" ca="1" si="2"/>
        <v>7.4103560095602872E-2</v>
      </c>
      <c r="D39" s="2">
        <f t="shared" ca="1" si="3"/>
        <v>0.56510815726577068</v>
      </c>
      <c r="E39" s="2">
        <f t="shared" ca="1" si="4"/>
        <v>0.43489184273422932</v>
      </c>
      <c r="F39" s="1">
        <v>0.2</v>
      </c>
      <c r="G39" s="1">
        <f t="shared" ca="1" si="5"/>
        <v>0.45208652581261655</v>
      </c>
      <c r="H39" s="1">
        <f t="shared" ca="1" si="6"/>
        <v>0.3479134741873835</v>
      </c>
    </row>
    <row r="40" spans="1:8">
      <c r="A40" s="2">
        <f t="shared" ca="1" si="0"/>
        <v>0.99586934119234083</v>
      </c>
      <c r="B40" s="2">
        <f t="shared" ca="1" si="1"/>
        <v>0.1113194007216415</v>
      </c>
      <c r="C40" s="2">
        <f t="shared" ca="1" si="2"/>
        <v>0.1108595782585873</v>
      </c>
      <c r="D40" s="2">
        <f t="shared" ca="1" si="3"/>
        <v>0.32329224829876779</v>
      </c>
      <c r="E40" s="2">
        <f t="shared" ca="1" si="4"/>
        <v>0.67670775170123221</v>
      </c>
      <c r="F40" s="1">
        <v>0.2</v>
      </c>
      <c r="G40" s="1">
        <f t="shared" ca="1" si="5"/>
        <v>0.25863379863901426</v>
      </c>
      <c r="H40" s="1">
        <f t="shared" ca="1" si="6"/>
        <v>0.54136620136098579</v>
      </c>
    </row>
    <row r="41" spans="1:8">
      <c r="A41" s="2">
        <f t="shared" ca="1" si="0"/>
        <v>0.66892218896974764</v>
      </c>
      <c r="B41" s="2">
        <f t="shared" ca="1" si="1"/>
        <v>7.2539192328642865E-2</v>
      </c>
      <c r="C41" s="2">
        <f t="shared" ca="1" si="2"/>
        <v>4.8523075318573312E-2</v>
      </c>
      <c r="D41" s="2">
        <f t="shared" ca="1" si="3"/>
        <v>0.73340082027254405</v>
      </c>
      <c r="E41" s="2">
        <f t="shared" ca="1" si="4"/>
        <v>0.26659917972745595</v>
      </c>
      <c r="F41" s="1">
        <v>0.2</v>
      </c>
      <c r="G41" s="1">
        <f t="shared" ca="1" si="5"/>
        <v>0.58672065621803526</v>
      </c>
      <c r="H41" s="1">
        <f t="shared" ca="1" si="6"/>
        <v>0.21327934378196478</v>
      </c>
    </row>
    <row r="42" spans="1:8">
      <c r="A42" s="2">
        <f t="shared" ca="1" si="0"/>
        <v>1.0035024269147521</v>
      </c>
      <c r="B42" s="2">
        <f t="shared" ca="1" si="1"/>
        <v>0.12354996792016938</v>
      </c>
      <c r="C42" s="2">
        <f t="shared" ca="1" si="2"/>
        <v>0.12398269265312975</v>
      </c>
      <c r="D42" s="2">
        <f t="shared" ca="1" si="3"/>
        <v>0.23695596938730445</v>
      </c>
      <c r="E42" s="2">
        <f t="shared" ca="1" si="4"/>
        <v>0.76304403061269555</v>
      </c>
      <c r="F42" s="1">
        <v>0.2</v>
      </c>
      <c r="G42" s="1">
        <f t="shared" ca="1" si="5"/>
        <v>0.18956477550984357</v>
      </c>
      <c r="H42" s="1">
        <f t="shared" ca="1" si="6"/>
        <v>0.61043522449015652</v>
      </c>
    </row>
    <row r="43" spans="1:8">
      <c r="A43" s="2">
        <f t="shared" ca="1" si="0"/>
        <v>0.98160880588569444</v>
      </c>
      <c r="B43" s="2">
        <f t="shared" ca="1" si="1"/>
        <v>0.10180183137140315</v>
      </c>
      <c r="C43" s="2">
        <f t="shared" ca="1" si="2"/>
        <v>9.992957412945988E-2</v>
      </c>
      <c r="D43" s="2">
        <f t="shared" ca="1" si="3"/>
        <v>0.39520017020092191</v>
      </c>
      <c r="E43" s="2">
        <f t="shared" ca="1" si="4"/>
        <v>0.60479982979907809</v>
      </c>
      <c r="F43" s="1">
        <v>0.2</v>
      </c>
      <c r="G43" s="1">
        <f t="shared" ca="1" si="5"/>
        <v>0.31616013616073757</v>
      </c>
      <c r="H43" s="1">
        <f t="shared" ca="1" si="6"/>
        <v>0.48383986383926247</v>
      </c>
    </row>
    <row r="44" spans="1:8">
      <c r="A44" s="2">
        <f t="shared" ca="1" si="0"/>
        <v>0.99385075475483953</v>
      </c>
      <c r="B44" s="2">
        <f t="shared" ca="1" si="1"/>
        <v>0.1094775928888609</v>
      </c>
      <c r="C44" s="2">
        <f t="shared" ca="1" si="2"/>
        <v>0.10880438832133746</v>
      </c>
      <c r="D44" s="2">
        <f t="shared" ca="1" si="3"/>
        <v>0.33681323472804303</v>
      </c>
      <c r="E44" s="2">
        <f t="shared" ca="1" si="4"/>
        <v>0.66318676527195697</v>
      </c>
      <c r="F44" s="1">
        <v>0.2</v>
      </c>
      <c r="G44" s="1">
        <f t="shared" ca="1" si="5"/>
        <v>0.26945058778243441</v>
      </c>
      <c r="H44" s="1">
        <f t="shared" ca="1" si="6"/>
        <v>0.53054941221756557</v>
      </c>
    </row>
    <row r="45" spans="1:8">
      <c r="A45" s="2">
        <f t="shared" ca="1" si="0"/>
        <v>1.0027173860964591</v>
      </c>
      <c r="B45" s="2">
        <f t="shared" ca="1" si="1"/>
        <v>0.12136384512803917</v>
      </c>
      <c r="C45" s="2">
        <f t="shared" ca="1" si="2"/>
        <v>0.12169363755340293</v>
      </c>
      <c r="D45" s="2">
        <f t="shared" ca="1" si="3"/>
        <v>0.252015542411823</v>
      </c>
      <c r="E45" s="2">
        <f t="shared" ca="1" si="4"/>
        <v>0.747984457588177</v>
      </c>
      <c r="F45" s="1">
        <v>0.2</v>
      </c>
      <c r="G45" s="1">
        <f t="shared" ca="1" si="5"/>
        <v>0.20161243392945841</v>
      </c>
      <c r="H45" s="1">
        <f t="shared" ca="1" si="6"/>
        <v>0.59838756607054167</v>
      </c>
    </row>
    <row r="46" spans="1:8">
      <c r="A46" s="2">
        <f t="shared" ca="1" si="0"/>
        <v>1.0016248819933877</v>
      </c>
      <c r="B46" s="2">
        <f t="shared" ca="1" si="1"/>
        <v>0.11899651318726616</v>
      </c>
      <c r="C46" s="2">
        <f t="shared" ca="1" si="2"/>
        <v>0.11918986847882007</v>
      </c>
      <c r="D46" s="2">
        <f t="shared" ca="1" si="3"/>
        <v>0.26848770737618377</v>
      </c>
      <c r="E46" s="2">
        <f t="shared" ca="1" si="4"/>
        <v>0.73151229262381623</v>
      </c>
      <c r="F46" s="1">
        <v>0.2</v>
      </c>
      <c r="G46" s="1">
        <f t="shared" ca="1" si="5"/>
        <v>0.21479016590094702</v>
      </c>
      <c r="H46" s="1">
        <f t="shared" ca="1" si="6"/>
        <v>0.58520983409905303</v>
      </c>
    </row>
    <row r="47" spans="1:8">
      <c r="A47" s="2">
        <f t="shared" ca="1" si="0"/>
        <v>0.97550485086946803</v>
      </c>
      <c r="B47" s="2">
        <f t="shared" ca="1" si="1"/>
        <v>9.9157931991696424E-2</v>
      </c>
      <c r="C47" s="2">
        <f t="shared" ca="1" si="2"/>
        <v>9.6729043660084668E-2</v>
      </c>
      <c r="D47" s="2">
        <f t="shared" ca="1" si="3"/>
        <v>0.41625629170996936</v>
      </c>
      <c r="E47" s="2">
        <f t="shared" ca="1" si="4"/>
        <v>0.58374370829003064</v>
      </c>
      <c r="F47" s="1">
        <v>0.2</v>
      </c>
      <c r="G47" s="1">
        <f t="shared" ca="1" si="5"/>
        <v>0.33300503336797549</v>
      </c>
      <c r="H47" s="1">
        <f t="shared" ca="1" si="6"/>
        <v>0.46699496663202456</v>
      </c>
    </row>
    <row r="48" spans="1:8">
      <c r="A48" s="2">
        <f t="shared" ca="1" si="0"/>
        <v>0.2052805056861611</v>
      </c>
      <c r="B48" s="2">
        <f t="shared" ca="1" si="1"/>
        <v>7.6386604737197272E-2</v>
      </c>
      <c r="C48" s="2">
        <f t="shared" ca="1" si="2"/>
        <v>1.5680680848100766E-2</v>
      </c>
      <c r="D48" s="2">
        <f t="shared" ca="1" si="3"/>
        <v>0.9494692049467055</v>
      </c>
      <c r="E48" s="2">
        <f t="shared" ca="1" si="4"/>
        <v>5.0530795053294497E-2</v>
      </c>
      <c r="F48" s="1">
        <v>0.2</v>
      </c>
      <c r="G48" s="1">
        <f t="shared" ca="1" si="5"/>
        <v>0.75957536395736447</v>
      </c>
      <c r="H48" s="1">
        <f t="shared" ca="1" si="6"/>
        <v>4.0424636042635603E-2</v>
      </c>
    </row>
    <row r="49" spans="1:8">
      <c r="A49" s="2">
        <f t="shared" ca="1" si="0"/>
        <v>0.50860643906425151</v>
      </c>
      <c r="B49" s="2">
        <f t="shared" ca="1" si="1"/>
        <v>7.1592401285435689E-2</v>
      </c>
      <c r="C49" s="2">
        <f t="shared" ca="1" si="2"/>
        <v>3.6412356281844388E-2</v>
      </c>
      <c r="D49" s="2">
        <f t="shared" ca="1" si="3"/>
        <v>0.81307660340891852</v>
      </c>
      <c r="E49" s="2">
        <f t="shared" ca="1" si="4"/>
        <v>0.18692339659108148</v>
      </c>
      <c r="F49" s="1">
        <v>0.2</v>
      </c>
      <c r="G49" s="1">
        <f t="shared" ca="1" si="5"/>
        <v>0.65046128272713488</v>
      </c>
      <c r="H49" s="1">
        <f t="shared" ca="1" si="6"/>
        <v>0.14953871727286519</v>
      </c>
    </row>
    <row r="50" spans="1:8">
      <c r="A50" s="2">
        <f t="shared" ca="1" si="0"/>
        <v>1.0047716396958577</v>
      </c>
      <c r="B50" s="2">
        <f t="shared" ca="1" si="1"/>
        <v>0.1297673179894597</v>
      </c>
      <c r="C50" s="2">
        <f t="shared" ca="1" si="2"/>
        <v>0.13038652087520319</v>
      </c>
      <c r="D50" s="2">
        <f t="shared" ca="1" si="3"/>
        <v>0.19482552055787383</v>
      </c>
      <c r="E50" s="2">
        <f t="shared" ca="1" si="4"/>
        <v>0.80517447944212617</v>
      </c>
      <c r="F50" s="1">
        <v>0.2</v>
      </c>
      <c r="G50" s="1">
        <f t="shared" ca="1" si="5"/>
        <v>0.15586041644629908</v>
      </c>
      <c r="H50" s="1">
        <f t="shared" ca="1" si="6"/>
        <v>0.64413958355370093</v>
      </c>
    </row>
    <row r="51" spans="1:8">
      <c r="A51" s="2">
        <f t="shared" ca="1" si="0"/>
        <v>1.0025834316991462</v>
      </c>
      <c r="B51" s="2">
        <f t="shared" ca="1" si="1"/>
        <v>0.12103977335228998</v>
      </c>
      <c r="C51" s="2">
        <f t="shared" ca="1" si="2"/>
        <v>0.12135247133962575</v>
      </c>
      <c r="D51" s="2">
        <f t="shared" ca="1" si="3"/>
        <v>0.2542600569761464</v>
      </c>
      <c r="E51" s="2">
        <f t="shared" ca="1" si="4"/>
        <v>0.7457399430238536</v>
      </c>
      <c r="F51" s="1">
        <v>0.2</v>
      </c>
      <c r="G51" s="1">
        <f t="shared" ca="1" si="5"/>
        <v>0.20340804558091713</v>
      </c>
      <c r="H51" s="1">
        <f t="shared" ca="1" si="6"/>
        <v>0.59659195441908286</v>
      </c>
    </row>
    <row r="52" spans="1:8">
      <c r="A52" s="2">
        <f t="shared" ca="1" si="0"/>
        <v>1.0035396379509944</v>
      </c>
      <c r="B52" s="2">
        <f t="shared" ca="1" si="1"/>
        <v>0.12366935254581828</v>
      </c>
      <c r="C52" s="2">
        <f t="shared" ca="1" si="2"/>
        <v>0.12410709727946435</v>
      </c>
      <c r="D52" s="2">
        <f t="shared" ca="1" si="3"/>
        <v>0.23613751789826098</v>
      </c>
      <c r="E52" s="2">
        <f t="shared" ca="1" si="4"/>
        <v>0.76386248210173902</v>
      </c>
      <c r="F52" s="1">
        <v>0.2</v>
      </c>
      <c r="G52" s="1">
        <f t="shared" ca="1" si="5"/>
        <v>0.18891001431860879</v>
      </c>
      <c r="H52" s="1">
        <f t="shared" ca="1" si="6"/>
        <v>0.61108998568139128</v>
      </c>
    </row>
    <row r="53" spans="1:8">
      <c r="A53" s="2">
        <f t="shared" ca="1" si="0"/>
        <v>0.27679749800274911</v>
      </c>
      <c r="B53" s="2">
        <f t="shared" ca="1" si="1"/>
        <v>7.4546297433770614E-2</v>
      </c>
      <c r="C53" s="2">
        <f t="shared" ca="1" si="2"/>
        <v>2.0634228615036464E-2</v>
      </c>
      <c r="D53" s="2">
        <f t="shared" ca="1" si="3"/>
        <v>0.91688007490107593</v>
      </c>
      <c r="E53" s="2">
        <f t="shared" ca="1" si="4"/>
        <v>8.3119925098924075E-2</v>
      </c>
      <c r="F53" s="1">
        <v>0.2</v>
      </c>
      <c r="G53" s="1">
        <f t="shared" ca="1" si="5"/>
        <v>0.73350405992086076</v>
      </c>
      <c r="H53" s="1">
        <f t="shared" ca="1" si="6"/>
        <v>6.6495940079139268E-2</v>
      </c>
    </row>
    <row r="54" spans="1:8">
      <c r="A54" s="2">
        <f t="shared" ca="1" si="0"/>
        <v>0.11775994239052633</v>
      </c>
      <c r="B54" s="2">
        <f t="shared" ca="1" si="1"/>
        <v>7.9307654466500441E-2</v>
      </c>
      <c r="C54" s="2">
        <f t="shared" ca="1" si="2"/>
        <v>9.3392648211028592E-3</v>
      </c>
      <c r="D54" s="2">
        <f t="shared" ca="1" si="3"/>
        <v>0.99118904722958645</v>
      </c>
      <c r="E54" s="2">
        <f t="shared" ca="1" si="4"/>
        <v>8.8109527704135493E-3</v>
      </c>
      <c r="F54" s="1">
        <v>0.2</v>
      </c>
      <c r="G54" s="1">
        <f t="shared" ca="1" si="5"/>
        <v>0.79295123778366916</v>
      </c>
      <c r="H54" s="1">
        <f t="shared" ca="1" si="6"/>
        <v>7.0487622163308396E-3</v>
      </c>
    </row>
    <row r="55" spans="1:8">
      <c r="A55" s="2">
        <f t="shared" ca="1" si="0"/>
        <v>0.99933418490228276</v>
      </c>
      <c r="B55" s="2">
        <f t="shared" ca="1" si="1"/>
        <v>0.11530895381159126</v>
      </c>
      <c r="C55" s="2">
        <f t="shared" ca="1" si="2"/>
        <v>0.11523217936924152</v>
      </c>
      <c r="D55" s="2">
        <f t="shared" ca="1" si="3"/>
        <v>0.29452513572867434</v>
      </c>
      <c r="E55" s="2">
        <f t="shared" ca="1" si="4"/>
        <v>0.70547486427132566</v>
      </c>
      <c r="F55" s="1">
        <v>0.2</v>
      </c>
      <c r="G55" s="1">
        <f t="shared" ca="1" si="5"/>
        <v>0.23562010858293947</v>
      </c>
      <c r="H55" s="1">
        <f t="shared" ca="1" si="6"/>
        <v>0.56437989141706058</v>
      </c>
    </row>
    <row r="56" spans="1:8">
      <c r="A56" s="2">
        <f t="shared" ca="1" si="0"/>
        <v>0.92283558577233649</v>
      </c>
      <c r="B56" s="2">
        <f t="shared" ca="1" si="1"/>
        <v>8.6717040051567662E-2</v>
      </c>
      <c r="C56" s="2">
        <f t="shared" ca="1" si="2"/>
        <v>8.002557045243161E-2</v>
      </c>
      <c r="D56" s="2">
        <f t="shared" ca="1" si="3"/>
        <v>0.52614756281294994</v>
      </c>
      <c r="E56" s="2">
        <f t="shared" ca="1" si="4"/>
        <v>0.47385243718705006</v>
      </c>
      <c r="F56" s="1">
        <v>0.2</v>
      </c>
      <c r="G56" s="1">
        <f t="shared" ca="1" si="5"/>
        <v>0.42091805025036</v>
      </c>
      <c r="H56" s="1">
        <f t="shared" ca="1" si="6"/>
        <v>0.37908194974964005</v>
      </c>
    </row>
    <row r="57" spans="1:8">
      <c r="A57" s="2">
        <f t="shared" ca="1" si="0"/>
        <v>1.0027194863474447</v>
      </c>
      <c r="B57" s="2">
        <f t="shared" ca="1" si="1"/>
        <v>0.15031855640469968</v>
      </c>
      <c r="C57" s="2">
        <f t="shared" ca="1" si="2"/>
        <v>0.15072734566660986</v>
      </c>
      <c r="D57" s="2">
        <f t="shared" ca="1" si="3"/>
        <v>6.100430482493524E-2</v>
      </c>
      <c r="E57" s="2">
        <f t="shared" ca="1" si="4"/>
        <v>0.93899569517506476</v>
      </c>
      <c r="F57" s="1">
        <v>0.2</v>
      </c>
      <c r="G57" s="1">
        <f t="shared" ca="1" si="5"/>
        <v>4.8803443859948198E-2</v>
      </c>
      <c r="H57" s="1">
        <f t="shared" ca="1" si="6"/>
        <v>0.75119655614005187</v>
      </c>
    </row>
    <row r="58" spans="1:8">
      <c r="A58" s="2">
        <f t="shared" ca="1" si="0"/>
        <v>0.99662209074969887</v>
      </c>
      <c r="B58" s="2">
        <f t="shared" ca="1" si="1"/>
        <v>0.1120815860633641</v>
      </c>
      <c r="C58" s="2">
        <f t="shared" ca="1" si="2"/>
        <v>0.11170298463701224</v>
      </c>
      <c r="D58" s="2">
        <f t="shared" ca="1" si="3"/>
        <v>0.31774352212491952</v>
      </c>
      <c r="E58" s="2">
        <f t="shared" ca="1" si="4"/>
        <v>0.68225647787508048</v>
      </c>
      <c r="F58" s="1">
        <v>0.2</v>
      </c>
      <c r="G58" s="1">
        <f t="shared" ca="1" si="5"/>
        <v>0.25419481769993563</v>
      </c>
      <c r="H58" s="1">
        <f t="shared" ca="1" si="6"/>
        <v>0.54580518230006436</v>
      </c>
    </row>
    <row r="59" spans="1:8">
      <c r="A59" s="2">
        <f t="shared" ca="1" si="0"/>
        <v>0.8493217053052966</v>
      </c>
      <c r="B59" s="2">
        <f t="shared" ca="1" si="1"/>
        <v>7.921616356704192E-2</v>
      </c>
      <c r="C59" s="2">
        <f t="shared" ca="1" si="2"/>
        <v>6.728000712850335E-2</v>
      </c>
      <c r="D59" s="2">
        <f t="shared" ca="1" si="3"/>
        <v>0.60999995310195165</v>
      </c>
      <c r="E59" s="2">
        <f t="shared" ca="1" si="4"/>
        <v>0.39000004689804835</v>
      </c>
      <c r="F59" s="1">
        <v>0.2</v>
      </c>
      <c r="G59" s="1">
        <f t="shared" ca="1" si="5"/>
        <v>0.48799996248156136</v>
      </c>
      <c r="H59" s="1">
        <f t="shared" ca="1" si="6"/>
        <v>0.31200003751843869</v>
      </c>
    </row>
    <row r="60" spans="1:8">
      <c r="A60" s="2">
        <f t="shared" ca="1" si="0"/>
        <v>0.99289312137359453</v>
      </c>
      <c r="B60" s="2">
        <f t="shared" ca="1" si="1"/>
        <v>0.10868849756026991</v>
      </c>
      <c r="C60" s="2">
        <f t="shared" ca="1" si="2"/>
        <v>0.10791606160002271</v>
      </c>
      <c r="D60" s="2">
        <f t="shared" ca="1" si="3"/>
        <v>0.3426574894735348</v>
      </c>
      <c r="E60" s="2">
        <f t="shared" ca="1" si="4"/>
        <v>0.6573425105264652</v>
      </c>
      <c r="F60" s="1">
        <v>0.2</v>
      </c>
      <c r="G60" s="1">
        <f t="shared" ca="1" si="5"/>
        <v>0.27412599157882783</v>
      </c>
      <c r="H60" s="1">
        <f t="shared" ca="1" si="6"/>
        <v>0.52587400842117216</v>
      </c>
    </row>
    <row r="61" spans="1:8">
      <c r="A61" s="2">
        <f t="shared" ca="1" si="0"/>
        <v>1.000131666893149</v>
      </c>
      <c r="B61" s="2">
        <f t="shared" ca="1" si="1"/>
        <v>0.11645676214654581</v>
      </c>
      <c r="C61" s="2">
        <f t="shared" ca="1" si="2"/>
        <v>0.11647209564660384</v>
      </c>
      <c r="D61" s="2">
        <f t="shared" ca="1" si="3"/>
        <v>0.28636779179865901</v>
      </c>
      <c r="E61" s="2">
        <f t="shared" ca="1" si="4"/>
        <v>0.71363220820134099</v>
      </c>
      <c r="F61" s="1">
        <v>0.2</v>
      </c>
      <c r="G61" s="1">
        <f t="shared" ca="1" si="5"/>
        <v>0.22909423343892721</v>
      </c>
      <c r="H61" s="1">
        <f t="shared" ca="1" si="6"/>
        <v>0.57090576656107284</v>
      </c>
    </row>
    <row r="62" spans="1:8">
      <c r="A62" s="2">
        <f t="shared" ca="1" si="0"/>
        <v>0.19673521128594657</v>
      </c>
      <c r="B62" s="2">
        <f t="shared" ca="1" si="1"/>
        <v>7.66380119640232E-2</v>
      </c>
      <c r="C62" s="2">
        <f t="shared" ca="1" si="2"/>
        <v>1.5077395476277004E-2</v>
      </c>
      <c r="D62" s="2">
        <f t="shared" ca="1" si="3"/>
        <v>0.95343818765607236</v>
      </c>
      <c r="E62" s="2">
        <f t="shared" ca="1" si="4"/>
        <v>4.6561812343927644E-2</v>
      </c>
      <c r="F62" s="1">
        <v>0.2</v>
      </c>
      <c r="G62" s="1">
        <f t="shared" ca="1" si="5"/>
        <v>0.76275055012485793</v>
      </c>
      <c r="H62" s="1">
        <f t="shared" ca="1" si="6"/>
        <v>3.7249449875142115E-2</v>
      </c>
    </row>
    <row r="63" spans="1:8">
      <c r="A63" s="2">
        <f t="shared" ca="1" si="0"/>
        <v>0.99530693560674666</v>
      </c>
      <c r="B63" s="2">
        <f t="shared" ca="1" si="1"/>
        <v>0.11077880866888448</v>
      </c>
      <c r="C63" s="2">
        <f t="shared" ca="1" si="2"/>
        <v>0.11025891658639352</v>
      </c>
      <c r="D63" s="2">
        <f t="shared" ca="1" si="3"/>
        <v>0.32724396982635851</v>
      </c>
      <c r="E63" s="2">
        <f t="shared" ca="1" si="4"/>
        <v>0.67275603017364149</v>
      </c>
      <c r="F63" s="1">
        <v>0.2</v>
      </c>
      <c r="G63" s="1">
        <f t="shared" ca="1" si="5"/>
        <v>0.2617951758610868</v>
      </c>
      <c r="H63" s="1">
        <f t="shared" ca="1" si="6"/>
        <v>0.53820482413891324</v>
      </c>
    </row>
    <row r="64" spans="1:8">
      <c r="A64" s="2">
        <f t="shared" ca="1" si="0"/>
        <v>0.1712634689266021</v>
      </c>
      <c r="B64" s="2">
        <f t="shared" ca="1" si="1"/>
        <v>7.7429422705672019E-2</v>
      </c>
      <c r="C64" s="2">
        <f t="shared" ca="1" si="2"/>
        <v>1.3260831529557598E-2</v>
      </c>
      <c r="D64" s="2">
        <f t="shared" ca="1" si="3"/>
        <v>0.96538926625291055</v>
      </c>
      <c r="E64" s="2">
        <f t="shared" ca="1" si="4"/>
        <v>3.461073374708945E-2</v>
      </c>
      <c r="F64" s="1">
        <v>0.2</v>
      </c>
      <c r="G64" s="1">
        <f t="shared" ca="1" si="5"/>
        <v>0.77231141300232853</v>
      </c>
      <c r="H64" s="1">
        <f t="shared" ca="1" si="6"/>
        <v>2.7688586997671561E-2</v>
      </c>
    </row>
    <row r="65" spans="1:8">
      <c r="A65" s="2">
        <f t="shared" ca="1" si="0"/>
        <v>1.0049871505528845</v>
      </c>
      <c r="B65" s="2">
        <f t="shared" ca="1" si="1"/>
        <v>0.13380666164841029</v>
      </c>
      <c r="C65" s="2">
        <f t="shared" ca="1" si="2"/>
        <v>0.13447397561502977</v>
      </c>
      <c r="D65" s="2">
        <f t="shared" ca="1" si="3"/>
        <v>0.16793437095375163</v>
      </c>
      <c r="E65" s="2">
        <f t="shared" ca="1" si="4"/>
        <v>0.83206562904624837</v>
      </c>
      <c r="F65" s="1">
        <v>0.2</v>
      </c>
      <c r="G65" s="1">
        <f t="shared" ca="1" si="5"/>
        <v>0.13434749676300131</v>
      </c>
      <c r="H65" s="1">
        <f t="shared" ca="1" si="6"/>
        <v>0.66565250323699876</v>
      </c>
    </row>
    <row r="66" spans="1:8">
      <c r="A66" s="2">
        <f t="shared" ca="1" si="0"/>
        <v>0.56405858377242613</v>
      </c>
      <c r="B66" s="2">
        <f t="shared" ca="1" si="1"/>
        <v>7.1592191872676625E-2</v>
      </c>
      <c r="C66" s="2">
        <f t="shared" ca="1" si="2"/>
        <v>4.0382190356865771E-2</v>
      </c>
      <c r="D66" s="2">
        <f t="shared" ca="1" si="3"/>
        <v>0.78695927396798837</v>
      </c>
      <c r="E66" s="2">
        <f t="shared" ca="1" si="4"/>
        <v>0.21304072603201163</v>
      </c>
      <c r="F66" s="1">
        <v>0.2</v>
      </c>
      <c r="G66" s="1">
        <f t="shared" ca="1" si="5"/>
        <v>0.62956741917439074</v>
      </c>
      <c r="H66" s="1">
        <f t="shared" ca="1" si="6"/>
        <v>0.1704325808256093</v>
      </c>
    </row>
    <row r="67" spans="1:8">
      <c r="A67" s="2">
        <f t="shared" ca="1" si="0"/>
        <v>1.0024511356413777</v>
      </c>
      <c r="B67" s="2">
        <f t="shared" ca="1" si="1"/>
        <v>0.12073051036187042</v>
      </c>
      <c r="C67" s="2">
        <f t="shared" ca="1" si="2"/>
        <v>0.12102643721882012</v>
      </c>
      <c r="D67" s="2">
        <f t="shared" ca="1" si="3"/>
        <v>0.25640501829723616</v>
      </c>
      <c r="E67" s="2">
        <f t="shared" ca="1" si="4"/>
        <v>0.74359498170276384</v>
      </c>
      <c r="F67" s="1">
        <v>0.2</v>
      </c>
      <c r="G67" s="1">
        <f t="shared" ca="1" si="5"/>
        <v>0.20512401463778895</v>
      </c>
      <c r="H67" s="1">
        <f t="shared" ca="1" si="6"/>
        <v>0.59487598536221109</v>
      </c>
    </row>
    <row r="68" spans="1:8">
      <c r="A68" s="2">
        <f t="shared" ca="1" si="0"/>
        <v>0.41567125107795755</v>
      </c>
      <c r="B68" s="2">
        <f t="shared" ca="1" si="1"/>
        <v>7.2229996764802129E-2</v>
      </c>
      <c r="C68" s="2">
        <f t="shared" ca="1" si="2"/>
        <v>3.0023933120582127E-2</v>
      </c>
      <c r="D68" s="2">
        <f t="shared" ca="1" si="3"/>
        <v>0.85510570315406498</v>
      </c>
      <c r="E68" s="2">
        <f t="shared" ca="1" si="4"/>
        <v>0.14489429684593502</v>
      </c>
      <c r="F68" s="1">
        <v>0.2</v>
      </c>
      <c r="G68" s="1">
        <f t="shared" ca="1" si="5"/>
        <v>0.684084562523252</v>
      </c>
      <c r="H68" s="1">
        <f t="shared" ca="1" si="6"/>
        <v>0.11591543747674803</v>
      </c>
    </row>
    <row r="69" spans="1:8">
      <c r="A69" s="2">
        <f t="shared" ca="1" si="0"/>
        <v>1.000274071085689</v>
      </c>
      <c r="B69" s="2">
        <f t="shared" ca="1" si="1"/>
        <v>0.15911614062709822</v>
      </c>
      <c r="C69" s="2">
        <f t="shared" ca="1" si="2"/>
        <v>0.15915974976051053</v>
      </c>
      <c r="D69" s="2">
        <f t="shared" ca="1" si="3"/>
        <v>5.5279621019044267E-3</v>
      </c>
      <c r="E69" s="2">
        <f t="shared" ca="1" si="4"/>
        <v>0.99447203789809557</v>
      </c>
      <c r="F69" s="1">
        <v>0.2</v>
      </c>
      <c r="G69" s="1">
        <f t="shared" ca="1" si="5"/>
        <v>4.4223696815235414E-3</v>
      </c>
      <c r="H69" s="1">
        <f t="shared" ca="1" si="6"/>
        <v>0.7955776303184765</v>
      </c>
    </row>
    <row r="70" spans="1:8">
      <c r="A70" s="2">
        <f t="shared" ca="1" si="0"/>
        <v>0.30809491097513519</v>
      </c>
      <c r="B70" s="2">
        <f t="shared" ca="1" si="1"/>
        <v>7.3882800369316673E-2</v>
      </c>
      <c r="C70" s="2">
        <f t="shared" ca="1" si="2"/>
        <v>2.2762914802378305E-2</v>
      </c>
      <c r="D70" s="2">
        <f t="shared" ca="1" si="3"/>
        <v>0.90287556051066908</v>
      </c>
      <c r="E70" s="2">
        <f t="shared" ca="1" si="4"/>
        <v>9.7124439489330916E-2</v>
      </c>
      <c r="F70" s="1">
        <v>0.2</v>
      </c>
      <c r="G70" s="1">
        <f t="shared" ca="1" si="5"/>
        <v>0.72230044840853536</v>
      </c>
      <c r="H70" s="1">
        <f t="shared" ca="1" si="6"/>
        <v>7.7699551591464744E-2</v>
      </c>
    </row>
    <row r="71" spans="1:8">
      <c r="A71" s="2">
        <f t="shared" ca="1" si="0"/>
        <v>1.0010237854459316</v>
      </c>
      <c r="B71" s="2">
        <f t="shared" ca="1" si="1"/>
        <v>0.11790004923634489</v>
      </c>
      <c r="C71" s="2">
        <f t="shared" ca="1" si="2"/>
        <v>0.1180207535908277</v>
      </c>
      <c r="D71" s="2">
        <f t="shared" ca="1" si="3"/>
        <v>0.27617925269192301</v>
      </c>
      <c r="E71" s="2">
        <f t="shared" ca="1" si="4"/>
        <v>0.72382074730807699</v>
      </c>
      <c r="F71" s="1">
        <v>0.2</v>
      </c>
      <c r="G71" s="1">
        <f t="shared" ca="1" si="5"/>
        <v>0.22094340215353842</v>
      </c>
      <c r="H71" s="1">
        <f t="shared" ca="1" si="6"/>
        <v>0.57905659784646157</v>
      </c>
    </row>
    <row r="72" spans="1:8">
      <c r="A72" s="2">
        <f t="shared" ca="1" si="0"/>
        <v>0.69055988160242054</v>
      </c>
      <c r="B72" s="2">
        <f t="shared" ca="1" si="1"/>
        <v>7.2925263755618003E-2</v>
      </c>
      <c r="C72" s="2">
        <f t="shared" ca="1" si="2"/>
        <v>5.0359261504904856E-2</v>
      </c>
      <c r="D72" s="2">
        <f t="shared" ca="1" si="3"/>
        <v>0.72132064799404705</v>
      </c>
      <c r="E72" s="2">
        <f t="shared" ca="1" si="4"/>
        <v>0.27867935200595295</v>
      </c>
      <c r="F72" s="1">
        <v>0.2</v>
      </c>
      <c r="G72" s="1">
        <f t="shared" ca="1" si="5"/>
        <v>0.57705651839523764</v>
      </c>
      <c r="H72" s="1">
        <f t="shared" ca="1" si="6"/>
        <v>0.22294348160476238</v>
      </c>
    </row>
    <row r="73" spans="1:8">
      <c r="A73" s="2">
        <f t="shared" ca="1" si="0"/>
        <v>0.99677421688039847</v>
      </c>
      <c r="B73" s="2">
        <f t="shared" ca="1" si="1"/>
        <v>0.11224148025460753</v>
      </c>
      <c r="C73" s="2">
        <f t="shared" ca="1" si="2"/>
        <v>0.11187941358228314</v>
      </c>
      <c r="D73" s="2">
        <f t="shared" ca="1" si="3"/>
        <v>0.31658280537971617</v>
      </c>
      <c r="E73" s="2">
        <f t="shared" ca="1" si="4"/>
        <v>0.68341719462028383</v>
      </c>
      <c r="F73" s="1">
        <v>0.2</v>
      </c>
      <c r="G73" s="1">
        <f t="shared" ca="1" si="5"/>
        <v>0.25326624430377292</v>
      </c>
      <c r="H73" s="1">
        <f t="shared" ca="1" si="6"/>
        <v>0.54673375569622706</v>
      </c>
    </row>
    <row r="74" spans="1:8">
      <c r="A74" s="2">
        <f t="shared" ca="1" si="0"/>
        <v>1.0002377849143818</v>
      </c>
      <c r="B74" s="2">
        <f t="shared" ca="1" si="1"/>
        <v>0.15923396845409099</v>
      </c>
      <c r="C74" s="2">
        <f t="shared" ca="1" si="2"/>
        <v>0.1592718318896465</v>
      </c>
      <c r="D74" s="2">
        <f t="shared" ca="1" si="3"/>
        <v>4.7905796733784811E-3</v>
      </c>
      <c r="E74" s="2">
        <f t="shared" ca="1" si="4"/>
        <v>0.99520942032662152</v>
      </c>
      <c r="F74" s="1">
        <v>0.2</v>
      </c>
      <c r="G74" s="1">
        <f t="shared" ca="1" si="5"/>
        <v>3.8324637387027851E-3</v>
      </c>
      <c r="H74" s="1">
        <f t="shared" ca="1" si="6"/>
        <v>0.79616753626129722</v>
      </c>
    </row>
    <row r="75" spans="1:8">
      <c r="A75" s="2">
        <f t="shared" ca="1" si="0"/>
        <v>1.0020890952229276</v>
      </c>
      <c r="B75" s="2">
        <f t="shared" ca="1" si="1"/>
        <v>0.1528002670262355</v>
      </c>
      <c r="C75" s="2">
        <f t="shared" ca="1" si="2"/>
        <v>0.15311948133414208</v>
      </c>
      <c r="D75" s="2">
        <f t="shared" ca="1" si="3"/>
        <v>4.5266570170118148E-2</v>
      </c>
      <c r="E75" s="2">
        <f t="shared" ca="1" si="4"/>
        <v>0.95473342982988185</v>
      </c>
      <c r="F75" s="1">
        <v>0.2</v>
      </c>
      <c r="G75" s="1">
        <f t="shared" ca="1" si="5"/>
        <v>3.6213256136094517E-2</v>
      </c>
      <c r="H75" s="1">
        <f t="shared" ca="1" si="6"/>
        <v>0.76378674386390555</v>
      </c>
    </row>
    <row r="76" spans="1:8">
      <c r="A76" s="2">
        <f t="shared" ca="1" si="0"/>
        <v>1.004643731474109</v>
      </c>
      <c r="B76" s="2">
        <f t="shared" ca="1" si="1"/>
        <v>0.13983733985310312</v>
      </c>
      <c r="C76" s="2">
        <f t="shared" ca="1" si="2"/>
        <v>0.14048670690943466</v>
      </c>
      <c r="D76" s="2">
        <f t="shared" ca="1" si="3"/>
        <v>0.12837692822740376</v>
      </c>
      <c r="E76" s="2">
        <f t="shared" ca="1" si="4"/>
        <v>0.87162307177259624</v>
      </c>
      <c r="F76" s="1">
        <v>0.2</v>
      </c>
      <c r="G76" s="1">
        <f t="shared" ca="1" si="5"/>
        <v>0.10270154258192302</v>
      </c>
      <c r="H76" s="1">
        <f t="shared" ca="1" si="6"/>
        <v>0.69729845741807706</v>
      </c>
    </row>
    <row r="77" spans="1:8">
      <c r="A77" s="2">
        <f t="shared" ca="1" si="0"/>
        <v>0.55827561861557862</v>
      </c>
      <c r="B77" s="2">
        <f t="shared" ca="1" si="1"/>
        <v>7.1577727468951899E-2</v>
      </c>
      <c r="C77" s="2">
        <f t="shared" ca="1" si="2"/>
        <v>3.9960100081826412E-2</v>
      </c>
      <c r="D77" s="2">
        <f t="shared" ca="1" si="3"/>
        <v>0.78973618367219467</v>
      </c>
      <c r="E77" s="2">
        <f t="shared" ca="1" si="4"/>
        <v>0.21026381632780533</v>
      </c>
      <c r="F77" s="1">
        <v>0.2</v>
      </c>
      <c r="G77" s="1">
        <f t="shared" ca="1" si="5"/>
        <v>0.63178894693775578</v>
      </c>
      <c r="H77" s="1">
        <f t="shared" ca="1" si="6"/>
        <v>0.16821105306224426</v>
      </c>
    </row>
    <row r="78" spans="1:8">
      <c r="A78" s="2">
        <f t="shared" ca="1" si="0"/>
        <v>0.95396351095199239</v>
      </c>
      <c r="B78" s="2">
        <f t="shared" ca="1" si="1"/>
        <v>9.2583594666165128E-2</v>
      </c>
      <c r="C78" s="2">
        <f t="shared" ca="1" si="2"/>
        <v>8.8321371024291037E-2</v>
      </c>
      <c r="D78" s="2">
        <f t="shared" ca="1" si="3"/>
        <v>0.47156992747176951</v>
      </c>
      <c r="E78" s="2">
        <f t="shared" ca="1" si="4"/>
        <v>0.52843007252823049</v>
      </c>
      <c r="F78" s="1">
        <v>0.2</v>
      </c>
      <c r="G78" s="1">
        <f t="shared" ca="1" si="5"/>
        <v>0.37725594197741563</v>
      </c>
      <c r="H78" s="1">
        <f t="shared" ca="1" si="6"/>
        <v>0.42274405802258441</v>
      </c>
    </row>
    <row r="79" spans="1:8">
      <c r="A79" s="2">
        <f t="shared" ca="1" si="0"/>
        <v>0.98772826026711869</v>
      </c>
      <c r="B79" s="2">
        <f t="shared" ca="1" si="1"/>
        <v>0.10509646553256012</v>
      </c>
      <c r="C79" s="2">
        <f t="shared" ca="1" si="2"/>
        <v>0.10380674906069881</v>
      </c>
      <c r="D79" s="2">
        <f t="shared" ca="1" si="3"/>
        <v>0.36969244039013938</v>
      </c>
      <c r="E79" s="2">
        <f t="shared" ca="1" si="4"/>
        <v>0.63030755960986062</v>
      </c>
      <c r="F79" s="1">
        <v>0.2</v>
      </c>
      <c r="G79" s="1">
        <f t="shared" ca="1" si="5"/>
        <v>0.29575395231211149</v>
      </c>
      <c r="H79" s="1">
        <f t="shared" ca="1" si="6"/>
        <v>0.5042460476878885</v>
      </c>
    </row>
    <row r="80" spans="1:8">
      <c r="A80" s="2">
        <f t="shared" ca="1" si="0"/>
        <v>0.62517988596548324</v>
      </c>
      <c r="B80" s="2">
        <f t="shared" ca="1" si="1"/>
        <v>7.1974115932911628E-2</v>
      </c>
      <c r="C80" s="2">
        <f t="shared" ca="1" si="2"/>
        <v>4.4996769591404161E-2</v>
      </c>
      <c r="D80" s="2">
        <f t="shared" ca="1" si="3"/>
        <v>0.7566002000565516</v>
      </c>
      <c r="E80" s="2">
        <f t="shared" ca="1" si="4"/>
        <v>0.2433997999434484</v>
      </c>
      <c r="F80" s="1">
        <v>0.2</v>
      </c>
      <c r="G80" s="1">
        <f t="shared" ca="1" si="5"/>
        <v>0.60528016004524132</v>
      </c>
      <c r="H80" s="1">
        <f t="shared" ca="1" si="6"/>
        <v>0.19471983995475872</v>
      </c>
    </row>
    <row r="81" spans="1:8">
      <c r="A81" s="2">
        <f t="shared" ca="1" si="0"/>
        <v>1.0024998620932128</v>
      </c>
      <c r="B81" s="2">
        <f t="shared" ca="1" si="1"/>
        <v>0.12084322444147408</v>
      </c>
      <c r="C81" s="2">
        <f t="shared" ca="1" si="2"/>
        <v>0.12114531583747692</v>
      </c>
      <c r="D81" s="2">
        <f t="shared" ca="1" si="3"/>
        <v>0.25562292212186233</v>
      </c>
      <c r="E81" s="2">
        <f t="shared" ca="1" si="4"/>
        <v>0.74437707787813767</v>
      </c>
      <c r="F81" s="1">
        <v>0.2</v>
      </c>
      <c r="G81" s="1">
        <f t="shared" ca="1" si="5"/>
        <v>0.20449833769748987</v>
      </c>
      <c r="H81" s="1">
        <f t="shared" ca="1" si="6"/>
        <v>0.59550166230251012</v>
      </c>
    </row>
    <row r="82" spans="1:8">
      <c r="A82" s="2">
        <f t="shared" ca="1" si="0"/>
        <v>1.0045058450055555</v>
      </c>
      <c r="B82" s="2">
        <f t="shared" ca="1" si="1"/>
        <v>0.14097621424327503</v>
      </c>
      <c r="C82" s="2">
        <f t="shared" ca="1" si="2"/>
        <v>0.1416114312141252</v>
      </c>
      <c r="D82" s="2">
        <f t="shared" ca="1" si="3"/>
        <v>0.12097742622286067</v>
      </c>
      <c r="E82" s="2">
        <f t="shared" ca="1" si="4"/>
        <v>0.87902257377713933</v>
      </c>
      <c r="F82" s="1">
        <v>0.2</v>
      </c>
      <c r="G82" s="1">
        <f t="shared" ca="1" si="5"/>
        <v>9.6781940978288544E-2</v>
      </c>
      <c r="H82" s="1">
        <f t="shared" ca="1" si="6"/>
        <v>0.70321805902171153</v>
      </c>
    </row>
    <row r="83" spans="1:8">
      <c r="A83" s="2">
        <f t="shared" ca="1" si="0"/>
        <v>0.99367128382773851</v>
      </c>
      <c r="B83" s="2">
        <f t="shared" ca="1" si="1"/>
        <v>0.10932599602546553</v>
      </c>
      <c r="C83" s="2">
        <f t="shared" ca="1" si="2"/>
        <v>0.10863410282637057</v>
      </c>
      <c r="D83" s="2">
        <f t="shared" ca="1" si="3"/>
        <v>0.33793353403703574</v>
      </c>
      <c r="E83" s="2">
        <f t="shared" ca="1" si="4"/>
        <v>0.66206646596296426</v>
      </c>
      <c r="F83" s="1">
        <v>0.2</v>
      </c>
      <c r="G83" s="1">
        <f t="shared" ca="1" si="5"/>
        <v>0.27034682722962861</v>
      </c>
      <c r="H83" s="1">
        <f t="shared" ca="1" si="6"/>
        <v>0.52965317277037138</v>
      </c>
    </row>
    <row r="84" spans="1:8">
      <c r="A84" s="2">
        <f t="shared" ca="1" si="0"/>
        <v>0.98092020274841341</v>
      </c>
      <c r="B84" s="2">
        <f t="shared" ca="1" si="1"/>
        <v>0.10147656291336297</v>
      </c>
      <c r="C84" s="2">
        <f t="shared" ca="1" si="2"/>
        <v>9.9540410667188134E-2</v>
      </c>
      <c r="D84" s="2">
        <f t="shared" ca="1" si="3"/>
        <v>0.39776045613692024</v>
      </c>
      <c r="E84" s="2">
        <f t="shared" ca="1" si="4"/>
        <v>0.60223954386307976</v>
      </c>
      <c r="F84" s="1">
        <v>0.2</v>
      </c>
      <c r="G84" s="1">
        <f t="shared" ca="1" si="5"/>
        <v>0.31820836490953619</v>
      </c>
      <c r="H84" s="1">
        <f t="shared" ca="1" si="6"/>
        <v>0.48179163509046385</v>
      </c>
    </row>
    <row r="85" spans="1:8">
      <c r="A85" s="2">
        <f t="shared" ca="1" si="0"/>
        <v>0.13560133561333665</v>
      </c>
      <c r="B85" s="2">
        <f t="shared" ca="1" si="1"/>
        <v>7.8647554570545661E-2</v>
      </c>
      <c r="C85" s="2">
        <f t="shared" ca="1" si="2"/>
        <v>1.0664713442488771E-2</v>
      </c>
      <c r="D85" s="2">
        <f t="shared" ca="1" si="3"/>
        <v>0.9824689905099423</v>
      </c>
      <c r="E85" s="2">
        <f t="shared" ca="1" si="4"/>
        <v>1.7531009490057703E-2</v>
      </c>
      <c r="F85" s="1">
        <v>0.2</v>
      </c>
      <c r="G85" s="1">
        <f t="shared" ca="1" si="5"/>
        <v>0.78597519240795388</v>
      </c>
      <c r="H85" s="1">
        <f t="shared" ca="1" si="6"/>
        <v>1.4024807592046162E-2</v>
      </c>
    </row>
    <row r="86" spans="1:8">
      <c r="A86" s="2">
        <f t="shared" ca="1" si="0"/>
        <v>0.57637480957970222</v>
      </c>
      <c r="B86" s="2">
        <f t="shared" ca="1" si="1"/>
        <v>7.1634882093959851E-2</v>
      </c>
      <c r="C86" s="2">
        <f t="shared" ca="1" si="2"/>
        <v>4.1288541526170529E-2</v>
      </c>
      <c r="D86" s="2">
        <f t="shared" ca="1" si="3"/>
        <v>0.78099643732782553</v>
      </c>
      <c r="E86" s="2">
        <f t="shared" ca="1" si="4"/>
        <v>0.21900356267217447</v>
      </c>
      <c r="F86" s="1">
        <v>0.2</v>
      </c>
      <c r="G86" s="1">
        <f t="shared" ca="1" si="5"/>
        <v>0.62479714986226043</v>
      </c>
      <c r="H86" s="1">
        <f t="shared" ca="1" si="6"/>
        <v>0.17520285013773959</v>
      </c>
    </row>
    <row r="87" spans="1:8">
      <c r="A87" s="2">
        <f t="shared" ca="1" si="0"/>
        <v>0.94103610051427267</v>
      </c>
      <c r="B87" s="2">
        <f t="shared" ca="1" si="1"/>
        <v>8.9801818313276716E-2</v>
      </c>
      <c r="C87" s="2">
        <f t="shared" ca="1" si="2"/>
        <v>8.4506752924617123E-2</v>
      </c>
      <c r="D87" s="2">
        <f t="shared" ca="1" si="3"/>
        <v>0.49666609918015059</v>
      </c>
      <c r="E87" s="2">
        <f t="shared" ca="1" si="4"/>
        <v>0.50333390081984941</v>
      </c>
      <c r="F87" s="1">
        <v>0.2</v>
      </c>
      <c r="G87" s="1">
        <f t="shared" ca="1" si="5"/>
        <v>0.39733287934412048</v>
      </c>
      <c r="H87" s="1">
        <f t="shared" ca="1" si="6"/>
        <v>0.40266712065587956</v>
      </c>
    </row>
    <row r="88" spans="1:8">
      <c r="A88" s="2">
        <f t="shared" ca="1" si="0"/>
        <v>0.95486927779908382</v>
      </c>
      <c r="B88" s="2">
        <f t="shared" ca="1" si="1"/>
        <v>9.2803235451659624E-2</v>
      </c>
      <c r="C88" s="2">
        <f t="shared" ca="1" si="2"/>
        <v>8.8614958413144554E-2</v>
      </c>
      <c r="D88" s="2">
        <f t="shared" ca="1" si="3"/>
        <v>0.46963843149247009</v>
      </c>
      <c r="E88" s="2">
        <f t="shared" ca="1" si="4"/>
        <v>0.53036156850752991</v>
      </c>
      <c r="F88" s="1">
        <v>0.2</v>
      </c>
      <c r="G88" s="1">
        <f t="shared" ca="1" si="5"/>
        <v>0.37571074519397607</v>
      </c>
      <c r="H88" s="1">
        <f t="shared" ca="1" si="6"/>
        <v>0.42428925480602397</v>
      </c>
    </row>
    <row r="89" spans="1:8">
      <c r="A89" s="2">
        <f t="shared" ca="1" si="0"/>
        <v>1.0020268972885213</v>
      </c>
      <c r="B89" s="2">
        <f t="shared" ca="1" si="1"/>
        <v>0.15303453783227777</v>
      </c>
      <c r="C89" s="2">
        <f t="shared" ca="1" si="2"/>
        <v>0.15334472312206013</v>
      </c>
      <c r="D89" s="2">
        <f t="shared" ca="1" si="3"/>
        <v>4.3784716302236237E-2</v>
      </c>
      <c r="E89" s="2">
        <f t="shared" ca="1" si="4"/>
        <v>0.95621528369776376</v>
      </c>
      <c r="F89" s="1">
        <v>0.2</v>
      </c>
      <c r="G89" s="1">
        <f t="shared" ca="1" si="5"/>
        <v>3.5027773041788994E-2</v>
      </c>
      <c r="H89" s="1">
        <f t="shared" ca="1" si="6"/>
        <v>0.7649722269582111</v>
      </c>
    </row>
    <row r="90" spans="1:8">
      <c r="A90" s="2">
        <f t="shared" ca="1" si="0"/>
        <v>0.11164341013077858</v>
      </c>
      <c r="B90" s="2">
        <f t="shared" ca="1" si="1"/>
        <v>7.954205787823386E-2</v>
      </c>
      <c r="C90" s="2">
        <f t="shared" ca="1" si="2"/>
        <v>8.8803465903457904E-3</v>
      </c>
      <c r="D90" s="2">
        <f t="shared" ca="1" si="3"/>
        <v>0.99420824611614611</v>
      </c>
      <c r="E90" s="2">
        <f t="shared" ca="1" si="4"/>
        <v>5.7917538838538896E-3</v>
      </c>
      <c r="F90" s="1">
        <v>0.2</v>
      </c>
      <c r="G90" s="1">
        <f t="shared" ca="1" si="5"/>
        <v>0.79536659689291689</v>
      </c>
      <c r="H90" s="1">
        <f t="shared" ca="1" si="6"/>
        <v>4.6334031070831118E-3</v>
      </c>
    </row>
    <row r="91" spans="1:8">
      <c r="A91" s="2">
        <f t="shared" ca="1" si="0"/>
        <v>0.35154852778787671</v>
      </c>
      <c r="B91" s="2">
        <f t="shared" ca="1" si="1"/>
        <v>7.3099033682477596E-2</v>
      </c>
      <c r="C91" s="2">
        <f t="shared" ca="1" si="2"/>
        <v>2.5697857673791409E-2</v>
      </c>
      <c r="D91" s="2">
        <f t="shared" ca="1" si="3"/>
        <v>0.8835667258303197</v>
      </c>
      <c r="E91" s="2">
        <f t="shared" ca="1" si="4"/>
        <v>0.1164332741696803</v>
      </c>
      <c r="F91" s="1">
        <v>0.2</v>
      </c>
      <c r="G91" s="1">
        <f t="shared" ca="1" si="5"/>
        <v>0.70685338066425585</v>
      </c>
      <c r="H91" s="1">
        <f t="shared" ca="1" si="6"/>
        <v>9.3146619335744252E-2</v>
      </c>
    </row>
    <row r="92" spans="1:8">
      <c r="A92" s="2">
        <f t="shared" ca="1" si="0"/>
        <v>1.0041447848332468</v>
      </c>
      <c r="B92" s="2">
        <f t="shared" ca="1" si="1"/>
        <v>0.14341620356628679</v>
      </c>
      <c r="C92" s="2">
        <f t="shared" ca="1" si="2"/>
        <v>0.14401063287167015</v>
      </c>
      <c r="D92" s="2">
        <f t="shared" ca="1" si="3"/>
        <v>0.10519320479164385</v>
      </c>
      <c r="E92" s="2">
        <f t="shared" ca="1" si="4"/>
        <v>0.89480679520835615</v>
      </c>
      <c r="F92" s="1">
        <v>0.2</v>
      </c>
      <c r="G92" s="1">
        <f t="shared" ca="1" si="5"/>
        <v>8.4154563833315085E-2</v>
      </c>
      <c r="H92" s="1">
        <f t="shared" ca="1" si="6"/>
        <v>0.71584543616668495</v>
      </c>
    </row>
    <row r="93" spans="1:8">
      <c r="A93" s="2">
        <f t="shared" ca="1" si="0"/>
        <v>0.34201272935169497</v>
      </c>
      <c r="B93" s="2">
        <f t="shared" ca="1" si="1"/>
        <v>7.3257496763317415E-2</v>
      </c>
      <c r="C93" s="2">
        <f t="shared" ca="1" si="2"/>
        <v>2.5054996413495147E-2</v>
      </c>
      <c r="D93" s="2">
        <f t="shared" ca="1" si="3"/>
        <v>0.88779607622700563</v>
      </c>
      <c r="E93" s="2">
        <f t="shared" ca="1" si="4"/>
        <v>0.11220392377299437</v>
      </c>
      <c r="F93" s="1">
        <v>0.2</v>
      </c>
      <c r="G93" s="1">
        <f t="shared" ca="1" si="5"/>
        <v>0.71023686098160455</v>
      </c>
      <c r="H93" s="1">
        <f t="shared" ca="1" si="6"/>
        <v>8.9763139018395499E-2</v>
      </c>
    </row>
    <row r="94" spans="1:8">
      <c r="A94" s="2">
        <f t="shared" ca="1" si="0"/>
        <v>0.17966675107685512</v>
      </c>
      <c r="B94" s="2">
        <f t="shared" ca="1" si="1"/>
        <v>7.7161277148033461E-2</v>
      </c>
      <c r="C94" s="2">
        <f t="shared" ca="1" si="2"/>
        <v>1.3863315974127956E-2</v>
      </c>
      <c r="D94" s="2">
        <f t="shared" ca="1" si="3"/>
        <v>0.96142555280178976</v>
      </c>
      <c r="E94" s="2">
        <f t="shared" ca="1" si="4"/>
        <v>3.8574447198210238E-2</v>
      </c>
      <c r="F94" s="1">
        <v>0.2</v>
      </c>
      <c r="G94" s="1">
        <f t="shared" ca="1" si="5"/>
        <v>0.76914044224143185</v>
      </c>
      <c r="H94" s="1">
        <f t="shared" ca="1" si="6"/>
        <v>3.085955775856819E-2</v>
      </c>
    </row>
    <row r="95" spans="1:8">
      <c r="A95" s="2">
        <f t="shared" ca="1" si="0"/>
        <v>0.93197596303284591</v>
      </c>
      <c r="B95" s="2">
        <f t="shared" ca="1" si="1"/>
        <v>8.8167046698525334E-2</v>
      </c>
      <c r="C95" s="2">
        <f t="shared" ca="1" si="2"/>
        <v>8.2169568254620046E-2</v>
      </c>
      <c r="D95" s="2">
        <f t="shared" ca="1" si="3"/>
        <v>0.51204231411434187</v>
      </c>
      <c r="E95" s="2">
        <f t="shared" ca="1" si="4"/>
        <v>0.48795768588565813</v>
      </c>
      <c r="F95" s="1">
        <v>0.2</v>
      </c>
      <c r="G95" s="1">
        <f t="shared" ca="1" si="5"/>
        <v>0.40963385129147351</v>
      </c>
      <c r="H95" s="1">
        <f t="shared" ca="1" si="6"/>
        <v>0.39036614870852654</v>
      </c>
    </row>
    <row r="96" spans="1:8">
      <c r="A96" s="2">
        <f t="shared" ca="1" si="0"/>
        <v>1.0047079154865788</v>
      </c>
      <c r="B96" s="2">
        <f t="shared" ca="1" si="1"/>
        <v>0.13923749823407724</v>
      </c>
      <c r="C96" s="2">
        <f t="shared" ca="1" si="2"/>
        <v>0.13989301660832595</v>
      </c>
      <c r="D96" s="2">
        <f t="shared" ca="1" si="3"/>
        <v>0.13228278547153982</v>
      </c>
      <c r="E96" s="2">
        <f t="shared" ca="1" si="4"/>
        <v>0.86771721452846018</v>
      </c>
      <c r="F96" s="1">
        <v>0.2</v>
      </c>
      <c r="G96" s="1">
        <f t="shared" ca="1" si="5"/>
        <v>0.10582622837723187</v>
      </c>
      <c r="H96" s="1">
        <f t="shared" ca="1" si="6"/>
        <v>0.69417377162276817</v>
      </c>
    </row>
    <row r="97" spans="1:8">
      <c r="A97" s="2">
        <f t="shared" ca="1" si="0"/>
        <v>0.93842044768226618</v>
      </c>
      <c r="B97" s="2">
        <f t="shared" ca="1" si="1"/>
        <v>8.9306953163688904E-2</v>
      </c>
      <c r="C97" s="2">
        <f t="shared" ca="1" si="2"/>
        <v>8.3807470969008119E-2</v>
      </c>
      <c r="D97" s="2">
        <f t="shared" ca="1" si="3"/>
        <v>0.50126663836178875</v>
      </c>
      <c r="E97" s="2">
        <f t="shared" ca="1" si="4"/>
        <v>0.49873336163821125</v>
      </c>
      <c r="F97" s="1">
        <v>0.2</v>
      </c>
      <c r="G97" s="1">
        <f t="shared" ca="1" si="5"/>
        <v>0.40101331068943102</v>
      </c>
      <c r="H97" s="1">
        <f t="shared" ca="1" si="6"/>
        <v>0.39898668931056902</v>
      </c>
    </row>
    <row r="98" spans="1:8">
      <c r="A98" s="2">
        <f t="shared" ca="1" si="0"/>
        <v>1.0000282042145061</v>
      </c>
      <c r="B98" s="2">
        <f t="shared" ca="1" si="1"/>
        <v>0.15990967627737829</v>
      </c>
      <c r="C98" s="2">
        <f t="shared" ca="1" si="2"/>
        <v>0.15991418640418961</v>
      </c>
      <c r="D98" s="2">
        <f t="shared" ca="1" si="3"/>
        <v>5.6456313033159677E-4</v>
      </c>
      <c r="E98" s="2">
        <f t="shared" ca="1" si="4"/>
        <v>0.9994354368696684</v>
      </c>
      <c r="F98" s="1">
        <v>0.2</v>
      </c>
      <c r="G98" s="1">
        <f t="shared" ca="1" si="5"/>
        <v>4.5165050426527743E-4</v>
      </c>
      <c r="H98" s="1">
        <f t="shared" ca="1" si="6"/>
        <v>0.79954834949573472</v>
      </c>
    </row>
    <row r="99" spans="1:8">
      <c r="A99" s="2">
        <f t="shared" ca="1" si="0"/>
        <v>0.86951949047307797</v>
      </c>
      <c r="B99" s="2">
        <f t="shared" ca="1" si="1"/>
        <v>8.0764774000354325E-2</v>
      </c>
      <c r="C99" s="2">
        <f t="shared" ca="1" si="2"/>
        <v>7.0226545136961388E-2</v>
      </c>
      <c r="D99" s="2">
        <f t="shared" ca="1" si="3"/>
        <v>0.5906148346252541</v>
      </c>
      <c r="E99" s="2">
        <f t="shared" ca="1" si="4"/>
        <v>0.4093851653747459</v>
      </c>
      <c r="F99" s="1">
        <v>0.2</v>
      </c>
      <c r="G99" s="1">
        <f t="shared" ca="1" si="5"/>
        <v>0.47249186770020329</v>
      </c>
      <c r="H99" s="1">
        <f t="shared" ca="1" si="6"/>
        <v>0.32750813229979675</v>
      </c>
    </row>
    <row r="100" spans="1:8">
      <c r="A100" s="2">
        <f t="shared" ca="1" si="0"/>
        <v>0.99242986778530207</v>
      </c>
      <c r="B100" s="2">
        <f t="shared" ca="1" si="1"/>
        <v>0.10832331683801719</v>
      </c>
      <c r="C100" s="2">
        <f t="shared" ca="1" si="2"/>
        <v>0.10750329500761878</v>
      </c>
      <c r="D100" s="2">
        <f t="shared" ca="1" si="3"/>
        <v>0.34537305916040284</v>
      </c>
      <c r="E100" s="2">
        <f t="shared" ca="1" si="4"/>
        <v>0.65462694083959716</v>
      </c>
      <c r="F100" s="1">
        <v>0.2</v>
      </c>
      <c r="G100" s="1">
        <f t="shared" ca="1" si="5"/>
        <v>0.27629844732832226</v>
      </c>
      <c r="H100" s="1">
        <f t="shared" ca="1" si="6"/>
        <v>0.52370155267167773</v>
      </c>
    </row>
    <row r="101" spans="1:8">
      <c r="A101" s="2">
        <f t="shared" ca="1" si="0"/>
        <v>1.0044764717343297</v>
      </c>
      <c r="B101" s="2">
        <f t="shared" ca="1" si="1"/>
        <v>0.12761979015820993</v>
      </c>
      <c r="C101" s="2">
        <f t="shared" ca="1" si="2"/>
        <v>0.12819107654159426</v>
      </c>
      <c r="D101" s="2">
        <f t="shared" ca="1" si="3"/>
        <v>0.20926923327898528</v>
      </c>
      <c r="E101" s="2">
        <f t="shared" ca="1" si="4"/>
        <v>0.79073076672101472</v>
      </c>
      <c r="F101" s="1">
        <v>0.2</v>
      </c>
      <c r="G101" s="1">
        <f t="shared" ca="1" si="5"/>
        <v>0.16741538662318822</v>
      </c>
      <c r="H101" s="1">
        <f t="shared" ca="1" si="6"/>
        <v>0.63258461337681182</v>
      </c>
    </row>
    <row r="102" spans="1:8">
      <c r="A102" s="2">
        <f t="shared" ca="1" si="0"/>
        <v>0.57124815664772444</v>
      </c>
      <c r="B102" s="2">
        <f t="shared" ca="1" si="1"/>
        <v>7.1615123765879626E-2</v>
      </c>
      <c r="C102" s="2">
        <f t="shared" ca="1" si="2"/>
        <v>4.0910007439357375E-2</v>
      </c>
      <c r="D102" s="2">
        <f t="shared" ca="1" si="3"/>
        <v>0.78348679316212255</v>
      </c>
      <c r="E102" s="2">
        <f t="shared" ca="1" si="4"/>
        <v>0.21651320683787745</v>
      </c>
      <c r="F102" s="1">
        <v>0.2</v>
      </c>
      <c r="G102" s="1">
        <f t="shared" ca="1" si="5"/>
        <v>0.62678943452969804</v>
      </c>
      <c r="H102" s="1">
        <f t="shared" ca="1" si="6"/>
        <v>0.17321056547030197</v>
      </c>
    </row>
    <row r="103" spans="1:8">
      <c r="A103" s="2">
        <f t="shared" ca="1" si="0"/>
        <v>0.15423256075415562</v>
      </c>
      <c r="B103" s="2">
        <f t="shared" ca="1" si="1"/>
        <v>7.7994713012274702E-2</v>
      </c>
      <c r="C103" s="2">
        <f t="shared" ca="1" si="2"/>
        <v>1.2029324313168589E-2</v>
      </c>
      <c r="D103" s="2">
        <f t="shared" ca="1" si="3"/>
        <v>0.97349128741336455</v>
      </c>
      <c r="E103" s="2">
        <f t="shared" ca="1" si="4"/>
        <v>2.6508712586635452E-2</v>
      </c>
      <c r="F103" s="1">
        <v>0.2</v>
      </c>
      <c r="G103" s="1">
        <f t="shared" ca="1" si="5"/>
        <v>0.77879302993069166</v>
      </c>
      <c r="H103" s="1">
        <f t="shared" ca="1" si="6"/>
        <v>2.1206970069308363E-2</v>
      </c>
    </row>
    <row r="104" spans="1:8">
      <c r="A104" s="2">
        <f t="shared" ca="1" si="0"/>
        <v>1.0019135748400942</v>
      </c>
      <c r="B104" s="2">
        <f t="shared" ca="1" si="1"/>
        <v>0.15345720124366233</v>
      </c>
      <c r="C104" s="2">
        <f t="shared" ca="1" si="2"/>
        <v>0.15375085308299349</v>
      </c>
      <c r="D104" s="2">
        <f t="shared" ca="1" si="3"/>
        <v>4.1112808664516609E-2</v>
      </c>
      <c r="E104" s="2">
        <f t="shared" ca="1" si="4"/>
        <v>0.95888719133548339</v>
      </c>
      <c r="F104" s="1">
        <v>0.2</v>
      </c>
      <c r="G104" s="1">
        <f t="shared" ca="1" si="5"/>
        <v>3.2890246931613291E-2</v>
      </c>
      <c r="H104" s="1">
        <f t="shared" ca="1" si="6"/>
        <v>0.7671097530683868</v>
      </c>
    </row>
    <row r="105" spans="1:8">
      <c r="A105" s="2">
        <f t="shared" ca="1" si="0"/>
        <v>0.73952090496003819</v>
      </c>
      <c r="B105" s="2">
        <f t="shared" ca="1" si="1"/>
        <v>7.4114331938476455E-2</v>
      </c>
      <c r="C105" s="2">
        <f t="shared" ca="1" si="2"/>
        <v>5.4809097825650771E-2</v>
      </c>
      <c r="D105" s="2">
        <f t="shared" ca="1" si="3"/>
        <v>0.69204540904177125</v>
      </c>
      <c r="E105" s="2">
        <f t="shared" ca="1" si="4"/>
        <v>0.30795459095822875</v>
      </c>
      <c r="F105" s="1">
        <v>0.2</v>
      </c>
      <c r="G105" s="1">
        <f t="shared" ca="1" si="5"/>
        <v>0.55363632723341705</v>
      </c>
      <c r="H105" s="1">
        <f t="shared" ca="1" si="6"/>
        <v>0.246363672766583</v>
      </c>
    </row>
    <row r="106" spans="1:8">
      <c r="A106" s="2">
        <f t="shared" ca="1" si="0"/>
        <v>1.0013098795000825</v>
      </c>
      <c r="B106" s="2">
        <f t="shared" ca="1" si="1"/>
        <v>0.1556292818294927</v>
      </c>
      <c r="C106" s="2">
        <f t="shared" ca="1" si="2"/>
        <v>0.15583313743537372</v>
      </c>
      <c r="D106" s="2">
        <f t="shared" ca="1" si="3"/>
        <v>2.7413569504120439E-2</v>
      </c>
      <c r="E106" s="2">
        <f t="shared" ca="1" si="4"/>
        <v>0.97258643049587956</v>
      </c>
      <c r="F106" s="1">
        <v>0.2</v>
      </c>
      <c r="G106" s="1">
        <f t="shared" ca="1" si="5"/>
        <v>2.1930855603296353E-2</v>
      </c>
      <c r="H106" s="1">
        <f t="shared" ca="1" si="6"/>
        <v>0.77806914439670372</v>
      </c>
    </row>
    <row r="107" spans="1:8">
      <c r="A107" s="2">
        <f t="shared" ca="1" si="0"/>
        <v>0.22920686860610473</v>
      </c>
      <c r="B107" s="2">
        <f t="shared" ca="1" si="1"/>
        <v>7.5719233858536739E-2</v>
      </c>
      <c r="C107" s="2">
        <f t="shared" ca="1" si="2"/>
        <v>1.7355368485968546E-2</v>
      </c>
      <c r="D107" s="2">
        <f t="shared" ca="1" si="3"/>
        <v>0.93845152311862801</v>
      </c>
      <c r="E107" s="2">
        <f t="shared" ca="1" si="4"/>
        <v>6.1548476881371994E-2</v>
      </c>
      <c r="F107" s="1">
        <v>0.2</v>
      </c>
      <c r="G107" s="1">
        <f t="shared" ca="1" si="5"/>
        <v>0.7507612184949024</v>
      </c>
      <c r="H107" s="1">
        <f t="shared" ca="1" si="6"/>
        <v>4.9238781505097598E-2</v>
      </c>
    </row>
    <row r="108" spans="1:8">
      <c r="A108" s="2">
        <f t="shared" ca="1" si="0"/>
        <v>1.0033244147153697</v>
      </c>
      <c r="B108" s="2">
        <f t="shared" ca="1" si="1"/>
        <v>0.12300221829529018</v>
      </c>
      <c r="C108" s="2">
        <f t="shared" ca="1" si="2"/>
        <v>0.12341112867981416</v>
      </c>
      <c r="D108" s="2">
        <f t="shared" ca="1" si="3"/>
        <v>0.24071625868543323</v>
      </c>
      <c r="E108" s="2">
        <f t="shared" ca="1" si="4"/>
        <v>0.75928374131456677</v>
      </c>
      <c r="F108" s="1">
        <v>0.2</v>
      </c>
      <c r="G108" s="1">
        <f t="shared" ca="1" si="5"/>
        <v>0.19257300694834659</v>
      </c>
      <c r="H108" s="1">
        <f t="shared" ca="1" si="6"/>
        <v>0.60742699305165349</v>
      </c>
    </row>
    <row r="109" spans="1:8">
      <c r="A109" s="2">
        <f t="shared" ca="1" si="0"/>
        <v>1.0043004308463745</v>
      </c>
      <c r="B109" s="2">
        <f t="shared" ca="1" si="1"/>
        <v>0.14243379929961036</v>
      </c>
      <c r="C109" s="2">
        <f t="shared" ca="1" si="2"/>
        <v>0.14304632600368472</v>
      </c>
      <c r="D109" s="2">
        <f t="shared" ca="1" si="3"/>
        <v>0.11153732892312695</v>
      </c>
      <c r="E109" s="2">
        <f t="shared" ca="1" si="4"/>
        <v>0.88846267107687305</v>
      </c>
      <c r="F109" s="1">
        <v>0.2</v>
      </c>
      <c r="G109" s="1">
        <f t="shared" ca="1" si="5"/>
        <v>8.9229863138501564E-2</v>
      </c>
      <c r="H109" s="1">
        <f t="shared" ca="1" si="6"/>
        <v>0.71077013686149848</v>
      </c>
    </row>
    <row r="110" spans="1:8">
      <c r="A110" s="2">
        <f t="shared" ca="1" si="0"/>
        <v>0.8831135972478199</v>
      </c>
      <c r="B110" s="2">
        <f t="shared" ca="1" si="1"/>
        <v>8.1982061675636902E-2</v>
      </c>
      <c r="C110" s="2">
        <f t="shared" ca="1" si="2"/>
        <v>7.2399473396164343E-2</v>
      </c>
      <c r="D110" s="2">
        <f t="shared" ca="1" si="3"/>
        <v>0.57631925397260297</v>
      </c>
      <c r="E110" s="2">
        <f t="shared" ca="1" si="4"/>
        <v>0.42368074602739703</v>
      </c>
      <c r="F110" s="1">
        <v>0.2</v>
      </c>
      <c r="G110" s="1">
        <f t="shared" ca="1" si="5"/>
        <v>0.46105540317808241</v>
      </c>
      <c r="H110" s="1">
        <f t="shared" ca="1" si="6"/>
        <v>0.33894459682191763</v>
      </c>
    </row>
    <row r="111" spans="1:8">
      <c r="A111" s="2">
        <f t="shared" ca="1" si="0"/>
        <v>0.90568930918508284</v>
      </c>
      <c r="B111" s="2">
        <f t="shared" ca="1" si="1"/>
        <v>8.4411879017110197E-2</v>
      </c>
      <c r="C111" s="2">
        <f t="shared" ca="1" si="2"/>
        <v>7.6450936394021327E-2</v>
      </c>
      <c r="D111" s="2">
        <f t="shared" ca="1" si="3"/>
        <v>0.54966489214459657</v>
      </c>
      <c r="E111" s="2">
        <f t="shared" ca="1" si="4"/>
        <v>0.45033510785540343</v>
      </c>
      <c r="F111" s="1">
        <v>0.2</v>
      </c>
      <c r="G111" s="1">
        <f t="shared" ca="1" si="5"/>
        <v>0.43973191371567727</v>
      </c>
      <c r="H111" s="1">
        <f t="shared" ca="1" si="6"/>
        <v>0.36026808628432277</v>
      </c>
    </row>
    <row r="112" spans="1:8">
      <c r="A112" s="2">
        <f t="shared" ca="1" si="0"/>
        <v>0.96316598120145747</v>
      </c>
      <c r="B112" s="2">
        <f t="shared" ca="1" si="1"/>
        <v>9.5008070964913691E-2</v>
      </c>
      <c r="C112" s="2">
        <f t="shared" ca="1" si="2"/>
        <v>9.1508541892978801E-2</v>
      </c>
      <c r="D112" s="2">
        <f t="shared" ca="1" si="3"/>
        <v>0.45060169807250794</v>
      </c>
      <c r="E112" s="2">
        <f t="shared" ca="1" si="4"/>
        <v>0.54939830192749206</v>
      </c>
      <c r="F112" s="1">
        <v>0.2</v>
      </c>
      <c r="G112" s="1">
        <f t="shared" ca="1" si="5"/>
        <v>0.36048135845800638</v>
      </c>
      <c r="H112" s="1">
        <f t="shared" ca="1" si="6"/>
        <v>0.43951864154199366</v>
      </c>
    </row>
    <row r="113" spans="1:8">
      <c r="A113" s="2">
        <f t="shared" ca="1" si="0"/>
        <v>1.0044532711941963</v>
      </c>
      <c r="B113" s="2">
        <f t="shared" ca="1" si="1"/>
        <v>0.12748503447383353</v>
      </c>
      <c r="C113" s="2">
        <f t="shared" ca="1" si="2"/>
        <v>0.12805275990554696</v>
      </c>
      <c r="D113" s="2">
        <f t="shared" ca="1" si="3"/>
        <v>0.21017921114771754</v>
      </c>
      <c r="E113" s="2">
        <f t="shared" ca="1" si="4"/>
        <v>0.78982078885228246</v>
      </c>
      <c r="F113" s="1">
        <v>0.2</v>
      </c>
      <c r="G113" s="1">
        <f t="shared" ca="1" si="5"/>
        <v>0.16814336891817405</v>
      </c>
      <c r="H113" s="1">
        <f t="shared" ca="1" si="6"/>
        <v>0.63185663108182599</v>
      </c>
    </row>
    <row r="114" spans="1:8">
      <c r="A114" s="2">
        <f t="shared" ca="1" si="0"/>
        <v>0.57851900632448783</v>
      </c>
      <c r="B114" s="2">
        <f t="shared" ca="1" si="1"/>
        <v>7.1643998468799347E-2</v>
      </c>
      <c r="C114" s="2">
        <f t="shared" ca="1" si="2"/>
        <v>4.1447414803282928E-2</v>
      </c>
      <c r="D114" s="2">
        <f t="shared" ca="1" si="3"/>
        <v>0.77995121839945447</v>
      </c>
      <c r="E114" s="2">
        <f t="shared" ca="1" si="4"/>
        <v>0.22004878160054553</v>
      </c>
      <c r="F114" s="1">
        <v>0.2</v>
      </c>
      <c r="G114" s="1">
        <f t="shared" ca="1" si="5"/>
        <v>0.62396097471956358</v>
      </c>
      <c r="H114" s="1">
        <f t="shared" ca="1" si="6"/>
        <v>0.17603902528043644</v>
      </c>
    </row>
    <row r="115" spans="1:8">
      <c r="A115" s="2">
        <f t="shared" ca="1" si="0"/>
        <v>0.54645267814764065</v>
      </c>
      <c r="B115" s="2">
        <f t="shared" ca="1" si="1"/>
        <v>7.1558966223460918E-2</v>
      </c>
      <c r="C115" s="2">
        <f t="shared" ca="1" si="2"/>
        <v>3.9103588738286774E-2</v>
      </c>
      <c r="D115" s="2">
        <f t="shared" ca="1" si="3"/>
        <v>0.79537112672179755</v>
      </c>
      <c r="E115" s="2">
        <f t="shared" ca="1" si="4"/>
        <v>0.20462887327820245</v>
      </c>
      <c r="F115" s="1">
        <v>0.2</v>
      </c>
      <c r="G115" s="1">
        <f t="shared" ca="1" si="5"/>
        <v>0.63629690137743811</v>
      </c>
      <c r="H115" s="1">
        <f t="shared" ca="1" si="6"/>
        <v>0.16370309862256197</v>
      </c>
    </row>
    <row r="116" spans="1:8">
      <c r="A116" s="2">
        <f t="shared" ca="1" si="0"/>
        <v>0.87728543903973222</v>
      </c>
      <c r="B116" s="2">
        <f t="shared" ca="1" si="1"/>
        <v>8.1440679576291641E-2</v>
      </c>
      <c r="C116" s="2">
        <f t="shared" ca="1" si="2"/>
        <v>7.1446722337781168E-2</v>
      </c>
      <c r="D116" s="2">
        <f t="shared" ca="1" si="3"/>
        <v>0.58258735304091336</v>
      </c>
      <c r="E116" s="2">
        <f t="shared" ca="1" si="4"/>
        <v>0.41741264695908664</v>
      </c>
      <c r="F116" s="1">
        <v>0.2</v>
      </c>
      <c r="G116" s="1">
        <f t="shared" ca="1" si="5"/>
        <v>0.46606988243273073</v>
      </c>
      <c r="H116" s="1">
        <f t="shared" ca="1" si="6"/>
        <v>0.33393011756726931</v>
      </c>
    </row>
    <row r="117" spans="1:8">
      <c r="A117" s="2">
        <f t="shared" ca="1" si="0"/>
        <v>0.99943896116646325</v>
      </c>
      <c r="B117" s="2">
        <f t="shared" ca="1" si="1"/>
        <v>0.11545328546403021</v>
      </c>
      <c r="C117" s="2">
        <f t="shared" ca="1" si="2"/>
        <v>0.11538851168742548</v>
      </c>
      <c r="D117" s="2">
        <f t="shared" ca="1" si="3"/>
        <v>0.29349663363535883</v>
      </c>
      <c r="E117" s="2">
        <f t="shared" ca="1" si="4"/>
        <v>0.70650336636464117</v>
      </c>
      <c r="F117" s="1">
        <v>0.2</v>
      </c>
      <c r="G117" s="1">
        <f t="shared" ca="1" si="5"/>
        <v>0.23479730690828707</v>
      </c>
      <c r="H117" s="1">
        <f t="shared" ca="1" si="6"/>
        <v>0.565202693091713</v>
      </c>
    </row>
    <row r="118" spans="1:8">
      <c r="A118" s="2">
        <f t="shared" ca="1" si="0"/>
        <v>0.95417715361428146</v>
      </c>
      <c r="B118" s="2">
        <f t="shared" ca="1" si="1"/>
        <v>9.2635066467430582E-2</v>
      </c>
      <c r="C118" s="2">
        <f t="shared" ca="1" si="2"/>
        <v>8.8390264046762687E-2</v>
      </c>
      <c r="D118" s="2">
        <f t="shared" ca="1" si="3"/>
        <v>0.4711166839028772</v>
      </c>
      <c r="E118" s="2">
        <f t="shared" ca="1" si="4"/>
        <v>0.5288833160971228</v>
      </c>
      <c r="F118" s="1">
        <v>0.2</v>
      </c>
      <c r="G118" s="1">
        <f t="shared" ca="1" si="5"/>
        <v>0.37689334712230177</v>
      </c>
      <c r="H118" s="1">
        <f t="shared" ca="1" si="6"/>
        <v>0.42310665287769827</v>
      </c>
    </row>
    <row r="119" spans="1:8">
      <c r="A119" s="2">
        <f t="shared" ca="1" si="0"/>
        <v>0.45083395149850086</v>
      </c>
      <c r="B119" s="2">
        <f t="shared" ca="1" si="1"/>
        <v>7.1900020788127836E-2</v>
      </c>
      <c r="C119" s="2">
        <f t="shared" ca="1" si="2"/>
        <v>3.241497048473603E-2</v>
      </c>
      <c r="D119" s="2">
        <f t="shared" ca="1" si="3"/>
        <v>0.83937519417936823</v>
      </c>
      <c r="E119" s="2">
        <f t="shared" ca="1" si="4"/>
        <v>0.16062480582063177</v>
      </c>
      <c r="F119" s="1">
        <v>0.2</v>
      </c>
      <c r="G119" s="1">
        <f t="shared" ca="1" si="5"/>
        <v>0.67150015534349461</v>
      </c>
      <c r="H119" s="1">
        <f t="shared" ca="1" si="6"/>
        <v>0.12849984465650541</v>
      </c>
    </row>
    <row r="120" spans="1:8">
      <c r="A120" s="2">
        <f t="shared" ca="1" si="0"/>
        <v>0.70506696085506981</v>
      </c>
      <c r="B120" s="2">
        <f t="shared" ca="1" si="1"/>
        <v>7.3228923891364553E-2</v>
      </c>
      <c r="C120" s="2">
        <f t="shared" ca="1" si="2"/>
        <v>5.1631294814771619E-2</v>
      </c>
      <c r="D120" s="2">
        <f t="shared" ca="1" si="3"/>
        <v>0.71295200779755519</v>
      </c>
      <c r="E120" s="2">
        <f t="shared" ca="1" si="4"/>
        <v>0.28704799220244481</v>
      </c>
      <c r="F120" s="1">
        <v>0.2</v>
      </c>
      <c r="G120" s="1">
        <f t="shared" ca="1" si="5"/>
        <v>0.57036160623804422</v>
      </c>
      <c r="H120" s="1">
        <f t="shared" ca="1" si="6"/>
        <v>0.22963839376195586</v>
      </c>
    </row>
    <row r="121" spans="1:8">
      <c r="A121" s="2">
        <f t="shared" ca="1" si="0"/>
        <v>0.89292510609022102</v>
      </c>
      <c r="B121" s="2">
        <f t="shared" ca="1" si="1"/>
        <v>8.2967632348650552E-2</v>
      </c>
      <c r="C121" s="2">
        <f t="shared" ca="1" si="2"/>
        <v>7.4083881916973252E-2</v>
      </c>
      <c r="D121" s="2">
        <f t="shared" ca="1" si="3"/>
        <v>0.56523761896728131</v>
      </c>
      <c r="E121" s="2">
        <f t="shared" ca="1" si="4"/>
        <v>0.43476238103271869</v>
      </c>
      <c r="F121" s="1">
        <v>0.2</v>
      </c>
      <c r="G121" s="1">
        <f t="shared" ca="1" si="5"/>
        <v>0.45219009517382508</v>
      </c>
      <c r="H121" s="1">
        <f t="shared" ca="1" si="6"/>
        <v>0.34780990482617496</v>
      </c>
    </row>
    <row r="122" spans="1:8">
      <c r="A122" s="2">
        <f t="shared" ca="1" si="0"/>
        <v>0.99102151473389566</v>
      </c>
      <c r="B122" s="2">
        <f t="shared" ca="1" si="1"/>
        <v>0.10727178644768316</v>
      </c>
      <c r="C122" s="2">
        <f t="shared" ca="1" si="2"/>
        <v>0.10630864829359395</v>
      </c>
      <c r="D122" s="2">
        <f t="shared" ca="1" si="3"/>
        <v>0.35323257701582933</v>
      </c>
      <c r="E122" s="2">
        <f t="shared" ca="1" si="4"/>
        <v>0.64676742298417067</v>
      </c>
      <c r="F122" s="1">
        <v>0.2</v>
      </c>
      <c r="G122" s="1">
        <f t="shared" ca="1" si="5"/>
        <v>0.28258606161266348</v>
      </c>
      <c r="H122" s="1">
        <f t="shared" ca="1" si="6"/>
        <v>0.51741393838733651</v>
      </c>
    </row>
    <row r="123" spans="1:8">
      <c r="A123" s="2">
        <f t="shared" ca="1" si="0"/>
        <v>0.97903889180515258</v>
      </c>
      <c r="B123" s="2">
        <f t="shared" ca="1" si="1"/>
        <v>0.10062557969217464</v>
      </c>
      <c r="C123" s="2">
        <f t="shared" ca="1" si="2"/>
        <v>9.8516356029077726E-2</v>
      </c>
      <c r="D123" s="2">
        <f t="shared" ca="1" si="3"/>
        <v>0.40449765770343604</v>
      </c>
      <c r="E123" s="2">
        <f t="shared" ca="1" si="4"/>
        <v>0.59550234229656396</v>
      </c>
      <c r="F123" s="1">
        <v>0.2</v>
      </c>
      <c r="G123" s="1">
        <f t="shared" ca="1" si="5"/>
        <v>0.32359812616274886</v>
      </c>
      <c r="H123" s="1">
        <f t="shared" ca="1" si="6"/>
        <v>0.47640187383725119</v>
      </c>
    </row>
    <row r="124" spans="1:8">
      <c r="A124" s="2">
        <f t="shared" ca="1" si="0"/>
        <v>1.0000257994787043</v>
      </c>
      <c r="B124" s="2">
        <f t="shared" ca="1" si="1"/>
        <v>0.15991738291501839</v>
      </c>
      <c r="C124" s="2">
        <f t="shared" ca="1" si="2"/>
        <v>0.15992150870013336</v>
      </c>
      <c r="D124" s="2">
        <f t="shared" ca="1" si="3"/>
        <v>5.1639013070170492E-4</v>
      </c>
      <c r="E124" s="2">
        <f t="shared" ca="1" si="4"/>
        <v>0.9994836098692983</v>
      </c>
      <c r="F124" s="1">
        <v>0.2</v>
      </c>
      <c r="G124" s="1">
        <f t="shared" ca="1" si="5"/>
        <v>4.1311210456136395E-4</v>
      </c>
      <c r="H124" s="1">
        <f t="shared" ca="1" si="6"/>
        <v>0.79958688789543864</v>
      </c>
    </row>
    <row r="125" spans="1:8">
      <c r="A125" s="2">
        <f t="shared" ca="1" si="0"/>
        <v>1.0049844199204929</v>
      </c>
      <c r="B125" s="2">
        <f t="shared" ca="1" si="1"/>
        <v>0.13453141811539082</v>
      </c>
      <c r="C125" s="2">
        <f t="shared" ca="1" si="2"/>
        <v>0.13520197919577734</v>
      </c>
      <c r="D125" s="2">
        <f t="shared" ca="1" si="3"/>
        <v>0.16314487371199127</v>
      </c>
      <c r="E125" s="2">
        <f t="shared" ca="1" si="4"/>
        <v>0.83685512628800873</v>
      </c>
      <c r="F125" s="1">
        <v>0.2</v>
      </c>
      <c r="G125" s="1">
        <f t="shared" ca="1" si="5"/>
        <v>0.13051589896959301</v>
      </c>
      <c r="H125" s="1">
        <f t="shared" ca="1" si="6"/>
        <v>0.66948410103040701</v>
      </c>
    </row>
    <row r="126" spans="1:8">
      <c r="A126" s="2">
        <f t="shared" ca="1" si="0"/>
        <v>0.99303338757553172</v>
      </c>
      <c r="B126" s="2">
        <f t="shared" ca="1" si="1"/>
        <v>0.10880111850338561</v>
      </c>
      <c r="C126" s="2">
        <f t="shared" ca="1" si="2"/>
        <v>0.10804314327942388</v>
      </c>
      <c r="D126" s="2">
        <f t="shared" ca="1" si="3"/>
        <v>0.34182142579326402</v>
      </c>
      <c r="E126" s="2">
        <f t="shared" ca="1" si="4"/>
        <v>0.65817857420673598</v>
      </c>
      <c r="F126" s="1">
        <v>0.2</v>
      </c>
      <c r="G126" s="1">
        <f t="shared" ca="1" si="5"/>
        <v>0.27345714063461124</v>
      </c>
      <c r="H126" s="1">
        <f t="shared" ca="1" si="6"/>
        <v>0.5265428593653888</v>
      </c>
    </row>
    <row r="127" spans="1:8">
      <c r="A127" s="2">
        <f t="shared" ca="1" si="0"/>
        <v>0.30874090615001526</v>
      </c>
      <c r="B127" s="2">
        <f t="shared" ca="1" si="1"/>
        <v>7.3869986001015867E-2</v>
      </c>
      <c r="C127" s="2">
        <f t="shared" ca="1" si="2"/>
        <v>2.280668641524258E-2</v>
      </c>
      <c r="D127" s="2">
        <f t="shared" ca="1" si="3"/>
        <v>0.90258758937340411</v>
      </c>
      <c r="E127" s="2">
        <f t="shared" ca="1" si="4"/>
        <v>9.7412410626595891E-2</v>
      </c>
      <c r="F127" s="1">
        <v>0.2</v>
      </c>
      <c r="G127" s="1">
        <f t="shared" ca="1" si="5"/>
        <v>0.72207007149872338</v>
      </c>
      <c r="H127" s="1">
        <f t="shared" ca="1" si="6"/>
        <v>7.7929928501276724E-2</v>
      </c>
    </row>
    <row r="128" spans="1:8">
      <c r="A128" s="2">
        <f t="shared" ca="1" si="0"/>
        <v>0.5812946351670738</v>
      </c>
      <c r="B128" s="2">
        <f t="shared" ca="1" si="1"/>
        <v>7.1656553503959289E-2</v>
      </c>
      <c r="C128" s="2">
        <f t="shared" ca="1" si="2"/>
        <v>4.1653570126413922E-2</v>
      </c>
      <c r="D128" s="2">
        <f t="shared" ca="1" si="3"/>
        <v>0.77859493337885577</v>
      </c>
      <c r="E128" s="2">
        <f t="shared" ca="1" si="4"/>
        <v>0.22140506662114423</v>
      </c>
      <c r="F128" s="1">
        <v>0.2</v>
      </c>
      <c r="G128" s="1">
        <f t="shared" ca="1" si="5"/>
        <v>0.62287594670308466</v>
      </c>
      <c r="H128" s="1">
        <f t="shared" ca="1" si="6"/>
        <v>0.17712405329691538</v>
      </c>
    </row>
    <row r="129" spans="1:8">
      <c r="A129" s="2">
        <f t="shared" ca="1" si="0"/>
        <v>0.98056352781288691</v>
      </c>
      <c r="B129" s="2">
        <f t="shared" ca="1" si="1"/>
        <v>0.10131108937963328</v>
      </c>
      <c r="C129" s="2">
        <f t="shared" ca="1" si="2"/>
        <v>9.9341959208659902E-2</v>
      </c>
      <c r="D129" s="2">
        <f t="shared" ca="1" si="3"/>
        <v>0.39906605783776383</v>
      </c>
      <c r="E129" s="2">
        <f t="shared" ca="1" si="4"/>
        <v>0.60093394216223617</v>
      </c>
      <c r="F129" s="1">
        <v>0.2</v>
      </c>
      <c r="G129" s="1">
        <f t="shared" ca="1" si="5"/>
        <v>0.31925284627021111</v>
      </c>
      <c r="H129" s="1">
        <f t="shared" ca="1" si="6"/>
        <v>0.48074715372978893</v>
      </c>
    </row>
    <row r="130" spans="1:8">
      <c r="A130" s="2">
        <f t="shared" ca="1" si="0"/>
        <v>0.78197407688109</v>
      </c>
      <c r="B130" s="2">
        <f t="shared" ca="1" si="1"/>
        <v>7.5591586271922667E-2</v>
      </c>
      <c r="C130" s="2">
        <f t="shared" ca="1" si="2"/>
        <v>5.9110660894964001E-2</v>
      </c>
      <c r="D130" s="2">
        <f t="shared" ca="1" si="3"/>
        <v>0.66374565200681579</v>
      </c>
      <c r="E130" s="2">
        <f t="shared" ca="1" si="4"/>
        <v>0.33625434799318421</v>
      </c>
      <c r="F130" s="1">
        <v>0.2</v>
      </c>
      <c r="G130" s="1">
        <f t="shared" ca="1" si="5"/>
        <v>0.53099652160545263</v>
      </c>
      <c r="H130" s="1">
        <f t="shared" ca="1" si="6"/>
        <v>0.26900347839454736</v>
      </c>
    </row>
    <row r="131" spans="1:8">
      <c r="A131" s="2">
        <f t="shared" ca="1" si="0"/>
        <v>0.97719547221101621</v>
      </c>
      <c r="B131" s="2">
        <f t="shared" ca="1" si="1"/>
        <v>9.9840324842631237E-2</v>
      </c>
      <c r="C131" s="2">
        <f t="shared" ca="1" si="2"/>
        <v>9.7563513380296285E-2</v>
      </c>
      <c r="D131" s="2">
        <f t="shared" ca="1" si="3"/>
        <v>0.41076635934015615</v>
      </c>
      <c r="E131" s="2">
        <f t="shared" ca="1" si="4"/>
        <v>0.58923364065984385</v>
      </c>
      <c r="F131" s="1">
        <v>0.2</v>
      </c>
      <c r="G131" s="1">
        <f t="shared" ca="1" si="5"/>
        <v>0.32861308747212492</v>
      </c>
      <c r="H131" s="1">
        <f t="shared" ca="1" si="6"/>
        <v>0.47138691252787512</v>
      </c>
    </row>
    <row r="132" spans="1:8">
      <c r="A132" s="2">
        <f t="shared" ca="1" si="0"/>
        <v>1.0044901751577797</v>
      </c>
      <c r="B132" s="2">
        <f t="shared" ca="1" si="1"/>
        <v>0.14109589912823259</v>
      </c>
      <c r="C132" s="2">
        <f t="shared" ca="1" si="2"/>
        <v>0.14172944442936278</v>
      </c>
      <c r="D132" s="2">
        <f t="shared" ca="1" si="3"/>
        <v>0.12020102349103456</v>
      </c>
      <c r="E132" s="2">
        <f t="shared" ca="1" si="4"/>
        <v>0.87979897650896544</v>
      </c>
      <c r="F132" s="1">
        <v>0.2</v>
      </c>
      <c r="G132" s="1">
        <f t="shared" ca="1" si="5"/>
        <v>9.616081879282766E-2</v>
      </c>
      <c r="H132" s="1">
        <f t="shared" ca="1" si="6"/>
        <v>0.70383918120717237</v>
      </c>
    </row>
    <row r="133" spans="1:8">
      <c r="A133" s="2">
        <f t="shared" ca="1" si="0"/>
        <v>0.1887881819384056</v>
      </c>
      <c r="B133" s="2">
        <f t="shared" ca="1" si="1"/>
        <v>7.6878112729441797E-2</v>
      </c>
      <c r="C133" s="2">
        <f t="shared" ca="1" si="2"/>
        <v>1.4513679133047113E-2</v>
      </c>
      <c r="D133" s="2">
        <f t="shared" ca="1" si="3"/>
        <v>0.95714684780890058</v>
      </c>
      <c r="E133" s="2">
        <f t="shared" ca="1" si="4"/>
        <v>4.285315219109942E-2</v>
      </c>
      <c r="F133" s="1">
        <v>0.2</v>
      </c>
      <c r="G133" s="1">
        <f t="shared" ca="1" si="5"/>
        <v>0.76571747824712055</v>
      </c>
      <c r="H133" s="1">
        <f t="shared" ca="1" si="6"/>
        <v>3.428252175287954E-2</v>
      </c>
    </row>
    <row r="134" spans="1:8">
      <c r="A134" s="2">
        <f t="shared" ca="1" si="0"/>
        <v>0.87850649089973132</v>
      </c>
      <c r="B134" s="2">
        <f t="shared" ca="1" si="1"/>
        <v>8.1551576109797116E-2</v>
      </c>
      <c r="C134" s="2">
        <f t="shared" ca="1" si="2"/>
        <v>7.1643588955560222E-2</v>
      </c>
      <c r="D134" s="2">
        <f t="shared" ca="1" si="3"/>
        <v>0.58129217792394594</v>
      </c>
      <c r="E134" s="2">
        <f t="shared" ca="1" si="4"/>
        <v>0.41870782207605406</v>
      </c>
      <c r="F134" s="1">
        <v>0.2</v>
      </c>
      <c r="G134" s="1">
        <f t="shared" ca="1" si="5"/>
        <v>0.46503374233915679</v>
      </c>
      <c r="H134" s="1">
        <f t="shared" ca="1" si="6"/>
        <v>0.33496625766084326</v>
      </c>
    </row>
    <row r="135" spans="1:8">
      <c r="A135" s="2">
        <f t="shared" ca="1" si="0"/>
        <v>1.0028503830610593</v>
      </c>
      <c r="B135" s="2">
        <f t="shared" ca="1" si="1"/>
        <v>0.12169747610082252</v>
      </c>
      <c r="C135" s="2">
        <f t="shared" ca="1" si="2"/>
        <v>0.12204436052527398</v>
      </c>
      <c r="D135" s="2">
        <f t="shared" ca="1" si="3"/>
        <v>0.24970815443898708</v>
      </c>
      <c r="E135" s="2">
        <f t="shared" ca="1" si="4"/>
        <v>0.75029184556101292</v>
      </c>
      <c r="F135" s="1">
        <v>0.2</v>
      </c>
      <c r="G135" s="1">
        <f t="shared" ca="1" si="5"/>
        <v>0.19976652355118968</v>
      </c>
      <c r="H135" s="1">
        <f t="shared" ca="1" si="6"/>
        <v>0.60023347644881042</v>
      </c>
    </row>
    <row r="136" spans="1:8">
      <c r="A136" s="2">
        <f t="shared" ca="1" si="0"/>
        <v>0.97012018913238118</v>
      </c>
      <c r="B136" s="2">
        <f t="shared" ca="1" si="1"/>
        <v>9.71883048977603E-2</v>
      </c>
      <c r="C136" s="2">
        <f t="shared" ca="1" si="2"/>
        <v>9.4284336728870752E-2</v>
      </c>
      <c r="D136" s="2">
        <f t="shared" ca="1" si="3"/>
        <v>0.43233988994163985</v>
      </c>
      <c r="E136" s="2">
        <f t="shared" ca="1" si="4"/>
        <v>0.56766011005836015</v>
      </c>
      <c r="F136" s="1">
        <v>0.2</v>
      </c>
      <c r="G136" s="1">
        <f t="shared" ca="1" si="5"/>
        <v>0.34587191195331191</v>
      </c>
      <c r="H136" s="1">
        <f t="shared" ca="1" si="6"/>
        <v>0.45412808804668814</v>
      </c>
    </row>
    <row r="137" spans="1:8">
      <c r="A137" s="2">
        <f t="shared" ca="1" si="0"/>
        <v>1.00427158621719</v>
      </c>
      <c r="B137" s="2">
        <f t="shared" ca="1" si="1"/>
        <v>0.12652773786969085</v>
      </c>
      <c r="C137" s="2">
        <f t="shared" ca="1" si="2"/>
        <v>0.12706821201086727</v>
      </c>
      <c r="D137" s="2">
        <f t="shared" ca="1" si="3"/>
        <v>0.21665649992850489</v>
      </c>
      <c r="E137" s="2">
        <f t="shared" ca="1" si="4"/>
        <v>0.78334350007149511</v>
      </c>
      <c r="F137" s="1">
        <v>0.2</v>
      </c>
      <c r="G137" s="1">
        <f t="shared" ca="1" si="5"/>
        <v>0.17332519994280393</v>
      </c>
      <c r="H137" s="1">
        <f t="shared" ca="1" si="6"/>
        <v>0.62667480005719611</v>
      </c>
    </row>
    <row r="138" spans="1:8">
      <c r="A138" s="2">
        <f t="shared" ca="1" si="0"/>
        <v>0.86309241449068652</v>
      </c>
      <c r="B138" s="2">
        <f t="shared" ca="1" si="1"/>
        <v>8.0241213364354455E-2</v>
      </c>
      <c r="C138" s="2">
        <f t="shared" ca="1" si="2"/>
        <v>6.9255582584303033E-2</v>
      </c>
      <c r="D138" s="2">
        <f t="shared" ca="1" si="3"/>
        <v>0.59700274615590121</v>
      </c>
      <c r="E138" s="2">
        <f t="shared" ca="1" si="4"/>
        <v>0.40299725384409879</v>
      </c>
      <c r="F138" s="1">
        <v>0.2</v>
      </c>
      <c r="G138" s="1">
        <f t="shared" ca="1" si="5"/>
        <v>0.477602196924721</v>
      </c>
      <c r="H138" s="1">
        <f t="shared" ca="1" si="6"/>
        <v>0.32239780307527904</v>
      </c>
    </row>
    <row r="139" spans="1:8">
      <c r="A139" s="2">
        <f t="shared" ca="1" si="0"/>
        <v>0.74702339615459501</v>
      </c>
      <c r="B139" s="2">
        <f t="shared" ca="1" si="1"/>
        <v>7.4341441404522549E-2</v>
      </c>
      <c r="C139" s="2">
        <f t="shared" ca="1" si="2"/>
        <v>5.553479603303426E-2</v>
      </c>
      <c r="D139" s="2">
        <f t="shared" ca="1" si="3"/>
        <v>0.68727107873003779</v>
      </c>
      <c r="E139" s="2">
        <f t="shared" ca="1" si="4"/>
        <v>0.31272892126996221</v>
      </c>
      <c r="F139" s="1">
        <v>0.2</v>
      </c>
      <c r="G139" s="1">
        <f t="shared" ca="1" si="5"/>
        <v>0.54981686298403021</v>
      </c>
      <c r="H139" s="1">
        <f t="shared" ca="1" si="6"/>
        <v>0.25018313701596978</v>
      </c>
    </row>
    <row r="140" spans="1:8">
      <c r="A140" s="2">
        <f t="shared" ca="1" si="0"/>
        <v>1.0046255061114893</v>
      </c>
      <c r="B140" s="2">
        <f t="shared" ca="1" si="1"/>
        <v>0.1399982484936787</v>
      </c>
      <c r="C140" s="2">
        <f t="shared" ca="1" si="2"/>
        <v>0.14064581124768399</v>
      </c>
      <c r="D140" s="2">
        <f t="shared" ca="1" si="3"/>
        <v>0.12733018915997385</v>
      </c>
      <c r="E140" s="2">
        <f t="shared" ca="1" si="4"/>
        <v>0.87266981084002615</v>
      </c>
      <c r="F140" s="1">
        <v>0.2</v>
      </c>
      <c r="G140" s="1">
        <f t="shared" ca="1" si="5"/>
        <v>0.10186415132797909</v>
      </c>
      <c r="H140" s="1">
        <f t="shared" ca="1" si="6"/>
        <v>0.69813584867202094</v>
      </c>
    </row>
    <row r="141" spans="1:8">
      <c r="A141" s="2">
        <f t="shared" ca="1" si="0"/>
        <v>0.8703666153199231</v>
      </c>
      <c r="B141" s="2">
        <f t="shared" ca="1" si="1"/>
        <v>8.0836125955698335E-2</v>
      </c>
      <c r="C141" s="2">
        <f t="shared" ca="1" si="2"/>
        <v>7.0357065343636144E-2</v>
      </c>
      <c r="D141" s="2">
        <f t="shared" ca="1" si="3"/>
        <v>0.58975614905502538</v>
      </c>
      <c r="E141" s="2">
        <f t="shared" ca="1" si="4"/>
        <v>0.41024385094497462</v>
      </c>
      <c r="F141" s="1">
        <v>0.2</v>
      </c>
      <c r="G141" s="1">
        <f t="shared" ca="1" si="5"/>
        <v>0.47180491924402035</v>
      </c>
      <c r="H141" s="1">
        <f t="shared" ca="1" si="6"/>
        <v>0.3281950807559797</v>
      </c>
    </row>
    <row r="142" spans="1:8">
      <c r="A142" s="2">
        <f t="shared" ca="1" si="0"/>
        <v>0.42908315280333609</v>
      </c>
      <c r="B142" s="2">
        <f t="shared" ca="1" si="1"/>
        <v>7.2091728644313319E-2</v>
      </c>
      <c r="C142" s="2">
        <f t="shared" ca="1" si="2"/>
        <v>3.0933346217744531E-2</v>
      </c>
      <c r="D142" s="2">
        <f t="shared" ca="1" si="3"/>
        <v>0.84912272225168073</v>
      </c>
      <c r="E142" s="2">
        <f t="shared" ca="1" si="4"/>
        <v>0.15087727774831927</v>
      </c>
      <c r="F142" s="1">
        <v>0.2</v>
      </c>
      <c r="G142" s="1">
        <f t="shared" ca="1" si="5"/>
        <v>0.6792981778013446</v>
      </c>
      <c r="H142" s="1">
        <f t="shared" ca="1" si="6"/>
        <v>0.12070182219865543</v>
      </c>
    </row>
    <row r="143" spans="1:8">
      <c r="A143" s="2">
        <f t="shared" ca="1" si="0"/>
        <v>1.004936820484259</v>
      </c>
      <c r="B143" s="2">
        <f t="shared" ca="1" si="1"/>
        <v>0.13617177745430833</v>
      </c>
      <c r="C143" s="2">
        <f t="shared" ca="1" si="2"/>
        <v>0.13684403307462273</v>
      </c>
      <c r="D143" s="2">
        <f t="shared" ca="1" si="3"/>
        <v>0.15234188766695578</v>
      </c>
      <c r="E143" s="2">
        <f t="shared" ca="1" si="4"/>
        <v>0.84765811233304422</v>
      </c>
      <c r="F143" s="1">
        <v>0.2</v>
      </c>
      <c r="G143" s="1">
        <f t="shared" ca="1" si="5"/>
        <v>0.12187351013356462</v>
      </c>
      <c r="H143" s="1">
        <f t="shared" ca="1" si="6"/>
        <v>0.67812648986643542</v>
      </c>
    </row>
    <row r="144" spans="1:8">
      <c r="A144" s="2">
        <f t="shared" ca="1" si="0"/>
        <v>0.10460066586622213</v>
      </c>
      <c r="B144" s="2">
        <f t="shared" ca="1" si="1"/>
        <v>7.9817196722323583E-2</v>
      </c>
      <c r="C144" s="2">
        <f t="shared" ca="1" si="2"/>
        <v>8.3489319247302893E-3</v>
      </c>
      <c r="D144" s="2">
        <f t="shared" ca="1" si="3"/>
        <v>0.99770439523203758</v>
      </c>
      <c r="E144" s="2">
        <f t="shared" ca="1" si="4"/>
        <v>2.2956047679624225E-3</v>
      </c>
      <c r="F144" s="1">
        <v>0.2</v>
      </c>
      <c r="G144" s="1">
        <f t="shared" ca="1" si="5"/>
        <v>0.79816351618563008</v>
      </c>
      <c r="H144" s="1">
        <f t="shared" ca="1" si="6"/>
        <v>1.8364838143699381E-3</v>
      </c>
    </row>
    <row r="145" spans="1:8">
      <c r="A145" s="2">
        <f t="shared" ca="1" si="0"/>
        <v>0.77535756118171872</v>
      </c>
      <c r="B145" s="2">
        <f t="shared" ca="1" si="1"/>
        <v>7.5328454492457911E-2</v>
      </c>
      <c r="C145" s="2">
        <f t="shared" ca="1" si="2"/>
        <v>5.8406486762860248E-2</v>
      </c>
      <c r="D145" s="2">
        <f t="shared" ca="1" si="3"/>
        <v>0.66837837656012999</v>
      </c>
      <c r="E145" s="2">
        <f t="shared" ca="1" si="4"/>
        <v>0.33162162343987001</v>
      </c>
      <c r="F145" s="1">
        <v>0.2</v>
      </c>
      <c r="G145" s="1">
        <f t="shared" ca="1" si="5"/>
        <v>0.53470270124810404</v>
      </c>
      <c r="H145" s="1">
        <f t="shared" ca="1" si="6"/>
        <v>0.265297298751896</v>
      </c>
    </row>
    <row r="146" spans="1:8">
      <c r="A146" s="2">
        <f t="shared" ca="1" si="0"/>
        <v>0.22906376443626783</v>
      </c>
      <c r="B146" s="2">
        <f t="shared" ca="1" si="1"/>
        <v>7.5723067762772669E-2</v>
      </c>
      <c r="C146" s="2">
        <f t="shared" ca="1" si="2"/>
        <v>1.7345410956403306E-2</v>
      </c>
      <c r="D146" s="2">
        <f t="shared" ca="1" si="3"/>
        <v>0.93851703318155721</v>
      </c>
      <c r="E146" s="2">
        <f t="shared" ca="1" si="4"/>
        <v>6.1482966818442786E-2</v>
      </c>
      <c r="F146" s="1">
        <v>0.2</v>
      </c>
      <c r="G146" s="1">
        <f t="shared" ca="1" si="5"/>
        <v>0.75081362654524586</v>
      </c>
      <c r="H146" s="1">
        <f t="shared" ca="1" si="6"/>
        <v>4.9186373454754233E-2</v>
      </c>
    </row>
    <row r="147" spans="1:8">
      <c r="A147" s="2">
        <f t="shared" ca="1" si="0"/>
        <v>0.2948173894001746</v>
      </c>
      <c r="B147" s="2">
        <f t="shared" ca="1" si="1"/>
        <v>7.4154035766815785E-2</v>
      </c>
      <c r="C147" s="2">
        <f t="shared" ca="1" si="2"/>
        <v>2.1861899238259805E-2</v>
      </c>
      <c r="D147" s="2">
        <f t="shared" ca="1" si="3"/>
        <v>0.90880329448513286</v>
      </c>
      <c r="E147" s="2">
        <f t="shared" ca="1" si="4"/>
        <v>9.1196705514867138E-2</v>
      </c>
      <c r="F147" s="1">
        <v>0.2</v>
      </c>
      <c r="G147" s="1">
        <f t="shared" ca="1" si="5"/>
        <v>0.72704263558810633</v>
      </c>
      <c r="H147" s="1">
        <f t="shared" ca="1" si="6"/>
        <v>7.295736441189371E-2</v>
      </c>
    </row>
    <row r="148" spans="1:8">
      <c r="A148" s="2">
        <f t="shared" ca="1" si="0"/>
        <v>0.76861987000179421</v>
      </c>
      <c r="B148" s="2">
        <f t="shared" ca="1" si="1"/>
        <v>7.5073896703004878E-2</v>
      </c>
      <c r="C148" s="2">
        <f t="shared" ca="1" si="2"/>
        <v>5.7703288724391733E-2</v>
      </c>
      <c r="D148" s="2">
        <f t="shared" ca="1" si="3"/>
        <v>0.67300467944479125</v>
      </c>
      <c r="E148" s="2">
        <f t="shared" ca="1" si="4"/>
        <v>0.32699532055520875</v>
      </c>
      <c r="F148" s="1">
        <v>0.2</v>
      </c>
      <c r="G148" s="1">
        <f t="shared" ca="1" si="5"/>
        <v>0.53840374355583298</v>
      </c>
      <c r="H148" s="1">
        <f t="shared" ca="1" si="6"/>
        <v>0.26159625644416701</v>
      </c>
    </row>
    <row r="149" spans="1:8">
      <c r="A149" s="2">
        <f t="shared" ca="1" si="0"/>
        <v>0.75327015238052109</v>
      </c>
      <c r="B149" s="2">
        <f t="shared" ca="1" si="1"/>
        <v>7.4540909870059235E-2</v>
      </c>
      <c r="C149" s="2">
        <f t="shared" ca="1" si="2"/>
        <v>5.6149442536402208E-2</v>
      </c>
      <c r="D149" s="2">
        <f t="shared" ca="1" si="3"/>
        <v>0.68322735173419602</v>
      </c>
      <c r="E149" s="2">
        <f t="shared" ca="1" si="4"/>
        <v>0.31677264826580398</v>
      </c>
      <c r="F149" s="1">
        <v>0.2</v>
      </c>
      <c r="G149" s="1">
        <f t="shared" ca="1" si="5"/>
        <v>0.54658188138735686</v>
      </c>
      <c r="H149" s="1">
        <f t="shared" ca="1" si="6"/>
        <v>0.25341811861264318</v>
      </c>
    </row>
    <row r="150" spans="1:8">
      <c r="A150" s="2">
        <f t="shared" ca="1" si="0"/>
        <v>1.0033802685803765</v>
      </c>
      <c r="B150" s="2">
        <f t="shared" ca="1" si="1"/>
        <v>0.14743095933687711</v>
      </c>
      <c r="C150" s="2">
        <f t="shared" ca="1" si="2"/>
        <v>0.14792931557649833</v>
      </c>
      <c r="D150" s="2">
        <f t="shared" ca="1" si="3"/>
        <v>7.9412397523037415E-2</v>
      </c>
      <c r="E150" s="2">
        <f t="shared" ca="1" si="4"/>
        <v>0.92058760247696259</v>
      </c>
      <c r="F150" s="1">
        <v>0.2</v>
      </c>
      <c r="G150" s="1">
        <f t="shared" ca="1" si="5"/>
        <v>6.3529918018429929E-2</v>
      </c>
      <c r="H150" s="1">
        <f t="shared" ca="1" si="6"/>
        <v>0.73647008198157016</v>
      </c>
    </row>
    <row r="151" spans="1:8">
      <c r="A151" s="2">
        <f t="shared" ca="1" si="0"/>
        <v>1.0028656281228081</v>
      </c>
      <c r="B151" s="2">
        <f t="shared" ca="1" si="1"/>
        <v>0.14970995620100708</v>
      </c>
      <c r="C151" s="2">
        <f t="shared" ca="1" si="2"/>
        <v>0.15013896926176107</v>
      </c>
      <c r="D151" s="2">
        <f t="shared" ca="1" si="3"/>
        <v>6.4875202225256223E-2</v>
      </c>
      <c r="E151" s="2">
        <f t="shared" ca="1" si="4"/>
        <v>0.93512479777474378</v>
      </c>
      <c r="F151" s="1">
        <v>0.2</v>
      </c>
      <c r="G151" s="1">
        <f t="shared" ca="1" si="5"/>
        <v>5.1900161780204984E-2</v>
      </c>
      <c r="H151" s="1">
        <f t="shared" ca="1" si="6"/>
        <v>0.74809983821979509</v>
      </c>
    </row>
    <row r="152" spans="1:8">
      <c r="A152" s="2">
        <f t="shared" ca="1" si="0"/>
        <v>0.67678845816011335</v>
      </c>
      <c r="B152" s="2">
        <f t="shared" ca="1" si="1"/>
        <v>7.2670725507161985E-2</v>
      </c>
      <c r="C152" s="2">
        <f t="shared" ca="1" si="2"/>
        <v>4.9182708269368977E-2</v>
      </c>
      <c r="D152" s="2">
        <f t="shared" ca="1" si="3"/>
        <v>0.72906112980678306</v>
      </c>
      <c r="E152" s="2">
        <f t="shared" ca="1" si="4"/>
        <v>0.27093887019321694</v>
      </c>
      <c r="F152" s="1">
        <v>0.2</v>
      </c>
      <c r="G152" s="1">
        <f t="shared" ca="1" si="5"/>
        <v>0.58324890384542649</v>
      </c>
      <c r="H152" s="1">
        <f t="shared" ca="1" si="6"/>
        <v>0.21675109615457355</v>
      </c>
    </row>
    <row r="153" spans="1:8">
      <c r="A153" s="2">
        <f t="shared" ca="1" si="0"/>
        <v>0.71139006899975621</v>
      </c>
      <c r="B153" s="2">
        <f t="shared" ca="1" si="1"/>
        <v>7.3373407925240858E-2</v>
      </c>
      <c r="C153" s="2">
        <f t="shared" ca="1" si="2"/>
        <v>5.2197113726684355E-2</v>
      </c>
      <c r="D153" s="2">
        <f t="shared" ca="1" si="3"/>
        <v>0.70922951495602404</v>
      </c>
      <c r="E153" s="2">
        <f t="shared" ca="1" si="4"/>
        <v>0.29077048504397596</v>
      </c>
      <c r="F153" s="1">
        <v>0.2</v>
      </c>
      <c r="G153" s="1">
        <f t="shared" ca="1" si="5"/>
        <v>0.56738361196481923</v>
      </c>
      <c r="H153" s="1">
        <f t="shared" ca="1" si="6"/>
        <v>0.23261638803518078</v>
      </c>
    </row>
    <row r="154" spans="1:8">
      <c r="A154" s="2">
        <f t="shared" ca="1" si="0"/>
        <v>1.0049870461792032</v>
      </c>
      <c r="B154" s="2">
        <f t="shared" ca="1" si="1"/>
        <v>0.13378377210652406</v>
      </c>
      <c r="C154" s="2">
        <f t="shared" ca="1" si="2"/>
        <v>0.13445095795604731</v>
      </c>
      <c r="D154" s="2">
        <f t="shared" ca="1" si="3"/>
        <v>0.1680858029207416</v>
      </c>
      <c r="E154" s="2">
        <f t="shared" ca="1" si="4"/>
        <v>0.8319141970792584</v>
      </c>
      <c r="F154" s="1">
        <v>0.2</v>
      </c>
      <c r="G154" s="1">
        <f t="shared" ca="1" si="5"/>
        <v>0.13446864233659328</v>
      </c>
      <c r="H154" s="1">
        <f t="shared" ca="1" si="6"/>
        <v>0.66553135766340676</v>
      </c>
    </row>
    <row r="155" spans="1:8">
      <c r="A155" s="2">
        <f t="shared" ca="1" si="0"/>
        <v>0.70992874491897262</v>
      </c>
      <c r="B155" s="2">
        <f t="shared" ca="1" si="1"/>
        <v>7.3339338404231569E-2</v>
      </c>
      <c r="C155" s="2">
        <f t="shared" ca="1" si="2"/>
        <v>5.2065704466503923E-2</v>
      </c>
      <c r="D155" s="2">
        <f t="shared" ca="1" si="3"/>
        <v>0.71009404956247424</v>
      </c>
      <c r="E155" s="2">
        <f t="shared" ca="1" si="4"/>
        <v>0.28990595043752576</v>
      </c>
      <c r="F155" s="1">
        <v>0.2</v>
      </c>
      <c r="G155" s="1">
        <f t="shared" ca="1" si="5"/>
        <v>0.56807523964997941</v>
      </c>
      <c r="H155" s="1">
        <f t="shared" ca="1" si="6"/>
        <v>0.23192476035002063</v>
      </c>
    </row>
    <row r="156" spans="1:8">
      <c r="A156" s="2">
        <f t="shared" ca="1" si="0"/>
        <v>1.0049651676659612</v>
      </c>
      <c r="B156" s="2">
        <f t="shared" ca="1" si="1"/>
        <v>0.1325997181116888</v>
      </c>
      <c r="C156" s="2">
        <f t="shared" ca="1" si="2"/>
        <v>0.13325809794457252</v>
      </c>
      <c r="D156" s="2">
        <f t="shared" ca="1" si="3"/>
        <v>0.17593356615412814</v>
      </c>
      <c r="E156" s="2">
        <f t="shared" ca="1" si="4"/>
        <v>0.82406643384587186</v>
      </c>
      <c r="F156" s="1">
        <v>0.2</v>
      </c>
      <c r="G156" s="1">
        <f t="shared" ca="1" si="5"/>
        <v>0.14074685292330252</v>
      </c>
      <c r="H156" s="1">
        <f t="shared" ca="1" si="6"/>
        <v>0.65925314707669758</v>
      </c>
    </row>
    <row r="157" spans="1:8">
      <c r="A157" s="2">
        <f t="shared" ca="1" si="0"/>
        <v>0.99165756240083713</v>
      </c>
      <c r="B157" s="2">
        <f t="shared" ca="1" si="1"/>
        <v>0.10773630101067241</v>
      </c>
      <c r="C157" s="2">
        <f t="shared" ca="1" si="2"/>
        <v>0.10683751764232625</v>
      </c>
      <c r="D157" s="2">
        <f t="shared" ca="1" si="3"/>
        <v>0.3497531734057483</v>
      </c>
      <c r="E157" s="2">
        <f t="shared" ca="1" si="4"/>
        <v>0.6502468265942517</v>
      </c>
      <c r="F157" s="1">
        <v>0.2</v>
      </c>
      <c r="G157" s="1">
        <f t="shared" ca="1" si="5"/>
        <v>0.27980253872459865</v>
      </c>
      <c r="H157" s="1">
        <f t="shared" ca="1" si="6"/>
        <v>0.52019746127540134</v>
      </c>
    </row>
    <row r="158" spans="1:8">
      <c r="A158" s="2">
        <f t="shared" ca="1" si="0"/>
        <v>0.95919987178928545</v>
      </c>
      <c r="B158" s="2">
        <f t="shared" ca="1" si="1"/>
        <v>9.3907850510896493E-2</v>
      </c>
      <c r="C158" s="2">
        <f t="shared" ca="1" si="2"/>
        <v>9.0076398170059302E-2</v>
      </c>
      <c r="D158" s="2">
        <f t="shared" ca="1" si="3"/>
        <v>0.46002369624960993</v>
      </c>
      <c r="E158" s="2">
        <f t="shared" ca="1" si="4"/>
        <v>0.53997630375039007</v>
      </c>
      <c r="F158" s="1">
        <v>0.2</v>
      </c>
      <c r="G158" s="1">
        <f t="shared" ca="1" si="5"/>
        <v>0.36801895699968795</v>
      </c>
      <c r="H158" s="1">
        <f t="shared" ca="1" si="6"/>
        <v>0.43198104300031209</v>
      </c>
    </row>
    <row r="159" spans="1:8">
      <c r="A159" s="2">
        <f t="shared" ca="1" si="0"/>
        <v>0.98258908917577215</v>
      </c>
      <c r="B159" s="2">
        <f t="shared" ca="1" si="1"/>
        <v>0.10227870954543418</v>
      </c>
      <c r="C159" s="2">
        <f t="shared" ca="1" si="2"/>
        <v>0.10049794405432153</v>
      </c>
      <c r="D159" s="2">
        <f t="shared" ca="1" si="3"/>
        <v>0.39146089437946374</v>
      </c>
      <c r="E159" s="2">
        <f t="shared" ca="1" si="4"/>
        <v>0.60853910562053626</v>
      </c>
      <c r="F159" s="1">
        <v>0.2</v>
      </c>
      <c r="G159" s="1">
        <f t="shared" ca="1" si="5"/>
        <v>0.313168715503571</v>
      </c>
      <c r="H159" s="1">
        <f t="shared" ca="1" si="6"/>
        <v>0.48683128449642904</v>
      </c>
    </row>
    <row r="160" spans="1:8">
      <c r="A160" s="2">
        <f t="shared" ca="1" si="0"/>
        <v>1.0048707930290575</v>
      </c>
      <c r="B160" s="2">
        <f t="shared" ca="1" si="1"/>
        <v>0.13085527343120029</v>
      </c>
      <c r="C160" s="2">
        <f t="shared" ca="1" si="2"/>
        <v>0.1314926423848444</v>
      </c>
      <c r="D160" s="2">
        <f t="shared" ca="1" si="3"/>
        <v>0.18754840536286599</v>
      </c>
      <c r="E160" s="2">
        <f t="shared" ca="1" si="4"/>
        <v>0.81245159463713401</v>
      </c>
      <c r="F160" s="1">
        <v>0.2</v>
      </c>
      <c r="G160" s="1">
        <f t="shared" ca="1" si="5"/>
        <v>0.1500387242902928</v>
      </c>
      <c r="H160" s="1">
        <f t="shared" ca="1" si="6"/>
        <v>0.6499612757097073</v>
      </c>
    </row>
    <row r="161" spans="1:8">
      <c r="A161" s="2">
        <f t="shared" ca="1" si="0"/>
        <v>0.62786727464471748</v>
      </c>
      <c r="B161" s="2">
        <f t="shared" ca="1" si="1"/>
        <v>7.2001254194017608E-2</v>
      </c>
      <c r="C161" s="2">
        <f t="shared" ca="1" si="2"/>
        <v>4.5207231241799366E-2</v>
      </c>
      <c r="D161" s="2">
        <f t="shared" ca="1" si="3"/>
        <v>0.75521558393553057</v>
      </c>
      <c r="E161" s="2">
        <f t="shared" ca="1" si="4"/>
        <v>0.24478441606446943</v>
      </c>
      <c r="F161" s="1">
        <v>0.2</v>
      </c>
      <c r="G161" s="1">
        <f t="shared" ca="1" si="5"/>
        <v>0.60417246714842454</v>
      </c>
      <c r="H161" s="1">
        <f t="shared" ca="1" si="6"/>
        <v>0.19582753285157556</v>
      </c>
    </row>
    <row r="162" spans="1:8">
      <c r="A162" s="2">
        <f t="shared" ca="1" si="0"/>
        <v>0.98664671237974633</v>
      </c>
      <c r="B162" s="2">
        <f t="shared" ca="1" si="1"/>
        <v>0.10445274649609343</v>
      </c>
      <c r="C162" s="2">
        <f t="shared" ca="1" si="2"/>
        <v>0.10305795892940565</v>
      </c>
      <c r="D162" s="2">
        <f t="shared" ca="1" si="3"/>
        <v>0.37461869125391023</v>
      </c>
      <c r="E162" s="2">
        <f t="shared" ca="1" si="4"/>
        <v>0.62538130874608977</v>
      </c>
      <c r="F162" s="1">
        <v>0.2</v>
      </c>
      <c r="G162" s="1">
        <f t="shared" ca="1" si="5"/>
        <v>0.29969495300312821</v>
      </c>
      <c r="H162" s="1">
        <f t="shared" ca="1" si="6"/>
        <v>0.50030504699687184</v>
      </c>
    </row>
    <row r="163" spans="1:8">
      <c r="A163" s="2">
        <f t="shared" ca="1" si="0"/>
        <v>1.0009721397756732</v>
      </c>
      <c r="B163" s="2">
        <f t="shared" ca="1" si="1"/>
        <v>0.11781100200252112</v>
      </c>
      <c r="C163" s="2">
        <f t="shared" ca="1" si="2"/>
        <v>0.1179255307635797</v>
      </c>
      <c r="D163" s="2">
        <f t="shared" ca="1" si="3"/>
        <v>0.27680571866065995</v>
      </c>
      <c r="E163" s="2">
        <f t="shared" ca="1" si="4"/>
        <v>0.72319428133934005</v>
      </c>
      <c r="F163" s="1">
        <v>0.2</v>
      </c>
      <c r="G163" s="1">
        <f t="shared" ca="1" si="5"/>
        <v>0.22144457492852798</v>
      </c>
      <c r="H163" s="1">
        <f t="shared" ca="1" si="6"/>
        <v>0.57855542507147206</v>
      </c>
    </row>
    <row r="164" spans="1:8">
      <c r="A164" s="2">
        <f t="shared" ca="1" si="0"/>
        <v>0.34428288064595136</v>
      </c>
      <c r="B164" s="2">
        <f t="shared" ca="1" si="1"/>
        <v>7.321908479483269E-2</v>
      </c>
      <c r="C164" s="2">
        <f t="shared" ca="1" si="2"/>
        <v>2.5208077431425176E-2</v>
      </c>
      <c r="D164" s="2">
        <f t="shared" ca="1" si="3"/>
        <v>0.88678896426693965</v>
      </c>
      <c r="E164" s="2">
        <f t="shared" ca="1" si="4"/>
        <v>0.11321103573306035</v>
      </c>
      <c r="F164" s="1">
        <v>0.2</v>
      </c>
      <c r="G164" s="1">
        <f t="shared" ca="1" si="5"/>
        <v>0.70943117141355172</v>
      </c>
      <c r="H164" s="1">
        <f t="shared" ca="1" si="6"/>
        <v>9.0568828586448283E-2</v>
      </c>
    </row>
    <row r="165" spans="1:8">
      <c r="A165" s="2">
        <f t="shared" ca="1" si="0"/>
        <v>1.0038938671116091</v>
      </c>
      <c r="B165" s="2">
        <f t="shared" ca="1" si="1"/>
        <v>0.14485304354408379</v>
      </c>
      <c r="C165" s="2">
        <f t="shared" ca="1" si="2"/>
        <v>0.14541708204635659</v>
      </c>
      <c r="D165" s="2">
        <f t="shared" ca="1" si="3"/>
        <v>9.5940249695022461E-2</v>
      </c>
      <c r="E165" s="2">
        <f t="shared" ca="1" si="4"/>
        <v>0.90405975030497754</v>
      </c>
      <c r="F165" s="1">
        <v>0.2</v>
      </c>
      <c r="G165" s="1">
        <f t="shared" ca="1" si="5"/>
        <v>7.6752199756017978E-2</v>
      </c>
      <c r="H165" s="1">
        <f t="shared" ca="1" si="6"/>
        <v>0.72324780024398205</v>
      </c>
    </row>
    <row r="166" spans="1:8">
      <c r="A166" s="2">
        <f t="shared" ca="1" si="0"/>
        <v>0.92909553374942067</v>
      </c>
      <c r="B166" s="2">
        <f t="shared" ca="1" si="1"/>
        <v>8.7690547103484756E-2</v>
      </c>
      <c r="C166" s="2">
        <f t="shared" ca="1" si="2"/>
        <v>8.1472895665890888E-2</v>
      </c>
      <c r="D166" s="2">
        <f t="shared" ca="1" si="3"/>
        <v>0.51662568640861262</v>
      </c>
      <c r="E166" s="2">
        <f t="shared" ca="1" si="4"/>
        <v>0.48337431359138738</v>
      </c>
      <c r="F166" s="1">
        <v>0.2</v>
      </c>
      <c r="G166" s="1">
        <f t="shared" ca="1" si="5"/>
        <v>0.41330054912689013</v>
      </c>
      <c r="H166" s="1">
        <f t="shared" ca="1" si="6"/>
        <v>0.38669945087310992</v>
      </c>
    </row>
    <row r="167" spans="1:8">
      <c r="A167" s="2">
        <f t="shared" ca="1" si="0"/>
        <v>0.99811252101537229</v>
      </c>
      <c r="B167" s="2">
        <f t="shared" ca="1" si="1"/>
        <v>0.11374650085456217</v>
      </c>
      <c r="C167" s="2">
        <f t="shared" ca="1" si="2"/>
        <v>0.11353180672462425</v>
      </c>
      <c r="D167" s="2">
        <f t="shared" ca="1" si="3"/>
        <v>0.30571179786431424</v>
      </c>
      <c r="E167" s="2">
        <f t="shared" ca="1" si="4"/>
        <v>0.69428820213568576</v>
      </c>
      <c r="F167" s="1">
        <v>0.2</v>
      </c>
      <c r="G167" s="1">
        <f t="shared" ca="1" si="5"/>
        <v>0.24456943829145139</v>
      </c>
      <c r="H167" s="1">
        <f t="shared" ca="1" si="6"/>
        <v>0.55543056170854865</v>
      </c>
    </row>
    <row r="168" spans="1:8">
      <c r="A168" s="2">
        <f t="shared" ca="1" si="0"/>
        <v>1.0049614271442016</v>
      </c>
      <c r="B168" s="2">
        <f t="shared" ca="1" si="1"/>
        <v>0.13554966223116741</v>
      </c>
      <c r="C168" s="2">
        <f t="shared" ca="1" si="2"/>
        <v>0.13622218200474848</v>
      </c>
      <c r="D168" s="2">
        <f t="shared" ca="1" si="3"/>
        <v>0.15643301312665481</v>
      </c>
      <c r="E168" s="2">
        <f t="shared" ca="1" si="4"/>
        <v>0.84356698687334519</v>
      </c>
      <c r="F168" s="1">
        <v>0.2</v>
      </c>
      <c r="G168" s="1">
        <f t="shared" ca="1" si="5"/>
        <v>0.12514641050132386</v>
      </c>
      <c r="H168" s="1">
        <f t="shared" ca="1" si="6"/>
        <v>0.67485358949867624</v>
      </c>
    </row>
    <row r="169" spans="1:8">
      <c r="A169" s="2">
        <f t="shared" ca="1" si="0"/>
        <v>0.72351995791406087</v>
      </c>
      <c r="B169" s="2">
        <f t="shared" ca="1" si="1"/>
        <v>7.3672510983276068E-2</v>
      </c>
      <c r="C169" s="2">
        <f t="shared" ca="1" si="2"/>
        <v>5.3303532046043087E-2</v>
      </c>
      <c r="D169" s="2">
        <f t="shared" ca="1" si="3"/>
        <v>0.70195044706550602</v>
      </c>
      <c r="E169" s="2">
        <f t="shared" ca="1" si="4"/>
        <v>0.29804955293449398</v>
      </c>
      <c r="F169" s="1">
        <v>0.2</v>
      </c>
      <c r="G169" s="1">
        <f t="shared" ca="1" si="5"/>
        <v>0.56156035765240486</v>
      </c>
      <c r="H169" s="1">
        <f t="shared" ca="1" si="6"/>
        <v>0.23843964234759518</v>
      </c>
    </row>
    <row r="170" spans="1:8">
      <c r="A170" s="2">
        <f t="shared" ca="1" si="0"/>
        <v>1.0046680527826626</v>
      </c>
      <c r="B170" s="2">
        <f t="shared" ca="1" si="1"/>
        <v>0.13961652521503823</v>
      </c>
      <c r="C170" s="2">
        <f t="shared" ca="1" si="2"/>
        <v>0.14026826252407398</v>
      </c>
      <c r="D170" s="2">
        <f t="shared" ca="1" si="3"/>
        <v>0.12981406234161863</v>
      </c>
      <c r="E170" s="2">
        <f t="shared" ca="1" si="4"/>
        <v>0.87018593765838137</v>
      </c>
      <c r="F170" s="1">
        <v>0.2</v>
      </c>
      <c r="G170" s="1">
        <f t="shared" ca="1" si="5"/>
        <v>0.10385124987329492</v>
      </c>
      <c r="H170" s="1">
        <f t="shared" ca="1" si="6"/>
        <v>0.69614875012670518</v>
      </c>
    </row>
    <row r="171" spans="1:8">
      <c r="A171" s="2">
        <f t="shared" ca="1" si="0"/>
        <v>0.99879356421928778</v>
      </c>
      <c r="B171" s="2">
        <f t="shared" ca="1" si="1"/>
        <v>0.11459166805470643</v>
      </c>
      <c r="C171" s="2">
        <f t="shared" ca="1" si="2"/>
        <v>0.11445342056619373</v>
      </c>
      <c r="D171" s="2">
        <f t="shared" ca="1" si="3"/>
        <v>0.29964854890662029</v>
      </c>
      <c r="E171" s="2">
        <f t="shared" ca="1" si="4"/>
        <v>0.70035145109337971</v>
      </c>
      <c r="F171" s="1">
        <v>0.2</v>
      </c>
      <c r="G171" s="1">
        <f t="shared" ca="1" si="5"/>
        <v>0.23971883912529623</v>
      </c>
      <c r="H171" s="1">
        <f t="shared" ca="1" si="6"/>
        <v>0.56028116087470381</v>
      </c>
    </row>
    <row r="172" spans="1:8">
      <c r="A172" s="2">
        <f t="shared" ca="1" si="0"/>
        <v>1.0035662628625679</v>
      </c>
      <c r="B172" s="2">
        <f t="shared" ca="1" si="1"/>
        <v>0.14654105001176682</v>
      </c>
      <c r="C172" s="2">
        <f t="shared" ca="1" si="2"/>
        <v>0.1470636539162655</v>
      </c>
      <c r="D172" s="2">
        <f t="shared" ca="1" si="3"/>
        <v>8.5107540024569106E-2</v>
      </c>
      <c r="E172" s="2">
        <f t="shared" ca="1" si="4"/>
        <v>0.91489245997543089</v>
      </c>
      <c r="F172" s="1">
        <v>0.2</v>
      </c>
      <c r="G172" s="1">
        <f t="shared" ca="1" si="5"/>
        <v>6.8086032019655282E-2</v>
      </c>
      <c r="H172" s="1">
        <f t="shared" ca="1" si="6"/>
        <v>0.7319139679803448</v>
      </c>
    </row>
    <row r="173" spans="1:8">
      <c r="A173" s="2">
        <f t="shared" ca="1" si="0"/>
        <v>1.0047468984487786</v>
      </c>
      <c r="B173" s="2">
        <f t="shared" ca="1" si="1"/>
        <v>0.12954094435637362</v>
      </c>
      <c r="C173" s="2">
        <f t="shared" ca="1" si="2"/>
        <v>0.13015586206419219</v>
      </c>
      <c r="D173" s="2">
        <f t="shared" ca="1" si="3"/>
        <v>0.19634301273557786</v>
      </c>
      <c r="E173" s="2">
        <f t="shared" ca="1" si="4"/>
        <v>0.80365698726442214</v>
      </c>
      <c r="F173" s="1">
        <v>0.2</v>
      </c>
      <c r="G173" s="1">
        <f t="shared" ca="1" si="5"/>
        <v>0.1570744101884623</v>
      </c>
      <c r="H173" s="1">
        <f t="shared" ca="1" si="6"/>
        <v>0.6429255898115378</v>
      </c>
    </row>
    <row r="174" spans="1:8">
      <c r="A174" s="2">
        <f t="shared" ca="1" si="0"/>
        <v>0.49275368975438494</v>
      </c>
      <c r="B174" s="2">
        <f t="shared" ca="1" si="1"/>
        <v>7.1646868073278747E-2</v>
      </c>
      <c r="C174" s="2">
        <f t="shared" ca="1" si="2"/>
        <v>3.5304258602453745E-2</v>
      </c>
      <c r="D174" s="2">
        <f t="shared" ca="1" si="3"/>
        <v>0.82036671972069908</v>
      </c>
      <c r="E174" s="2">
        <f t="shared" ca="1" si="4"/>
        <v>0.17963328027930092</v>
      </c>
      <c r="F174" s="1">
        <v>0.2</v>
      </c>
      <c r="G174" s="1">
        <f t="shared" ca="1" si="5"/>
        <v>0.65629337577655933</v>
      </c>
      <c r="H174" s="1">
        <f t="shared" ca="1" si="6"/>
        <v>0.14370662422344074</v>
      </c>
    </row>
    <row r="175" spans="1:8">
      <c r="A175" s="2">
        <f t="shared" ca="1" si="0"/>
        <v>1.0033570163561956</v>
      </c>
      <c r="B175" s="2">
        <f t="shared" ca="1" si="1"/>
        <v>0.14753935654616923</v>
      </c>
      <c r="C175" s="2">
        <f t="shared" ca="1" si="2"/>
        <v>0.14803464857927728</v>
      </c>
      <c r="D175" s="2">
        <f t="shared" ca="1" si="3"/>
        <v>7.8719417241596923E-2</v>
      </c>
      <c r="E175" s="2">
        <f t="shared" ca="1" si="4"/>
        <v>0.92128058275840308</v>
      </c>
      <c r="F175" s="1">
        <v>0.2</v>
      </c>
      <c r="G175" s="1">
        <f t="shared" ca="1" si="5"/>
        <v>6.2975533793277541E-2</v>
      </c>
      <c r="H175" s="1">
        <f t="shared" ca="1" si="6"/>
        <v>0.73702446620672246</v>
      </c>
    </row>
    <row r="176" spans="1:8">
      <c r="A176" s="2">
        <f t="shared" ca="1" si="0"/>
        <v>0.11852898509794393</v>
      </c>
      <c r="B176" s="2">
        <f t="shared" ca="1" si="1"/>
        <v>7.9278478870664373E-2</v>
      </c>
      <c r="C176" s="2">
        <f t="shared" ca="1" si="2"/>
        <v>9.3967976406486402E-3</v>
      </c>
      <c r="D176" s="2">
        <f t="shared" ca="1" si="3"/>
        <v>0.9908105418378379</v>
      </c>
      <c r="E176" s="2">
        <f t="shared" ca="1" si="4"/>
        <v>9.1894581621621008E-3</v>
      </c>
      <c r="F176" s="1">
        <v>0.2</v>
      </c>
      <c r="G176" s="1">
        <f t="shared" ca="1" si="5"/>
        <v>0.79264843347027036</v>
      </c>
      <c r="H176" s="1">
        <f t="shared" ca="1" si="6"/>
        <v>7.3515665297296806E-3</v>
      </c>
    </row>
    <row r="177" spans="1:8">
      <c r="A177" s="2">
        <f t="shared" ca="1" si="0"/>
        <v>0.29692475632400767</v>
      </c>
      <c r="B177" s="2">
        <f t="shared" ca="1" si="1"/>
        <v>7.4109983354953585E-2</v>
      </c>
      <c r="C177" s="2">
        <f t="shared" ca="1" si="2"/>
        <v>2.2005088748845856E-2</v>
      </c>
      <c r="D177" s="2">
        <f t="shared" ca="1" si="3"/>
        <v>0.90786125823127728</v>
      </c>
      <c r="E177" s="2">
        <f t="shared" ca="1" si="4"/>
        <v>9.2138741768722721E-2</v>
      </c>
      <c r="F177" s="1">
        <v>0.2</v>
      </c>
      <c r="G177" s="1">
        <f t="shared" ca="1" si="5"/>
        <v>0.72628900658502182</v>
      </c>
      <c r="H177" s="1">
        <f t="shared" ca="1" si="6"/>
        <v>7.3710993414978179E-2</v>
      </c>
    </row>
    <row r="178" spans="1:8">
      <c r="A178" s="2">
        <f t="shared" ca="1" si="0"/>
        <v>0.81803825077551451</v>
      </c>
      <c r="B178" s="2">
        <f t="shared" ca="1" si="1"/>
        <v>7.7289095560374679E-2</v>
      </c>
      <c r="C178" s="2">
        <f t="shared" ca="1" si="2"/>
        <v>6.3225436536230487E-2</v>
      </c>
      <c r="D178" s="2">
        <f t="shared" ca="1" si="3"/>
        <v>0.63667475963006259</v>
      </c>
      <c r="E178" s="2">
        <f t="shared" ca="1" si="4"/>
        <v>0.36332524036993741</v>
      </c>
      <c r="F178" s="1">
        <v>0.2</v>
      </c>
      <c r="G178" s="1">
        <f t="shared" ca="1" si="5"/>
        <v>0.50933980770405007</v>
      </c>
      <c r="H178" s="1">
        <f t="shared" ca="1" si="6"/>
        <v>0.29066019229594992</v>
      </c>
    </row>
    <row r="179" spans="1:8">
      <c r="A179" s="2">
        <f t="shared" ca="1" si="0"/>
        <v>1.0024337624538964</v>
      </c>
      <c r="B179" s="2">
        <f t="shared" ca="1" si="1"/>
        <v>0.15146961767747638</v>
      </c>
      <c r="C179" s="2">
        <f t="shared" ca="1" si="2"/>
        <v>0.15183825874588586</v>
      </c>
      <c r="D179" s="2">
        <f t="shared" ca="1" si="3"/>
        <v>5.369566614548793E-2</v>
      </c>
      <c r="E179" s="2">
        <f t="shared" ca="1" si="4"/>
        <v>0.94630433385451207</v>
      </c>
      <c r="F179" s="1">
        <v>0.2</v>
      </c>
      <c r="G179" s="1">
        <f t="shared" ca="1" si="5"/>
        <v>4.2956532916390344E-2</v>
      </c>
      <c r="H179" s="1">
        <f t="shared" ca="1" si="6"/>
        <v>0.7570434670836097</v>
      </c>
    </row>
    <row r="180" spans="1:8">
      <c r="A180" s="2">
        <f t="shared" ca="1" si="0"/>
        <v>0.4382572700002233</v>
      </c>
      <c r="B180" s="2">
        <f t="shared" ca="1" si="1"/>
        <v>7.2005933814623321E-2</v>
      </c>
      <c r="C180" s="2">
        <f t="shared" ca="1" si="2"/>
        <v>3.155712397741358E-2</v>
      </c>
      <c r="D180" s="2">
        <f t="shared" ca="1" si="3"/>
        <v>0.84501892120122646</v>
      </c>
      <c r="E180" s="2">
        <f t="shared" ca="1" si="4"/>
        <v>0.15498107879877354</v>
      </c>
      <c r="F180" s="1">
        <v>0.2</v>
      </c>
      <c r="G180" s="1">
        <f t="shared" ca="1" si="5"/>
        <v>0.67601513696098126</v>
      </c>
      <c r="H180" s="1">
        <f t="shared" ca="1" si="6"/>
        <v>0.12398486303901884</v>
      </c>
    </row>
    <row r="181" spans="1:8">
      <c r="A181" s="2">
        <f t="shared" ca="1" si="0"/>
        <v>1.0049874710750288</v>
      </c>
      <c r="B181" s="2">
        <f t="shared" ca="1" si="1"/>
        <v>0.13390810877837384</v>
      </c>
      <c r="C181" s="2">
        <f t="shared" ca="1" si="2"/>
        <v>0.13457597159761778</v>
      </c>
      <c r="D181" s="2">
        <f t="shared" ca="1" si="3"/>
        <v>0.1672633447525147</v>
      </c>
      <c r="E181" s="2">
        <f t="shared" ca="1" si="4"/>
        <v>0.8327366552474853</v>
      </c>
      <c r="F181" s="1">
        <v>0.2</v>
      </c>
      <c r="G181" s="1">
        <f t="shared" ca="1" si="5"/>
        <v>0.13381067580201175</v>
      </c>
      <c r="H181" s="1">
        <f t="shared" ca="1" si="6"/>
        <v>0.66618932419798826</v>
      </c>
    </row>
    <row r="182" spans="1:8">
      <c r="A182" s="2">
        <f t="shared" ca="1" si="0"/>
        <v>0.11809837994847426</v>
      </c>
      <c r="B182" s="2">
        <f t="shared" ca="1" si="1"/>
        <v>7.9294806856509914E-2</v>
      </c>
      <c r="C182" s="2">
        <f t="shared" ca="1" si="2"/>
        <v>9.3645882280809899E-3</v>
      </c>
      <c r="D182" s="2">
        <f t="shared" ca="1" si="3"/>
        <v>0.99102244586788824</v>
      </c>
      <c r="E182" s="2">
        <f t="shared" ca="1" si="4"/>
        <v>8.9775541321117647E-3</v>
      </c>
      <c r="F182" s="1">
        <v>0.2</v>
      </c>
      <c r="G182" s="1">
        <f t="shared" ca="1" si="5"/>
        <v>0.79281795669431065</v>
      </c>
      <c r="H182" s="1">
        <f t="shared" ca="1" si="6"/>
        <v>7.1820433056894121E-3</v>
      </c>
    </row>
    <row r="183" spans="1:8">
      <c r="A183" s="2">
        <f t="shared" ca="1" si="0"/>
        <v>0.95388125894065345</v>
      </c>
      <c r="B183" s="2">
        <f t="shared" ca="1" si="1"/>
        <v>9.2563832599087376E-2</v>
      </c>
      <c r="C183" s="2">
        <f t="shared" ca="1" si="2"/>
        <v>8.829490517198936E-2</v>
      </c>
      <c r="D183" s="2">
        <f t="shared" ca="1" si="3"/>
        <v>0.47174404492112265</v>
      </c>
      <c r="E183" s="2">
        <f t="shared" ca="1" si="4"/>
        <v>0.52825595507887735</v>
      </c>
      <c r="F183" s="1">
        <v>0.2</v>
      </c>
      <c r="G183" s="1">
        <f t="shared" ca="1" si="5"/>
        <v>0.37739523593689817</v>
      </c>
      <c r="H183" s="1">
        <f t="shared" ca="1" si="6"/>
        <v>0.42260476406310188</v>
      </c>
    </row>
    <row r="184" spans="1:8">
      <c r="A184" s="2">
        <f t="shared" ca="1" si="0"/>
        <v>0.97344194292491515</v>
      </c>
      <c r="B184" s="2">
        <f t="shared" ca="1" si="1"/>
        <v>9.8369166520369311E-2</v>
      </c>
      <c r="C184" s="2">
        <f t="shared" ca="1" si="2"/>
        <v>9.5756672581492813E-2</v>
      </c>
      <c r="D184" s="2">
        <f t="shared" ca="1" si="3"/>
        <v>0.42265346985859997</v>
      </c>
      <c r="E184" s="2">
        <f t="shared" ca="1" si="4"/>
        <v>0.57734653014140003</v>
      </c>
      <c r="F184" s="1">
        <v>0.2</v>
      </c>
      <c r="G184" s="1">
        <f t="shared" ca="1" si="5"/>
        <v>0.33812277588688</v>
      </c>
      <c r="H184" s="1">
        <f t="shared" ca="1" si="6"/>
        <v>0.46187722411312004</v>
      </c>
    </row>
    <row r="185" spans="1:8">
      <c r="A185" s="2">
        <f t="shared" ca="1" si="0"/>
        <v>1.0034817497776041</v>
      </c>
      <c r="B185" s="2">
        <f t="shared" ca="1" si="1"/>
        <v>0.12348439777839303</v>
      </c>
      <c r="C185" s="2">
        <f t="shared" ca="1" si="2"/>
        <v>0.12391433955289552</v>
      </c>
      <c r="D185" s="2">
        <f t="shared" ca="1" si="3"/>
        <v>0.23740566083621373</v>
      </c>
      <c r="E185" s="2">
        <f t="shared" ca="1" si="4"/>
        <v>0.76259433916378627</v>
      </c>
      <c r="F185" s="1">
        <v>0.2</v>
      </c>
      <c r="G185" s="1">
        <f t="shared" ca="1" si="5"/>
        <v>0.189924528668971</v>
      </c>
      <c r="H185" s="1">
        <f t="shared" ca="1" si="6"/>
        <v>0.61007547133102902</v>
      </c>
    </row>
    <row r="186" spans="1:8">
      <c r="A186" s="2">
        <f t="shared" ca="1" si="0"/>
        <v>0.23152444224559227</v>
      </c>
      <c r="B186" s="2">
        <f t="shared" ca="1" si="1"/>
        <v>7.5657404731194325E-2</v>
      </c>
      <c r="C186" s="2">
        <f t="shared" ca="1" si="2"/>
        <v>1.7516538432138799E-2</v>
      </c>
      <c r="D186" s="2">
        <f t="shared" ca="1" si="3"/>
        <v>0.93739119452540265</v>
      </c>
      <c r="E186" s="2">
        <f t="shared" ca="1" si="4"/>
        <v>6.2608805474597351E-2</v>
      </c>
      <c r="F186" s="1">
        <v>0.2</v>
      </c>
      <c r="G186" s="1">
        <f t="shared" ca="1" si="5"/>
        <v>0.74991295562032212</v>
      </c>
      <c r="H186" s="1">
        <f t="shared" ca="1" si="6"/>
        <v>5.0087044379677884E-2</v>
      </c>
    </row>
    <row r="187" spans="1:8">
      <c r="A187" s="2">
        <f t="shared" ca="1" si="0"/>
        <v>1.000083233692237</v>
      </c>
      <c r="B187" s="2">
        <f t="shared" ca="1" si="1"/>
        <v>0.1163836038850052</v>
      </c>
      <c r="C187" s="2">
        <f t="shared" ca="1" si="2"/>
        <v>0.11639329092207239</v>
      </c>
      <c r="D187" s="2">
        <f t="shared" ca="1" si="3"/>
        <v>0.28688624393373441</v>
      </c>
      <c r="E187" s="2">
        <f t="shared" ca="1" si="4"/>
        <v>0.71311375606626559</v>
      </c>
      <c r="F187" s="1">
        <v>0.2</v>
      </c>
      <c r="G187" s="1">
        <f t="shared" ca="1" si="5"/>
        <v>0.22950899514698753</v>
      </c>
      <c r="H187" s="1">
        <f t="shared" ca="1" si="6"/>
        <v>0.57049100485301252</v>
      </c>
    </row>
    <row r="188" spans="1:8">
      <c r="A188" s="2">
        <f t="shared" ca="1" si="0"/>
        <v>0.95189017582346092</v>
      </c>
      <c r="B188" s="2">
        <f t="shared" ca="1" si="1"/>
        <v>9.2094456966454297E-2</v>
      </c>
      <c r="C188" s="2">
        <f t="shared" ca="1" si="2"/>
        <v>8.7663808834164331E-2</v>
      </c>
      <c r="D188" s="2">
        <f t="shared" ca="1" si="3"/>
        <v>0.47589599451207687</v>
      </c>
      <c r="E188" s="2">
        <f t="shared" ca="1" si="4"/>
        <v>0.52410400548792313</v>
      </c>
      <c r="F188" s="1">
        <v>0.2</v>
      </c>
      <c r="G188" s="1">
        <f t="shared" ca="1" si="5"/>
        <v>0.38071679560966154</v>
      </c>
      <c r="H188" s="1">
        <f t="shared" ca="1" si="6"/>
        <v>0.4192832043903385</v>
      </c>
    </row>
    <row r="189" spans="1:8">
      <c r="A189" s="2">
        <f t="shared" ca="1" si="0"/>
        <v>0.76509500239423778</v>
      </c>
      <c r="B189" s="2">
        <f t="shared" ca="1" si="1"/>
        <v>7.4945878594797677E-2</v>
      </c>
      <c r="C189" s="2">
        <f t="shared" ca="1" si="2"/>
        <v>5.7340717162924985E-2</v>
      </c>
      <c r="D189" s="2">
        <f t="shared" ca="1" si="3"/>
        <v>0.67539001866496728</v>
      </c>
      <c r="E189" s="2">
        <f t="shared" ca="1" si="4"/>
        <v>0.32460998133503272</v>
      </c>
      <c r="F189" s="1">
        <v>0.2</v>
      </c>
      <c r="G189" s="1">
        <f t="shared" ca="1" si="5"/>
        <v>0.54031201493197389</v>
      </c>
      <c r="H189" s="1">
        <f t="shared" ca="1" si="6"/>
        <v>0.25968798506802621</v>
      </c>
    </row>
    <row r="190" spans="1:8">
      <c r="A190" s="2">
        <f t="shared" ca="1" si="0"/>
        <v>0.95618965776171738</v>
      </c>
      <c r="B190" s="2">
        <f t="shared" ca="1" si="1"/>
        <v>9.3130227196161361E-2</v>
      </c>
      <c r="C190" s="2">
        <f t="shared" ca="1" si="2"/>
        <v>8.905016006996852E-2</v>
      </c>
      <c r="D190" s="2">
        <f t="shared" ca="1" si="3"/>
        <v>0.46677526269757563</v>
      </c>
      <c r="E190" s="2">
        <f t="shared" ca="1" si="4"/>
        <v>0.53322473730242437</v>
      </c>
      <c r="F190" s="1">
        <v>0.2</v>
      </c>
      <c r="G190" s="1">
        <f t="shared" ca="1" si="5"/>
        <v>0.37342021015806054</v>
      </c>
      <c r="H190" s="1">
        <f t="shared" ca="1" si="6"/>
        <v>0.42657978984193951</v>
      </c>
    </row>
    <row r="191" spans="1:8">
      <c r="A191" s="2">
        <f t="shared" ca="1" si="0"/>
        <v>0.48715761182534156</v>
      </c>
      <c r="B191" s="2">
        <f t="shared" ca="1" si="1"/>
        <v>7.1671599098504415E-2</v>
      </c>
      <c r="C191" s="2">
        <f t="shared" ca="1" si="2"/>
        <v>3.4915365052530713E-2</v>
      </c>
      <c r="D191" s="2">
        <f t="shared" ca="1" si="3"/>
        <v>0.82292522991756112</v>
      </c>
      <c r="E191" s="2">
        <f t="shared" ca="1" si="4"/>
        <v>0.17707477008243888</v>
      </c>
      <c r="F191" s="1">
        <v>0.2</v>
      </c>
      <c r="G191" s="1">
        <f t="shared" ca="1" si="5"/>
        <v>0.65834018393404892</v>
      </c>
      <c r="H191" s="1">
        <f t="shared" ca="1" si="6"/>
        <v>0.1416598160659511</v>
      </c>
    </row>
    <row r="192" spans="1:8">
      <c r="A192" s="2">
        <f t="shared" ca="1" si="0"/>
        <v>1.0029825749810171</v>
      </c>
      <c r="B192" s="2">
        <f t="shared" ca="1" si="1"/>
        <v>0.1492119309116918</v>
      </c>
      <c r="C192" s="2">
        <f t="shared" ca="1" si="2"/>
        <v>0.14965696668369827</v>
      </c>
      <c r="D192" s="2">
        <f t="shared" ca="1" si="3"/>
        <v>6.8046271817774784E-2</v>
      </c>
      <c r="E192" s="2">
        <f t="shared" ca="1" si="4"/>
        <v>0.93195372818222522</v>
      </c>
      <c r="F192" s="1">
        <v>0.2</v>
      </c>
      <c r="G192" s="1">
        <f t="shared" ca="1" si="5"/>
        <v>5.4437017454219833E-2</v>
      </c>
      <c r="H192" s="1">
        <f t="shared" ca="1" si="6"/>
        <v>0.74556298254578024</v>
      </c>
    </row>
    <row r="193" spans="1:8">
      <c r="A193" s="2">
        <f t="shared" ca="1" si="0"/>
        <v>0.13201844538275767</v>
      </c>
      <c r="B193" s="2">
        <f t="shared" ca="1" si="1"/>
        <v>7.8777330900082765E-2</v>
      </c>
      <c r="C193" s="2">
        <f t="shared" ca="1" si="2"/>
        <v>1.0400060756832004E-2</v>
      </c>
      <c r="D193" s="2">
        <f t="shared" ca="1" si="3"/>
        <v>0.98421012659978946</v>
      </c>
      <c r="E193" s="2">
        <f t="shared" ca="1" si="4"/>
        <v>1.5789873400210541E-2</v>
      </c>
      <c r="F193" s="1">
        <v>0.2</v>
      </c>
      <c r="G193" s="1">
        <f t="shared" ca="1" si="5"/>
        <v>0.78736810127983159</v>
      </c>
      <c r="H193" s="1">
        <f t="shared" ca="1" si="6"/>
        <v>1.2631898720168434E-2</v>
      </c>
    </row>
    <row r="194" spans="1:8">
      <c r="A194" s="2">
        <f t="shared" ca="1" si="0"/>
        <v>0.98372128763185185</v>
      </c>
      <c r="B194" s="2">
        <f t="shared" ca="1" si="1"/>
        <v>0.10285113520465108</v>
      </c>
      <c r="C194" s="2">
        <f t="shared" ca="1" si="2"/>
        <v>0.10117685115791705</v>
      </c>
      <c r="D194" s="2">
        <f t="shared" ca="1" si="3"/>
        <v>0.38699440027686161</v>
      </c>
      <c r="E194" s="2">
        <f t="shared" ca="1" si="4"/>
        <v>0.61300559972313839</v>
      </c>
      <c r="F194" s="1">
        <v>0.2</v>
      </c>
      <c r="G194" s="1">
        <f t="shared" ca="1" si="5"/>
        <v>0.30959552022148928</v>
      </c>
      <c r="H194" s="1">
        <f t="shared" ca="1" si="6"/>
        <v>0.49040447977851076</v>
      </c>
    </row>
    <row r="195" spans="1:8">
      <c r="A195" s="2">
        <f t="shared" ca="1" si="0"/>
        <v>0.91979004454773072</v>
      </c>
      <c r="B195" s="2">
        <f t="shared" ca="1" si="1"/>
        <v>8.6271456130361829E-2</v>
      </c>
      <c r="C195" s="2">
        <f t="shared" ca="1" si="2"/>
        <v>7.9351626477343104E-2</v>
      </c>
      <c r="D195" s="2">
        <f t="shared" ca="1" si="3"/>
        <v>0.53058140475432181</v>
      </c>
      <c r="E195" s="2">
        <f t="shared" ca="1" si="4"/>
        <v>0.46941859524567819</v>
      </c>
      <c r="F195" s="1">
        <v>0.2</v>
      </c>
      <c r="G195" s="1">
        <f t="shared" ca="1" si="5"/>
        <v>0.42446512380345747</v>
      </c>
      <c r="H195" s="1">
        <f t="shared" ca="1" si="6"/>
        <v>0.37553487619654258</v>
      </c>
    </row>
    <row r="196" spans="1:8">
      <c r="A196" s="2">
        <f t="shared" ca="1" si="0"/>
        <v>0.754064875440142</v>
      </c>
      <c r="B196" s="2">
        <f t="shared" ca="1" si="1"/>
        <v>7.4566985086306992E-2</v>
      </c>
      <c r="C196" s="2">
        <f t="shared" ca="1" si="2"/>
        <v>5.622834432105301E-2</v>
      </c>
      <c r="D196" s="2">
        <f t="shared" ca="1" si="3"/>
        <v>0.68270826104570392</v>
      </c>
      <c r="E196" s="2">
        <f t="shared" ca="1" si="4"/>
        <v>0.31729173895429608</v>
      </c>
      <c r="F196" s="1">
        <v>0.2</v>
      </c>
      <c r="G196" s="1">
        <f t="shared" ca="1" si="5"/>
        <v>0.54616660883656321</v>
      </c>
      <c r="H196" s="1">
        <f t="shared" ca="1" si="6"/>
        <v>0.25383339116343689</v>
      </c>
    </row>
    <row r="197" spans="1:8">
      <c r="A197" s="2">
        <f t="shared" ca="1" si="0"/>
        <v>1.0049842981359054</v>
      </c>
      <c r="B197" s="2">
        <f t="shared" ca="1" si="1"/>
        <v>0.13346021769071334</v>
      </c>
      <c r="C197" s="2">
        <f t="shared" ca="1" si="2"/>
        <v>0.13412542320496668</v>
      </c>
      <c r="D197" s="2">
        <f t="shared" ca="1" si="3"/>
        <v>0.17022747891469303</v>
      </c>
      <c r="E197" s="2">
        <f t="shared" ca="1" si="4"/>
        <v>0.82977252108530697</v>
      </c>
      <c r="F197" s="1">
        <v>0.2</v>
      </c>
      <c r="G197" s="1">
        <f t="shared" ca="1" si="5"/>
        <v>0.13618198313175442</v>
      </c>
      <c r="H197" s="1">
        <f t="shared" ca="1" si="6"/>
        <v>0.6638180168682456</v>
      </c>
    </row>
    <row r="198" spans="1:8">
      <c r="A198" s="2">
        <f t="shared" ca="1" si="0"/>
        <v>0.56989160571442299</v>
      </c>
      <c r="B198" s="2">
        <f t="shared" ca="1" si="1"/>
        <v>7.1610372591776453E-2</v>
      </c>
      <c r="C198" s="2">
        <f t="shared" ca="1" si="2"/>
        <v>4.0810150222135591E-2</v>
      </c>
      <c r="D198" s="2">
        <f t="shared" ca="1" si="3"/>
        <v>0.78414374853858171</v>
      </c>
      <c r="E198" s="2">
        <f t="shared" ca="1" si="4"/>
        <v>0.21585625146141829</v>
      </c>
      <c r="F198" s="1">
        <v>0.2</v>
      </c>
      <c r="G198" s="1">
        <f t="shared" ca="1" si="5"/>
        <v>0.62731499883086539</v>
      </c>
      <c r="H198" s="1">
        <f t="shared" ca="1" si="6"/>
        <v>0.17268500116913466</v>
      </c>
    </row>
    <row r="199" spans="1:8">
      <c r="A199" s="2">
        <f t="shared" ca="1" si="0"/>
        <v>0.19899550558300691</v>
      </c>
      <c r="B199" s="2">
        <f t="shared" ca="1" si="1"/>
        <v>7.6570834265333662E-2</v>
      </c>
      <c r="C199" s="2">
        <f t="shared" ca="1" si="2"/>
        <v>1.5237251877542702E-2</v>
      </c>
      <c r="D199" s="2">
        <f t="shared" ca="1" si="3"/>
        <v>0.95238650080564013</v>
      </c>
      <c r="E199" s="2">
        <f t="shared" ca="1" si="4"/>
        <v>4.7613499194359865E-2</v>
      </c>
      <c r="F199" s="1">
        <v>0.2</v>
      </c>
      <c r="G199" s="1">
        <f t="shared" ca="1" si="5"/>
        <v>0.76190920064451217</v>
      </c>
      <c r="H199" s="1">
        <f t="shared" ca="1" si="6"/>
        <v>3.8090799355487898E-2</v>
      </c>
    </row>
    <row r="200" spans="1:8">
      <c r="A200" s="2">
        <f t="shared" ca="1" si="0"/>
        <v>0.99329808047621171</v>
      </c>
      <c r="B200" s="2">
        <f t="shared" ca="1" si="1"/>
        <v>0.10901633962199932</v>
      </c>
      <c r="C200" s="2">
        <f t="shared" ca="1" si="2"/>
        <v>0.10828572088707471</v>
      </c>
      <c r="D200" s="2">
        <f t="shared" ca="1" si="3"/>
        <v>0.34022552047977173</v>
      </c>
      <c r="E200" s="2">
        <f t="shared" ca="1" si="4"/>
        <v>0.65977447952022827</v>
      </c>
      <c r="F200" s="1">
        <v>0.2</v>
      </c>
      <c r="G200" s="1">
        <f t="shared" ca="1" si="5"/>
        <v>0.2721804163838174</v>
      </c>
      <c r="H200" s="1">
        <f t="shared" ca="1" si="6"/>
        <v>0.52781958361618264</v>
      </c>
    </row>
    <row r="201" spans="1:8">
      <c r="A201" s="2">
        <f t="shared" ca="1" si="0"/>
        <v>0.21801329483523765</v>
      </c>
      <c r="B201" s="2">
        <f t="shared" ca="1" si="1"/>
        <v>7.6024816530618031E-2</v>
      </c>
      <c r="C201" s="2">
        <f t="shared" ca="1" si="2"/>
        <v>1.6574420741084478E-2</v>
      </c>
      <c r="D201" s="2">
        <f t="shared" ca="1" si="3"/>
        <v>0.94358933722970739</v>
      </c>
      <c r="E201" s="2">
        <f t="shared" ca="1" si="4"/>
        <v>5.6410662770292608E-2</v>
      </c>
      <c r="F201" s="1">
        <v>0.2</v>
      </c>
      <c r="G201" s="1">
        <f t="shared" ca="1" si="5"/>
        <v>0.75487146978376596</v>
      </c>
      <c r="H201" s="1">
        <f t="shared" ca="1" si="6"/>
        <v>4.5128530216234086E-2</v>
      </c>
    </row>
    <row r="202" spans="1:8">
      <c r="A202" s="2">
        <f t="shared" ca="1" si="0"/>
        <v>0.83383941110968784</v>
      </c>
      <c r="B202" s="2">
        <f t="shared" ca="1" si="1"/>
        <v>7.8200166050726647E-2</v>
      </c>
      <c r="C202" s="2">
        <f t="shared" ca="1" si="2"/>
        <v>6.5206380408417711E-2</v>
      </c>
      <c r="D202" s="2">
        <f t="shared" ca="1" si="3"/>
        <v>0.62364223415514675</v>
      </c>
      <c r="E202" s="2">
        <f t="shared" ca="1" si="4"/>
        <v>0.37635776584485325</v>
      </c>
      <c r="F202" s="1">
        <v>0.2</v>
      </c>
      <c r="G202" s="1">
        <f t="shared" ca="1" si="5"/>
        <v>0.4989137873241174</v>
      </c>
      <c r="H202" s="1">
        <f t="shared" ca="1" si="6"/>
        <v>0.30108621267588265</v>
      </c>
    </row>
    <row r="203" spans="1:8">
      <c r="A203" s="2">
        <f t="shared" ca="1" si="0"/>
        <v>0.99965610554831996</v>
      </c>
      <c r="B203" s="2">
        <f t="shared" ca="1" si="1"/>
        <v>0.11575835130751548</v>
      </c>
      <c r="C203" s="2">
        <f t="shared" ca="1" si="2"/>
        <v>0.1157185426527652</v>
      </c>
      <c r="D203" s="2">
        <f t="shared" ca="1" si="3"/>
        <v>0.29132537728443952</v>
      </c>
      <c r="E203" s="2">
        <f t="shared" ca="1" si="4"/>
        <v>0.70867462271556048</v>
      </c>
      <c r="F203" s="1">
        <v>0.2</v>
      </c>
      <c r="G203" s="1">
        <f t="shared" ca="1" si="5"/>
        <v>0.23306030182755164</v>
      </c>
      <c r="H203" s="1">
        <f t="shared" ca="1" si="6"/>
        <v>0.56693969817244838</v>
      </c>
    </row>
    <row r="204" spans="1:8">
      <c r="A204" s="2">
        <f t="shared" ca="1" si="0"/>
        <v>0.53456026981049243</v>
      </c>
      <c r="B204" s="2">
        <f t="shared" ca="1" si="1"/>
        <v>7.1554392647714848E-2</v>
      </c>
      <c r="C204" s="2">
        <f t="shared" ca="1" si="2"/>
        <v>3.8250135439888366E-2</v>
      </c>
      <c r="D204" s="2">
        <f t="shared" ca="1" si="3"/>
        <v>0.80098595105336601</v>
      </c>
      <c r="E204" s="2">
        <f t="shared" ca="1" si="4"/>
        <v>0.19901404894663399</v>
      </c>
      <c r="F204" s="1">
        <v>0.2</v>
      </c>
      <c r="G204" s="1">
        <f t="shared" ca="1" si="5"/>
        <v>0.64078876084269287</v>
      </c>
      <c r="H204" s="1">
        <f t="shared" ca="1" si="6"/>
        <v>0.1592112391573072</v>
      </c>
    </row>
    <row r="205" spans="1:8">
      <c r="A205" s="2">
        <f t="shared" ca="1" si="0"/>
        <v>0.39594741596336452</v>
      </c>
      <c r="B205" s="2">
        <f t="shared" ca="1" si="1"/>
        <v>7.2460812421396195E-2</v>
      </c>
      <c r="C205" s="2">
        <f t="shared" ca="1" si="2"/>
        <v>2.8690671436857891E-2</v>
      </c>
      <c r="D205" s="2">
        <f t="shared" ca="1" si="3"/>
        <v>0.86387716159961914</v>
      </c>
      <c r="E205" s="2">
        <f t="shared" ca="1" si="4"/>
        <v>0.13612283840038086</v>
      </c>
      <c r="F205" s="1">
        <v>0.2</v>
      </c>
      <c r="G205" s="1">
        <f t="shared" ca="1" si="5"/>
        <v>0.69110172927969538</v>
      </c>
      <c r="H205" s="1">
        <f t="shared" ca="1" si="6"/>
        <v>0.1088982707203047</v>
      </c>
    </row>
    <row r="206" spans="1:8">
      <c r="A206" s="2">
        <f t="shared" ca="1" si="0"/>
        <v>1.0028468995847681</v>
      </c>
      <c r="B206" s="2">
        <f t="shared" ca="1" si="1"/>
        <v>0.12168857741418902</v>
      </c>
      <c r="C206" s="2">
        <f t="shared" ca="1" si="2"/>
        <v>0.12203501257470051</v>
      </c>
      <c r="D206" s="2">
        <f t="shared" ca="1" si="3"/>
        <v>0.24976965411381247</v>
      </c>
      <c r="E206" s="2">
        <f t="shared" ca="1" si="4"/>
        <v>0.75023034588618753</v>
      </c>
      <c r="F206" s="1">
        <v>0.2</v>
      </c>
      <c r="G206" s="1">
        <f t="shared" ca="1" si="5"/>
        <v>0.19981572329104999</v>
      </c>
      <c r="H206" s="1">
        <f t="shared" ca="1" si="6"/>
        <v>0.60018427670895003</v>
      </c>
    </row>
    <row r="207" spans="1:8">
      <c r="A207" s="2">
        <f t="shared" ca="1" si="0"/>
        <v>1.002980701361273</v>
      </c>
      <c r="B207" s="2">
        <f t="shared" ca="1" si="1"/>
        <v>0.12203697140798804</v>
      </c>
      <c r="C207" s="2">
        <f t="shared" ca="1" si="2"/>
        <v>0.12240072717478948</v>
      </c>
      <c r="D207" s="2">
        <f t="shared" ca="1" si="3"/>
        <v>0.24736363700796404</v>
      </c>
      <c r="E207" s="2">
        <f t="shared" ca="1" si="4"/>
        <v>0.75263636299203596</v>
      </c>
      <c r="F207" s="1">
        <v>0.2</v>
      </c>
      <c r="G207" s="1">
        <f t="shared" ca="1" si="5"/>
        <v>0.19789090960637123</v>
      </c>
      <c r="H207" s="1">
        <f t="shared" ca="1" si="6"/>
        <v>0.60210909039362881</v>
      </c>
    </row>
    <row r="208" spans="1:8">
      <c r="A208" s="2">
        <f t="shared" ca="1" si="0"/>
        <v>0.7666989845294756</v>
      </c>
      <c r="B208" s="2">
        <f t="shared" ca="1" si="1"/>
        <v>7.500370333759665E-2</v>
      </c>
      <c r="C208" s="2">
        <f t="shared" ca="1" si="2"/>
        <v>5.7505263184885393E-2</v>
      </c>
      <c r="D208" s="2">
        <f t="shared" ca="1" si="3"/>
        <v>0.67430747904680666</v>
      </c>
      <c r="E208" s="2">
        <f t="shared" ca="1" si="4"/>
        <v>0.32569252095319334</v>
      </c>
      <c r="F208" s="1">
        <v>0.2</v>
      </c>
      <c r="G208" s="1">
        <f t="shared" ca="1" si="5"/>
        <v>0.5394459832374453</v>
      </c>
      <c r="H208" s="1">
        <f t="shared" ca="1" si="6"/>
        <v>0.26055401676255469</v>
      </c>
    </row>
    <row r="209" spans="1:8">
      <c r="A209" s="2">
        <f t="shared" ca="1" si="0"/>
        <v>1.002893572598218</v>
      </c>
      <c r="B209" s="2">
        <f t="shared" ca="1" si="1"/>
        <v>0.14959188123478981</v>
      </c>
      <c r="C209" s="2">
        <f t="shared" ca="1" si="2"/>
        <v>0.15002473620324669</v>
      </c>
      <c r="D209" s="2">
        <f t="shared" ca="1" si="3"/>
        <v>6.5626735504956013E-2</v>
      </c>
      <c r="E209" s="2">
        <f t="shared" ca="1" si="4"/>
        <v>0.93437326449504399</v>
      </c>
      <c r="F209" s="1">
        <v>0.2</v>
      </c>
      <c r="G209" s="1">
        <f t="shared" ca="1" si="5"/>
        <v>5.2501388403964816E-2</v>
      </c>
      <c r="H209" s="1">
        <f t="shared" ca="1" si="6"/>
        <v>0.74749861159603526</v>
      </c>
    </row>
    <row r="210" spans="1:8">
      <c r="A210" s="2">
        <f t="shared" ca="1" si="0"/>
        <v>1.0001591209945377</v>
      </c>
      <c r="B210" s="2">
        <f t="shared" ca="1" si="1"/>
        <v>0.15948854194415257</v>
      </c>
      <c r="C210" s="2">
        <f t="shared" ca="1" si="2"/>
        <v>0.1595139199195641</v>
      </c>
      <c r="D210" s="2">
        <f t="shared" ca="1" si="3"/>
        <v>3.1978952660257631E-3</v>
      </c>
      <c r="E210" s="2">
        <f t="shared" ca="1" si="4"/>
        <v>0.99680210473397424</v>
      </c>
      <c r="F210" s="1">
        <v>0.2</v>
      </c>
      <c r="G210" s="1">
        <f t="shared" ca="1" si="5"/>
        <v>2.5583162128206107E-3</v>
      </c>
      <c r="H210" s="1">
        <f t="shared" ca="1" si="6"/>
        <v>0.79744168378717939</v>
      </c>
    </row>
    <row r="211" spans="1:8">
      <c r="A211" s="2">
        <f t="shared" ca="1" si="0"/>
        <v>0.77859746203582314</v>
      </c>
      <c r="B211" s="2">
        <f t="shared" ca="1" si="1"/>
        <v>7.5455630762462617E-2</v>
      </c>
      <c r="C211" s="2">
        <f t="shared" ca="1" si="2"/>
        <v>5.8749562607965572E-2</v>
      </c>
      <c r="D211" s="2">
        <f t="shared" ca="1" si="3"/>
        <v>0.66612129863180547</v>
      </c>
      <c r="E211" s="2">
        <f t="shared" ca="1" si="4"/>
        <v>0.33387870136819453</v>
      </c>
      <c r="F211" s="1">
        <v>0.2</v>
      </c>
      <c r="G211" s="1">
        <f t="shared" ca="1" si="5"/>
        <v>0.53289703890544438</v>
      </c>
      <c r="H211" s="1">
        <f t="shared" ca="1" si="6"/>
        <v>0.26710296109455561</v>
      </c>
    </row>
    <row r="212" spans="1:8">
      <c r="A212" s="2">
        <f t="shared" ca="1" si="0"/>
        <v>0.57038979909873611</v>
      </c>
      <c r="B212" s="2">
        <f t="shared" ca="1" si="1"/>
        <v>7.1612094396019746E-2</v>
      </c>
      <c r="C212" s="2">
        <f t="shared" ca="1" si="2"/>
        <v>4.084680813558543E-2</v>
      </c>
      <c r="D212" s="2">
        <f t="shared" ca="1" si="3"/>
        <v>0.78390257805535901</v>
      </c>
      <c r="E212" s="2">
        <f t="shared" ca="1" si="4"/>
        <v>0.21609742194464099</v>
      </c>
      <c r="F212" s="1">
        <v>0.2</v>
      </c>
      <c r="G212" s="1">
        <f t="shared" ca="1" si="5"/>
        <v>0.62712206244428725</v>
      </c>
      <c r="H212" s="1">
        <f t="shared" ca="1" si="6"/>
        <v>0.17287793755571279</v>
      </c>
    </row>
    <row r="213" spans="1:8">
      <c r="A213" s="2">
        <f t="shared" ca="1" si="0"/>
        <v>0.49499004180695627</v>
      </c>
      <c r="B213" s="2">
        <f t="shared" ca="1" si="1"/>
        <v>7.1637782184937687E-2</v>
      </c>
      <c r="C213" s="2">
        <f t="shared" ca="1" si="2"/>
        <v>3.5459988798679933E-2</v>
      </c>
      <c r="D213" s="2">
        <f t="shared" ca="1" si="3"/>
        <v>0.8193421789560531</v>
      </c>
      <c r="E213" s="2">
        <f t="shared" ca="1" si="4"/>
        <v>0.1806578210439469</v>
      </c>
      <c r="F213" s="1">
        <v>0.2</v>
      </c>
      <c r="G213" s="1">
        <f t="shared" ca="1" si="5"/>
        <v>0.65547374316484253</v>
      </c>
      <c r="H213" s="1">
        <f t="shared" ca="1" si="6"/>
        <v>0.14452625683515752</v>
      </c>
    </row>
    <row r="214" spans="1:8">
      <c r="A214" s="2">
        <f t="shared" ca="1" si="0"/>
        <v>0.48849697071099141</v>
      </c>
      <c r="B214" s="2">
        <f t="shared" ca="1" si="1"/>
        <v>7.1665421345435187E-2</v>
      </c>
      <c r="C214" s="2">
        <f t="shared" ca="1" si="2"/>
        <v>3.5008341231971912E-2</v>
      </c>
      <c r="D214" s="2">
        <f t="shared" ca="1" si="3"/>
        <v>0.82231354452650063</v>
      </c>
      <c r="E214" s="2">
        <f t="shared" ca="1" si="4"/>
        <v>0.17768645547349937</v>
      </c>
      <c r="F214" s="1">
        <v>0.2</v>
      </c>
      <c r="G214" s="1">
        <f t="shared" ca="1" si="5"/>
        <v>0.6578508356212005</v>
      </c>
      <c r="H214" s="1">
        <f t="shared" ca="1" si="6"/>
        <v>0.14214916437879951</v>
      </c>
    </row>
    <row r="215" spans="1:8">
      <c r="A215" s="2">
        <f t="shared" ca="1" si="0"/>
        <v>0.51366144601020169</v>
      </c>
      <c r="B215" s="2">
        <f t="shared" ca="1" si="1"/>
        <v>7.1579952344121955E-2</v>
      </c>
      <c r="C215" s="2">
        <f t="shared" ca="1" si="2"/>
        <v>3.6767861826423012E-2</v>
      </c>
      <c r="D215" s="2">
        <f t="shared" ca="1" si="3"/>
        <v>0.8107377511419539</v>
      </c>
      <c r="E215" s="2">
        <f t="shared" ca="1" si="4"/>
        <v>0.1892622488580461</v>
      </c>
      <c r="F215" s="1">
        <v>0.2</v>
      </c>
      <c r="G215" s="1">
        <f t="shared" ca="1" si="5"/>
        <v>0.64859020091356312</v>
      </c>
      <c r="H215" s="1">
        <f t="shared" ca="1" si="6"/>
        <v>0.1514097990864369</v>
      </c>
    </row>
    <row r="216" spans="1:8">
      <c r="A216" s="2">
        <f t="shared" ca="1" si="0"/>
        <v>0.56878490122937064</v>
      </c>
      <c r="B216" s="2">
        <f t="shared" ca="1" si="1"/>
        <v>7.16066432951072E-2</v>
      </c>
      <c r="C216" s="2">
        <f t="shared" ca="1" si="2"/>
        <v>4.0728777533974324E-2</v>
      </c>
      <c r="D216" s="2">
        <f t="shared" ca="1" si="3"/>
        <v>0.78467909517122159</v>
      </c>
      <c r="E216" s="2">
        <f t="shared" ca="1" si="4"/>
        <v>0.21532090482877841</v>
      </c>
      <c r="F216" s="1">
        <v>0.2</v>
      </c>
      <c r="G216" s="1">
        <f t="shared" ca="1" si="5"/>
        <v>0.62774327613697734</v>
      </c>
      <c r="H216" s="1">
        <f t="shared" ca="1" si="6"/>
        <v>0.17225672386302274</v>
      </c>
    </row>
    <row r="217" spans="1:8">
      <c r="A217" s="2">
        <f t="shared" ca="1" si="0"/>
        <v>1.0026129195280225</v>
      </c>
      <c r="B217" s="2">
        <f t="shared" ca="1" si="1"/>
        <v>0.15075353481698731</v>
      </c>
      <c r="C217" s="2">
        <f t="shared" ca="1" si="2"/>
        <v>0.15114744167202904</v>
      </c>
      <c r="D217" s="2">
        <f t="shared" ca="1" si="3"/>
        <v>5.8240515315598596E-2</v>
      </c>
      <c r="E217" s="2">
        <f t="shared" ca="1" si="4"/>
        <v>0.9417594846844014</v>
      </c>
      <c r="F217" s="1">
        <v>0.2</v>
      </c>
      <c r="G217" s="1">
        <f t="shared" ca="1" si="5"/>
        <v>4.6592412252478878E-2</v>
      </c>
      <c r="H217" s="1">
        <f t="shared" ca="1" si="6"/>
        <v>0.75340758774752115</v>
      </c>
    </row>
    <row r="218" spans="1:8">
      <c r="A218" s="2">
        <f t="shared" ca="1" si="0"/>
        <v>0.97747251913701105</v>
      </c>
      <c r="B218" s="2">
        <f t="shared" ca="1" si="1"/>
        <v>9.9955487838296456E-2</v>
      </c>
      <c r="C218" s="2">
        <f t="shared" ca="1" si="2"/>
        <v>9.7703742498868512E-2</v>
      </c>
      <c r="D218" s="2">
        <f t="shared" ca="1" si="3"/>
        <v>0.4098437993495494</v>
      </c>
      <c r="E218" s="2">
        <f t="shared" ca="1" si="4"/>
        <v>0.5901562006504506</v>
      </c>
      <c r="F218" s="1">
        <v>0.2</v>
      </c>
      <c r="G218" s="1">
        <f t="shared" ca="1" si="5"/>
        <v>0.32787503947963953</v>
      </c>
      <c r="H218" s="1">
        <f t="shared" ca="1" si="6"/>
        <v>0.47212496052036051</v>
      </c>
    </row>
    <row r="219" spans="1:8">
      <c r="A219" s="2">
        <f t="shared" ca="1" si="0"/>
        <v>0.18432073223321244</v>
      </c>
      <c r="B219" s="2">
        <f t="shared" ca="1" si="1"/>
        <v>7.7015780105529785E-2</v>
      </c>
      <c r="C219" s="2">
        <f t="shared" ca="1" si="2"/>
        <v>1.4195604982563325E-2</v>
      </c>
      <c r="D219" s="2">
        <f t="shared" ca="1" si="3"/>
        <v>0.95923944090418867</v>
      </c>
      <c r="E219" s="2">
        <f t="shared" ca="1" si="4"/>
        <v>4.0760559095811333E-2</v>
      </c>
      <c r="F219" s="1">
        <v>0.2</v>
      </c>
      <c r="G219" s="1">
        <f t="shared" ca="1" si="5"/>
        <v>0.76739155272335102</v>
      </c>
      <c r="H219" s="1">
        <f t="shared" ca="1" si="6"/>
        <v>3.260844727664907E-2</v>
      </c>
    </row>
    <row r="220" spans="1:8">
      <c r="A220" s="2">
        <f t="shared" ca="1" si="0"/>
        <v>0.33837134847728106</v>
      </c>
      <c r="B220" s="2">
        <f t="shared" ca="1" si="1"/>
        <v>7.3320008530068523E-2</v>
      </c>
      <c r="C220" s="2">
        <f t="shared" ca="1" si="2"/>
        <v>2.4809390156685037E-2</v>
      </c>
      <c r="D220" s="2">
        <f t="shared" ca="1" si="3"/>
        <v>0.88941190686391425</v>
      </c>
      <c r="E220" s="2">
        <f t="shared" ca="1" si="4"/>
        <v>0.11058809313608575</v>
      </c>
      <c r="F220" s="1">
        <v>0.2</v>
      </c>
      <c r="G220" s="1">
        <f t="shared" ca="1" si="5"/>
        <v>0.71152952549113146</v>
      </c>
      <c r="H220" s="1">
        <f t="shared" ca="1" si="6"/>
        <v>8.8470474508868607E-2</v>
      </c>
    </row>
    <row r="221" spans="1:8">
      <c r="A221" s="2">
        <f t="shared" ca="1" si="0"/>
        <v>0.76966368723439416</v>
      </c>
      <c r="B221" s="2">
        <f t="shared" ca="1" si="1"/>
        <v>7.5112476498031239E-2</v>
      </c>
      <c r="C221" s="2">
        <f t="shared" ca="1" si="2"/>
        <v>5.7811345618781498E-2</v>
      </c>
      <c r="D221" s="2">
        <f t="shared" ca="1" si="3"/>
        <v>0.67229377882380592</v>
      </c>
      <c r="E221" s="2">
        <f t="shared" ca="1" si="4"/>
        <v>0.32770622117619408</v>
      </c>
      <c r="F221" s="1">
        <v>0.2</v>
      </c>
      <c r="G221" s="1">
        <f t="shared" ca="1" si="5"/>
        <v>0.53783502305904474</v>
      </c>
      <c r="H221" s="1">
        <f t="shared" ca="1" si="6"/>
        <v>0.26216497694095525</v>
      </c>
    </row>
    <row r="222" spans="1:8">
      <c r="A222" s="2">
        <f t="shared" ca="1" si="0"/>
        <v>0.94615931244500429</v>
      </c>
      <c r="B222" s="2">
        <f t="shared" ca="1" si="1"/>
        <v>9.0832285781752273E-2</v>
      </c>
      <c r="C222" s="2">
        <f t="shared" ca="1" si="2"/>
        <v>8.5941813063070874E-2</v>
      </c>
      <c r="D222" s="2">
        <f t="shared" ca="1" si="3"/>
        <v>0.48722491405874435</v>
      </c>
      <c r="E222" s="2">
        <f t="shared" ca="1" si="4"/>
        <v>0.51277508594125565</v>
      </c>
      <c r="F222" s="1">
        <v>0.2</v>
      </c>
      <c r="G222" s="1">
        <f t="shared" ca="1" si="5"/>
        <v>0.3897799312469955</v>
      </c>
      <c r="H222" s="1">
        <f t="shared" ca="1" si="6"/>
        <v>0.41022006875300454</v>
      </c>
    </row>
    <row r="223" spans="1:8">
      <c r="A223" s="2">
        <f t="shared" ca="1" si="0"/>
        <v>0.90009670747896608</v>
      </c>
      <c r="B223" s="2">
        <f t="shared" ca="1" si="1"/>
        <v>8.3754350891095564E-2</v>
      </c>
      <c r="C223" s="2">
        <f t="shared" ca="1" si="2"/>
        <v>7.5387015474113125E-2</v>
      </c>
      <c r="D223" s="2">
        <f t="shared" ca="1" si="3"/>
        <v>0.55666437188083473</v>
      </c>
      <c r="E223" s="2">
        <f t="shared" ca="1" si="4"/>
        <v>0.44333562811916527</v>
      </c>
      <c r="F223" s="1">
        <v>0.2</v>
      </c>
      <c r="G223" s="1">
        <f t="shared" ca="1" si="5"/>
        <v>0.44533149750466783</v>
      </c>
      <c r="H223" s="1">
        <f t="shared" ca="1" si="6"/>
        <v>0.35466850249533222</v>
      </c>
    </row>
    <row r="224" spans="1:8">
      <c r="A224" s="2">
        <f t="shared" ca="1" si="0"/>
        <v>1.0014956447918029</v>
      </c>
      <c r="B224" s="2">
        <f t="shared" ca="1" si="1"/>
        <v>0.15497395204797232</v>
      </c>
      <c r="C224" s="2">
        <f t="shared" ca="1" si="2"/>
        <v>0.15520573803221799</v>
      </c>
      <c r="D224" s="2">
        <f t="shared" ca="1" si="3"/>
        <v>3.1541197156460643E-2</v>
      </c>
      <c r="E224" s="2">
        <f t="shared" ca="1" si="4"/>
        <v>0.96845880284353936</v>
      </c>
      <c r="F224" s="1">
        <v>0.2</v>
      </c>
      <c r="G224" s="1">
        <f t="shared" ca="1" si="5"/>
        <v>2.5232957725168516E-2</v>
      </c>
      <c r="H224" s="1">
        <f t="shared" ca="1" si="6"/>
        <v>0.77476704227483151</v>
      </c>
    </row>
    <row r="225" spans="1:8">
      <c r="A225" s="2">
        <f t="shared" ca="1" si="0"/>
        <v>0.9877033839042606</v>
      </c>
      <c r="B225" s="2">
        <f t="shared" ca="1" si="1"/>
        <v>0.10508130847417951</v>
      </c>
      <c r="C225" s="2">
        <f t="shared" ca="1" si="2"/>
        <v>0.10378916396503456</v>
      </c>
      <c r="D225" s="2">
        <f t="shared" ca="1" si="3"/>
        <v>0.3698081318089832</v>
      </c>
      <c r="E225" s="2">
        <f t="shared" ca="1" si="4"/>
        <v>0.6301918681910168</v>
      </c>
      <c r="F225" s="1">
        <v>0.2</v>
      </c>
      <c r="G225" s="1">
        <f t="shared" ca="1" si="5"/>
        <v>0.29584650544718655</v>
      </c>
      <c r="H225" s="1">
        <f t="shared" ca="1" si="6"/>
        <v>0.50415349455281344</v>
      </c>
    </row>
    <row r="226" spans="1:8">
      <c r="A226" s="2">
        <f t="shared" ca="1" si="0"/>
        <v>1.001089636683457</v>
      </c>
      <c r="B226" s="2">
        <f t="shared" ca="1" si="1"/>
        <v>0.15639304046201724</v>
      </c>
      <c r="C226" s="2">
        <f t="shared" ca="1" si="2"/>
        <v>0.15656345205594202</v>
      </c>
      <c r="D226" s="2">
        <f t="shared" ca="1" si="3"/>
        <v>2.2608868053013098E-2</v>
      </c>
      <c r="E226" s="2">
        <f t="shared" ca="1" si="4"/>
        <v>0.9773911319469869</v>
      </c>
      <c r="F226" s="1">
        <v>0.2</v>
      </c>
      <c r="G226" s="1">
        <f t="shared" ca="1" si="5"/>
        <v>1.8087094442410478E-2</v>
      </c>
      <c r="H226" s="1">
        <f t="shared" ca="1" si="6"/>
        <v>0.78191290555758952</v>
      </c>
    </row>
    <row r="227" spans="1:8">
      <c r="A227" s="2">
        <f t="shared" ca="1" si="0"/>
        <v>0.4291609563239841</v>
      </c>
      <c r="B227" s="2">
        <f t="shared" ca="1" si="1"/>
        <v>7.2090970940555069E-2</v>
      </c>
      <c r="C227" s="2">
        <f t="shared" ca="1" si="2"/>
        <v>3.0938630031173159E-2</v>
      </c>
      <c r="D227" s="2">
        <f t="shared" ca="1" si="3"/>
        <v>0.84908796032122924</v>
      </c>
      <c r="E227" s="2">
        <f t="shared" ca="1" si="4"/>
        <v>0.15091203967877076</v>
      </c>
      <c r="F227" s="1">
        <v>0.2</v>
      </c>
      <c r="G227" s="1">
        <f t="shared" ca="1" si="5"/>
        <v>0.67927036825698339</v>
      </c>
      <c r="H227" s="1">
        <f t="shared" ca="1" si="6"/>
        <v>0.12072963174301661</v>
      </c>
    </row>
    <row r="228" spans="1:8">
      <c r="A228" s="2">
        <f t="shared" ca="1" si="0"/>
        <v>0.10679390629018889</v>
      </c>
      <c r="B228" s="2">
        <f t="shared" ca="1" si="1"/>
        <v>7.9730907125539513E-2</v>
      </c>
      <c r="C228" s="2">
        <f t="shared" ca="1" si="2"/>
        <v>8.5147750239966211E-3</v>
      </c>
      <c r="D228" s="2">
        <f t="shared" ca="1" si="3"/>
        <v>0.99661332221054855</v>
      </c>
      <c r="E228" s="2">
        <f t="shared" ca="1" si="4"/>
        <v>3.3866777894514533E-3</v>
      </c>
      <c r="F228" s="1">
        <v>0.2</v>
      </c>
      <c r="G228" s="1">
        <f t="shared" ca="1" si="5"/>
        <v>0.79729065776843888</v>
      </c>
      <c r="H228" s="1">
        <f t="shared" ca="1" si="6"/>
        <v>2.7093422315611626E-3</v>
      </c>
    </row>
    <row r="229" spans="1:8">
      <c r="A229" s="2">
        <f t="shared" ca="1" si="0"/>
        <v>0.98893234743931036</v>
      </c>
      <c r="B229" s="2">
        <f t="shared" ca="1" si="1"/>
        <v>0.10585135385261336</v>
      </c>
      <c r="C229" s="2">
        <f t="shared" ca="1" si="2"/>
        <v>0.10467982784509403</v>
      </c>
      <c r="D229" s="2">
        <f t="shared" ca="1" si="3"/>
        <v>0.36394850101911835</v>
      </c>
      <c r="E229" s="2">
        <f t="shared" ca="1" si="4"/>
        <v>0.63605149898088165</v>
      </c>
      <c r="F229" s="1">
        <v>0.2</v>
      </c>
      <c r="G229" s="1">
        <f t="shared" ca="1" si="5"/>
        <v>0.29115880081529472</v>
      </c>
      <c r="H229" s="1">
        <f t="shared" ca="1" si="6"/>
        <v>0.50884119918470538</v>
      </c>
    </row>
    <row r="230" spans="1:8">
      <c r="A230" s="2">
        <f t="shared" ca="1" si="0"/>
        <v>0.98354770504803979</v>
      </c>
      <c r="B230" s="2">
        <f t="shared" ca="1" si="1"/>
        <v>0.10276179412920283</v>
      </c>
      <c r="C230" s="2">
        <f t="shared" ca="1" si="2"/>
        <v>0.10107112678239658</v>
      </c>
      <c r="D230" s="2">
        <f t="shared" ca="1" si="3"/>
        <v>0.38768995537897</v>
      </c>
      <c r="E230" s="2">
        <f t="shared" ca="1" si="4"/>
        <v>0.61231004462103</v>
      </c>
      <c r="F230" s="1">
        <v>0.2</v>
      </c>
      <c r="G230" s="1">
        <f t="shared" ca="1" si="5"/>
        <v>0.31015196430317604</v>
      </c>
      <c r="H230" s="1">
        <f t="shared" ca="1" si="6"/>
        <v>0.489848035696824</v>
      </c>
    </row>
    <row r="231" spans="1:8">
      <c r="A231" s="2">
        <f t="shared" ca="1" si="0"/>
        <v>0.82294013327374338</v>
      </c>
      <c r="B231" s="2">
        <f t="shared" ca="1" si="1"/>
        <v>7.7559353764130617E-2</v>
      </c>
      <c r="C231" s="2">
        <f t="shared" ca="1" si="2"/>
        <v>6.3826704923279062E-2</v>
      </c>
      <c r="D231" s="2">
        <f t="shared" ca="1" si="3"/>
        <v>0.63271904655737465</v>
      </c>
      <c r="E231" s="2">
        <f t="shared" ca="1" si="4"/>
        <v>0.36728095344262535</v>
      </c>
      <c r="F231" s="1">
        <v>0.2</v>
      </c>
      <c r="G231" s="1">
        <f t="shared" ca="1" si="5"/>
        <v>0.50617523724589975</v>
      </c>
      <c r="H231" s="1">
        <f t="shared" ca="1" si="6"/>
        <v>0.2938247627541003</v>
      </c>
    </row>
    <row r="232" spans="1:8">
      <c r="A232" s="2">
        <f t="shared" ca="1" si="0"/>
        <v>1.0003654386366607</v>
      </c>
      <c r="B232" s="2">
        <f t="shared" ca="1" si="1"/>
        <v>0.11681684392182652</v>
      </c>
      <c r="C232" s="2">
        <f t="shared" ca="1" si="2"/>
        <v>0.11685953331000833</v>
      </c>
      <c r="D232" s="2">
        <f t="shared" ca="1" si="3"/>
        <v>0.28381885980257682</v>
      </c>
      <c r="E232" s="2">
        <f t="shared" ca="1" si="4"/>
        <v>0.71618114019742318</v>
      </c>
      <c r="F232" s="1">
        <v>0.2</v>
      </c>
      <c r="G232" s="1">
        <f t="shared" ca="1" si="5"/>
        <v>0.22705508784206146</v>
      </c>
      <c r="H232" s="1">
        <f t="shared" ca="1" si="6"/>
        <v>0.57294491215793852</v>
      </c>
    </row>
    <row r="233" spans="1:8">
      <c r="A233" s="2">
        <f t="shared" ca="1" si="0"/>
        <v>1.0038850559312706</v>
      </c>
      <c r="B233" s="2">
        <f t="shared" ca="1" si="1"/>
        <v>0.14490089343537219</v>
      </c>
      <c r="C233" s="2">
        <f t="shared" ca="1" si="2"/>
        <v>0.1454638415108597</v>
      </c>
      <c r="D233" s="2">
        <f t="shared" ca="1" si="3"/>
        <v>9.563262163908115E-2</v>
      </c>
      <c r="E233" s="2">
        <f t="shared" ca="1" si="4"/>
        <v>0.90436737836091885</v>
      </c>
      <c r="F233" s="1">
        <v>0.2</v>
      </c>
      <c r="G233" s="1">
        <f t="shared" ca="1" si="5"/>
        <v>7.6506097311264926E-2</v>
      </c>
      <c r="H233" s="1">
        <f t="shared" ca="1" si="6"/>
        <v>0.72349390268873515</v>
      </c>
    </row>
    <row r="234" spans="1:8">
      <c r="A234" s="2">
        <f t="shared" ca="1" si="0"/>
        <v>1.0045419902457111</v>
      </c>
      <c r="B234" s="2">
        <f t="shared" ca="1" si="1"/>
        <v>0.14069343842435364</v>
      </c>
      <c r="C234" s="2">
        <f t="shared" ca="1" si="2"/>
        <v>0.14133246664931262</v>
      </c>
      <c r="D234" s="2">
        <f t="shared" ca="1" si="3"/>
        <v>0.12281271941241712</v>
      </c>
      <c r="E234" s="2">
        <f t="shared" ca="1" si="4"/>
        <v>0.87718728058758288</v>
      </c>
      <c r="F234" s="1">
        <v>0.2</v>
      </c>
      <c r="G234" s="1">
        <f t="shared" ca="1" si="5"/>
        <v>9.8250175529933703E-2</v>
      </c>
      <c r="H234" s="1">
        <f t="shared" ca="1" si="6"/>
        <v>0.7017498244700664</v>
      </c>
    </row>
    <row r="235" spans="1:8">
      <c r="A235" s="2">
        <f t="shared" ca="1" si="0"/>
        <v>0.24071532757598163</v>
      </c>
      <c r="B235" s="2">
        <f t="shared" ca="1" si="1"/>
        <v>7.5417023093657276E-2</v>
      </c>
      <c r="C235" s="2">
        <f t="shared" ca="1" si="2"/>
        <v>1.8154033418795082E-2</v>
      </c>
      <c r="D235" s="2">
        <f t="shared" ca="1" si="3"/>
        <v>0.93319714856055869</v>
      </c>
      <c r="E235" s="2">
        <f t="shared" ca="1" si="4"/>
        <v>6.6802851439441313E-2</v>
      </c>
      <c r="F235" s="1">
        <v>0.2</v>
      </c>
      <c r="G235" s="1">
        <f t="shared" ca="1" si="5"/>
        <v>0.74655771884844702</v>
      </c>
      <c r="H235" s="1">
        <f t="shared" ca="1" si="6"/>
        <v>5.3442281151553056E-2</v>
      </c>
    </row>
    <row r="236" spans="1:8">
      <c r="A236" s="2">
        <f t="shared" ca="1" si="0"/>
        <v>0.35449176857987869</v>
      </c>
      <c r="B236" s="2">
        <f t="shared" ca="1" si="1"/>
        <v>7.3051653002359968E-2</v>
      </c>
      <c r="C236" s="2">
        <f t="shared" ca="1" si="2"/>
        <v>2.5896209670490191E-2</v>
      </c>
      <c r="D236" s="2">
        <f t="shared" ca="1" si="3"/>
        <v>0.8822617784836172</v>
      </c>
      <c r="E236" s="2">
        <f t="shared" ca="1" si="4"/>
        <v>0.1177382215163828</v>
      </c>
      <c r="F236" s="1">
        <v>0.2</v>
      </c>
      <c r="G236" s="1">
        <f t="shared" ca="1" si="5"/>
        <v>0.70580942278689385</v>
      </c>
      <c r="H236" s="1">
        <f t="shared" ca="1" si="6"/>
        <v>9.4190577213106252E-2</v>
      </c>
    </row>
    <row r="237" spans="1:8">
      <c r="A237" s="2">
        <f t="shared" ca="1" si="0"/>
        <v>0.93190811117347105</v>
      </c>
      <c r="B237" s="2">
        <f t="shared" ca="1" si="1"/>
        <v>8.8155600211722612E-2</v>
      </c>
      <c r="C237" s="2">
        <f t="shared" ca="1" si="2"/>
        <v>8.2152918882670067E-2</v>
      </c>
      <c r="D237" s="2">
        <f t="shared" ca="1" si="3"/>
        <v>0.51215184945611802</v>
      </c>
      <c r="E237" s="2">
        <f t="shared" ca="1" si="4"/>
        <v>0.48784815054388198</v>
      </c>
      <c r="F237" s="1">
        <v>0.2</v>
      </c>
      <c r="G237" s="1">
        <f t="shared" ca="1" si="5"/>
        <v>0.40972147956489446</v>
      </c>
      <c r="H237" s="1">
        <f t="shared" ca="1" si="6"/>
        <v>0.39027852043510558</v>
      </c>
    </row>
    <row r="238" spans="1:8">
      <c r="A238" s="2">
        <f t="shared" ca="1" si="0"/>
        <v>1.0038230413514289</v>
      </c>
      <c r="B238" s="2">
        <f t="shared" ca="1" si="1"/>
        <v>0.14523341065100781</v>
      </c>
      <c r="C238" s="2">
        <f t="shared" ca="1" si="2"/>
        <v>0.14578864398553565</v>
      </c>
      <c r="D238" s="2">
        <f t="shared" ca="1" si="3"/>
        <v>9.3495763253055086E-2</v>
      </c>
      <c r="E238" s="2">
        <f t="shared" ca="1" si="4"/>
        <v>0.90650423674694491</v>
      </c>
      <c r="F238" s="1">
        <v>0.2</v>
      </c>
      <c r="G238" s="1">
        <f t="shared" ca="1" si="5"/>
        <v>7.4796610602444066E-2</v>
      </c>
      <c r="H238" s="1">
        <f t="shared" ca="1" si="6"/>
        <v>0.72520338939755602</v>
      </c>
    </row>
    <row r="239" spans="1:8">
      <c r="A239" s="2">
        <f t="shared" ca="1" si="0"/>
        <v>0.89234196340702199</v>
      </c>
      <c r="B239" s="2">
        <f t="shared" ca="1" si="1"/>
        <v>8.290624706725605E-2</v>
      </c>
      <c r="C239" s="2">
        <f t="shared" ca="1" si="2"/>
        <v>7.3980723286702924E-2</v>
      </c>
      <c r="D239" s="2">
        <f t="shared" ca="1" si="3"/>
        <v>0.56591629416642819</v>
      </c>
      <c r="E239" s="2">
        <f t="shared" ca="1" si="4"/>
        <v>0.43408370583357181</v>
      </c>
      <c r="F239" s="1">
        <v>0.2</v>
      </c>
      <c r="G239" s="1">
        <f t="shared" ca="1" si="5"/>
        <v>0.45273303533314257</v>
      </c>
      <c r="H239" s="1">
        <f t="shared" ca="1" si="6"/>
        <v>0.34726696466685747</v>
      </c>
    </row>
    <row r="240" spans="1:8">
      <c r="A240" s="2">
        <f t="shared" ca="1" si="0"/>
        <v>0.44026067971434718</v>
      </c>
      <c r="B240" s="2">
        <f t="shared" ca="1" si="1"/>
        <v>7.1988153333439373E-2</v>
      </c>
      <c r="C240" s="2">
        <f t="shared" ca="1" si="2"/>
        <v>3.1693553317960664E-2</v>
      </c>
      <c r="D240" s="2">
        <f t="shared" ca="1" si="3"/>
        <v>0.84412135975025882</v>
      </c>
      <c r="E240" s="2">
        <f t="shared" ca="1" si="4"/>
        <v>0.15587864024974118</v>
      </c>
      <c r="F240" s="1">
        <v>0.2</v>
      </c>
      <c r="G240" s="1">
        <f t="shared" ca="1" si="5"/>
        <v>0.67529708780020714</v>
      </c>
      <c r="H240" s="1">
        <f t="shared" ca="1" si="6"/>
        <v>0.12470291219979296</v>
      </c>
    </row>
    <row r="241" spans="1:8">
      <c r="A241" s="2">
        <f t="shared" ca="1" si="0"/>
        <v>0.49014666791924438</v>
      </c>
      <c r="B241" s="2">
        <f t="shared" ca="1" si="1"/>
        <v>7.165803558305521E-2</v>
      </c>
      <c r="C241" s="2">
        <f t="shared" ca="1" si="2"/>
        <v>3.512294737067316E-2</v>
      </c>
      <c r="D241" s="2">
        <f t="shared" ca="1" si="3"/>
        <v>0.82155955677188708</v>
      </c>
      <c r="E241" s="2">
        <f t="shared" ca="1" si="4"/>
        <v>0.17844044322811292</v>
      </c>
      <c r="F241" s="1">
        <v>0.2</v>
      </c>
      <c r="G241" s="1">
        <f t="shared" ca="1" si="5"/>
        <v>0.65724764541750968</v>
      </c>
      <c r="H241" s="1">
        <f t="shared" ca="1" si="6"/>
        <v>0.14275235458249033</v>
      </c>
    </row>
    <row r="242" spans="1:8">
      <c r="A242" s="2">
        <f t="shared" ca="1" si="0"/>
        <v>0.16977470095651923</v>
      </c>
      <c r="B242" s="2">
        <f t="shared" ca="1" si="1"/>
        <v>7.7477664333412216E-2</v>
      </c>
      <c r="C242" s="2">
        <f t="shared" ca="1" si="2"/>
        <v>1.3153747293014634E-2</v>
      </c>
      <c r="D242" s="2">
        <f t="shared" ca="1" si="3"/>
        <v>0.96609376780911427</v>
      </c>
      <c r="E242" s="2">
        <f t="shared" ca="1" si="4"/>
        <v>3.3906232190885732E-2</v>
      </c>
      <c r="F242" s="1">
        <v>0.2</v>
      </c>
      <c r="G242" s="1">
        <f t="shared" ca="1" si="5"/>
        <v>0.77287501424729144</v>
      </c>
      <c r="H242" s="1">
        <f t="shared" ca="1" si="6"/>
        <v>2.7124985752708587E-2</v>
      </c>
    </row>
    <row r="243" spans="1:8">
      <c r="A243" s="2">
        <f t="shared" ca="1" si="0"/>
        <v>1.0044313402944085</v>
      </c>
      <c r="B243" s="2">
        <f t="shared" ca="1" si="1"/>
        <v>0.1415312553962951</v>
      </c>
      <c r="C243" s="2">
        <f t="shared" ca="1" si="2"/>
        <v>0.14215842855125094</v>
      </c>
      <c r="D243" s="2">
        <f t="shared" ca="1" si="3"/>
        <v>0.11737875953124399</v>
      </c>
      <c r="E243" s="2">
        <f t="shared" ca="1" si="4"/>
        <v>0.88262124046875601</v>
      </c>
      <c r="F243" s="1">
        <v>0.2</v>
      </c>
      <c r="G243" s="1">
        <f t="shared" ca="1" si="5"/>
        <v>9.3903007624995205E-2</v>
      </c>
      <c r="H243" s="1">
        <f t="shared" ca="1" si="6"/>
        <v>0.70609699237500489</v>
      </c>
    </row>
    <row r="244" spans="1:8">
      <c r="A244" s="2">
        <f t="shared" ca="1" si="0"/>
        <v>1.0019578070122583</v>
      </c>
      <c r="B244" s="2">
        <f t="shared" ca="1" si="1"/>
        <v>0.15329285224850697</v>
      </c>
      <c r="C244" s="2">
        <f t="shared" ca="1" si="2"/>
        <v>0.15359297006956818</v>
      </c>
      <c r="D244" s="2">
        <f t="shared" ca="1" si="3"/>
        <v>4.2151512700209448E-2</v>
      </c>
      <c r="E244" s="2">
        <f t="shared" ca="1" si="4"/>
        <v>0.95784848729979055</v>
      </c>
      <c r="F244" s="1">
        <v>0.2</v>
      </c>
      <c r="G244" s="1">
        <f t="shared" ca="1" si="5"/>
        <v>3.3721210160167561E-2</v>
      </c>
      <c r="H244" s="1">
        <f t="shared" ca="1" si="6"/>
        <v>0.76627878983983244</v>
      </c>
    </row>
    <row r="245" spans="1:8">
      <c r="A245" s="2">
        <f t="shared" ca="1" si="0"/>
        <v>0.49097216088152307</v>
      </c>
      <c r="B245" s="2">
        <f t="shared" ca="1" si="1"/>
        <v>7.16544325721718E-2</v>
      </c>
      <c r="C245" s="2">
        <f t="shared" ca="1" si="2"/>
        <v>3.5180331596698582E-2</v>
      </c>
      <c r="D245" s="2">
        <f t="shared" ca="1" si="3"/>
        <v>0.82118202896908832</v>
      </c>
      <c r="E245" s="2">
        <f t="shared" ca="1" si="4"/>
        <v>0.17881797103091168</v>
      </c>
      <c r="F245" s="1">
        <v>0.2</v>
      </c>
      <c r="G245" s="1">
        <f t="shared" ca="1" si="5"/>
        <v>0.65694562317527072</v>
      </c>
      <c r="H245" s="1">
        <f t="shared" ca="1" si="6"/>
        <v>0.14305437682472935</v>
      </c>
    </row>
    <row r="246" spans="1:8">
      <c r="A246" s="2">
        <f t="shared" ca="1" si="0"/>
        <v>0.50030227584956977</v>
      </c>
      <c r="B246" s="2">
        <f t="shared" ca="1" si="1"/>
        <v>7.1618037613544613E-2</v>
      </c>
      <c r="C246" s="2">
        <f t="shared" ca="1" si="2"/>
        <v>3.5830667209936461E-2</v>
      </c>
      <c r="D246" s="2">
        <f t="shared" ca="1" si="3"/>
        <v>0.81690350519778643</v>
      </c>
      <c r="E246" s="2">
        <f t="shared" ca="1" si="4"/>
        <v>0.18309649480221357</v>
      </c>
      <c r="F246" s="1">
        <v>0.2</v>
      </c>
      <c r="G246" s="1">
        <f t="shared" ca="1" si="5"/>
        <v>0.65352280415822916</v>
      </c>
      <c r="H246" s="1">
        <f t="shared" ca="1" si="6"/>
        <v>0.14647719584177085</v>
      </c>
    </row>
    <row r="247" spans="1:8">
      <c r="A247" s="2">
        <f t="shared" ca="1" si="0"/>
        <v>0.22512836514580842</v>
      </c>
      <c r="B247" s="2">
        <f t="shared" ca="1" si="1"/>
        <v>7.5829237724550067E-2</v>
      </c>
      <c r="C247" s="2">
        <f t="shared" ca="1" si="2"/>
        <v>1.7071312319180819E-2</v>
      </c>
      <c r="D247" s="2">
        <f t="shared" ca="1" si="3"/>
        <v>0.9403203136895999</v>
      </c>
      <c r="E247" s="2">
        <f t="shared" ca="1" si="4"/>
        <v>5.9679686310400104E-2</v>
      </c>
      <c r="F247" s="1">
        <v>0.2</v>
      </c>
      <c r="G247" s="1">
        <f t="shared" ca="1" si="5"/>
        <v>0.75225625095167992</v>
      </c>
      <c r="H247" s="1">
        <f t="shared" ca="1" si="6"/>
        <v>4.7743749048320086E-2</v>
      </c>
    </row>
    <row r="248" spans="1:8">
      <c r="A248" s="2">
        <f t="shared" ca="1" si="0"/>
        <v>0.86358765386406622</v>
      </c>
      <c r="B248" s="2">
        <f t="shared" ca="1" si="1"/>
        <v>8.0280472076831436E-2</v>
      </c>
      <c r="C248" s="2">
        <f t="shared" ca="1" si="2"/>
        <v>6.9329224531930536E-2</v>
      </c>
      <c r="D248" s="2">
        <f t="shared" ca="1" si="3"/>
        <v>0.5965182596583517</v>
      </c>
      <c r="E248" s="2">
        <f t="shared" ca="1" si="4"/>
        <v>0.4034817403416483</v>
      </c>
      <c r="F248" s="1">
        <v>0.2</v>
      </c>
      <c r="G248" s="1">
        <f t="shared" ca="1" si="5"/>
        <v>0.47721460772668139</v>
      </c>
      <c r="H248" s="1">
        <f t="shared" ca="1" si="6"/>
        <v>0.32278539227331865</v>
      </c>
    </row>
    <row r="249" spans="1:8">
      <c r="A249" s="2">
        <f t="shared" ca="1" si="0"/>
        <v>1.0049461993737301</v>
      </c>
      <c r="B249" s="2">
        <f t="shared" ca="1" si="1"/>
        <v>0.13210606831372809</v>
      </c>
      <c r="C249" s="2">
        <f t="shared" ca="1" si="2"/>
        <v>0.13275949126608741</v>
      </c>
      <c r="D249" s="2">
        <f t="shared" ca="1" si="3"/>
        <v>0.17921387324942506</v>
      </c>
      <c r="E249" s="2">
        <f t="shared" ca="1" si="4"/>
        <v>0.82078612675057494</v>
      </c>
      <c r="F249" s="1">
        <v>0.2</v>
      </c>
      <c r="G249" s="1">
        <f t="shared" ca="1" si="5"/>
        <v>0.14337109859954006</v>
      </c>
      <c r="H249" s="1">
        <f t="shared" ca="1" si="6"/>
        <v>0.65662890140046004</v>
      </c>
    </row>
    <row r="250" spans="1:8">
      <c r="A250" s="2">
        <f t="shared" ca="1" si="0"/>
        <v>0.77444524280815286</v>
      </c>
      <c r="B250" s="2">
        <f t="shared" ca="1" si="1"/>
        <v>7.5293210424685397E-2</v>
      </c>
      <c r="C250" s="2">
        <f t="shared" ca="1" si="2"/>
        <v>5.8310468629150826E-2</v>
      </c>
      <c r="D250" s="2">
        <f t="shared" ca="1" si="3"/>
        <v>0.66901007480821828</v>
      </c>
      <c r="E250" s="2">
        <f t="shared" ca="1" si="4"/>
        <v>0.33098992519178172</v>
      </c>
      <c r="F250" s="1">
        <v>0.2</v>
      </c>
      <c r="G250" s="1">
        <f t="shared" ca="1" si="5"/>
        <v>0.5352080598465746</v>
      </c>
      <c r="H250" s="1">
        <f t="shared" ca="1" si="6"/>
        <v>0.26479194015342539</v>
      </c>
    </row>
    <row r="251" spans="1:8">
      <c r="A251" s="2">
        <f t="shared" ca="1" si="0"/>
        <v>0.32432129697389317</v>
      </c>
      <c r="B251" s="2">
        <f t="shared" ca="1" si="1"/>
        <v>7.3571598899820498E-2</v>
      </c>
      <c r="C251" s="2">
        <f t="shared" ca="1" si="2"/>
        <v>2.3860836375632834E-2</v>
      </c>
      <c r="D251" s="2">
        <f t="shared" ca="1" si="3"/>
        <v>0.89565239226557347</v>
      </c>
      <c r="E251" s="2">
        <f t="shared" ca="1" si="4"/>
        <v>0.10434760773442653</v>
      </c>
      <c r="F251" s="1">
        <v>0.2</v>
      </c>
      <c r="G251" s="1">
        <f t="shared" ca="1" si="5"/>
        <v>0.71652191381245878</v>
      </c>
      <c r="H251" s="1">
        <f t="shared" ca="1" si="6"/>
        <v>8.3478086187541226E-2</v>
      </c>
    </row>
    <row r="252" spans="1:8">
      <c r="A252" s="2">
        <f t="shared" ca="1" si="0"/>
        <v>0.37371505292640123</v>
      </c>
      <c r="B252" s="2">
        <f t="shared" ca="1" si="1"/>
        <v>7.2759908346055974E-2</v>
      </c>
      <c r="C252" s="2">
        <f t="shared" ca="1" si="2"/>
        <v>2.7191472998466411E-2</v>
      </c>
      <c r="D252" s="2">
        <f t="shared" ca="1" si="3"/>
        <v>0.87374030922061574</v>
      </c>
      <c r="E252" s="2">
        <f t="shared" ca="1" si="4"/>
        <v>0.12625969077938426</v>
      </c>
      <c r="F252" s="1">
        <v>0.2</v>
      </c>
      <c r="G252" s="1">
        <f t="shared" ca="1" si="5"/>
        <v>0.69899224737649268</v>
      </c>
      <c r="H252" s="1">
        <f t="shared" ca="1" si="6"/>
        <v>0.10100775262350742</v>
      </c>
    </row>
    <row r="253" spans="1:8">
      <c r="A253" s="2">
        <f t="shared" ca="1" si="0"/>
        <v>0.99772448181426832</v>
      </c>
      <c r="B253" s="2">
        <f t="shared" ca="1" si="1"/>
        <v>0.11329052186080435</v>
      </c>
      <c r="C253" s="2">
        <f t="shared" ca="1" si="2"/>
        <v>0.11303272721803906</v>
      </c>
      <c r="D253" s="2">
        <f t="shared" ca="1" si="3"/>
        <v>0.3089952156707958</v>
      </c>
      <c r="E253" s="2">
        <f t="shared" ca="1" si="4"/>
        <v>0.6910047843292042</v>
      </c>
      <c r="F253" s="1">
        <v>0.2</v>
      </c>
      <c r="G253" s="1">
        <f t="shared" ca="1" si="5"/>
        <v>0.24719617253663664</v>
      </c>
      <c r="H253" s="1">
        <f t="shared" ca="1" si="6"/>
        <v>0.55280382746336343</v>
      </c>
    </row>
    <row r="254" spans="1:8">
      <c r="A254" s="2">
        <f t="shared" ca="1" si="0"/>
        <v>0.86467131206330028</v>
      </c>
      <c r="B254" s="2">
        <f t="shared" ca="1" si="1"/>
        <v>8.0366994245152354E-2</v>
      </c>
      <c r="C254" s="2">
        <f t="shared" ca="1" si="2"/>
        <v>6.9491034360539591E-2</v>
      </c>
      <c r="D254" s="2">
        <f t="shared" ca="1" si="3"/>
        <v>0.59545372131223961</v>
      </c>
      <c r="E254" s="2">
        <f t="shared" ca="1" si="4"/>
        <v>0.40454627868776039</v>
      </c>
      <c r="F254" s="1">
        <v>0.2</v>
      </c>
      <c r="G254" s="1">
        <f t="shared" ca="1" si="5"/>
        <v>0.47636297704979169</v>
      </c>
      <c r="H254" s="1">
        <f t="shared" ca="1" si="6"/>
        <v>0.32363702295020835</v>
      </c>
    </row>
    <row r="255" spans="1:8">
      <c r="A255" s="2">
        <f t="shared" ca="1" si="0"/>
        <v>1.0048723877679591</v>
      </c>
      <c r="B255" s="2">
        <f t="shared" ca="1" si="1"/>
        <v>0.13087620590679083</v>
      </c>
      <c r="C255" s="2">
        <f t="shared" ca="1" si="2"/>
        <v>0.13151388553156798</v>
      </c>
      <c r="D255" s="2">
        <f t="shared" ca="1" si="3"/>
        <v>0.18740864781863176</v>
      </c>
      <c r="E255" s="2">
        <f t="shared" ca="1" si="4"/>
        <v>0.81259135218136824</v>
      </c>
      <c r="F255" s="1">
        <v>0.2</v>
      </c>
      <c r="G255" s="1">
        <f t="shared" ca="1" si="5"/>
        <v>0.14992691825490542</v>
      </c>
      <c r="H255" s="1">
        <f t="shared" ca="1" si="6"/>
        <v>0.65007308174509459</v>
      </c>
    </row>
    <row r="256" spans="1:8">
      <c r="A256" s="2">
        <f t="shared" ca="1" si="0"/>
        <v>1.0025707907226906</v>
      </c>
      <c r="B256" s="2">
        <f t="shared" ca="1" si="1"/>
        <v>0.1210097738291073</v>
      </c>
      <c r="C256" s="2">
        <f t="shared" ca="1" si="2"/>
        <v>0.12132086463302205</v>
      </c>
      <c r="D256" s="2">
        <f t="shared" ca="1" si="3"/>
        <v>0.25446799583538127</v>
      </c>
      <c r="E256" s="2">
        <f t="shared" ca="1" si="4"/>
        <v>0.74553200416461873</v>
      </c>
      <c r="F256" s="1">
        <v>0.2</v>
      </c>
      <c r="G256" s="1">
        <f t="shared" ca="1" si="5"/>
        <v>0.20357439666830501</v>
      </c>
      <c r="H256" s="1">
        <f t="shared" ca="1" si="6"/>
        <v>0.59642560333169503</v>
      </c>
    </row>
    <row r="257" spans="1:8">
      <c r="A257" s="2">
        <f t="shared" ca="1" si="0"/>
        <v>0.19919503101828209</v>
      </c>
      <c r="B257" s="2">
        <f t="shared" ca="1" si="1"/>
        <v>7.656492773420745E-2</v>
      </c>
      <c r="C257" s="2">
        <f t="shared" ca="1" si="2"/>
        <v>1.5251353154927979E-2</v>
      </c>
      <c r="D257" s="2">
        <f t="shared" ca="1" si="3"/>
        <v>0.95229372924389488</v>
      </c>
      <c r="E257" s="2">
        <f t="shared" ca="1" si="4"/>
        <v>4.7706270756105118E-2</v>
      </c>
      <c r="F257" s="1">
        <v>0.2</v>
      </c>
      <c r="G257" s="1">
        <f t="shared" ca="1" si="5"/>
        <v>0.76183498339511591</v>
      </c>
      <c r="H257" s="1">
        <f t="shared" ca="1" si="6"/>
        <v>3.8165016604884097E-2</v>
      </c>
    </row>
    <row r="258" spans="1:8">
      <c r="A258" s="2">
        <f t="shared" ca="1" si="0"/>
        <v>1.0042938154744958</v>
      </c>
      <c r="B258" s="2">
        <f t="shared" ca="1" si="1"/>
        <v>0.14247735658340216</v>
      </c>
      <c r="C258" s="2">
        <f t="shared" ca="1" si="2"/>
        <v>0.14308912806186522</v>
      </c>
      <c r="D258" s="2">
        <f t="shared" ca="1" si="3"/>
        <v>0.11125573643509734</v>
      </c>
      <c r="E258" s="2">
        <f t="shared" ca="1" si="4"/>
        <v>0.88874426356490266</v>
      </c>
      <c r="F258" s="1">
        <v>0.2</v>
      </c>
      <c r="G258" s="1">
        <f t="shared" ca="1" si="5"/>
        <v>8.9004589148077878E-2</v>
      </c>
      <c r="H258" s="1">
        <f t="shared" ca="1" si="6"/>
        <v>0.71099541085192219</v>
      </c>
    </row>
    <row r="259" spans="1:8">
      <c r="A259" s="2">
        <f t="shared" ca="1" si="0"/>
        <v>0.8546836210338461</v>
      </c>
      <c r="B259" s="2">
        <f t="shared" ca="1" si="1"/>
        <v>7.9600564294958723E-2</v>
      </c>
      <c r="C259" s="2">
        <f t="shared" ca="1" si="2"/>
        <v>6.8033298527952799E-2</v>
      </c>
      <c r="D259" s="2">
        <f t="shared" ca="1" si="3"/>
        <v>0.60504408863188952</v>
      </c>
      <c r="E259" s="2">
        <f t="shared" ca="1" si="4"/>
        <v>0.39495591136811048</v>
      </c>
      <c r="F259" s="1">
        <v>0.2</v>
      </c>
      <c r="G259" s="1">
        <f t="shared" ca="1" si="5"/>
        <v>0.48403527090551163</v>
      </c>
      <c r="H259" s="1">
        <f t="shared" ca="1" si="6"/>
        <v>0.31596472909448842</v>
      </c>
    </row>
    <row r="260" spans="1:8">
      <c r="A260" s="2">
        <f t="shared" ca="1" si="0"/>
        <v>0.71620895210734414</v>
      </c>
      <c r="B260" s="2">
        <f t="shared" ca="1" si="1"/>
        <v>7.348870640860683E-2</v>
      </c>
      <c r="C260" s="2">
        <f t="shared" ca="1" si="2"/>
        <v>5.2633269408632562E-2</v>
      </c>
      <c r="D260" s="2">
        <f t="shared" ca="1" si="3"/>
        <v>0.70636006968004894</v>
      </c>
      <c r="E260" s="2">
        <f t="shared" ca="1" si="4"/>
        <v>0.29363993031995106</v>
      </c>
      <c r="F260" s="1">
        <v>0.2</v>
      </c>
      <c r="G260" s="1">
        <f t="shared" ca="1" si="5"/>
        <v>0.5650880557440392</v>
      </c>
      <c r="H260" s="1">
        <f t="shared" ca="1" si="6"/>
        <v>0.23491194425596085</v>
      </c>
    </row>
    <row r="261" spans="1:8">
      <c r="A261" s="2">
        <f t="shared" ca="1" si="0"/>
        <v>0.98570486659478807</v>
      </c>
      <c r="B261" s="2">
        <f t="shared" ca="1" si="1"/>
        <v>0.10391614714488068</v>
      </c>
      <c r="C261" s="2">
        <f t="shared" ca="1" si="2"/>
        <v>0.10243065195848898</v>
      </c>
      <c r="D261" s="2">
        <f t="shared" ca="1" si="3"/>
        <v>0.37874571079941466</v>
      </c>
      <c r="E261" s="2">
        <f t="shared" ca="1" si="4"/>
        <v>0.62125428920058534</v>
      </c>
      <c r="F261" s="1">
        <v>0.2</v>
      </c>
      <c r="G261" s="1">
        <f t="shared" ca="1" si="5"/>
        <v>0.30299656863953173</v>
      </c>
      <c r="H261" s="1">
        <f t="shared" ca="1" si="6"/>
        <v>0.49700343136046832</v>
      </c>
    </row>
    <row r="262" spans="1:8">
      <c r="A262" s="2">
        <f t="shared" ca="1" si="0"/>
        <v>1.0020835300808524</v>
      </c>
      <c r="B262" s="2">
        <f t="shared" ca="1" si="1"/>
        <v>0.11992078428085029</v>
      </c>
      <c r="C262" s="2">
        <f t="shared" ca="1" si="2"/>
        <v>0.12017064284221886</v>
      </c>
      <c r="D262" s="2">
        <f t="shared" ca="1" si="3"/>
        <v>0.26203524445908655</v>
      </c>
      <c r="E262" s="2">
        <f t="shared" ca="1" si="4"/>
        <v>0.73796475554091345</v>
      </c>
      <c r="F262" s="1">
        <v>0.2</v>
      </c>
      <c r="G262" s="1">
        <f t="shared" ca="1" si="5"/>
        <v>0.20962819556726925</v>
      </c>
      <c r="H262" s="1">
        <f t="shared" ca="1" si="6"/>
        <v>0.59037180443273074</v>
      </c>
    </row>
    <row r="263" spans="1:8">
      <c r="A263" s="2">
        <f t="shared" ca="1" si="0"/>
        <v>0.66596107042373065</v>
      </c>
      <c r="B263" s="2">
        <f t="shared" ca="1" si="1"/>
        <v>7.2492187253705875E-2</v>
      </c>
      <c r="C263" s="2">
        <f t="shared" ca="1" si="2"/>
        <v>4.8276974620835487E-2</v>
      </c>
      <c r="D263" s="2">
        <f t="shared" ca="1" si="3"/>
        <v>0.73501990381029292</v>
      </c>
      <c r="E263" s="2">
        <f t="shared" ca="1" si="4"/>
        <v>0.26498009618970708</v>
      </c>
      <c r="F263" s="1">
        <v>0.2</v>
      </c>
      <c r="G263" s="1">
        <f t="shared" ca="1" si="5"/>
        <v>0.58801592304823436</v>
      </c>
      <c r="H263" s="1">
        <f t="shared" ca="1" si="6"/>
        <v>0.21198407695176569</v>
      </c>
    </row>
    <row r="264" spans="1:8">
      <c r="A264" s="2">
        <f t="shared" ca="1" si="0"/>
        <v>0.80169923053259073</v>
      </c>
      <c r="B264" s="2">
        <f t="shared" ca="1" si="1"/>
        <v>7.6460649581675297E-2</v>
      </c>
      <c r="C264" s="2">
        <f t="shared" ca="1" si="2"/>
        <v>6.1298443935651141E-2</v>
      </c>
      <c r="D264" s="2">
        <f t="shared" ca="1" si="3"/>
        <v>0.64935234252861096</v>
      </c>
      <c r="E264" s="2">
        <f t="shared" ca="1" si="4"/>
        <v>0.35064765747138904</v>
      </c>
      <c r="F264" s="1">
        <v>0.2</v>
      </c>
      <c r="G264" s="1">
        <f t="shared" ca="1" si="5"/>
        <v>0.51948187402288881</v>
      </c>
      <c r="H264" s="1">
        <f t="shared" ca="1" si="6"/>
        <v>0.28051812597711123</v>
      </c>
    </row>
    <row r="265" spans="1:8">
      <c r="A265" s="2">
        <f t="shared" ca="1" si="0"/>
        <v>0.92560152571995835</v>
      </c>
      <c r="B265" s="2">
        <f t="shared" ca="1" si="1"/>
        <v>8.7137205280016145E-2</v>
      </c>
      <c r="C265" s="2">
        <f t="shared" ca="1" si="2"/>
        <v>8.0654330154156156E-2</v>
      </c>
      <c r="D265" s="2">
        <f t="shared" ca="1" si="3"/>
        <v>0.52201098582792016</v>
      </c>
      <c r="E265" s="2">
        <f t="shared" ca="1" si="4"/>
        <v>0.47798901417207984</v>
      </c>
      <c r="F265" s="1">
        <v>0.2</v>
      </c>
      <c r="G265" s="1">
        <f t="shared" ca="1" si="5"/>
        <v>0.41760878866233614</v>
      </c>
      <c r="H265" s="1">
        <f t="shared" ca="1" si="6"/>
        <v>0.38239121133766391</v>
      </c>
    </row>
    <row r="266" spans="1:8">
      <c r="A266" s="2">
        <f t="shared" ca="1" si="0"/>
        <v>0.45069287950449682</v>
      </c>
      <c r="B266" s="2">
        <f t="shared" ca="1" si="1"/>
        <v>7.1901133286300517E-2</v>
      </c>
      <c r="C266" s="2">
        <f t="shared" ca="1" si="2"/>
        <v>3.2405328800439406E-2</v>
      </c>
      <c r="D266" s="2">
        <f t="shared" ca="1" si="3"/>
        <v>0.83943862631289867</v>
      </c>
      <c r="E266" s="2">
        <f t="shared" ca="1" si="4"/>
        <v>0.16056137368710133</v>
      </c>
      <c r="F266" s="1">
        <v>0.2</v>
      </c>
      <c r="G266" s="1">
        <f t="shared" ca="1" si="5"/>
        <v>0.671550901050319</v>
      </c>
      <c r="H266" s="1">
        <f t="shared" ca="1" si="6"/>
        <v>0.12844909894968107</v>
      </c>
    </row>
    <row r="267" spans="1:8">
      <c r="A267" s="2">
        <f t="shared" ca="1" si="0"/>
        <v>1.0028500684270598</v>
      </c>
      <c r="B267" s="2">
        <f t="shared" ca="1" si="1"/>
        <v>0.12169667198995521</v>
      </c>
      <c r="C267" s="2">
        <f t="shared" ca="1" si="2"/>
        <v>0.12204351583247204</v>
      </c>
      <c r="D267" s="2">
        <f t="shared" ca="1" si="3"/>
        <v>0.24971371162847356</v>
      </c>
      <c r="E267" s="2">
        <f t="shared" ca="1" si="4"/>
        <v>0.75028628837152644</v>
      </c>
      <c r="F267" s="1">
        <v>0.2</v>
      </c>
      <c r="G267" s="1">
        <f t="shared" ca="1" si="5"/>
        <v>0.19977096930277885</v>
      </c>
      <c r="H267" s="1">
        <f t="shared" ca="1" si="6"/>
        <v>0.60022903069722122</v>
      </c>
    </row>
    <row r="268" spans="1:8">
      <c r="A268" s="2">
        <f t="shared" ca="1" si="0"/>
        <v>1.0049268140815861</v>
      </c>
      <c r="B268" s="2">
        <f t="shared" ca="1" si="1"/>
        <v>0.13638079890486543</v>
      </c>
      <c r="C268" s="2">
        <f t="shared" ca="1" si="2"/>
        <v>0.13705272174536789</v>
      </c>
      <c r="D268" s="2">
        <f t="shared" ca="1" si="3"/>
        <v>0.15096893588573757</v>
      </c>
      <c r="E268" s="2">
        <f t="shared" ca="1" si="4"/>
        <v>0.84903106411426243</v>
      </c>
      <c r="F268" s="1">
        <v>0.2</v>
      </c>
      <c r="G268" s="1">
        <f t="shared" ca="1" si="5"/>
        <v>0.12077514870859006</v>
      </c>
      <c r="H268" s="1">
        <f t="shared" ca="1" si="6"/>
        <v>0.67922485129140997</v>
      </c>
    </row>
    <row r="269" spans="1:8">
      <c r="A269" s="2">
        <f t="shared" ca="1" si="0"/>
        <v>0.52725206767845556</v>
      </c>
      <c r="B269" s="2">
        <f t="shared" ca="1" si="1"/>
        <v>7.1558527746124867E-2</v>
      </c>
      <c r="C269" s="2">
        <f t="shared" ca="1" si="2"/>
        <v>3.7729381714170465E-2</v>
      </c>
      <c r="D269" s="2">
        <f t="shared" ca="1" si="3"/>
        <v>0.80441196240677326</v>
      </c>
      <c r="E269" s="2">
        <f t="shared" ca="1" si="4"/>
        <v>0.19558803759322674</v>
      </c>
      <c r="F269" s="1">
        <v>0.2</v>
      </c>
      <c r="G269" s="1">
        <f t="shared" ca="1" si="5"/>
        <v>0.64352956992541865</v>
      </c>
      <c r="H269" s="1">
        <f t="shared" ca="1" si="6"/>
        <v>0.15647043007458139</v>
      </c>
    </row>
    <row r="270" spans="1:8">
      <c r="A270" s="2">
        <f t="shared" ca="1" si="0"/>
        <v>0.56625701854591082</v>
      </c>
      <c r="B270" s="2">
        <f t="shared" ca="1" si="1"/>
        <v>7.1598617563730579E-2</v>
      </c>
      <c r="C270" s="2">
        <f t="shared" ca="1" si="2"/>
        <v>4.0543219713646966E-2</v>
      </c>
      <c r="D270" s="2">
        <f t="shared" ca="1" si="3"/>
        <v>0.78589987030495423</v>
      </c>
      <c r="E270" s="2">
        <f t="shared" ca="1" si="4"/>
        <v>0.21410012969504577</v>
      </c>
      <c r="F270" s="1">
        <v>0.2</v>
      </c>
      <c r="G270" s="1">
        <f t="shared" ca="1" si="5"/>
        <v>0.62871989624396341</v>
      </c>
      <c r="H270" s="1">
        <f t="shared" ca="1" si="6"/>
        <v>0.17128010375603664</v>
      </c>
    </row>
    <row r="271" spans="1:8">
      <c r="A271" s="2">
        <f t="shared" ca="1" si="0"/>
        <v>0.34033168126486624</v>
      </c>
      <c r="B271" s="2">
        <f t="shared" ca="1" si="1"/>
        <v>7.3286217874525064E-2</v>
      </c>
      <c r="C271" s="2">
        <f t="shared" ca="1" si="2"/>
        <v>2.4941621742780407E-2</v>
      </c>
      <c r="D271" s="2">
        <f t="shared" ca="1" si="3"/>
        <v>0.88854196221854997</v>
      </c>
      <c r="E271" s="2">
        <f t="shared" ca="1" si="4"/>
        <v>0.11145803778145003</v>
      </c>
      <c r="F271" s="1">
        <v>0.2</v>
      </c>
      <c r="G271" s="1">
        <f t="shared" ca="1" si="5"/>
        <v>0.71083356977484002</v>
      </c>
      <c r="H271" s="1">
        <f t="shared" ca="1" si="6"/>
        <v>8.916643022516002E-2</v>
      </c>
    </row>
    <row r="272" spans="1:8">
      <c r="A272" s="2">
        <f t="shared" ca="1" si="0"/>
        <v>0.33392748111682252</v>
      </c>
      <c r="B272" s="2">
        <f t="shared" ca="1" si="1"/>
        <v>7.3397797084244251E-2</v>
      </c>
      <c r="C272" s="2">
        <f t="shared" ca="1" si="2"/>
        <v>2.4509541499865343E-2</v>
      </c>
      <c r="D272" s="2">
        <f t="shared" ca="1" si="3"/>
        <v>0.89138459539562276</v>
      </c>
      <c r="E272" s="2">
        <f t="shared" ca="1" si="4"/>
        <v>0.10861540460437724</v>
      </c>
      <c r="F272" s="1">
        <v>0.2</v>
      </c>
      <c r="G272" s="1">
        <f t="shared" ca="1" si="5"/>
        <v>0.7131076763164983</v>
      </c>
      <c r="H272" s="1">
        <f t="shared" ca="1" si="6"/>
        <v>8.6892323683501804E-2</v>
      </c>
    </row>
    <row r="273" spans="1:8">
      <c r="A273" s="2">
        <f t="shared" ca="1" si="0"/>
        <v>0.83547512215241004</v>
      </c>
      <c r="B273" s="2">
        <f t="shared" ca="1" si="1"/>
        <v>7.8301378752234557E-2</v>
      </c>
      <c r="C273" s="2">
        <f t="shared" ca="1" si="2"/>
        <v>6.5418853977725289E-2</v>
      </c>
      <c r="D273" s="2">
        <f t="shared" ca="1" si="3"/>
        <v>0.62224438172549157</v>
      </c>
      <c r="E273" s="2">
        <f t="shared" ca="1" si="4"/>
        <v>0.37775561827450843</v>
      </c>
      <c r="F273" s="1">
        <v>0.2</v>
      </c>
      <c r="G273" s="1">
        <f t="shared" ca="1" si="5"/>
        <v>0.4977955053803933</v>
      </c>
      <c r="H273" s="1">
        <f t="shared" ca="1" si="6"/>
        <v>0.30220449461960674</v>
      </c>
    </row>
    <row r="274" spans="1:8">
      <c r="A274" s="2">
        <f t="shared" ca="1" si="0"/>
        <v>0.99290293137921382</v>
      </c>
      <c r="B274" s="2">
        <f t="shared" ca="1" si="1"/>
        <v>0.10869634246447621</v>
      </c>
      <c r="C274" s="2">
        <f t="shared" ca="1" si="2"/>
        <v>0.10792491706317735</v>
      </c>
      <c r="D274" s="2">
        <f t="shared" ca="1" si="3"/>
        <v>0.34259922984751745</v>
      </c>
      <c r="E274" s="2">
        <f t="shared" ca="1" si="4"/>
        <v>0.65740077015248255</v>
      </c>
      <c r="F274" s="1">
        <v>0.2</v>
      </c>
      <c r="G274" s="1">
        <f t="shared" ca="1" si="5"/>
        <v>0.27407938387801395</v>
      </c>
      <c r="H274" s="1">
        <f t="shared" ca="1" si="6"/>
        <v>0.52592061612198604</v>
      </c>
    </row>
    <row r="275" spans="1:8">
      <c r="A275" s="2">
        <f t="shared" ca="1" si="0"/>
        <v>0.9657630385592918</v>
      </c>
      <c r="B275" s="2">
        <f t="shared" ca="1" si="1"/>
        <v>9.5781335343128757E-2</v>
      </c>
      <c r="C275" s="2">
        <f t="shared" ca="1" si="2"/>
        <v>9.2502073458246514E-2</v>
      </c>
      <c r="D275" s="2">
        <f t="shared" ca="1" si="3"/>
        <v>0.44406530619574669</v>
      </c>
      <c r="E275" s="2">
        <f t="shared" ca="1" si="4"/>
        <v>0.55593469380425331</v>
      </c>
      <c r="F275" s="1">
        <v>0.2</v>
      </c>
      <c r="G275" s="1">
        <f t="shared" ca="1" si="5"/>
        <v>0.35525224495659735</v>
      </c>
      <c r="H275" s="1">
        <f t="shared" ca="1" si="6"/>
        <v>0.44474775504340269</v>
      </c>
    </row>
    <row r="276" spans="1:8">
      <c r="A276" s="2">
        <f t="shared" ca="1" si="0"/>
        <v>0.99215881882374701</v>
      </c>
      <c r="B276" s="2">
        <f t="shared" ca="1" si="1"/>
        <v>0.1081142904824812</v>
      </c>
      <c r="C276" s="2">
        <f t="shared" ca="1" si="2"/>
        <v>0.10726654674306602</v>
      </c>
      <c r="D276" s="2">
        <f t="shared" ca="1" si="3"/>
        <v>0.34693061353246057</v>
      </c>
      <c r="E276" s="2">
        <f t="shared" ca="1" si="4"/>
        <v>0.65306938646753943</v>
      </c>
      <c r="F276" s="1">
        <v>0.2</v>
      </c>
      <c r="G276" s="1">
        <f t="shared" ca="1" si="5"/>
        <v>0.27754449082596849</v>
      </c>
      <c r="H276" s="1">
        <f t="shared" ca="1" si="6"/>
        <v>0.52245550917403161</v>
      </c>
    </row>
    <row r="277" spans="1:8">
      <c r="A277" s="2">
        <f t="shared" ca="1" si="0"/>
        <v>0.1700994604046886</v>
      </c>
      <c r="B277" s="2">
        <f t="shared" ca="1" si="1"/>
        <v>7.7467121928534707E-2</v>
      </c>
      <c r="C277" s="2">
        <f t="shared" ca="1" si="2"/>
        <v>1.3177115639147972E-2</v>
      </c>
      <c r="D277" s="2">
        <f t="shared" ca="1" si="3"/>
        <v>0.96594002868981599</v>
      </c>
      <c r="E277" s="2">
        <f t="shared" ca="1" si="4"/>
        <v>3.4059971310184012E-2</v>
      </c>
      <c r="F277" s="1">
        <v>0.2</v>
      </c>
      <c r="G277" s="1">
        <f t="shared" ca="1" si="5"/>
        <v>0.77275202295185286</v>
      </c>
      <c r="H277" s="1">
        <f t="shared" ca="1" si="6"/>
        <v>2.7247977048147212E-2</v>
      </c>
    </row>
    <row r="278" spans="1:8">
      <c r="A278" s="2">
        <f t="shared" ca="1" si="0"/>
        <v>0.53339760346253506</v>
      </c>
      <c r="B278" s="2">
        <f t="shared" ca="1" si="1"/>
        <v>7.1554700225548093E-2</v>
      </c>
      <c r="C278" s="2">
        <f t="shared" ca="1" si="2"/>
        <v>3.8167105616787468E-2</v>
      </c>
      <c r="D278" s="2">
        <f t="shared" ca="1" si="3"/>
        <v>0.80153219988955615</v>
      </c>
      <c r="E278" s="2">
        <f t="shared" ca="1" si="4"/>
        <v>0.19846780011044385</v>
      </c>
      <c r="F278" s="1">
        <v>0.2</v>
      </c>
      <c r="G278" s="1">
        <f t="shared" ca="1" si="5"/>
        <v>0.64122575991164499</v>
      </c>
      <c r="H278" s="1">
        <f t="shared" ca="1" si="6"/>
        <v>0.15877424008835508</v>
      </c>
    </row>
    <row r="279" spans="1:8">
      <c r="A279" s="2">
        <f t="shared" ca="1" si="0"/>
        <v>0.28231570053820904</v>
      </c>
      <c r="B279" s="2">
        <f t="shared" ca="1" si="1"/>
        <v>7.4423201639998146E-2</v>
      </c>
      <c r="C279" s="2">
        <f t="shared" ca="1" si="2"/>
        <v>2.1010838307292466E-2</v>
      </c>
      <c r="D279" s="2">
        <f t="shared" ca="1" si="3"/>
        <v>0.91440237955728643</v>
      </c>
      <c r="E279" s="2">
        <f t="shared" ca="1" si="4"/>
        <v>8.5597620442713573E-2</v>
      </c>
      <c r="F279" s="1">
        <v>0.2</v>
      </c>
      <c r="G279" s="1">
        <f t="shared" ca="1" si="5"/>
        <v>0.73152190364582914</v>
      </c>
      <c r="H279" s="1">
        <f t="shared" ca="1" si="6"/>
        <v>6.8478096354170861E-2</v>
      </c>
    </row>
    <row r="280" spans="1:8">
      <c r="A280" s="2">
        <f t="shared" ca="1" si="0"/>
        <v>0.64267753760944657</v>
      </c>
      <c r="B280" s="2">
        <f t="shared" ca="1" si="1"/>
        <v>7.2167972425253621E-2</v>
      </c>
      <c r="C280" s="2">
        <f t="shared" ca="1" si="2"/>
        <v>4.638073481252844E-2</v>
      </c>
      <c r="D280" s="2">
        <f t="shared" ca="1" si="3"/>
        <v>0.74749516570704977</v>
      </c>
      <c r="E280" s="2">
        <f t="shared" ca="1" si="4"/>
        <v>0.25250483429295023</v>
      </c>
      <c r="F280" s="1">
        <v>0.2</v>
      </c>
      <c r="G280" s="1">
        <f t="shared" ca="1" si="5"/>
        <v>0.59799613256563988</v>
      </c>
      <c r="H280" s="1">
        <f t="shared" ca="1" si="6"/>
        <v>0.20200386743436019</v>
      </c>
    </row>
    <row r="281" spans="1:8">
      <c r="A281" s="2">
        <f t="shared" ca="1" si="0"/>
        <v>0.91346426267224012</v>
      </c>
      <c r="B281" s="2">
        <f t="shared" ca="1" si="1"/>
        <v>8.5398401307159796E-2</v>
      </c>
      <c r="C281" s="2">
        <f t="shared" ca="1" si="2"/>
        <v>7.8008387683432795E-2</v>
      </c>
      <c r="D281" s="2">
        <f t="shared" ca="1" si="3"/>
        <v>0.53941850208267905</v>
      </c>
      <c r="E281" s="2">
        <f t="shared" ca="1" si="4"/>
        <v>0.46058149791732095</v>
      </c>
      <c r="F281" s="1">
        <v>0.2</v>
      </c>
      <c r="G281" s="1">
        <f t="shared" ca="1" si="5"/>
        <v>0.43153480166614328</v>
      </c>
      <c r="H281" s="1">
        <f t="shared" ca="1" si="6"/>
        <v>0.36846519833385677</v>
      </c>
    </row>
    <row r="282" spans="1:8">
      <c r="A282" s="2">
        <f t="shared" ca="1" si="0"/>
        <v>0.81794531139364779</v>
      </c>
      <c r="B282" s="2">
        <f t="shared" ca="1" si="1"/>
        <v>7.7284073387493893E-2</v>
      </c>
      <c r="C282" s="2">
        <f t="shared" ca="1" si="2"/>
        <v>6.3214145472703223E-2</v>
      </c>
      <c r="D282" s="2">
        <f t="shared" ca="1" si="3"/>
        <v>0.63674904294274193</v>
      </c>
      <c r="E282" s="2">
        <f t="shared" ca="1" si="4"/>
        <v>0.36325095705725807</v>
      </c>
      <c r="F282" s="1">
        <v>0.2</v>
      </c>
      <c r="G282" s="1">
        <f t="shared" ca="1" si="5"/>
        <v>0.50939923435419354</v>
      </c>
      <c r="H282" s="1">
        <f t="shared" ca="1" si="6"/>
        <v>0.29060076564580645</v>
      </c>
    </row>
    <row r="283" spans="1:8">
      <c r="A283" s="2">
        <f t="shared" ca="1" si="0"/>
        <v>0.20945416972180142</v>
      </c>
      <c r="B283" s="2">
        <f t="shared" ca="1" si="1"/>
        <v>7.6266335448106973E-2</v>
      </c>
      <c r="C283" s="2">
        <f t="shared" ca="1" si="2"/>
        <v>1.5974301969007638E-2</v>
      </c>
      <c r="D283" s="2">
        <f t="shared" ca="1" si="3"/>
        <v>0.94753748704600238</v>
      </c>
      <c r="E283" s="2">
        <f t="shared" ca="1" si="4"/>
        <v>5.246251295399762E-2</v>
      </c>
      <c r="F283" s="1">
        <v>0.2</v>
      </c>
      <c r="G283" s="1">
        <f t="shared" ca="1" si="5"/>
        <v>0.7580299896368019</v>
      </c>
      <c r="H283" s="1">
        <f t="shared" ca="1" si="6"/>
        <v>4.1970010363198099E-2</v>
      </c>
    </row>
    <row r="284" spans="1:8">
      <c r="A284" s="2">
        <f t="shared" ca="1" si="0"/>
        <v>0.51981200449828024</v>
      </c>
      <c r="B284" s="2">
        <f t="shared" ca="1" si="1"/>
        <v>7.1568065626024052E-2</v>
      </c>
      <c r="C284" s="2">
        <f t="shared" ca="1" si="2"/>
        <v>3.720193965112803E-2</v>
      </c>
      <c r="D284" s="2">
        <f t="shared" ca="1" si="3"/>
        <v>0.80788197597942091</v>
      </c>
      <c r="E284" s="2">
        <f t="shared" ca="1" si="4"/>
        <v>0.19211802402057909</v>
      </c>
      <c r="F284" s="1">
        <v>0.2</v>
      </c>
      <c r="G284" s="1">
        <f t="shared" ca="1" si="5"/>
        <v>0.64630558078353673</v>
      </c>
      <c r="H284" s="1">
        <f t="shared" ca="1" si="6"/>
        <v>0.15369441921646329</v>
      </c>
    </row>
    <row r="285" spans="1:8">
      <c r="A285" s="2">
        <f t="shared" ca="1" si="0"/>
        <v>0.94607673193430852</v>
      </c>
      <c r="B285" s="2">
        <f t="shared" ca="1" si="1"/>
        <v>9.0814985471715653E-2</v>
      </c>
      <c r="C285" s="2">
        <f t="shared" ca="1" si="2"/>
        <v>8.5917944665742457E-2</v>
      </c>
      <c r="D285" s="2">
        <f t="shared" ca="1" si="3"/>
        <v>0.48738194298853654</v>
      </c>
      <c r="E285" s="2">
        <f t="shared" ca="1" si="4"/>
        <v>0.51261805701146346</v>
      </c>
      <c r="F285" s="1">
        <v>0.2</v>
      </c>
      <c r="G285" s="1">
        <f t="shared" ca="1" si="5"/>
        <v>0.38990555439082925</v>
      </c>
      <c r="H285" s="1">
        <f t="shared" ca="1" si="6"/>
        <v>0.4100944456091708</v>
      </c>
    </row>
    <row r="286" spans="1:8">
      <c r="A286" s="2">
        <f t="shared" ca="1" si="0"/>
        <v>0.1797269889861719</v>
      </c>
      <c r="B286" s="2">
        <f t="shared" ca="1" si="1"/>
        <v>7.7159380296601396E-2</v>
      </c>
      <c r="C286" s="2">
        <f t="shared" ca="1" si="2"/>
        <v>1.3867623092747128E-2</v>
      </c>
      <c r="D286" s="2">
        <f t="shared" ca="1" si="3"/>
        <v>0.96139721649508469</v>
      </c>
      <c r="E286" s="2">
        <f t="shared" ca="1" si="4"/>
        <v>3.8602783504915306E-2</v>
      </c>
      <c r="F286" s="1">
        <v>0.2</v>
      </c>
      <c r="G286" s="1">
        <f t="shared" ca="1" si="5"/>
        <v>0.76911777319606778</v>
      </c>
      <c r="H286" s="1">
        <f t="shared" ca="1" si="6"/>
        <v>3.0882226803932246E-2</v>
      </c>
    </row>
    <row r="287" spans="1:8">
      <c r="A287" s="2">
        <f t="shared" ca="1" si="0"/>
        <v>0.81163667508572679</v>
      </c>
      <c r="B287" s="2">
        <f t="shared" ca="1" si="1"/>
        <v>7.6951719113127273E-2</v>
      </c>
      <c r="C287" s="2">
        <f t="shared" ca="1" si="2"/>
        <v>6.2456837443109391E-2</v>
      </c>
      <c r="D287" s="2">
        <f t="shared" ca="1" si="3"/>
        <v>0.64173133261112247</v>
      </c>
      <c r="E287" s="2">
        <f t="shared" ca="1" si="4"/>
        <v>0.35826866738887753</v>
      </c>
      <c r="F287" s="1">
        <v>0.2</v>
      </c>
      <c r="G287" s="1">
        <f t="shared" ca="1" si="5"/>
        <v>0.513385066088898</v>
      </c>
      <c r="H287" s="1">
        <f t="shared" ca="1" si="6"/>
        <v>0.28661493391110204</v>
      </c>
    </row>
    <row r="288" spans="1:8">
      <c r="A288" s="2">
        <f t="shared" ca="1" si="0"/>
        <v>1.004979894006012</v>
      </c>
      <c r="B288" s="2">
        <f t="shared" ca="1" si="1"/>
        <v>0.13483333480177204</v>
      </c>
      <c r="C288" s="2">
        <f t="shared" ca="1" si="2"/>
        <v>0.13550479051756198</v>
      </c>
      <c r="D288" s="2">
        <f t="shared" ca="1" si="3"/>
        <v>0.16115269396340803</v>
      </c>
      <c r="E288" s="2">
        <f t="shared" ca="1" si="4"/>
        <v>0.83884730603659197</v>
      </c>
      <c r="F288" s="1">
        <v>0.2</v>
      </c>
      <c r="G288" s="1">
        <f t="shared" ca="1" si="5"/>
        <v>0.12892215517072644</v>
      </c>
      <c r="H288" s="1">
        <f t="shared" ca="1" si="6"/>
        <v>0.67107784482927357</v>
      </c>
    </row>
    <row r="289" spans="1:8">
      <c r="A289" s="2">
        <f t="shared" ca="1" si="0"/>
        <v>1.0000484694842968</v>
      </c>
      <c r="B289" s="2">
        <f t="shared" ca="1" si="1"/>
        <v>0.15984468972114332</v>
      </c>
      <c r="C289" s="2">
        <f t="shared" ca="1" si="2"/>
        <v>0.15985243731082169</v>
      </c>
      <c r="D289" s="2">
        <f t="shared" ca="1" si="3"/>
        <v>9.7080716564679204E-4</v>
      </c>
      <c r="E289" s="2">
        <f t="shared" ca="1" si="4"/>
        <v>0.99902919283435321</v>
      </c>
      <c r="F289" s="1">
        <v>0.2</v>
      </c>
      <c r="G289" s="1">
        <f t="shared" ca="1" si="5"/>
        <v>7.7664573251743372E-4</v>
      </c>
      <c r="H289" s="1">
        <f t="shared" ca="1" si="6"/>
        <v>0.79922335426748259</v>
      </c>
    </row>
    <row r="290" spans="1:8">
      <c r="A290" s="2">
        <f t="shared" ca="1" si="0"/>
        <v>0.92175296645981541</v>
      </c>
      <c r="B290" s="2">
        <f t="shared" ca="1" si="1"/>
        <v>8.6556654275000589E-2</v>
      </c>
      <c r="C290" s="2">
        <f t="shared" ca="1" si="2"/>
        <v>7.9783852844818454E-2</v>
      </c>
      <c r="D290" s="2">
        <f t="shared" ca="1" si="3"/>
        <v>0.5277378102314576</v>
      </c>
      <c r="E290" s="2">
        <f t="shared" ca="1" si="4"/>
        <v>0.4722621897685424</v>
      </c>
      <c r="F290" s="1">
        <v>0.2</v>
      </c>
      <c r="G290" s="1">
        <f t="shared" ca="1" si="5"/>
        <v>0.42219024818516609</v>
      </c>
      <c r="H290" s="1">
        <f t="shared" ca="1" si="6"/>
        <v>0.37780975181483395</v>
      </c>
    </row>
    <row r="291" spans="1:8">
      <c r="A291" s="2">
        <f t="shared" ca="1" si="0"/>
        <v>0.37314279501067243</v>
      </c>
      <c r="B291" s="2">
        <f t="shared" ca="1" si="1"/>
        <v>7.2768149781513414E-2</v>
      </c>
      <c r="C291" s="2">
        <f t="shared" ca="1" si="2"/>
        <v>2.7152910797229167E-2</v>
      </c>
      <c r="D291" s="2">
        <f t="shared" ca="1" si="3"/>
        <v>0.873994007912966</v>
      </c>
      <c r="E291" s="2">
        <f t="shared" ca="1" si="4"/>
        <v>0.126005992087034</v>
      </c>
      <c r="F291" s="1">
        <v>0.2</v>
      </c>
      <c r="G291" s="1">
        <f t="shared" ca="1" si="5"/>
        <v>0.6991952063303728</v>
      </c>
      <c r="H291" s="1">
        <f t="shared" ca="1" si="6"/>
        <v>0.1008047936696272</v>
      </c>
    </row>
    <row r="292" spans="1:8">
      <c r="A292" s="2">
        <f t="shared" ca="1" si="0"/>
        <v>1.0015360580213322</v>
      </c>
      <c r="B292" s="2">
        <f t="shared" ca="1" si="1"/>
        <v>0.118826957194631</v>
      </c>
      <c r="C292" s="2">
        <f t="shared" ca="1" si="2"/>
        <v>0.11900948229538032</v>
      </c>
      <c r="D292" s="2">
        <f t="shared" ca="1" si="3"/>
        <v>0.2696744585830243</v>
      </c>
      <c r="E292" s="2">
        <f t="shared" ca="1" si="4"/>
        <v>0.7303255414169757</v>
      </c>
      <c r="F292" s="1">
        <v>0.2</v>
      </c>
      <c r="G292" s="1">
        <f t="shared" ca="1" si="5"/>
        <v>0.21573956686641946</v>
      </c>
      <c r="H292" s="1">
        <f t="shared" ca="1" si="6"/>
        <v>0.58426043313358056</v>
      </c>
    </row>
    <row r="293" spans="1:8">
      <c r="A293" s="2">
        <f t="shared" ca="1" si="0"/>
        <v>0.20879678954194608</v>
      </c>
      <c r="B293" s="2">
        <f t="shared" ca="1" si="1"/>
        <v>7.6285169517007159E-2</v>
      </c>
      <c r="C293" s="2">
        <f t="shared" ca="1" si="2"/>
        <v>1.5928098484814225E-2</v>
      </c>
      <c r="D293" s="2">
        <f t="shared" ca="1" si="3"/>
        <v>0.94784145733674852</v>
      </c>
      <c r="E293" s="2">
        <f t="shared" ca="1" si="4"/>
        <v>5.2158542663251484E-2</v>
      </c>
      <c r="F293" s="1">
        <v>0.2</v>
      </c>
      <c r="G293" s="1">
        <f t="shared" ca="1" si="5"/>
        <v>0.75827316586939886</v>
      </c>
      <c r="H293" s="1">
        <f t="shared" ca="1" si="6"/>
        <v>4.1726834130601187E-2</v>
      </c>
    </row>
    <row r="294" spans="1:8">
      <c r="A294" s="2">
        <f t="shared" ca="1" si="0"/>
        <v>0.54365670846599434</v>
      </c>
      <c r="B294" s="2">
        <f t="shared" ca="1" si="1"/>
        <v>7.1556616481618332E-2</v>
      </c>
      <c r="C294" s="2">
        <f t="shared" ca="1" si="2"/>
        <v>3.8902234585360143E-2</v>
      </c>
      <c r="D294" s="2">
        <f t="shared" ca="1" si="3"/>
        <v>0.79669582509631487</v>
      </c>
      <c r="E294" s="2">
        <f t="shared" ca="1" si="4"/>
        <v>0.20330417490368513</v>
      </c>
      <c r="F294" s="1">
        <v>0.2</v>
      </c>
      <c r="G294" s="1">
        <f t="shared" ca="1" si="5"/>
        <v>0.63735666007705194</v>
      </c>
      <c r="H294" s="1">
        <f t="shared" ca="1" si="6"/>
        <v>0.1626433399229481</v>
      </c>
    </row>
    <row r="295" spans="1:8">
      <c r="A295" s="2">
        <f t="shared" ca="1" si="0"/>
        <v>1.0022728034519592</v>
      </c>
      <c r="B295" s="2">
        <f t="shared" ca="1" si="1"/>
        <v>0.15209819934897204</v>
      </c>
      <c r="C295" s="2">
        <f t="shared" ca="1" si="2"/>
        <v>0.15244388866148917</v>
      </c>
      <c r="D295" s="2">
        <f t="shared" ca="1" si="3"/>
        <v>4.9711258805992364E-2</v>
      </c>
      <c r="E295" s="2">
        <f t="shared" ca="1" si="4"/>
        <v>0.95028874119400764</v>
      </c>
      <c r="F295" s="1">
        <v>0.2</v>
      </c>
      <c r="G295" s="1">
        <f t="shared" ca="1" si="5"/>
        <v>3.9769007044793893E-2</v>
      </c>
      <c r="H295" s="1">
        <f t="shared" ca="1" si="6"/>
        <v>0.76023099295520613</v>
      </c>
    </row>
    <row r="296" spans="1:8">
      <c r="A296" s="2">
        <f t="shared" ca="1" si="0"/>
        <v>0.25527646927399056</v>
      </c>
      <c r="B296" s="2">
        <f t="shared" ca="1" si="1"/>
        <v>7.5051764467052903E-2</v>
      </c>
      <c r="C296" s="2">
        <f t="shared" ca="1" si="2"/>
        <v>1.9158949445932407E-2</v>
      </c>
      <c r="D296" s="2">
        <f t="shared" ca="1" si="3"/>
        <v>0.92658585890833944</v>
      </c>
      <c r="E296" s="2">
        <f t="shared" ca="1" si="4"/>
        <v>7.3414141091660556E-2</v>
      </c>
      <c r="F296" s="1">
        <v>0.2</v>
      </c>
      <c r="G296" s="1">
        <f t="shared" ca="1" si="5"/>
        <v>0.7412686871266716</v>
      </c>
      <c r="H296" s="1">
        <f t="shared" ca="1" si="6"/>
        <v>5.8731312873328445E-2</v>
      </c>
    </row>
    <row r="297" spans="1:8">
      <c r="A297" s="2">
        <f t="shared" ca="1" si="0"/>
        <v>1.0048529381068037</v>
      </c>
      <c r="B297" s="2">
        <f t="shared" ca="1" si="1"/>
        <v>0.13758223577360373</v>
      </c>
      <c r="C297" s="2">
        <f t="shared" ca="1" si="2"/>
        <v>0.13824991384840871</v>
      </c>
      <c r="D297" s="2">
        <f t="shared" ca="1" si="3"/>
        <v>0.1430926720499428</v>
      </c>
      <c r="E297" s="2">
        <f t="shared" ca="1" si="4"/>
        <v>0.8569073279500572</v>
      </c>
      <c r="F297" s="1">
        <v>0.2</v>
      </c>
      <c r="G297" s="1">
        <f t="shared" ca="1" si="5"/>
        <v>0.11447413763995425</v>
      </c>
      <c r="H297" s="1">
        <f t="shared" ca="1" si="6"/>
        <v>0.68552586236004576</v>
      </c>
    </row>
    <row r="298" spans="1:8">
      <c r="A298" s="2">
        <f t="shared" ca="1" si="0"/>
        <v>0.99563999040699336</v>
      </c>
      <c r="B298" s="2">
        <f t="shared" ca="1" si="1"/>
        <v>0.11109613224601737</v>
      </c>
      <c r="C298" s="2">
        <f t="shared" ca="1" si="2"/>
        <v>0.1106117520436788</v>
      </c>
      <c r="D298" s="2">
        <f t="shared" ca="1" si="3"/>
        <v>0.32492268392316581</v>
      </c>
      <c r="E298" s="2">
        <f t="shared" ca="1" si="4"/>
        <v>0.67507731607683419</v>
      </c>
      <c r="F298" s="1">
        <v>0.2</v>
      </c>
      <c r="G298" s="1">
        <f t="shared" ca="1" si="5"/>
        <v>0.25993814713853264</v>
      </c>
      <c r="H298" s="1">
        <f t="shared" ca="1" si="6"/>
        <v>0.54006185286146735</v>
      </c>
    </row>
    <row r="299" spans="1:8">
      <c r="A299" s="2">
        <f t="shared" ca="1" si="0"/>
        <v>0.25410512040848177</v>
      </c>
      <c r="B299" s="2">
        <f t="shared" ca="1" si="1"/>
        <v>7.5080447021182564E-2</v>
      </c>
      <c r="C299" s="2">
        <f t="shared" ca="1" si="2"/>
        <v>1.9078326030640233E-2</v>
      </c>
      <c r="D299" s="2">
        <f t="shared" ca="1" si="3"/>
        <v>0.92711627611420899</v>
      </c>
      <c r="E299" s="2">
        <f t="shared" ca="1" si="4"/>
        <v>7.2883723885791007E-2</v>
      </c>
      <c r="F299" s="1">
        <v>0.2</v>
      </c>
      <c r="G299" s="1">
        <f t="shared" ca="1" si="5"/>
        <v>0.74169302089136724</v>
      </c>
      <c r="H299" s="1">
        <f t="shared" ca="1" si="6"/>
        <v>5.8306979108632806E-2</v>
      </c>
    </row>
    <row r="300" spans="1:8">
      <c r="A300" s="2">
        <f t="shared" ca="1" si="0"/>
        <v>0.40117277440810173</v>
      </c>
      <c r="B300" s="2">
        <f t="shared" ca="1" si="1"/>
        <v>7.2396492716369373E-2</v>
      </c>
      <c r="C300" s="2">
        <f t="shared" ca="1" si="2"/>
        <v>2.904350184044183E-2</v>
      </c>
      <c r="D300" s="2">
        <f t="shared" ca="1" si="3"/>
        <v>0.86155590894446166</v>
      </c>
      <c r="E300" s="2">
        <f t="shared" ca="1" si="4"/>
        <v>0.13844409105553834</v>
      </c>
      <c r="F300" s="1">
        <v>0.2</v>
      </c>
      <c r="G300" s="1">
        <f t="shared" ca="1" si="5"/>
        <v>0.68924472715556939</v>
      </c>
      <c r="H300" s="1">
        <f t="shared" ca="1" si="6"/>
        <v>0.11075527284443068</v>
      </c>
    </row>
    <row r="301" spans="1:8">
      <c r="A301" s="2">
        <f t="shared" ca="1" si="0"/>
        <v>0.95069340248620249</v>
      </c>
      <c r="B301" s="2">
        <f t="shared" ca="1" si="1"/>
        <v>9.182035969253588E-2</v>
      </c>
      <c r="C301" s="2">
        <f t="shared" ca="1" si="2"/>
        <v>8.7293010173603899E-2</v>
      </c>
      <c r="D301" s="2">
        <f t="shared" ca="1" si="3"/>
        <v>0.47833545938418498</v>
      </c>
      <c r="E301" s="2">
        <f t="shared" ca="1" si="4"/>
        <v>0.52166454061581502</v>
      </c>
      <c r="F301" s="1">
        <v>0.2</v>
      </c>
      <c r="G301" s="1">
        <f t="shared" ca="1" si="5"/>
        <v>0.38266836750734801</v>
      </c>
      <c r="H301" s="1">
        <f t="shared" ca="1" si="6"/>
        <v>0.41733163249265204</v>
      </c>
    </row>
    <row r="302" spans="1:8">
      <c r="A302" s="2">
        <f t="shared" ca="1" si="0"/>
        <v>1.002865932444059</v>
      </c>
      <c r="B302" s="2">
        <f t="shared" ca="1" si="1"/>
        <v>0.1497086733878179</v>
      </c>
      <c r="C302" s="2">
        <f t="shared" ca="1" si="2"/>
        <v>0.15013772833203706</v>
      </c>
      <c r="D302" s="2">
        <f t="shared" ca="1" si="3"/>
        <v>6.4883366236598294E-2</v>
      </c>
      <c r="E302" s="2">
        <f t="shared" ca="1" si="4"/>
        <v>0.93511663376340171</v>
      </c>
      <c r="F302" s="1">
        <v>0.2</v>
      </c>
      <c r="G302" s="1">
        <f t="shared" ca="1" si="5"/>
        <v>5.1906692989278636E-2</v>
      </c>
      <c r="H302" s="1">
        <f t="shared" ca="1" si="6"/>
        <v>0.74809330701072141</v>
      </c>
    </row>
    <row r="303" spans="1:8">
      <c r="A303" s="2">
        <f t="shared" ca="1" si="0"/>
        <v>0.38121766099805926</v>
      </c>
      <c r="B303" s="2">
        <f t="shared" ca="1" si="1"/>
        <v>7.2654376607838689E-2</v>
      </c>
      <c r="C303" s="2">
        <f t="shared" ca="1" si="2"/>
        <v>2.7697131511712377E-2</v>
      </c>
      <c r="D303" s="2">
        <f t="shared" ca="1" si="3"/>
        <v>0.87041360847557647</v>
      </c>
      <c r="E303" s="2">
        <f t="shared" ca="1" si="4"/>
        <v>0.12958639152442353</v>
      </c>
      <c r="F303" s="1">
        <v>0.2</v>
      </c>
      <c r="G303" s="1">
        <f t="shared" ca="1" si="5"/>
        <v>0.69633088678046118</v>
      </c>
      <c r="H303" s="1">
        <f t="shared" ca="1" si="6"/>
        <v>0.10366911321953882</v>
      </c>
    </row>
    <row r="304" spans="1:8">
      <c r="A304" s="2">
        <f t="shared" ca="1" si="0"/>
        <v>1.0048185024875143</v>
      </c>
      <c r="B304" s="2">
        <f t="shared" ca="1" si="1"/>
        <v>0.13803006574350712</v>
      </c>
      <c r="C304" s="2">
        <f t="shared" ca="1" si="2"/>
        <v>0.13869516395864398</v>
      </c>
      <c r="D304" s="2">
        <f t="shared" ca="1" si="3"/>
        <v>0.14016339500892128</v>
      </c>
      <c r="E304" s="2">
        <f t="shared" ca="1" si="4"/>
        <v>0.85983660499107872</v>
      </c>
      <c r="F304" s="1">
        <v>0.2</v>
      </c>
      <c r="G304" s="1">
        <f t="shared" ca="1" si="5"/>
        <v>0.11213071600713703</v>
      </c>
      <c r="H304" s="1">
        <f t="shared" ca="1" si="6"/>
        <v>0.68786928399286307</v>
      </c>
    </row>
    <row r="305" spans="1:8">
      <c r="A305" s="2">
        <f t="shared" ca="1" si="0"/>
        <v>0.804645650239044</v>
      </c>
      <c r="B305" s="2">
        <f t="shared" ca="1" si="1"/>
        <v>7.6602277079313066E-2</v>
      </c>
      <c r="C305" s="2">
        <f t="shared" ca="1" si="2"/>
        <v>6.1637689050275279E-2</v>
      </c>
      <c r="D305" s="2">
        <f t="shared" ca="1" si="3"/>
        <v>0.64712046677450474</v>
      </c>
      <c r="E305" s="2">
        <f t="shared" ca="1" si="4"/>
        <v>0.35287953322549526</v>
      </c>
      <c r="F305" s="1">
        <v>0.2</v>
      </c>
      <c r="G305" s="1">
        <f t="shared" ca="1" si="5"/>
        <v>0.51769637341960384</v>
      </c>
      <c r="H305" s="1">
        <f t="shared" ca="1" si="6"/>
        <v>0.28230362658039621</v>
      </c>
    </row>
    <row r="306" spans="1:8">
      <c r="A306" s="2">
        <f t="shared" ca="1" si="0"/>
        <v>0.74928545180235973</v>
      </c>
      <c r="B306" s="2">
        <f t="shared" ca="1" si="1"/>
        <v>7.4412559593792019E-2</v>
      </c>
      <c r="C306" s="2">
        <f t="shared" ca="1" si="2"/>
        <v>5.575624833500447E-2</v>
      </c>
      <c r="D306" s="2">
        <f t="shared" ca="1" si="3"/>
        <v>0.6858141556907601</v>
      </c>
      <c r="E306" s="2">
        <f t="shared" ca="1" si="4"/>
        <v>0.3141858443092399</v>
      </c>
      <c r="F306" s="1">
        <v>0.2</v>
      </c>
      <c r="G306" s="1">
        <f t="shared" ca="1" si="5"/>
        <v>0.54865132455260812</v>
      </c>
      <c r="H306" s="1">
        <f t="shared" ca="1" si="6"/>
        <v>0.25134867544739192</v>
      </c>
    </row>
    <row r="307" spans="1:8">
      <c r="A307" s="2">
        <f t="shared" ca="1" si="0"/>
        <v>1.0014327457342211</v>
      </c>
      <c r="B307" s="2">
        <f t="shared" ca="1" si="1"/>
        <v>0.15519704390433448</v>
      </c>
      <c r="C307" s="2">
        <f t="shared" ca="1" si="2"/>
        <v>0.15541940180695213</v>
      </c>
      <c r="D307" s="2">
        <f t="shared" ca="1" si="3"/>
        <v>3.0135514427946708E-2</v>
      </c>
      <c r="E307" s="2">
        <f t="shared" ca="1" si="4"/>
        <v>0.96986448557205329</v>
      </c>
      <c r="F307" s="1">
        <v>0.2</v>
      </c>
      <c r="G307" s="1">
        <f t="shared" ca="1" si="5"/>
        <v>2.4108411542357367E-2</v>
      </c>
      <c r="H307" s="1">
        <f t="shared" ca="1" si="6"/>
        <v>0.77589158845764272</v>
      </c>
    </row>
    <row r="308" spans="1:8">
      <c r="A308" s="2">
        <f t="shared" ca="1" si="0"/>
        <v>0.87954923373860139</v>
      </c>
      <c r="B308" s="2">
        <f t="shared" ca="1" si="1"/>
        <v>8.1647320927056635E-2</v>
      </c>
      <c r="C308" s="2">
        <f t="shared" ca="1" si="2"/>
        <v>7.1812838558202335E-2</v>
      </c>
      <c r="D308" s="2">
        <f t="shared" ca="1" si="3"/>
        <v>0.58017869369603736</v>
      </c>
      <c r="E308" s="2">
        <f t="shared" ca="1" si="4"/>
        <v>0.41982130630396264</v>
      </c>
      <c r="F308" s="1">
        <v>0.2</v>
      </c>
      <c r="G308" s="1">
        <f t="shared" ca="1" si="5"/>
        <v>0.46414295495682989</v>
      </c>
      <c r="H308" s="1">
        <f t="shared" ca="1" si="6"/>
        <v>0.33585704504317015</v>
      </c>
    </row>
    <row r="309" spans="1:8">
      <c r="A309" s="2">
        <f t="shared" ca="1" si="0"/>
        <v>1.0035188730575089</v>
      </c>
      <c r="B309" s="2">
        <f t="shared" ca="1" si="1"/>
        <v>0.12360251020040987</v>
      </c>
      <c r="C309" s="2">
        <f t="shared" ca="1" si="2"/>
        <v>0.12403745174339455</v>
      </c>
      <c r="D309" s="2">
        <f t="shared" ca="1" si="3"/>
        <v>0.23659571221450959</v>
      </c>
      <c r="E309" s="2">
        <f t="shared" ca="1" si="4"/>
        <v>0.76340428778549041</v>
      </c>
      <c r="F309" s="1">
        <v>0.2</v>
      </c>
      <c r="G309" s="1">
        <f t="shared" ca="1" si="5"/>
        <v>0.18927656977160767</v>
      </c>
      <c r="H309" s="1">
        <f t="shared" ca="1" si="6"/>
        <v>0.61072343022839237</v>
      </c>
    </row>
    <row r="310" spans="1:8">
      <c r="A310" s="2">
        <f t="shared" ca="1" si="0"/>
        <v>1.0037937370189558</v>
      </c>
      <c r="B310" s="2">
        <f t="shared" ca="1" si="1"/>
        <v>0.14538805749331618</v>
      </c>
      <c r="C310" s="2">
        <f t="shared" ca="1" si="2"/>
        <v>0.14593962154914264</v>
      </c>
      <c r="D310" s="2">
        <f t="shared" ca="1" si="3"/>
        <v>9.2502489808272137E-2</v>
      </c>
      <c r="E310" s="2">
        <f t="shared" ca="1" si="4"/>
        <v>0.90749751019172786</v>
      </c>
      <c r="F310" s="1">
        <v>0.2</v>
      </c>
      <c r="G310" s="1">
        <f t="shared" ca="1" si="5"/>
        <v>7.400199184661771E-2</v>
      </c>
      <c r="H310" s="1">
        <f t="shared" ca="1" si="6"/>
        <v>0.72599800815338233</v>
      </c>
    </row>
    <row r="311" spans="1:8">
      <c r="A311" s="2">
        <f t="shared" ca="1" si="0"/>
        <v>0.81185211891078846</v>
      </c>
      <c r="B311" s="2">
        <f t="shared" ca="1" si="1"/>
        <v>7.696279687079452E-2</v>
      </c>
      <c r="C311" s="2">
        <f t="shared" ca="1" si="2"/>
        <v>6.2482409716855133E-2</v>
      </c>
      <c r="D311" s="2">
        <f t="shared" ca="1" si="3"/>
        <v>0.64156309396805833</v>
      </c>
      <c r="E311" s="2">
        <f t="shared" ca="1" si="4"/>
        <v>0.35843690603194167</v>
      </c>
      <c r="F311" s="1">
        <v>0.2</v>
      </c>
      <c r="G311" s="1">
        <f t="shared" ca="1" si="5"/>
        <v>0.51325047517444666</v>
      </c>
      <c r="H311" s="1">
        <f t="shared" ca="1" si="6"/>
        <v>0.28674952482555333</v>
      </c>
    </row>
    <row r="312" spans="1:8">
      <c r="A312" s="2">
        <f t="shared" ca="1" si="0"/>
        <v>0.80623665354202767</v>
      </c>
      <c r="B312" s="2">
        <f t="shared" ca="1" si="1"/>
        <v>7.6680122341291332E-2</v>
      </c>
      <c r="C312" s="2">
        <f t="shared" ca="1" si="2"/>
        <v>6.1822325229635995E-2</v>
      </c>
      <c r="D312" s="2">
        <f t="shared" ca="1" si="3"/>
        <v>0.64590575506818426</v>
      </c>
      <c r="E312" s="2">
        <f t="shared" ca="1" si="4"/>
        <v>0.35409424493181574</v>
      </c>
      <c r="F312" s="1">
        <v>0.2</v>
      </c>
      <c r="G312" s="1">
        <f t="shared" ca="1" si="5"/>
        <v>0.51672460405454745</v>
      </c>
      <c r="H312" s="1">
        <f t="shared" ca="1" si="6"/>
        <v>0.28327539594545259</v>
      </c>
    </row>
    <row r="313" spans="1:8">
      <c r="A313" s="2">
        <f t="shared" ca="1" si="0"/>
        <v>1.003454922158759</v>
      </c>
      <c r="B313" s="2">
        <f t="shared" ca="1" si="1"/>
        <v>0.14707880998243203</v>
      </c>
      <c r="C313" s="2">
        <f t="shared" ca="1" si="2"/>
        <v>0.14758695582212425</v>
      </c>
      <c r="D313" s="2">
        <f t="shared" ca="1" si="3"/>
        <v>8.166476432813019E-2</v>
      </c>
      <c r="E313" s="2">
        <f t="shared" ca="1" si="4"/>
        <v>0.91833523567186981</v>
      </c>
      <c r="F313" s="1">
        <v>0.2</v>
      </c>
      <c r="G313" s="1">
        <f t="shared" ca="1" si="5"/>
        <v>6.533181146250415E-2</v>
      </c>
      <c r="H313" s="1">
        <f t="shared" ca="1" si="6"/>
        <v>0.73466818853749594</v>
      </c>
    </row>
    <row r="314" spans="1:8">
      <c r="A314" s="2">
        <f t="shared" ca="1" si="0"/>
        <v>0.75051199962186632</v>
      </c>
      <c r="B314" s="2">
        <f t="shared" ca="1" si="1"/>
        <v>7.4451646667592478E-2</v>
      </c>
      <c r="C314" s="2">
        <f t="shared" ca="1" si="2"/>
        <v>5.5876854215635492E-2</v>
      </c>
      <c r="D314" s="2">
        <f t="shared" ca="1" si="3"/>
        <v>0.68502069594976656</v>
      </c>
      <c r="E314" s="2">
        <f t="shared" ca="1" si="4"/>
        <v>0.31497930405023344</v>
      </c>
      <c r="F314" s="1">
        <v>0.2</v>
      </c>
      <c r="G314" s="1">
        <f t="shared" ca="1" si="5"/>
        <v>0.54801655675981331</v>
      </c>
      <c r="H314" s="1">
        <f t="shared" ca="1" si="6"/>
        <v>0.25198344324018679</v>
      </c>
    </row>
    <row r="315" spans="1:8">
      <c r="A315" s="2">
        <f t="shared" ca="1" si="0"/>
        <v>0.33418469492671021</v>
      </c>
      <c r="B315" s="2">
        <f t="shared" ca="1" si="1"/>
        <v>7.3393249623663157E-2</v>
      </c>
      <c r="C315" s="2">
        <f t="shared" ca="1" si="2"/>
        <v>2.4526900735163761E-2</v>
      </c>
      <c r="D315" s="2">
        <f t="shared" ca="1" si="3"/>
        <v>0.89127038990023844</v>
      </c>
      <c r="E315" s="2">
        <f t="shared" ca="1" si="4"/>
        <v>0.10872961009976156</v>
      </c>
      <c r="F315" s="1">
        <v>0.2</v>
      </c>
      <c r="G315" s="1">
        <f t="shared" ca="1" si="5"/>
        <v>0.71301631192019077</v>
      </c>
      <c r="H315" s="1">
        <f t="shared" ca="1" si="6"/>
        <v>8.698368807980926E-2</v>
      </c>
    </row>
    <row r="316" spans="1:8">
      <c r="A316" s="2">
        <f t="shared" ca="1" si="0"/>
        <v>0.85442445296194314</v>
      </c>
      <c r="B316" s="2">
        <f t="shared" ca="1" si="1"/>
        <v>7.9581567655070934E-2</v>
      </c>
      <c r="C316" s="2">
        <f t="shared" ca="1" si="2"/>
        <v>6.7996437409537855E-2</v>
      </c>
      <c r="D316" s="2">
        <f t="shared" ca="1" si="3"/>
        <v>0.60528659598988255</v>
      </c>
      <c r="E316" s="2">
        <f t="shared" ca="1" si="4"/>
        <v>0.39471340401011745</v>
      </c>
      <c r="F316" s="1">
        <v>0.2</v>
      </c>
      <c r="G316" s="1">
        <f t="shared" ca="1" si="5"/>
        <v>0.48422927679190608</v>
      </c>
      <c r="H316" s="1">
        <f t="shared" ca="1" si="6"/>
        <v>0.31577072320809396</v>
      </c>
    </row>
    <row r="317" spans="1:8">
      <c r="A317" s="2">
        <f t="shared" ca="1" si="0"/>
        <v>0.98625513614511529</v>
      </c>
      <c r="B317" s="2">
        <f t="shared" ca="1" si="1"/>
        <v>0.10422705995811737</v>
      </c>
      <c r="C317" s="2">
        <f t="shared" ca="1" si="2"/>
        <v>0.10279447320899815</v>
      </c>
      <c r="D317" s="2">
        <f t="shared" ca="1" si="3"/>
        <v>0.37635214994080168</v>
      </c>
      <c r="E317" s="2">
        <f t="shared" ca="1" si="4"/>
        <v>0.62364785005919832</v>
      </c>
      <c r="F317" s="1">
        <v>0.2</v>
      </c>
      <c r="G317" s="1">
        <f t="shared" ca="1" si="5"/>
        <v>0.30108171995264138</v>
      </c>
      <c r="H317" s="1">
        <f t="shared" ca="1" si="6"/>
        <v>0.49891828004735866</v>
      </c>
    </row>
    <row r="318" spans="1:8">
      <c r="A318" s="2">
        <f t="shared" ca="1" si="0"/>
        <v>0.59940993457399638</v>
      </c>
      <c r="B318" s="2">
        <f t="shared" ca="1" si="1"/>
        <v>7.1759883401878721E-2</v>
      </c>
      <c r="C318" s="2">
        <f t="shared" ca="1" si="2"/>
        <v>4.3013587014957735E-2</v>
      </c>
      <c r="D318" s="2">
        <f t="shared" ca="1" si="3"/>
        <v>0.76964745384896227</v>
      </c>
      <c r="E318" s="2">
        <f t="shared" ca="1" si="4"/>
        <v>0.23035254615103773</v>
      </c>
      <c r="F318" s="1">
        <v>0.2</v>
      </c>
      <c r="G318" s="1">
        <f t="shared" ca="1" si="5"/>
        <v>0.61571796307916982</v>
      </c>
      <c r="H318" s="1">
        <f t="shared" ca="1" si="6"/>
        <v>0.1842820369208302</v>
      </c>
    </row>
    <row r="319" spans="1:8">
      <c r="A319" s="2">
        <f t="shared" ca="1" si="0"/>
        <v>1.0047629770782491</v>
      </c>
      <c r="B319" s="2">
        <f t="shared" ca="1" si="1"/>
        <v>0.13867082948132567</v>
      </c>
      <c r="C319" s="2">
        <f t="shared" ca="1" si="2"/>
        <v>0.13933131546356703</v>
      </c>
      <c r="D319" s="2">
        <f t="shared" ca="1" si="3"/>
        <v>0.13597818773969061</v>
      </c>
      <c r="E319" s="2">
        <f t="shared" ca="1" si="4"/>
        <v>0.86402181226030939</v>
      </c>
      <c r="F319" s="1">
        <v>0.2</v>
      </c>
      <c r="G319" s="1">
        <f t="shared" ca="1" si="5"/>
        <v>0.10878255019175249</v>
      </c>
      <c r="H319" s="1">
        <f t="shared" ca="1" si="6"/>
        <v>0.69121744980824751</v>
      </c>
    </row>
    <row r="320" spans="1:8">
      <c r="A320" s="2">
        <f t="shared" ca="1" si="0"/>
        <v>0.87942904469722327</v>
      </c>
      <c r="B320" s="2">
        <f t="shared" ca="1" si="1"/>
        <v>8.1636235677968738E-2</v>
      </c>
      <c r="C320" s="2">
        <f t="shared" ca="1" si="2"/>
        <v>7.1793276754953422E-2</v>
      </c>
      <c r="D320" s="2">
        <f t="shared" ca="1" si="3"/>
        <v>0.58030738977004326</v>
      </c>
      <c r="E320" s="2">
        <f t="shared" ca="1" si="4"/>
        <v>0.41969261022995674</v>
      </c>
      <c r="F320" s="1">
        <v>0.2</v>
      </c>
      <c r="G320" s="1">
        <f t="shared" ca="1" si="5"/>
        <v>0.46424591181603464</v>
      </c>
      <c r="H320" s="1">
        <f t="shared" ca="1" si="6"/>
        <v>0.3357540881839654</v>
      </c>
    </row>
    <row r="321" spans="1:8">
      <c r="A321" s="2">
        <f t="shared" ca="1" si="0"/>
        <v>1.0049869098832804</v>
      </c>
      <c r="B321" s="2">
        <f t="shared" ca="1" si="1"/>
        <v>0.13375714697770449</v>
      </c>
      <c r="C321" s="2">
        <f t="shared" ca="1" si="2"/>
        <v>0.134424181815927</v>
      </c>
      <c r="D321" s="2">
        <f t="shared" ca="1" si="3"/>
        <v>0.16826196173732233</v>
      </c>
      <c r="E321" s="2">
        <f t="shared" ca="1" si="4"/>
        <v>0.83173803826267767</v>
      </c>
      <c r="F321" s="1">
        <v>0.2</v>
      </c>
      <c r="G321" s="1">
        <f t="shared" ca="1" si="5"/>
        <v>0.13460956938985788</v>
      </c>
      <c r="H321" s="1">
        <f t="shared" ca="1" si="6"/>
        <v>0.66539043061014214</v>
      </c>
    </row>
    <row r="322" spans="1:8">
      <c r="A322" s="2">
        <f t="shared" ca="1" si="0"/>
        <v>0.84611348270157061</v>
      </c>
      <c r="B322" s="2">
        <f t="shared" ca="1" si="1"/>
        <v>7.8994544851064552E-2</v>
      </c>
      <c r="C322" s="2">
        <f t="shared" ca="1" si="2"/>
        <v>6.6838349458359647E-2</v>
      </c>
      <c r="D322" s="2">
        <f t="shared" ca="1" si="3"/>
        <v>0.61290559566868663</v>
      </c>
      <c r="E322" s="2">
        <f t="shared" ca="1" si="4"/>
        <v>0.38709440433131337</v>
      </c>
      <c r="F322" s="1">
        <v>0.2</v>
      </c>
      <c r="G322" s="1">
        <f t="shared" ca="1" si="5"/>
        <v>0.49032447653494932</v>
      </c>
      <c r="H322" s="1">
        <f t="shared" ca="1" si="6"/>
        <v>0.30967552346505073</v>
      </c>
    </row>
    <row r="323" spans="1:8">
      <c r="A323" s="2">
        <f t="shared" ca="1" si="0"/>
        <v>0.53535149732198306</v>
      </c>
      <c r="B323" s="2">
        <f t="shared" ca="1" si="1"/>
        <v>7.1554259564364953E-2</v>
      </c>
      <c r="C323" s="2">
        <f t="shared" ca="1" si="2"/>
        <v>3.8306679997548602E-2</v>
      </c>
      <c r="D323" s="2">
        <f t="shared" ca="1" si="3"/>
        <v>0.80061394738454872</v>
      </c>
      <c r="E323" s="2">
        <f t="shared" ca="1" si="4"/>
        <v>0.19938605261545128</v>
      </c>
      <c r="F323" s="1">
        <v>0.2</v>
      </c>
      <c r="G323" s="1">
        <f t="shared" ca="1" si="5"/>
        <v>0.640491157907639</v>
      </c>
      <c r="H323" s="1">
        <f t="shared" ca="1" si="6"/>
        <v>0.15950884209236105</v>
      </c>
    </row>
    <row r="324" spans="1:8">
      <c r="A324" s="2">
        <f t="shared" ca="1" si="0"/>
        <v>0.14460468941850693</v>
      </c>
      <c r="B324" s="2">
        <f t="shared" ca="1" si="1"/>
        <v>7.8327505738420358E-2</v>
      </c>
      <c r="C324" s="2">
        <f t="shared" ca="1" si="2"/>
        <v>1.1326524640230595E-2</v>
      </c>
      <c r="D324" s="2">
        <f t="shared" ca="1" si="3"/>
        <v>0.97811496947216714</v>
      </c>
      <c r="E324" s="2">
        <f t="shared" ca="1" si="4"/>
        <v>2.1885030527832861E-2</v>
      </c>
      <c r="F324" s="1">
        <v>0.2</v>
      </c>
      <c r="G324" s="1">
        <f t="shared" ca="1" si="5"/>
        <v>0.78249197557773376</v>
      </c>
      <c r="H324" s="1">
        <f t="shared" ca="1" si="6"/>
        <v>1.7508024422266288E-2</v>
      </c>
    </row>
    <row r="325" spans="1:8">
      <c r="A325" s="2">
        <f t="shared" ca="1" si="0"/>
        <v>0.76995042733427133</v>
      </c>
      <c r="B325" s="2">
        <f t="shared" ca="1" si="1"/>
        <v>7.5123128744793682E-2</v>
      </c>
      <c r="C325" s="2">
        <f t="shared" ca="1" si="2"/>
        <v>5.7841085079741381E-2</v>
      </c>
      <c r="D325" s="2">
        <f t="shared" ca="1" si="3"/>
        <v>0.67209812447538575</v>
      </c>
      <c r="E325" s="2">
        <f t="shared" ca="1" si="4"/>
        <v>0.32790187552461425</v>
      </c>
      <c r="F325" s="1">
        <v>0.2</v>
      </c>
      <c r="G325" s="1">
        <f t="shared" ca="1" si="5"/>
        <v>0.53767849958030867</v>
      </c>
      <c r="H325" s="1">
        <f t="shared" ca="1" si="6"/>
        <v>0.26232150041969143</v>
      </c>
    </row>
    <row r="326" spans="1:8">
      <c r="A326" s="2">
        <f t="shared" ca="1" si="0"/>
        <v>0.98562595974607226</v>
      </c>
      <c r="B326" s="2">
        <f t="shared" ca="1" si="1"/>
        <v>0.1038721433741896</v>
      </c>
      <c r="C326" s="2">
        <f t="shared" ca="1" si="2"/>
        <v>0.10237908100406724</v>
      </c>
      <c r="D326" s="2">
        <f t="shared" ca="1" si="3"/>
        <v>0.37908499339429447</v>
      </c>
      <c r="E326" s="2">
        <f t="shared" ca="1" si="4"/>
        <v>0.62091500660570553</v>
      </c>
      <c r="F326" s="1">
        <v>0.2</v>
      </c>
      <c r="G326" s="1">
        <f t="shared" ca="1" si="5"/>
        <v>0.30326799471543558</v>
      </c>
      <c r="H326" s="1">
        <f t="shared" ca="1" si="6"/>
        <v>0.49673200528456446</v>
      </c>
    </row>
    <row r="327" spans="1:8">
      <c r="A327" s="2">
        <f t="shared" ca="1" si="0"/>
        <v>0.42902238608268295</v>
      </c>
      <c r="B327" s="2">
        <f t="shared" ca="1" si="1"/>
        <v>7.2092320789379535E-2</v>
      </c>
      <c r="C327" s="2">
        <f t="shared" ca="1" si="2"/>
        <v>3.0929219483297816E-2</v>
      </c>
      <c r="D327" s="2">
        <f t="shared" ca="1" si="3"/>
        <v>0.84914987182040913</v>
      </c>
      <c r="E327" s="2">
        <f t="shared" ca="1" si="4"/>
        <v>0.15085012817959087</v>
      </c>
      <c r="F327" s="1">
        <v>0.2</v>
      </c>
      <c r="G327" s="1">
        <f t="shared" ca="1" si="5"/>
        <v>0.67931989745632737</v>
      </c>
      <c r="H327" s="1">
        <f t="shared" ca="1" si="6"/>
        <v>0.1206801025436727</v>
      </c>
    </row>
    <row r="328" spans="1:8">
      <c r="A328" s="2">
        <f t="shared" ca="1" si="0"/>
        <v>0.96642403241392649</v>
      </c>
      <c r="B328" s="2">
        <f t="shared" ca="1" si="1"/>
        <v>9.5985511666088569E-2</v>
      </c>
      <c r="C328" s="2">
        <f t="shared" ca="1" si="2"/>
        <v>9.2762705237655299E-2</v>
      </c>
      <c r="D328" s="2">
        <f t="shared" ca="1" si="3"/>
        <v>0.44235062343647835</v>
      </c>
      <c r="E328" s="2">
        <f t="shared" ca="1" si="4"/>
        <v>0.55764937656352165</v>
      </c>
      <c r="F328" s="1">
        <v>0.2</v>
      </c>
      <c r="G328" s="1">
        <f t="shared" ca="1" si="5"/>
        <v>0.3538804987491827</v>
      </c>
      <c r="H328" s="1">
        <f t="shared" ca="1" si="6"/>
        <v>0.44611950125081734</v>
      </c>
    </row>
    <row r="329" spans="1:8">
      <c r="A329" s="2">
        <f t="shared" ca="1" si="0"/>
        <v>0.97035726024057012</v>
      </c>
      <c r="B329" s="2">
        <f t="shared" ca="1" si="1"/>
        <v>9.7269247363893099E-2</v>
      </c>
      <c r="C329" s="2">
        <f t="shared" ca="1" si="2"/>
        <v>9.43859203776896E-2</v>
      </c>
      <c r="D329" s="2">
        <f t="shared" ca="1" si="3"/>
        <v>0.43167157646256848</v>
      </c>
      <c r="E329" s="2">
        <f t="shared" ca="1" si="4"/>
        <v>0.56832842353743152</v>
      </c>
      <c r="F329" s="1">
        <v>0.2</v>
      </c>
      <c r="G329" s="1">
        <f t="shared" ca="1" si="5"/>
        <v>0.34533726117005481</v>
      </c>
      <c r="H329" s="1">
        <f t="shared" ca="1" si="6"/>
        <v>0.45466273882994523</v>
      </c>
    </row>
    <row r="330" spans="1:8">
      <c r="A330" s="2">
        <f t="shared" ca="1" si="0"/>
        <v>0.66187859899330537</v>
      </c>
      <c r="B330" s="2">
        <f t="shared" ca="1" si="1"/>
        <v>7.2429579418099396E-2</v>
      </c>
      <c r="C330" s="2">
        <f t="shared" ca="1" si="2"/>
        <v>4.7939588550925977E-2</v>
      </c>
      <c r="D330" s="2">
        <f t="shared" ca="1" si="3"/>
        <v>0.73723954900706601</v>
      </c>
      <c r="E330" s="2">
        <f t="shared" ca="1" si="4"/>
        <v>0.26276045099293399</v>
      </c>
      <c r="F330" s="1">
        <v>0.2</v>
      </c>
      <c r="G330" s="1">
        <f t="shared" ca="1" si="5"/>
        <v>0.58979163920565281</v>
      </c>
      <c r="H330" s="1">
        <f t="shared" ca="1" si="6"/>
        <v>0.21020836079434721</v>
      </c>
    </row>
    <row r="331" spans="1:8">
      <c r="A331" s="2">
        <f t="shared" ca="1" si="0"/>
        <v>0.66391635523267822</v>
      </c>
      <c r="B331" s="2">
        <f t="shared" ca="1" si="1"/>
        <v>7.2460513979215505E-2</v>
      </c>
      <c r="C331" s="2">
        <f t="shared" ca="1" si="2"/>
        <v>4.8107720339367291E-2</v>
      </c>
      <c r="D331" s="2">
        <f t="shared" ca="1" si="3"/>
        <v>0.73613341881995209</v>
      </c>
      <c r="E331" s="2">
        <f t="shared" ca="1" si="4"/>
        <v>0.26386658118004791</v>
      </c>
      <c r="F331" s="1">
        <v>0.2</v>
      </c>
      <c r="G331" s="1">
        <f t="shared" ca="1" si="5"/>
        <v>0.58890673505596169</v>
      </c>
      <c r="H331" s="1">
        <f t="shared" ca="1" si="6"/>
        <v>0.21109326494403835</v>
      </c>
    </row>
    <row r="332" spans="1:8">
      <c r="A332" s="2">
        <f t="shared" ca="1" si="0"/>
        <v>0.97186162198386494</v>
      </c>
      <c r="B332" s="2">
        <f t="shared" ca="1" si="1"/>
        <v>9.7794503610491246E-2</v>
      </c>
      <c r="C332" s="2">
        <f t="shared" ca="1" si="2"/>
        <v>9.5042724899998959E-2</v>
      </c>
      <c r="D332" s="2">
        <f t="shared" ca="1" si="3"/>
        <v>0.42735049407895431</v>
      </c>
      <c r="E332" s="2">
        <f t="shared" ca="1" si="4"/>
        <v>0.57264950592104569</v>
      </c>
      <c r="F332" s="1">
        <v>0.2</v>
      </c>
      <c r="G332" s="1">
        <f t="shared" ca="1" si="5"/>
        <v>0.34188039526316349</v>
      </c>
      <c r="H332" s="1">
        <f t="shared" ca="1" si="6"/>
        <v>0.45811960473683655</v>
      </c>
    </row>
    <row r="333" spans="1:8">
      <c r="A333" s="2">
        <f t="shared" ca="1" si="0"/>
        <v>1.004438506230853</v>
      </c>
      <c r="B333" s="2">
        <f t="shared" ca="1" si="1"/>
        <v>0.12740097168656739</v>
      </c>
      <c r="C333" s="2">
        <f t="shared" ca="1" si="2"/>
        <v>0.12796644169321494</v>
      </c>
      <c r="D333" s="2">
        <f t="shared" ca="1" si="3"/>
        <v>0.21074709412358594</v>
      </c>
      <c r="E333" s="2">
        <f t="shared" ca="1" si="4"/>
        <v>0.78925290587641406</v>
      </c>
      <c r="F333" s="1">
        <v>0.2</v>
      </c>
      <c r="G333" s="1">
        <f t="shared" ca="1" si="5"/>
        <v>0.16859767529886877</v>
      </c>
      <c r="H333" s="1">
        <f t="shared" ca="1" si="6"/>
        <v>0.63140232470113133</v>
      </c>
    </row>
    <row r="334" spans="1:8">
      <c r="A334" s="2">
        <f t="shared" ca="1" si="0"/>
        <v>1.0035462418401073</v>
      </c>
      <c r="B334" s="2">
        <f t="shared" ca="1" si="1"/>
        <v>0.12369072985009016</v>
      </c>
      <c r="C334" s="2">
        <f t="shared" ca="1" si="2"/>
        <v>0.12412936709151798</v>
      </c>
      <c r="D334" s="2">
        <f t="shared" ca="1" si="3"/>
        <v>0.23599100597685552</v>
      </c>
      <c r="E334" s="2">
        <f t="shared" ca="1" si="4"/>
        <v>0.76400899402314448</v>
      </c>
      <c r="F334" s="1">
        <v>0.2</v>
      </c>
      <c r="G334" s="1">
        <f t="shared" ca="1" si="5"/>
        <v>0.18879280478148441</v>
      </c>
      <c r="H334" s="1">
        <f t="shared" ca="1" si="6"/>
        <v>0.61120719521851563</v>
      </c>
    </row>
    <row r="335" spans="1:8">
      <c r="A335" s="2">
        <f t="shared" ca="1" si="0"/>
        <v>1.0045511630851796</v>
      </c>
      <c r="B335" s="2">
        <f t="shared" ca="1" si="1"/>
        <v>0.14062008735090167</v>
      </c>
      <c r="C335" s="2">
        <f t="shared" ca="1" si="2"/>
        <v>0.14126007230148782</v>
      </c>
      <c r="D335" s="2">
        <f t="shared" ca="1" si="3"/>
        <v>0.12328899801652748</v>
      </c>
      <c r="E335" s="2">
        <f t="shared" ca="1" si="4"/>
        <v>0.87671100198347252</v>
      </c>
      <c r="F335" s="1">
        <v>0.2</v>
      </c>
      <c r="G335" s="1">
        <f t="shared" ca="1" si="5"/>
        <v>9.8631198413221988E-2</v>
      </c>
      <c r="H335" s="1">
        <f t="shared" ca="1" si="6"/>
        <v>0.70136880158677806</v>
      </c>
    </row>
    <row r="336" spans="1:8">
      <c r="A336" s="2">
        <f t="shared" ca="1" si="0"/>
        <v>0.93257207939019371</v>
      </c>
      <c r="B336" s="2">
        <f t="shared" ca="1" si="1"/>
        <v>8.8268083868665484E-2</v>
      </c>
      <c r="C336" s="2">
        <f t="shared" ca="1" si="2"/>
        <v>8.2316350517189385E-2</v>
      </c>
      <c r="D336" s="2">
        <f t="shared" ca="1" si="3"/>
        <v>0.51107664133428043</v>
      </c>
      <c r="E336" s="2">
        <f t="shared" ca="1" si="4"/>
        <v>0.48892335866571957</v>
      </c>
      <c r="F336" s="1">
        <v>0.2</v>
      </c>
      <c r="G336" s="1">
        <f t="shared" ca="1" si="5"/>
        <v>0.40886131306742435</v>
      </c>
      <c r="H336" s="1">
        <f t="shared" ca="1" si="6"/>
        <v>0.3911386869325757</v>
      </c>
    </row>
    <row r="337" spans="1:8">
      <c r="A337" s="2">
        <f t="shared" ca="1" si="0"/>
        <v>1.0034562363108588</v>
      </c>
      <c r="B337" s="2">
        <f t="shared" ca="1" si="1"/>
        <v>0.1470725527129198</v>
      </c>
      <c r="C337" s="2">
        <f t="shared" ca="1" si="2"/>
        <v>0.1475808702099369</v>
      </c>
      <c r="D337" s="2">
        <f t="shared" ca="1" si="3"/>
        <v>8.1704801250415238E-2</v>
      </c>
      <c r="E337" s="2">
        <f t="shared" ca="1" si="4"/>
        <v>0.91829519874958476</v>
      </c>
      <c r="F337" s="1">
        <v>0.2</v>
      </c>
      <c r="G337" s="1">
        <f t="shared" ca="1" si="5"/>
        <v>6.5363841000332198E-2</v>
      </c>
      <c r="H337" s="1">
        <f t="shared" ca="1" si="6"/>
        <v>0.73463615899966783</v>
      </c>
    </row>
    <row r="338" spans="1:8">
      <c r="A338" s="2">
        <f t="shared" ca="1" si="0"/>
        <v>0.51107584039430698</v>
      </c>
      <c r="B338" s="2">
        <f t="shared" ca="1" si="1"/>
        <v>7.1586019512592122E-2</v>
      </c>
      <c r="C338" s="2">
        <f t="shared" ca="1" si="2"/>
        <v>3.6585885082881277E-2</v>
      </c>
      <c r="D338" s="2">
        <f t="shared" ca="1" si="3"/>
        <v>0.81193496655999164</v>
      </c>
      <c r="E338" s="2">
        <f t="shared" ca="1" si="4"/>
        <v>0.18806503344000836</v>
      </c>
      <c r="F338" s="1">
        <v>0.2</v>
      </c>
      <c r="G338" s="1">
        <f t="shared" ca="1" si="5"/>
        <v>0.6495479732479934</v>
      </c>
      <c r="H338" s="1">
        <f t="shared" ca="1" si="6"/>
        <v>0.1504520267520067</v>
      </c>
    </row>
    <row r="339" spans="1:8">
      <c r="A339" s="2">
        <f t="shared" ca="1" si="0"/>
        <v>0.97327429928773768</v>
      </c>
      <c r="B339" s="2">
        <f t="shared" ca="1" si="1"/>
        <v>9.8307036534632006E-2</v>
      </c>
      <c r="C339" s="2">
        <f t="shared" ca="1" si="2"/>
        <v>9.5679712098297995E-2</v>
      </c>
      <c r="D339" s="2">
        <f t="shared" ca="1" si="3"/>
        <v>0.42315978882698702</v>
      </c>
      <c r="E339" s="2">
        <f t="shared" ca="1" si="4"/>
        <v>0.57684021117301298</v>
      </c>
      <c r="F339" s="1">
        <v>0.2</v>
      </c>
      <c r="G339" s="1">
        <f t="shared" ca="1" si="5"/>
        <v>0.33852783106158962</v>
      </c>
      <c r="H339" s="1">
        <f t="shared" ca="1" si="6"/>
        <v>0.46147216893841042</v>
      </c>
    </row>
    <row r="340" spans="1:8">
      <c r="A340" s="2">
        <f t="shared" ca="1" si="0"/>
        <v>1.0021400921033101</v>
      </c>
      <c r="B340" s="2">
        <f t="shared" ca="1" si="1"/>
        <v>0.15260692412948024</v>
      </c>
      <c r="C340" s="2">
        <f t="shared" ca="1" si="2"/>
        <v>0.15293351700272018</v>
      </c>
      <c r="D340" s="2">
        <f t="shared" ca="1" si="3"/>
        <v>4.6490019718946174E-2</v>
      </c>
      <c r="E340" s="2">
        <f t="shared" ca="1" si="4"/>
        <v>0.95350998028105383</v>
      </c>
      <c r="F340" s="1">
        <v>0.2</v>
      </c>
      <c r="G340" s="1">
        <f t="shared" ca="1" si="5"/>
        <v>3.7192015775156941E-2</v>
      </c>
      <c r="H340" s="1">
        <f t="shared" ca="1" si="6"/>
        <v>0.76280798422484308</v>
      </c>
    </row>
    <row r="341" spans="1:8">
      <c r="A341" s="2">
        <f t="shared" ca="1" si="0"/>
        <v>0.90103546885568186</v>
      </c>
      <c r="B341" s="2">
        <f t="shared" ca="1" si="1"/>
        <v>8.386190114104812E-2</v>
      </c>
      <c r="C341" s="2">
        <f t="shared" ca="1" si="2"/>
        <v>7.5562547413753137E-2</v>
      </c>
      <c r="D341" s="2">
        <f t="shared" ca="1" si="3"/>
        <v>0.55550955648846623</v>
      </c>
      <c r="E341" s="2">
        <f t="shared" ca="1" si="4"/>
        <v>0.44449044351153377</v>
      </c>
      <c r="F341" s="1">
        <v>0.2</v>
      </c>
      <c r="G341" s="1">
        <f t="shared" ca="1" si="5"/>
        <v>0.44440764519077303</v>
      </c>
      <c r="H341" s="1">
        <f t="shared" ca="1" si="6"/>
        <v>0.35559235480922702</v>
      </c>
    </row>
    <row r="342" spans="1:8">
      <c r="A342" s="2">
        <f t="shared" ca="1" si="0"/>
        <v>0.22370876194994954</v>
      </c>
      <c r="B342" s="2">
        <f t="shared" ca="1" si="1"/>
        <v>7.5867885826330084E-2</v>
      </c>
      <c r="C342" s="2">
        <f t="shared" ca="1" si="2"/>
        <v>1.6972310809968427E-2</v>
      </c>
      <c r="D342" s="2">
        <f t="shared" ca="1" si="3"/>
        <v>0.94097163940810247</v>
      </c>
      <c r="E342" s="2">
        <f t="shared" ca="1" si="4"/>
        <v>5.9028360591897533E-2</v>
      </c>
      <c r="F342" s="1">
        <v>0.2</v>
      </c>
      <c r="G342" s="1">
        <f t="shared" ca="1" si="5"/>
        <v>0.75277731152648197</v>
      </c>
      <c r="H342" s="1">
        <f t="shared" ca="1" si="6"/>
        <v>4.7222688473518029E-2</v>
      </c>
    </row>
    <row r="343" spans="1:8">
      <c r="A343" s="2">
        <f t="shared" ca="1" si="0"/>
        <v>1.002444996639678</v>
      </c>
      <c r="B343" s="2">
        <f t="shared" ca="1" si="1"/>
        <v>0.12071640542138787</v>
      </c>
      <c r="C343" s="2">
        <f t="shared" ca="1" si="2"/>
        <v>0.12101155662699717</v>
      </c>
      <c r="D343" s="2">
        <f t="shared" ca="1" si="3"/>
        <v>0.25650291692765026</v>
      </c>
      <c r="E343" s="2">
        <f t="shared" ca="1" si="4"/>
        <v>0.74349708307234974</v>
      </c>
      <c r="F343" s="1">
        <v>0.2</v>
      </c>
      <c r="G343" s="1">
        <f t="shared" ca="1" si="5"/>
        <v>0.20520233354212022</v>
      </c>
      <c r="H343" s="1">
        <f t="shared" ca="1" si="6"/>
        <v>0.59479766645787979</v>
      </c>
    </row>
    <row r="344" spans="1:8">
      <c r="A344" s="2">
        <f t="shared" ca="1" si="0"/>
        <v>1.0048533629232539</v>
      </c>
      <c r="B344" s="2">
        <f t="shared" ca="1" si="1"/>
        <v>0.13757639612254385</v>
      </c>
      <c r="C344" s="2">
        <f t="shared" ca="1" si="2"/>
        <v>0.1382441043025999</v>
      </c>
      <c r="D344" s="2">
        <f t="shared" ca="1" si="3"/>
        <v>0.1431308927460534</v>
      </c>
      <c r="E344" s="2">
        <f t="shared" ca="1" si="4"/>
        <v>0.8568691072539466</v>
      </c>
      <c r="F344" s="1">
        <v>0.2</v>
      </c>
      <c r="G344" s="1">
        <f t="shared" ca="1" si="5"/>
        <v>0.11450471419684272</v>
      </c>
      <c r="H344" s="1">
        <f t="shared" ca="1" si="6"/>
        <v>0.68549528580315733</v>
      </c>
    </row>
    <row r="345" spans="1:8">
      <c r="A345" s="2">
        <f t="shared" ca="1" si="0"/>
        <v>1.0047219346194523</v>
      </c>
      <c r="B345" s="2">
        <f t="shared" ca="1" si="1"/>
        <v>0.12932494956734564</v>
      </c>
      <c r="C345" s="2">
        <f t="shared" ca="1" si="2"/>
        <v>0.12993561352386659</v>
      </c>
      <c r="D345" s="2">
        <f t="shared" ca="1" si="3"/>
        <v>0.19779201629035159</v>
      </c>
      <c r="E345" s="2">
        <f t="shared" ca="1" si="4"/>
        <v>0.80220798370964841</v>
      </c>
      <c r="F345" s="1">
        <v>0.2</v>
      </c>
      <c r="G345" s="1">
        <f t="shared" ca="1" si="5"/>
        <v>0.15823361303228128</v>
      </c>
      <c r="H345" s="1">
        <f t="shared" ca="1" si="6"/>
        <v>0.64176638696771882</v>
      </c>
    </row>
    <row r="346" spans="1:8">
      <c r="A346" s="2">
        <f t="shared" ca="1" si="0"/>
        <v>1.0046731810492935</v>
      </c>
      <c r="B346" s="2">
        <f t="shared" ca="1" si="1"/>
        <v>0.17446126438047815</v>
      </c>
      <c r="C346" s="2">
        <f t="shared" ca="1" si="2"/>
        <v>0.17527655345501678</v>
      </c>
      <c r="D346" s="2">
        <f t="shared" ca="1" si="3"/>
        <v>0.13012340286833279</v>
      </c>
      <c r="E346" s="2">
        <f t="shared" ca="1" si="4"/>
        <v>0.86987659713166721</v>
      </c>
      <c r="F346" s="1">
        <v>0</v>
      </c>
      <c r="G346" s="1">
        <f t="shared" ca="1" si="5"/>
        <v>0.13012340286833279</v>
      </c>
      <c r="H346" s="1">
        <f t="shared" ca="1" si="6"/>
        <v>0.86987659713166721</v>
      </c>
    </row>
    <row r="347" spans="1:8">
      <c r="A347" s="2">
        <f t="shared" ca="1" si="0"/>
        <v>0.67874946652728829</v>
      </c>
      <c r="B347" s="2">
        <f t="shared" ca="1" si="1"/>
        <v>9.0881318260082528E-2</v>
      </c>
      <c r="C347" s="2">
        <f t="shared" ca="1" si="2"/>
        <v>6.1685646286327715E-2</v>
      </c>
      <c r="D347" s="2">
        <f t="shared" ca="1" si="3"/>
        <v>0.72797028270353836</v>
      </c>
      <c r="E347" s="2">
        <f t="shared" ca="1" si="4"/>
        <v>0.27202971729646164</v>
      </c>
      <c r="F347" s="1">
        <v>0</v>
      </c>
      <c r="G347" s="1">
        <f t="shared" ca="1" si="5"/>
        <v>0.72797028270353836</v>
      </c>
      <c r="H347" s="1">
        <f t="shared" ca="1" si="6"/>
        <v>0.27202971729646164</v>
      </c>
    </row>
    <row r="348" spans="1:8">
      <c r="A348" s="2">
        <f t="shared" ca="1" si="0"/>
        <v>1.0049727190916147</v>
      </c>
      <c r="B348" s="2">
        <f t="shared" ca="1" si="1"/>
        <v>0.16895432682037526</v>
      </c>
      <c r="C348" s="2">
        <f t="shared" ca="1" si="2"/>
        <v>0.16979448922696583</v>
      </c>
      <c r="D348" s="2">
        <f t="shared" ca="1" si="3"/>
        <v>0.15897637248965357</v>
      </c>
      <c r="E348" s="2">
        <f t="shared" ca="1" si="4"/>
        <v>0.84102362751034643</v>
      </c>
      <c r="F348" s="1">
        <v>0</v>
      </c>
      <c r="G348" s="1">
        <f t="shared" ca="1" si="5"/>
        <v>0.15897637248965357</v>
      </c>
      <c r="H348" s="1">
        <f t="shared" ca="1" si="6"/>
        <v>0.84102362751034643</v>
      </c>
    </row>
    <row r="349" spans="1:8">
      <c r="A349" s="2">
        <f t="shared" ca="1" si="0"/>
        <v>0.91499790342607623</v>
      </c>
      <c r="B349" s="2">
        <f t="shared" ca="1" si="1"/>
        <v>0.1070048848530788</v>
      </c>
      <c r="C349" s="2">
        <f t="shared" ca="1" si="2"/>
        <v>9.7909245296915803E-2</v>
      </c>
      <c r="D349" s="2">
        <f t="shared" ca="1" si="3"/>
        <v>0.53731976159518002</v>
      </c>
      <c r="E349" s="2">
        <f t="shared" ca="1" si="4"/>
        <v>0.46268023840481998</v>
      </c>
      <c r="F349" s="1">
        <v>0</v>
      </c>
      <c r="G349" s="1">
        <f t="shared" ca="1" si="5"/>
        <v>0.53731976159518002</v>
      </c>
      <c r="H349" s="1">
        <f t="shared" ca="1" si="6"/>
        <v>0.46268023840481998</v>
      </c>
    </row>
    <row r="350" spans="1:8">
      <c r="A350" s="2">
        <f t="shared" ca="1" si="0"/>
        <v>0.91237753041409586</v>
      </c>
      <c r="B350" s="2">
        <f t="shared" ca="1" si="1"/>
        <v>0.10656881336353395</v>
      </c>
      <c r="C350" s="2">
        <f t="shared" ca="1" si="2"/>
        <v>9.7230990755781802E-2</v>
      </c>
      <c r="D350" s="2">
        <f t="shared" ca="1" si="3"/>
        <v>0.54088952233799059</v>
      </c>
      <c r="E350" s="2">
        <f t="shared" ca="1" si="4"/>
        <v>0.45911047766200941</v>
      </c>
      <c r="F350" s="1">
        <v>0</v>
      </c>
      <c r="G350" s="1">
        <f t="shared" ca="1" si="5"/>
        <v>0.54088952233799059</v>
      </c>
      <c r="H350" s="1">
        <f t="shared" ca="1" si="6"/>
        <v>0.45911047766200941</v>
      </c>
    </row>
    <row r="351" spans="1:8">
      <c r="A351" s="2">
        <f t="shared" ca="1" si="0"/>
        <v>1.001092221580453</v>
      </c>
      <c r="B351" s="2">
        <f t="shared" ca="1" si="1"/>
        <v>0.19548019340237549</v>
      </c>
      <c r="C351" s="2">
        <f t="shared" ca="1" si="2"/>
        <v>0.19569370108816067</v>
      </c>
      <c r="D351" s="2">
        <f t="shared" ca="1" si="3"/>
        <v>2.2664731114943826E-2</v>
      </c>
      <c r="E351" s="2">
        <f t="shared" ca="1" si="4"/>
        <v>0.97733526888505617</v>
      </c>
      <c r="F351" s="1">
        <v>0</v>
      </c>
      <c r="G351" s="1">
        <f t="shared" ca="1" si="5"/>
        <v>2.2664731114943826E-2</v>
      </c>
      <c r="H351" s="1">
        <f t="shared" ca="1" si="6"/>
        <v>0.97733526888505617</v>
      </c>
    </row>
    <row r="352" spans="1:8">
      <c r="A352" s="2">
        <f t="shared" ca="1" si="0"/>
        <v>0.8548750199340972</v>
      </c>
      <c r="B352" s="2">
        <f t="shared" ca="1" si="1"/>
        <v>9.9518276668429634E-2</v>
      </c>
      <c r="C352" s="2">
        <f t="shared" ca="1" si="2"/>
        <v>8.507568875073078E-2</v>
      </c>
      <c r="D352" s="2">
        <f t="shared" ca="1" si="3"/>
        <v>0.6048647960487854</v>
      </c>
      <c r="E352" s="2">
        <f t="shared" ca="1" si="4"/>
        <v>0.3951352039512146</v>
      </c>
      <c r="F352" s="1">
        <v>0</v>
      </c>
      <c r="G352" s="1">
        <f t="shared" ca="1" si="5"/>
        <v>0.6048647960487854</v>
      </c>
      <c r="H352" s="1">
        <f t="shared" ca="1" si="6"/>
        <v>0.3951352039512146</v>
      </c>
    </row>
    <row r="353" spans="1:8">
      <c r="A353" s="2">
        <f t="shared" ca="1" si="0"/>
        <v>1.0022059767727778</v>
      </c>
      <c r="B353" s="2">
        <f t="shared" ca="1" si="1"/>
        <v>0.19044424705164201</v>
      </c>
      <c r="C353" s="2">
        <f t="shared" ca="1" si="2"/>
        <v>0.19086436263714709</v>
      </c>
      <c r="D353" s="2">
        <f t="shared" ca="1" si="3"/>
        <v>4.8082301909752156E-2</v>
      </c>
      <c r="E353" s="2">
        <f t="shared" ca="1" si="4"/>
        <v>0.95191769809024784</v>
      </c>
      <c r="F353" s="1">
        <v>0</v>
      </c>
      <c r="G353" s="1">
        <f t="shared" ca="1" si="5"/>
        <v>4.8082301909752156E-2</v>
      </c>
      <c r="H353" s="1">
        <f t="shared" ca="1" si="6"/>
        <v>0.95191769809024784</v>
      </c>
    </row>
    <row r="354" spans="1:8">
      <c r="A354" s="2">
        <f t="shared" ca="1" si="0"/>
        <v>0.27167440762251643</v>
      </c>
      <c r="B354" s="2">
        <f t="shared" ca="1" si="1"/>
        <v>9.3328682073679226E-2</v>
      </c>
      <c r="C354" s="2">
        <f t="shared" ca="1" si="2"/>
        <v>2.5355014416556972E-2</v>
      </c>
      <c r="D354" s="2">
        <f t="shared" ca="1" si="3"/>
        <v>0.91918413464970017</v>
      </c>
      <c r="E354" s="2">
        <f t="shared" ca="1" si="4"/>
        <v>8.0815865350299831E-2</v>
      </c>
      <c r="F354" s="1">
        <v>0</v>
      </c>
      <c r="G354" s="1">
        <f t="shared" ca="1" si="5"/>
        <v>0.91918413464970017</v>
      </c>
      <c r="H354" s="1">
        <f t="shared" ca="1" si="6"/>
        <v>8.0815865350299831E-2</v>
      </c>
    </row>
    <row r="355" spans="1:8">
      <c r="A355" s="2">
        <f t="shared" ca="1" si="0"/>
        <v>1.0045905324886355</v>
      </c>
      <c r="B355" s="2">
        <f t="shared" ca="1" si="1"/>
        <v>0.17537152141745146</v>
      </c>
      <c r="C355" s="2">
        <f t="shared" ca="1" si="2"/>
        <v>0.17617657008409973</v>
      </c>
      <c r="D355" s="2">
        <f t="shared" ca="1" si="3"/>
        <v>0.12538647324158048</v>
      </c>
      <c r="E355" s="2">
        <f t="shared" ca="1" si="4"/>
        <v>0.87461352675841952</v>
      </c>
      <c r="F355" s="1">
        <v>0</v>
      </c>
      <c r="G355" s="1">
        <f t="shared" ca="1" si="5"/>
        <v>0.12538647324158048</v>
      </c>
      <c r="H355" s="1">
        <f t="shared" ca="1" si="6"/>
        <v>0.87461352675841952</v>
      </c>
    </row>
    <row r="356" spans="1:8">
      <c r="A356" s="2">
        <f t="shared" ca="1" si="0"/>
        <v>1.0041171674072031</v>
      </c>
      <c r="B356" s="2">
        <f t="shared" ca="1" si="1"/>
        <v>0.17947784479684947</v>
      </c>
      <c r="C356" s="2">
        <f t="shared" ca="1" si="2"/>
        <v>0.18021678512976214</v>
      </c>
      <c r="D356" s="2">
        <f t="shared" ca="1" si="3"/>
        <v>0.10412218352756786</v>
      </c>
      <c r="E356" s="2">
        <f t="shared" ca="1" si="4"/>
        <v>0.89587781647243214</v>
      </c>
      <c r="F356" s="1">
        <v>0</v>
      </c>
      <c r="G356" s="1">
        <f t="shared" ca="1" si="5"/>
        <v>0.10412218352756786</v>
      </c>
      <c r="H356" s="1">
        <f t="shared" ca="1" si="6"/>
        <v>0.89587781647243214</v>
      </c>
    </row>
    <row r="357" spans="1:8">
      <c r="A357" s="2">
        <f t="shared" ca="1" si="0"/>
        <v>0.75602345641112811</v>
      </c>
      <c r="B357" s="2">
        <f t="shared" ca="1" si="1"/>
        <v>9.3289917899792116E-2</v>
      </c>
      <c r="C357" s="2">
        <f t="shared" ca="1" si="2"/>
        <v>7.0529366178911201E-2</v>
      </c>
      <c r="D357" s="2">
        <f t="shared" ca="1" si="3"/>
        <v>0.68142438853204634</v>
      </c>
      <c r="E357" s="2">
        <f t="shared" ca="1" si="4"/>
        <v>0.31857561146795366</v>
      </c>
      <c r="F357" s="1">
        <v>0</v>
      </c>
      <c r="G357" s="1">
        <f t="shared" ca="1" si="5"/>
        <v>0.68142438853204634</v>
      </c>
      <c r="H357" s="1">
        <f t="shared" ca="1" si="6"/>
        <v>0.31857561146795366</v>
      </c>
    </row>
    <row r="358" spans="1:8">
      <c r="A358" s="2">
        <f t="shared" ca="1" si="0"/>
        <v>1.0016343197155329</v>
      </c>
      <c r="B358" s="2">
        <f t="shared" ca="1" si="1"/>
        <v>0.14876837046205008</v>
      </c>
      <c r="C358" s="2">
        <f t="shared" ca="1" si="2"/>
        <v>0.1490115055429439</v>
      </c>
      <c r="D358" s="2">
        <f t="shared" ca="1" si="3"/>
        <v>0.26836049714240051</v>
      </c>
      <c r="E358" s="2">
        <f t="shared" ca="1" si="4"/>
        <v>0.73163950285759949</v>
      </c>
      <c r="F358" s="1">
        <v>0</v>
      </c>
      <c r="G358" s="1">
        <f t="shared" ca="1" si="5"/>
        <v>0.26836049714240051</v>
      </c>
      <c r="H358" s="1">
        <f t="shared" ca="1" si="6"/>
        <v>0.73163950285759949</v>
      </c>
    </row>
    <row r="359" spans="1:8">
      <c r="A359" s="2">
        <f t="shared" ca="1" si="0"/>
        <v>1.0007277819234963</v>
      </c>
      <c r="B359" s="2">
        <f t="shared" ca="1" si="1"/>
        <v>0.19702508598440954</v>
      </c>
      <c r="C359" s="2">
        <f t="shared" ca="1" si="2"/>
        <v>0.1971684772804643</v>
      </c>
      <c r="D359" s="2">
        <f t="shared" ca="1" si="3"/>
        <v>1.4902751155451144E-2</v>
      </c>
      <c r="E359" s="2">
        <f t="shared" ca="1" si="4"/>
        <v>0.98509724884454886</v>
      </c>
      <c r="F359" s="1">
        <v>0</v>
      </c>
      <c r="G359" s="1">
        <f t="shared" ca="1" si="5"/>
        <v>1.4902751155451144E-2</v>
      </c>
      <c r="H359" s="1">
        <f t="shared" ca="1" si="6"/>
        <v>0.98509724884454886</v>
      </c>
    </row>
    <row r="360" spans="1:8">
      <c r="A360" s="2">
        <f t="shared" ca="1" si="0"/>
        <v>0.96540697886574434</v>
      </c>
      <c r="B360" s="2">
        <f t="shared" ca="1" si="1"/>
        <v>0.11959078731075554</v>
      </c>
      <c r="C360" s="2">
        <f t="shared" ca="1" si="2"/>
        <v>0.11545378067785229</v>
      </c>
      <c r="D360" s="2">
        <f t="shared" ca="1" si="3"/>
        <v>0.44498010169551427</v>
      </c>
      <c r="E360" s="2">
        <f t="shared" ca="1" si="4"/>
        <v>0.55501989830448573</v>
      </c>
      <c r="F360" s="1">
        <v>0</v>
      </c>
      <c r="G360" s="1">
        <f t="shared" ca="1" si="5"/>
        <v>0.44498010169551427</v>
      </c>
      <c r="H360" s="1">
        <f t="shared" ca="1" si="6"/>
        <v>0.55501989830448573</v>
      </c>
    </row>
    <row r="361" spans="1:8">
      <c r="A361" s="2">
        <f t="shared" ca="1" si="0"/>
        <v>1.0028263894592826</v>
      </c>
      <c r="B361" s="2">
        <f t="shared" ca="1" si="1"/>
        <v>0.18734350865148058</v>
      </c>
      <c r="C361" s="2">
        <f t="shared" ca="1" si="2"/>
        <v>0.18787301436959816</v>
      </c>
      <c r="D361" s="2">
        <f t="shared" ca="1" si="3"/>
        <v>6.3826240160009706E-2</v>
      </c>
      <c r="E361" s="2">
        <f t="shared" ca="1" si="4"/>
        <v>0.93617375983999029</v>
      </c>
      <c r="F361" s="1">
        <v>0</v>
      </c>
      <c r="G361" s="1">
        <f t="shared" ca="1" si="5"/>
        <v>6.3826240160009706E-2</v>
      </c>
      <c r="H361" s="1">
        <f t="shared" ca="1" si="6"/>
        <v>0.93617375983999029</v>
      </c>
    </row>
    <row r="362" spans="1:8">
      <c r="A362" s="2">
        <f t="shared" ca="1" si="0"/>
        <v>1.0048617644978721</v>
      </c>
      <c r="B362" s="2">
        <f t="shared" ca="1" si="1"/>
        <v>0.17182383889755043</v>
      </c>
      <c r="C362" s="2">
        <f t="shared" ca="1" si="2"/>
        <v>0.17265920593739065</v>
      </c>
      <c r="D362" s="2">
        <f t="shared" ca="1" si="3"/>
        <v>0.14389891611899674</v>
      </c>
      <c r="E362" s="2">
        <f t="shared" ca="1" si="4"/>
        <v>0.85610108388100326</v>
      </c>
      <c r="F362" s="1">
        <v>0</v>
      </c>
      <c r="G362" s="1">
        <f t="shared" ca="1" si="5"/>
        <v>0.14389891611899674</v>
      </c>
      <c r="H362" s="1">
        <f t="shared" ca="1" si="6"/>
        <v>0.85610108388100326</v>
      </c>
    </row>
    <row r="363" spans="1:8">
      <c r="A363" s="2">
        <f t="shared" ca="1" si="0"/>
        <v>0.99595186899254617</v>
      </c>
      <c r="B363" s="2">
        <f t="shared" ca="1" si="1"/>
        <v>0.13925090398110118</v>
      </c>
      <c r="C363" s="2">
        <f t="shared" ca="1" si="2"/>
        <v>0.1386871980788793</v>
      </c>
      <c r="D363" s="2">
        <f t="shared" ca="1" si="3"/>
        <v>0.32269895747958266</v>
      </c>
      <c r="E363" s="2">
        <f t="shared" ca="1" si="4"/>
        <v>0.67730104252041734</v>
      </c>
      <c r="F363" s="1">
        <v>0</v>
      </c>
      <c r="G363" s="1">
        <f t="shared" ca="1" si="5"/>
        <v>0.32269895747958266</v>
      </c>
      <c r="H363" s="1">
        <f t="shared" ca="1" si="6"/>
        <v>0.67730104252041734</v>
      </c>
    </row>
    <row r="364" spans="1:8">
      <c r="A364" s="2">
        <f t="shared" ca="1" si="0"/>
        <v>0.48416368793943987</v>
      </c>
      <c r="B364" s="2">
        <f t="shared" ca="1" si="1"/>
        <v>8.9607493179651998E-2</v>
      </c>
      <c r="C364" s="2">
        <f t="shared" ca="1" si="2"/>
        <v>4.3384694364868519E-2</v>
      </c>
      <c r="D364" s="2">
        <f t="shared" ca="1" si="3"/>
        <v>0.82429108229016568</v>
      </c>
      <c r="E364" s="2">
        <f t="shared" ca="1" si="4"/>
        <v>0.17570891770983432</v>
      </c>
      <c r="F364" s="1">
        <v>0</v>
      </c>
      <c r="G364" s="1">
        <f t="shared" ca="1" si="5"/>
        <v>0.82429108229016568</v>
      </c>
      <c r="H364" s="1">
        <f t="shared" ca="1" si="6"/>
        <v>0.17570891770983432</v>
      </c>
    </row>
    <row r="365" spans="1:8">
      <c r="A365" s="2">
        <f t="shared" ca="1" si="0"/>
        <v>1.0048971017385691</v>
      </c>
      <c r="B365" s="2">
        <f t="shared" ca="1" si="1"/>
        <v>0.17114914215949034</v>
      </c>
      <c r="C365" s="2">
        <f t="shared" ca="1" si="2"/>
        <v>0.17198727692111418</v>
      </c>
      <c r="D365" s="2">
        <f t="shared" ca="1" si="3"/>
        <v>0.14743538462571493</v>
      </c>
      <c r="E365" s="2">
        <f t="shared" ca="1" si="4"/>
        <v>0.85256461537428507</v>
      </c>
      <c r="F365" s="1">
        <v>0</v>
      </c>
      <c r="G365" s="1">
        <f t="shared" ca="1" si="5"/>
        <v>0.14743538462571493</v>
      </c>
      <c r="H365" s="1">
        <f t="shared" ca="1" si="6"/>
        <v>0.85256461537428507</v>
      </c>
    </row>
    <row r="366" spans="1:8">
      <c r="A366" s="2">
        <f t="shared" ca="1" si="0"/>
        <v>1.0036011102590041</v>
      </c>
      <c r="B366" s="2">
        <f t="shared" ca="1" si="1"/>
        <v>0.1829617607691458</v>
      </c>
      <c r="C366" s="2">
        <f t="shared" ca="1" si="2"/>
        <v>0.18362062624285702</v>
      </c>
      <c r="D366" s="2">
        <f t="shared" ca="1" si="3"/>
        <v>8.6207230300752613E-2</v>
      </c>
      <c r="E366" s="2">
        <f t="shared" ca="1" si="4"/>
        <v>0.91379276969924739</v>
      </c>
      <c r="F366" s="1">
        <v>0</v>
      </c>
      <c r="G366" s="1">
        <f t="shared" ca="1" si="5"/>
        <v>8.6207230300752613E-2</v>
      </c>
      <c r="H366" s="1">
        <f t="shared" ca="1" si="6"/>
        <v>0.91379276969924739</v>
      </c>
    </row>
    <row r="367" spans="1:8">
      <c r="A367" s="2">
        <f t="shared" ca="1" si="0"/>
        <v>0.59445539918146451</v>
      </c>
      <c r="B367" s="2">
        <f t="shared" ca="1" si="1"/>
        <v>8.965984551023426E-2</v>
      </c>
      <c r="C367" s="2">
        <f t="shared" ca="1" si="2"/>
        <v>5.3298779253334747E-2</v>
      </c>
      <c r="D367" s="2">
        <f t="shared" ca="1" si="3"/>
        <v>0.77211168814034348</v>
      </c>
      <c r="E367" s="2">
        <f t="shared" ca="1" si="4"/>
        <v>0.22788831185965652</v>
      </c>
      <c r="F367" s="1">
        <v>0</v>
      </c>
      <c r="G367" s="1">
        <f t="shared" ca="1" si="5"/>
        <v>0.77211168814034348</v>
      </c>
      <c r="H367" s="1">
        <f t="shared" ca="1" si="6"/>
        <v>0.22788831185965652</v>
      </c>
    </row>
    <row r="368" spans="1:8">
      <c r="A368" s="2">
        <f t="shared" ca="1" si="0"/>
        <v>1.004816111212949</v>
      </c>
      <c r="B368" s="2">
        <f t="shared" ca="1" si="1"/>
        <v>0.17257438445428996</v>
      </c>
      <c r="C368" s="2">
        <f t="shared" ca="1" si="2"/>
        <v>0.17340552188232805</v>
      </c>
      <c r="D368" s="2">
        <f t="shared" ca="1" si="3"/>
        <v>0.13997093746143141</v>
      </c>
      <c r="E368" s="2">
        <f t="shared" ca="1" si="4"/>
        <v>0.86002906253856859</v>
      </c>
      <c r="F368" s="1">
        <v>0</v>
      </c>
      <c r="G368" s="1">
        <f t="shared" ca="1" si="5"/>
        <v>0.13997093746143141</v>
      </c>
      <c r="H368" s="1">
        <f t="shared" ca="1" si="6"/>
        <v>0.86002906253856859</v>
      </c>
    </row>
    <row r="369" spans="1:8">
      <c r="A369" s="2">
        <f t="shared" ca="1" si="0"/>
        <v>0.71219019727065069</v>
      </c>
      <c r="B369" s="2">
        <f t="shared" ca="1" si="1"/>
        <v>9.1740296583590425E-2</v>
      </c>
      <c r="C369" s="2">
        <f t="shared" ca="1" si="2"/>
        <v>6.5336539921535264E-2</v>
      </c>
      <c r="D369" s="2">
        <f t="shared" ca="1" si="3"/>
        <v>0.70875505304455122</v>
      </c>
      <c r="E369" s="2">
        <f t="shared" ca="1" si="4"/>
        <v>0.29124494695544878</v>
      </c>
      <c r="F369" s="1">
        <v>0</v>
      </c>
      <c r="G369" s="1">
        <f t="shared" ca="1" si="5"/>
        <v>0.70875505304455122</v>
      </c>
      <c r="H369" s="1">
        <f t="shared" ca="1" si="6"/>
        <v>0.29124494695544878</v>
      </c>
    </row>
    <row r="370" spans="1:8">
      <c r="A370" s="2">
        <f t="shared" ca="1" si="0"/>
        <v>1.0015457399937038</v>
      </c>
      <c r="B370" s="2">
        <f t="shared" ca="1" si="1"/>
        <v>0.19349420091179584</v>
      </c>
      <c r="C370" s="2">
        <f t="shared" ca="1" si="2"/>
        <v>0.19379329263669495</v>
      </c>
      <c r="D370" s="2">
        <f t="shared" ca="1" si="3"/>
        <v>3.2666880859500314E-2</v>
      </c>
      <c r="E370" s="2">
        <f t="shared" ca="1" si="4"/>
        <v>0.96733311914049969</v>
      </c>
      <c r="F370" s="1">
        <v>0</v>
      </c>
      <c r="G370" s="1">
        <f t="shared" ca="1" si="5"/>
        <v>3.2666880859500314E-2</v>
      </c>
      <c r="H370" s="1">
        <f t="shared" ca="1" si="6"/>
        <v>0.96733311914049969</v>
      </c>
    </row>
    <row r="371" spans="1:8">
      <c r="A371" s="2">
        <f t="shared" ca="1" si="0"/>
        <v>1.0021551575577461</v>
      </c>
      <c r="B371" s="2">
        <f t="shared" ca="1" si="1"/>
        <v>0.19068698028019537</v>
      </c>
      <c r="C371" s="2">
        <f t="shared" ca="1" si="2"/>
        <v>0.19109794076691</v>
      </c>
      <c r="D371" s="2">
        <f t="shared" ca="1" si="3"/>
        <v>4.6852943332052588E-2</v>
      </c>
      <c r="E371" s="2">
        <f t="shared" ca="1" si="4"/>
        <v>0.95314705666794741</v>
      </c>
      <c r="F371" s="1">
        <v>0</v>
      </c>
      <c r="G371" s="1">
        <f t="shared" ca="1" si="5"/>
        <v>4.6852943332052588E-2</v>
      </c>
      <c r="H371" s="1">
        <f t="shared" ca="1" si="6"/>
        <v>0.95314705666794741</v>
      </c>
    </row>
    <row r="372" spans="1:8">
      <c r="A372" s="2">
        <f t="shared" ca="1" si="0"/>
        <v>0.98053857387556453</v>
      </c>
      <c r="B372" s="2">
        <f t="shared" ca="1" si="1"/>
        <v>0.12662448412770178</v>
      </c>
      <c r="C372" s="2">
        <f t="shared" ca="1" si="2"/>
        <v>0.12416019108430576</v>
      </c>
      <c r="D372" s="2">
        <f t="shared" ca="1" si="3"/>
        <v>0.39915688902996971</v>
      </c>
      <c r="E372" s="2">
        <f t="shared" ca="1" si="4"/>
        <v>0.60084311097003029</v>
      </c>
      <c r="F372" s="1">
        <v>0</v>
      </c>
      <c r="G372" s="1">
        <f t="shared" ca="1" si="5"/>
        <v>0.39915688902996971</v>
      </c>
      <c r="H372" s="1">
        <f t="shared" ca="1" si="6"/>
        <v>0.60084311097003029</v>
      </c>
    </row>
    <row r="373" spans="1:8">
      <c r="A373" s="2">
        <f t="shared" ca="1" si="0"/>
        <v>1.0048768396173868</v>
      </c>
      <c r="B373" s="2">
        <f t="shared" ca="1" si="1"/>
        <v>0.16366933012176671</v>
      </c>
      <c r="C373" s="2">
        <f t="shared" ca="1" si="2"/>
        <v>0.1644675191950557</v>
      </c>
      <c r="D373" s="2">
        <f t="shared" ca="1" si="3"/>
        <v>0.18701305686812786</v>
      </c>
      <c r="E373" s="2">
        <f t="shared" ca="1" si="4"/>
        <v>0.81298694313187214</v>
      </c>
      <c r="F373" s="1">
        <v>0</v>
      </c>
      <c r="G373" s="1">
        <f t="shared" ca="1" si="5"/>
        <v>0.18701305686812786</v>
      </c>
      <c r="H373" s="1">
        <f t="shared" ca="1" si="6"/>
        <v>0.81298694313187214</v>
      </c>
    </row>
    <row r="374" spans="1:8">
      <c r="A374" s="2">
        <f t="shared" ca="1" si="0"/>
        <v>0.42505740925006658</v>
      </c>
      <c r="B374" s="2">
        <f t="shared" ca="1" si="1"/>
        <v>9.0164542982116583E-2</v>
      </c>
      <c r="C374" s="2">
        <f t="shared" ca="1" si="2"/>
        <v>3.8325107046194747E-2</v>
      </c>
      <c r="D374" s="2">
        <f t="shared" ca="1" si="3"/>
        <v>0.85092048923055397</v>
      </c>
      <c r="E374" s="2">
        <f t="shared" ca="1" si="4"/>
        <v>0.14907951076944603</v>
      </c>
      <c r="F374" s="1">
        <v>0</v>
      </c>
      <c r="G374" s="1">
        <f t="shared" ca="1" si="5"/>
        <v>0.85092048923055397</v>
      </c>
      <c r="H374" s="1">
        <f t="shared" ca="1" si="6"/>
        <v>0.14907951076944603</v>
      </c>
    </row>
    <row r="375" spans="1:8">
      <c r="A375" s="2">
        <f t="shared" ca="1" si="0"/>
        <v>1.0013559414561606</v>
      </c>
      <c r="B375" s="2">
        <f t="shared" ca="1" si="1"/>
        <v>0.1943347199298778</v>
      </c>
      <c r="C375" s="2">
        <f t="shared" ca="1" si="2"/>
        <v>0.19459822643300209</v>
      </c>
      <c r="D375" s="2">
        <f t="shared" ca="1" si="3"/>
        <v>2.8430387194725792E-2</v>
      </c>
      <c r="E375" s="2">
        <f t="shared" ca="1" si="4"/>
        <v>0.97156961280527421</v>
      </c>
      <c r="F375" s="1">
        <v>0</v>
      </c>
      <c r="G375" s="1">
        <f t="shared" ca="1" si="5"/>
        <v>2.8430387194725792E-2</v>
      </c>
      <c r="H375" s="1">
        <f t="shared" ca="1" si="6"/>
        <v>0.97156961280527421</v>
      </c>
    </row>
    <row r="376" spans="1:8">
      <c r="A376" s="2">
        <f t="shared" ca="1" si="0"/>
        <v>0.92245395636998528</v>
      </c>
      <c r="B376" s="2">
        <f t="shared" ca="1" si="1"/>
        <v>0.10832530963811363</v>
      </c>
      <c r="C376" s="2">
        <f t="shared" ca="1" si="2"/>
        <v>9.9925110450681615E-2</v>
      </c>
      <c r="D376" s="2">
        <f t="shared" ca="1" si="3"/>
        <v>0.52670994499641255</v>
      </c>
      <c r="E376" s="2">
        <f t="shared" ca="1" si="4"/>
        <v>0.47329005500358745</v>
      </c>
      <c r="F376" s="1">
        <v>0</v>
      </c>
      <c r="G376" s="1">
        <f t="shared" ca="1" si="5"/>
        <v>0.52670994499641255</v>
      </c>
      <c r="H376" s="1">
        <f t="shared" ca="1" si="6"/>
        <v>0.47329005500358745</v>
      </c>
    </row>
    <row r="377" spans="1:8">
      <c r="A377" s="2">
        <f t="shared" ca="1" si="0"/>
        <v>0.71839268355477781</v>
      </c>
      <c r="B377" s="2">
        <f t="shared" ca="1" si="1"/>
        <v>9.1928088366218255E-2</v>
      </c>
      <c r="C377" s="2">
        <f t="shared" ca="1" si="2"/>
        <v>6.6040466095468278E-2</v>
      </c>
      <c r="D377" s="2">
        <f t="shared" ca="1" si="3"/>
        <v>0.70505017844490381</v>
      </c>
      <c r="E377" s="2">
        <f t="shared" ca="1" si="4"/>
        <v>0.29494982155509619</v>
      </c>
      <c r="F377" s="1">
        <v>0</v>
      </c>
      <c r="G377" s="1">
        <f t="shared" ca="1" si="5"/>
        <v>0.70505017844490381</v>
      </c>
      <c r="H377" s="1">
        <f t="shared" ca="1" si="6"/>
        <v>0.29494982155509619</v>
      </c>
    </row>
    <row r="378" spans="1:8">
      <c r="A378" s="2">
        <f t="shared" ca="1" si="0"/>
        <v>0.8999929861297884</v>
      </c>
      <c r="B378" s="2">
        <f t="shared" ca="1" si="1"/>
        <v>0.10467816931596625</v>
      </c>
      <c r="C378" s="2">
        <f t="shared" ca="1" si="2"/>
        <v>9.4209618185276053E-2</v>
      </c>
      <c r="D378" s="2">
        <f t="shared" ca="1" si="3"/>
        <v>0.55679148323538918</v>
      </c>
      <c r="E378" s="2">
        <f t="shared" ca="1" si="4"/>
        <v>0.44320851676461082</v>
      </c>
      <c r="F378" s="1">
        <v>0</v>
      </c>
      <c r="G378" s="1">
        <f t="shared" ca="1" si="5"/>
        <v>0.55679148323538918</v>
      </c>
      <c r="H378" s="1">
        <f t="shared" ca="1" si="6"/>
        <v>0.44320851676461082</v>
      </c>
    </row>
    <row r="379" spans="1:8">
      <c r="A379" s="2">
        <f t="shared" ca="1" si="0"/>
        <v>0.96606282660798459</v>
      </c>
      <c r="B379" s="2">
        <f t="shared" ca="1" si="1"/>
        <v>0.11984193961498875</v>
      </c>
      <c r="C379" s="2">
        <f t="shared" ca="1" si="2"/>
        <v>0.11577484293063943</v>
      </c>
      <c r="D379" s="2">
        <f t="shared" ca="1" si="3"/>
        <v>0.44329030036505568</v>
      </c>
      <c r="E379" s="2">
        <f t="shared" ca="1" si="4"/>
        <v>0.55670969963494432</v>
      </c>
      <c r="F379" s="1">
        <v>0</v>
      </c>
      <c r="G379" s="1">
        <f t="shared" ca="1" si="5"/>
        <v>0.44329030036505568</v>
      </c>
      <c r="H379" s="1">
        <f t="shared" ca="1" si="6"/>
        <v>0.55670969963494432</v>
      </c>
    </row>
    <row r="380" spans="1:8">
      <c r="A380" s="2">
        <f t="shared" ca="1" si="0"/>
        <v>0.99651501582311297</v>
      </c>
      <c r="B380" s="2">
        <f t="shared" ca="1" si="1"/>
        <v>0.13996284072197795</v>
      </c>
      <c r="C380" s="2">
        <f t="shared" ca="1" si="2"/>
        <v>0.1394750724367097</v>
      </c>
      <c r="D380" s="2">
        <f t="shared" ca="1" si="3"/>
        <v>0.31855225033310686</v>
      </c>
      <c r="E380" s="2">
        <f t="shared" ca="1" si="4"/>
        <v>0.68144774966689314</v>
      </c>
      <c r="F380" s="1">
        <v>0</v>
      </c>
      <c r="G380" s="1">
        <f t="shared" ca="1" si="5"/>
        <v>0.31855225033310686</v>
      </c>
      <c r="H380" s="1">
        <f t="shared" ca="1" si="6"/>
        <v>0.68144774966689314</v>
      </c>
    </row>
    <row r="381" spans="1:8">
      <c r="A381" s="2">
        <f t="shared" ca="1" si="0"/>
        <v>0.33773501793149763</v>
      </c>
      <c r="B381" s="2">
        <f t="shared" ca="1" si="1"/>
        <v>9.1663807594637922E-2</v>
      </c>
      <c r="C381" s="2">
        <f t="shared" ca="1" si="2"/>
        <v>3.0958077701644389E-2</v>
      </c>
      <c r="D381" s="2">
        <f t="shared" ca="1" si="3"/>
        <v>0.88969432788608216</v>
      </c>
      <c r="E381" s="2">
        <f t="shared" ca="1" si="4"/>
        <v>0.11030567211391784</v>
      </c>
      <c r="F381" s="1">
        <v>0</v>
      </c>
      <c r="G381" s="1">
        <f t="shared" ca="1" si="5"/>
        <v>0.88969432788608216</v>
      </c>
      <c r="H381" s="1">
        <f t="shared" ca="1" si="6"/>
        <v>0.11030567211391784</v>
      </c>
    </row>
    <row r="382" spans="1:8">
      <c r="A382" s="2">
        <f t="shared" ca="1" si="0"/>
        <v>1.0024535479029963</v>
      </c>
      <c r="B382" s="2">
        <f t="shared" ca="1" si="1"/>
        <v>0.1892392734395657</v>
      </c>
      <c r="C382" s="2">
        <f t="shared" ca="1" si="2"/>
        <v>0.18970358106207788</v>
      </c>
      <c r="D382" s="2">
        <f t="shared" ca="1" si="3"/>
        <v>5.4191678620642891E-2</v>
      </c>
      <c r="E382" s="2">
        <f t="shared" ca="1" si="4"/>
        <v>0.94580832137935711</v>
      </c>
      <c r="F382" s="1">
        <v>0</v>
      </c>
      <c r="G382" s="1">
        <f t="shared" ca="1" si="5"/>
        <v>5.4191678620642891E-2</v>
      </c>
      <c r="H382" s="1">
        <f t="shared" ca="1" si="6"/>
        <v>0.94580832137935711</v>
      </c>
    </row>
    <row r="383" spans="1:8">
      <c r="A383" s="2">
        <f t="shared" ca="1" si="0"/>
        <v>0.94632213455709213</v>
      </c>
      <c r="B383" s="2">
        <f t="shared" ca="1" si="1"/>
        <v>0.11358308266493466</v>
      </c>
      <c r="C383" s="2">
        <f t="shared" ca="1" si="2"/>
        <v>0.10748618523705562</v>
      </c>
      <c r="D383" s="2">
        <f t="shared" ca="1" si="3"/>
        <v>0.48691481454181251</v>
      </c>
      <c r="E383" s="2">
        <f t="shared" ca="1" si="4"/>
        <v>0.51308518545818749</v>
      </c>
      <c r="F383" s="1">
        <v>0</v>
      </c>
      <c r="G383" s="1">
        <f t="shared" ca="1" si="5"/>
        <v>0.48691481454181251</v>
      </c>
      <c r="H383" s="1">
        <f t="shared" ca="1" si="6"/>
        <v>0.51308518545818749</v>
      </c>
    </row>
    <row r="384" spans="1:8">
      <c r="A384" s="2">
        <f t="shared" ca="1" si="0"/>
        <v>0.62388901714725065</v>
      </c>
      <c r="B384" s="2">
        <f t="shared" ca="1" si="1"/>
        <v>8.995176511085827E-2</v>
      </c>
      <c r="C384" s="2">
        <f t="shared" ca="1" si="2"/>
        <v>5.6119918325673722E-2</v>
      </c>
      <c r="D384" s="2">
        <f t="shared" ca="1" si="3"/>
        <v>0.757263587759612</v>
      </c>
      <c r="E384" s="2">
        <f t="shared" ca="1" si="4"/>
        <v>0.242736412240388</v>
      </c>
      <c r="F384" s="1">
        <v>0</v>
      </c>
      <c r="G384" s="1">
        <f t="shared" ca="1" si="5"/>
        <v>0.757263587759612</v>
      </c>
      <c r="H384" s="1">
        <f t="shared" ca="1" si="6"/>
        <v>0.242736412240388</v>
      </c>
    </row>
    <row r="385" spans="1:8">
      <c r="A385" s="2">
        <f t="shared" ca="1" si="0"/>
        <v>1.00175777232717</v>
      </c>
      <c r="B385" s="2">
        <f t="shared" ca="1" si="1"/>
        <v>0.19253751983880465</v>
      </c>
      <c r="C385" s="2">
        <f t="shared" ca="1" si="2"/>
        <v>0.19287595696311924</v>
      </c>
      <c r="D385" s="2">
        <f t="shared" ca="1" si="3"/>
        <v>3.7494963352003974E-2</v>
      </c>
      <c r="E385" s="2">
        <f t="shared" ca="1" si="4"/>
        <v>0.96250503664799603</v>
      </c>
      <c r="F385" s="1">
        <v>0</v>
      </c>
      <c r="G385" s="1">
        <f t="shared" ca="1" si="5"/>
        <v>3.7494963352003974E-2</v>
      </c>
      <c r="H385" s="1">
        <f t="shared" ca="1" si="6"/>
        <v>0.96250503664799603</v>
      </c>
    </row>
    <row r="386" spans="1:8">
      <c r="A386" s="2">
        <f t="shared" ca="1" si="0"/>
        <v>1.0043515504752782</v>
      </c>
      <c r="B386" s="2">
        <f t="shared" ca="1" si="1"/>
        <v>0.15866230796464986</v>
      </c>
      <c r="C386" s="2">
        <f t="shared" ca="1" si="2"/>
        <v>0.15935273500628219</v>
      </c>
      <c r="D386" s="2">
        <f t="shared" ca="1" si="3"/>
        <v>0.21393297365114639</v>
      </c>
      <c r="E386" s="2">
        <f t="shared" ca="1" si="4"/>
        <v>0.78606702634885361</v>
      </c>
      <c r="F386" s="1">
        <v>0</v>
      </c>
      <c r="G386" s="1">
        <f t="shared" ca="1" si="5"/>
        <v>0.21393297365114639</v>
      </c>
      <c r="H386" s="1">
        <f t="shared" ca="1" si="6"/>
        <v>0.78606702634885361</v>
      </c>
    </row>
    <row r="387" spans="1:8">
      <c r="A387" s="2">
        <f t="shared" ca="1" si="0"/>
        <v>0.45429175334387056</v>
      </c>
      <c r="B387" s="2">
        <f t="shared" ca="1" si="1"/>
        <v>8.9841613665279388E-2</v>
      </c>
      <c r="C387" s="2">
        <f t="shared" ca="1" si="2"/>
        <v>4.0814304195242415E-2</v>
      </c>
      <c r="D387" s="2">
        <f t="shared" ca="1" si="3"/>
        <v>0.8378194516039873</v>
      </c>
      <c r="E387" s="2">
        <f t="shared" ca="1" si="4"/>
        <v>0.1621805483960127</v>
      </c>
      <c r="F387" s="1">
        <v>0</v>
      </c>
      <c r="G387" s="1">
        <f t="shared" ca="1" si="5"/>
        <v>0.8378194516039873</v>
      </c>
      <c r="H387" s="1">
        <f t="shared" ca="1" si="6"/>
        <v>0.1621805483960127</v>
      </c>
    </row>
    <row r="388" spans="1:8">
      <c r="A388" s="2">
        <f t="shared" ca="1" si="0"/>
        <v>0.10631544434179188</v>
      </c>
      <c r="B388" s="2">
        <f t="shared" ca="1" si="1"/>
        <v>9.968710563083491E-2</v>
      </c>
      <c r="C388" s="2">
        <f t="shared" ca="1" si="2"/>
        <v>1.0598278930289357E-2</v>
      </c>
      <c r="D388" s="2">
        <f t="shared" ca="1" si="3"/>
        <v>0.99685116352479286</v>
      </c>
      <c r="E388" s="2">
        <f t="shared" ca="1" si="4"/>
        <v>3.1488364752071396E-3</v>
      </c>
      <c r="F388" s="1">
        <v>0</v>
      </c>
      <c r="G388" s="1">
        <f t="shared" ca="1" si="5"/>
        <v>0.99685116352479286</v>
      </c>
      <c r="H388" s="1">
        <f t="shared" ca="1" si="6"/>
        <v>3.1488364752071396E-3</v>
      </c>
    </row>
    <row r="389" spans="1:8">
      <c r="A389" s="2">
        <f t="shared" ca="1" si="0"/>
        <v>0.84277192008289148</v>
      </c>
      <c r="B389" s="2">
        <f t="shared" ca="1" si="1"/>
        <v>9.846260475257132E-2</v>
      </c>
      <c r="C389" s="2">
        <f t="shared" ca="1" si="2"/>
        <v>8.298151846368737E-2</v>
      </c>
      <c r="D389" s="2">
        <f t="shared" ca="1" si="3"/>
        <v>0.61588674492796125</v>
      </c>
      <c r="E389" s="2">
        <f t="shared" ca="1" si="4"/>
        <v>0.38411325507203875</v>
      </c>
      <c r="F389" s="1">
        <v>0</v>
      </c>
      <c r="G389" s="1">
        <f t="shared" ca="1" si="5"/>
        <v>0.61588674492796125</v>
      </c>
      <c r="H389" s="1">
        <f t="shared" ca="1" si="6"/>
        <v>0.38411325507203875</v>
      </c>
    </row>
    <row r="390" spans="1:8">
      <c r="A390" s="2">
        <f t="shared" ca="1" si="0"/>
        <v>0.92298895864787522</v>
      </c>
      <c r="B390" s="2">
        <f t="shared" ca="1" si="1"/>
        <v>0.10842492919710496</v>
      </c>
      <c r="C390" s="2">
        <f t="shared" ca="1" si="2"/>
        <v>0.10007501249110551</v>
      </c>
      <c r="D390" s="2">
        <f t="shared" ca="1" si="3"/>
        <v>0.52592098688891842</v>
      </c>
      <c r="E390" s="2">
        <f t="shared" ca="1" si="4"/>
        <v>0.47407901311108158</v>
      </c>
      <c r="F390" s="1">
        <v>0</v>
      </c>
      <c r="G390" s="1">
        <f t="shared" ca="1" si="5"/>
        <v>0.52592098688891842</v>
      </c>
      <c r="H390" s="1">
        <f t="shared" ca="1" si="6"/>
        <v>0.47407901311108158</v>
      </c>
    </row>
    <row r="391" spans="1:8">
      <c r="A391" s="2">
        <f t="shared" ca="1" si="0"/>
        <v>0.96696202090429673</v>
      </c>
      <c r="B391" s="2">
        <f t="shared" ca="1" si="1"/>
        <v>0.1201925286177366</v>
      </c>
      <c r="C391" s="2">
        <f t="shared" ca="1" si="2"/>
        <v>0.11622161036980411</v>
      </c>
      <c r="D391" s="2">
        <f t="shared" ca="1" si="3"/>
        <v>0.44093889279050469</v>
      </c>
      <c r="E391" s="2">
        <f t="shared" ca="1" si="4"/>
        <v>0.55906110720949531</v>
      </c>
      <c r="F391" s="1">
        <v>0</v>
      </c>
      <c r="G391" s="1">
        <f t="shared" ca="1" si="5"/>
        <v>0.44093889279050469</v>
      </c>
      <c r="H391" s="1">
        <f t="shared" ca="1" si="6"/>
        <v>0.55906110720949531</v>
      </c>
    </row>
    <row r="392" spans="1:8">
      <c r="A392" s="2">
        <f t="shared" ca="1" si="0"/>
        <v>1.0036437349987311</v>
      </c>
      <c r="B392" s="2">
        <f t="shared" ca="1" si="1"/>
        <v>0.18269643358273147</v>
      </c>
      <c r="C392" s="2">
        <f t="shared" ca="1" si="2"/>
        <v>0.1833621309719202</v>
      </c>
      <c r="D392" s="2">
        <f t="shared" ca="1" si="3"/>
        <v>8.7567731726735931E-2</v>
      </c>
      <c r="E392" s="2">
        <f t="shared" ca="1" si="4"/>
        <v>0.91243226827326407</v>
      </c>
      <c r="F392" s="1">
        <v>0</v>
      </c>
      <c r="G392" s="1">
        <f t="shared" ca="1" si="5"/>
        <v>8.7567731726735931E-2</v>
      </c>
      <c r="H392" s="1">
        <f t="shared" ca="1" si="6"/>
        <v>0.91243226827326407</v>
      </c>
    </row>
    <row r="393" spans="1:8">
      <c r="A393" s="2">
        <f t="shared" ca="1" si="0"/>
        <v>1.0005566041512195</v>
      </c>
      <c r="B393" s="2">
        <f t="shared" ca="1" si="1"/>
        <v>0.19773709234852951</v>
      </c>
      <c r="C393" s="2">
        <f t="shared" ca="1" si="2"/>
        <v>0.19784715363498079</v>
      </c>
      <c r="D393" s="2">
        <f t="shared" ca="1" si="3"/>
        <v>1.1330770342206309E-2</v>
      </c>
      <c r="E393" s="2">
        <f t="shared" ca="1" si="4"/>
        <v>0.98866922965779369</v>
      </c>
      <c r="F393" s="1">
        <v>0</v>
      </c>
      <c r="G393" s="1">
        <f t="shared" ca="1" si="5"/>
        <v>1.1330770342206309E-2</v>
      </c>
      <c r="H393" s="1">
        <f t="shared" ca="1" si="6"/>
        <v>0.98866922965779369</v>
      </c>
    </row>
    <row r="394" spans="1:8">
      <c r="A394" s="2">
        <f t="shared" ca="1" si="0"/>
        <v>1.0025129595899522</v>
      </c>
      <c r="B394" s="2">
        <f t="shared" ca="1" si="1"/>
        <v>0.15109219389421941</v>
      </c>
      <c r="C394" s="2">
        <f t="shared" ca="1" si="2"/>
        <v>0.1514718824718328</v>
      </c>
      <c r="D394" s="2">
        <f t="shared" ca="1" si="3"/>
        <v>0.25541114488509054</v>
      </c>
      <c r="E394" s="2">
        <f t="shared" ca="1" si="4"/>
        <v>0.74458885511490946</v>
      </c>
      <c r="F394" s="1">
        <v>0</v>
      </c>
      <c r="G394" s="1">
        <f t="shared" ca="1" si="5"/>
        <v>0.25541114488509054</v>
      </c>
      <c r="H394" s="1">
        <f t="shared" ca="1" si="6"/>
        <v>0.74458885511490946</v>
      </c>
    </row>
    <row r="395" spans="1:8">
      <c r="A395" s="2">
        <f t="shared" ca="1" si="0"/>
        <v>1.0009249575337074</v>
      </c>
      <c r="B395" s="2">
        <f t="shared" ca="1" si="1"/>
        <v>0.14716287404618408</v>
      </c>
      <c r="C395" s="2">
        <f t="shared" ca="1" si="2"/>
        <v>0.14729899345521513</v>
      </c>
      <c r="D395" s="2">
        <f t="shared" ca="1" si="3"/>
        <v>0.27737371865676252</v>
      </c>
      <c r="E395" s="2">
        <f t="shared" ca="1" si="4"/>
        <v>0.72262628134323748</v>
      </c>
      <c r="F395" s="1">
        <v>0</v>
      </c>
      <c r="G395" s="1">
        <f t="shared" ca="1" si="5"/>
        <v>0.27737371865676252</v>
      </c>
      <c r="H395" s="1">
        <f t="shared" ca="1" si="6"/>
        <v>0.72262628134323748</v>
      </c>
    </row>
    <row r="396" spans="1:8">
      <c r="A396" s="2">
        <f t="shared" ca="1" si="0"/>
        <v>0.26116860759690075</v>
      </c>
      <c r="B396" s="2">
        <f t="shared" ca="1" si="1"/>
        <v>9.3636660639939459E-2</v>
      </c>
      <c r="C396" s="2">
        <f t="shared" ca="1" si="2"/>
        <v>2.445495627935651E-2</v>
      </c>
      <c r="D396" s="2">
        <f t="shared" ca="1" si="3"/>
        <v>0.92392128274022889</v>
      </c>
      <c r="E396" s="2">
        <f t="shared" ca="1" si="4"/>
        <v>7.6078717259771111E-2</v>
      </c>
      <c r="F396" s="1">
        <v>0</v>
      </c>
      <c r="G396" s="1">
        <f t="shared" ca="1" si="5"/>
        <v>0.92392128274022889</v>
      </c>
      <c r="H396" s="1">
        <f t="shared" ca="1" si="6"/>
        <v>7.6078717259771111E-2</v>
      </c>
    </row>
    <row r="397" spans="1:8">
      <c r="A397" s="2">
        <f t="shared" ca="1" si="0"/>
        <v>0.2103193118432288</v>
      </c>
      <c r="B397" s="2">
        <f t="shared" ca="1" si="1"/>
        <v>9.5302013753385914E-2</v>
      </c>
      <c r="C397" s="2">
        <f t="shared" ca="1" si="2"/>
        <v>2.0043853949886052E-2</v>
      </c>
      <c r="D397" s="2">
        <f t="shared" ca="1" si="3"/>
        <v>0.94713761079007341</v>
      </c>
      <c r="E397" s="2">
        <f t="shared" ca="1" si="4"/>
        <v>5.2862389209926586E-2</v>
      </c>
      <c r="F397" s="1">
        <v>0</v>
      </c>
      <c r="G397" s="1">
        <f t="shared" ca="1" si="5"/>
        <v>0.94713761079007341</v>
      </c>
      <c r="H397" s="1">
        <f t="shared" ca="1" si="6"/>
        <v>5.2862389209926586E-2</v>
      </c>
    </row>
    <row r="398" spans="1:8">
      <c r="A398" s="2">
        <f t="shared" ca="1" si="0"/>
        <v>1.0037642602307779</v>
      </c>
      <c r="B398" s="2">
        <f t="shared" ca="1" si="1"/>
        <v>0.18192761397593191</v>
      </c>
      <c r="C398" s="2">
        <f t="shared" ca="1" si="2"/>
        <v>0.18261243685810183</v>
      </c>
      <c r="D398" s="2">
        <f t="shared" ca="1" si="3"/>
        <v>9.1513490220516691E-2</v>
      </c>
      <c r="E398" s="2">
        <f t="shared" ca="1" si="4"/>
        <v>0.90848650977948331</v>
      </c>
      <c r="F398" s="1">
        <v>0</v>
      </c>
      <c r="G398" s="1">
        <f t="shared" ca="1" si="5"/>
        <v>9.1513490220516691E-2</v>
      </c>
      <c r="H398" s="1">
        <f t="shared" ca="1" si="6"/>
        <v>0.90848650977948331</v>
      </c>
    </row>
    <row r="399" spans="1:8">
      <c r="A399" s="2">
        <f t="shared" ca="1" si="0"/>
        <v>0.9953819929844302</v>
      </c>
      <c r="B399" s="2">
        <f t="shared" ca="1" si="1"/>
        <v>0.13856203370296727</v>
      </c>
      <c r="C399" s="2">
        <f t="shared" ca="1" si="2"/>
        <v>0.13792215325923535</v>
      </c>
      <c r="D399" s="2">
        <f t="shared" ca="1" si="3"/>
        <v>0.32672550916191923</v>
      </c>
      <c r="E399" s="2">
        <f t="shared" ca="1" si="4"/>
        <v>0.67327449083808077</v>
      </c>
      <c r="F399" s="1">
        <v>0</v>
      </c>
      <c r="G399" s="1">
        <f t="shared" ca="1" si="5"/>
        <v>0.32672550916191923</v>
      </c>
      <c r="H399" s="1">
        <f t="shared" ca="1" si="6"/>
        <v>0.67327449083808077</v>
      </c>
    </row>
    <row r="400" spans="1:8">
      <c r="A400" s="2">
        <f t="shared" ca="1" si="0"/>
        <v>0.57593419485739061</v>
      </c>
      <c r="B400" s="2">
        <f t="shared" ca="1" si="1"/>
        <v>8.9541339144034421E-2</v>
      </c>
      <c r="C400" s="2">
        <f t="shared" ca="1" si="2"/>
        <v>5.1569919066372018E-2</v>
      </c>
      <c r="D400" s="2">
        <f t="shared" ca="1" si="3"/>
        <v>0.78121095228225257</v>
      </c>
      <c r="E400" s="2">
        <f t="shared" ca="1" si="4"/>
        <v>0.21878904771774743</v>
      </c>
      <c r="F400" s="1">
        <v>0</v>
      </c>
      <c r="G400" s="1">
        <f t="shared" ca="1" si="5"/>
        <v>0.78121095228225257</v>
      </c>
      <c r="H400" s="1">
        <f t="shared" ca="1" si="6"/>
        <v>0.21878904771774743</v>
      </c>
    </row>
    <row r="401" spans="1:8">
      <c r="A401" s="2">
        <f t="shared" ca="1" si="0"/>
        <v>1.0049531319427816</v>
      </c>
      <c r="B401" s="2">
        <f t="shared" ca="1" si="1"/>
        <v>0.16972821361167342</v>
      </c>
      <c r="C401" s="2">
        <f t="shared" ca="1" si="2"/>
        <v>0.17056889984810467</v>
      </c>
      <c r="D401" s="2">
        <f t="shared" ca="1" si="3"/>
        <v>0.15490052711523872</v>
      </c>
      <c r="E401" s="2">
        <f t="shared" ca="1" si="4"/>
        <v>0.84509947288476128</v>
      </c>
      <c r="F401" s="1">
        <v>0</v>
      </c>
      <c r="G401" s="1">
        <f t="shared" ca="1" si="5"/>
        <v>0.15490052711523872</v>
      </c>
      <c r="H401" s="1">
        <f t="shared" ca="1" si="6"/>
        <v>0.84509947288476128</v>
      </c>
    </row>
    <row r="402" spans="1:8">
      <c r="A402" s="2">
        <f t="shared" ca="1" si="0"/>
        <v>0.96218289396646728</v>
      </c>
      <c r="B402" s="2">
        <f t="shared" ca="1" si="1"/>
        <v>0.11840838166158082</v>
      </c>
      <c r="C402" s="2">
        <f t="shared" ca="1" si="2"/>
        <v>0.11393051933702582</v>
      </c>
      <c r="D402" s="2">
        <f t="shared" ca="1" si="3"/>
        <v>0.45299726664723261</v>
      </c>
      <c r="E402" s="2">
        <f t="shared" ca="1" si="4"/>
        <v>0.54700273335276739</v>
      </c>
      <c r="F402" s="1">
        <v>0</v>
      </c>
      <c r="G402" s="1">
        <f t="shared" ca="1" si="5"/>
        <v>0.45299726664723261</v>
      </c>
      <c r="H402" s="1">
        <f t="shared" ca="1" si="6"/>
        <v>0.54700273335276739</v>
      </c>
    </row>
    <row r="403" spans="1:8">
      <c r="A403" s="2">
        <f t="shared" ca="1" si="0"/>
        <v>0.46265272730018414</v>
      </c>
      <c r="B403" s="2">
        <f t="shared" ca="1" si="1"/>
        <v>8.9766189767938265E-2</v>
      </c>
      <c r="C403" s="2">
        <f t="shared" ca="1" si="2"/>
        <v>4.1530572515482519E-2</v>
      </c>
      <c r="D403" s="2">
        <f t="shared" ca="1" si="3"/>
        <v>0.8340496183395657</v>
      </c>
      <c r="E403" s="2">
        <f t="shared" ca="1" si="4"/>
        <v>0.1659503816604343</v>
      </c>
      <c r="F403" s="1">
        <v>0</v>
      </c>
      <c r="G403" s="1">
        <f t="shared" ca="1" si="5"/>
        <v>0.8340496183395657</v>
      </c>
      <c r="H403" s="1">
        <f t="shared" ca="1" si="6"/>
        <v>0.1659503816604343</v>
      </c>
    </row>
    <row r="404" spans="1:8">
      <c r="A404" s="2">
        <f t="shared" ca="1" si="0"/>
        <v>0.83290260400717842</v>
      </c>
      <c r="B404" s="2">
        <f t="shared" ca="1" si="1"/>
        <v>9.7678516159019541E-2</v>
      </c>
      <c r="C404" s="2">
        <f t="shared" ca="1" si="2"/>
        <v>8.1356690464404635E-2</v>
      </c>
      <c r="D404" s="2">
        <f t="shared" ca="1" si="3"/>
        <v>0.62443847123997565</v>
      </c>
      <c r="E404" s="2">
        <f t="shared" ca="1" si="4"/>
        <v>0.37556152876002435</v>
      </c>
      <c r="F404" s="1">
        <v>0</v>
      </c>
      <c r="G404" s="1">
        <f t="shared" ca="1" si="5"/>
        <v>0.62443847123997565</v>
      </c>
      <c r="H404" s="1">
        <f t="shared" ca="1" si="6"/>
        <v>0.37556152876002435</v>
      </c>
    </row>
    <row r="405" spans="1:8">
      <c r="A405" s="2">
        <f t="shared" ca="1" si="0"/>
        <v>0.95677449442191331</v>
      </c>
      <c r="B405" s="2">
        <f t="shared" ca="1" si="1"/>
        <v>0.11659716204392948</v>
      </c>
      <c r="C405" s="2">
        <f t="shared" ca="1" si="2"/>
        <v>0.11155719076561052</v>
      </c>
      <c r="D405" s="2">
        <f t="shared" ca="1" si="3"/>
        <v>0.46548846965468149</v>
      </c>
      <c r="E405" s="2">
        <f t="shared" ca="1" si="4"/>
        <v>0.53451153034531851</v>
      </c>
      <c r="F405" s="1">
        <v>0</v>
      </c>
      <c r="G405" s="1">
        <f t="shared" ca="1" si="5"/>
        <v>0.46548846965468149</v>
      </c>
      <c r="H405" s="1">
        <f t="shared" ca="1" si="6"/>
        <v>0.53451153034531851</v>
      </c>
    </row>
    <row r="406" spans="1:8">
      <c r="A406" s="2">
        <f t="shared" ca="1" si="0"/>
        <v>0.95023545581083302</v>
      </c>
      <c r="B406" s="2">
        <f t="shared" ca="1" si="1"/>
        <v>0.11464626049634108</v>
      </c>
      <c r="C406" s="2">
        <f t="shared" ca="1" si="2"/>
        <v>0.10894094159974817</v>
      </c>
      <c r="D406" s="2">
        <f t="shared" ca="1" si="3"/>
        <v>0.47925820210658865</v>
      </c>
      <c r="E406" s="2">
        <f t="shared" ca="1" si="4"/>
        <v>0.52074179789341135</v>
      </c>
      <c r="F406" s="1">
        <v>0</v>
      </c>
      <c r="G406" s="1">
        <f t="shared" ca="1" si="5"/>
        <v>0.47925820210658865</v>
      </c>
      <c r="H406" s="1">
        <f t="shared" ca="1" si="6"/>
        <v>0.52074179789341135</v>
      </c>
    </row>
    <row r="407" spans="1:8">
      <c r="A407" s="2">
        <f t="shared" ca="1" si="0"/>
        <v>0.9455505976677131</v>
      </c>
      <c r="B407" s="2">
        <f t="shared" ca="1" si="1"/>
        <v>0.11338164611658932</v>
      </c>
      <c r="C407" s="2">
        <f t="shared" ca="1" si="2"/>
        <v>0.10720808325009018</v>
      </c>
      <c r="D407" s="2">
        <f t="shared" ca="1" si="3"/>
        <v>0.48837850921005166</v>
      </c>
      <c r="E407" s="2">
        <f t="shared" ca="1" si="4"/>
        <v>0.51162149078994834</v>
      </c>
      <c r="F407" s="1">
        <v>0</v>
      </c>
      <c r="G407" s="1">
        <f t="shared" ca="1" si="5"/>
        <v>0.48837850921005166</v>
      </c>
      <c r="H407" s="1">
        <f t="shared" ca="1" si="6"/>
        <v>0.51162149078994834</v>
      </c>
    </row>
    <row r="408" spans="1:8">
      <c r="A408" s="2">
        <f t="shared" ca="1" si="0"/>
        <v>0.94379522732703258</v>
      </c>
      <c r="B408" s="2">
        <f t="shared" ca="1" si="1"/>
        <v>0.11293275051312254</v>
      </c>
      <c r="C408" s="2">
        <f t="shared" ca="1" si="2"/>
        <v>0.10658539094319955</v>
      </c>
      <c r="D408" s="2">
        <f t="shared" ca="1" si="3"/>
        <v>0.49165583714105499</v>
      </c>
      <c r="E408" s="2">
        <f t="shared" ca="1" si="4"/>
        <v>0.50834416285894501</v>
      </c>
      <c r="F408" s="1">
        <v>0</v>
      </c>
      <c r="G408" s="1">
        <f t="shared" ca="1" si="5"/>
        <v>0.49165583714105499</v>
      </c>
      <c r="H408" s="1">
        <f t="shared" ca="1" si="6"/>
        <v>0.50834416285894501</v>
      </c>
    </row>
    <row r="409" spans="1:8">
      <c r="A409" s="2">
        <f t="shared" ca="1" si="0"/>
        <v>0.98949842640443275</v>
      </c>
      <c r="B409" s="2">
        <f t="shared" ca="1" si="1"/>
        <v>0.13277689162875111</v>
      </c>
      <c r="C409" s="2">
        <f t="shared" ca="1" si="2"/>
        <v>0.13138252532952113</v>
      </c>
      <c r="D409" s="2">
        <f t="shared" ca="1" si="3"/>
        <v>0.36114460352883626</v>
      </c>
      <c r="E409" s="2">
        <f t="shared" ca="1" si="4"/>
        <v>0.63885539647116374</v>
      </c>
      <c r="F409" s="1">
        <v>0</v>
      </c>
      <c r="G409" s="1">
        <f t="shared" ca="1" si="5"/>
        <v>0.36114460352883626</v>
      </c>
      <c r="H409" s="1">
        <f t="shared" ca="1" si="6"/>
        <v>0.63885539647116374</v>
      </c>
    </row>
    <row r="410" spans="1:8">
      <c r="A410" s="2">
        <f t="shared" ca="1" si="0"/>
        <v>0.78356548021446459</v>
      </c>
      <c r="B410" s="2">
        <f t="shared" ca="1" si="1"/>
        <v>9.4571120817674062E-2</v>
      </c>
      <c r="C410" s="2">
        <f t="shared" ca="1" si="2"/>
        <v>7.4102665697920928E-2</v>
      </c>
      <c r="D410" s="2">
        <f t="shared" ca="1" si="3"/>
        <v>0.66261754895831093</v>
      </c>
      <c r="E410" s="2">
        <f t="shared" ca="1" si="4"/>
        <v>0.33738245104168907</v>
      </c>
      <c r="F410" s="1">
        <v>0</v>
      </c>
      <c r="G410" s="1">
        <f t="shared" ca="1" si="5"/>
        <v>0.66261754895831093</v>
      </c>
      <c r="H410" s="1">
        <f t="shared" ca="1" si="6"/>
        <v>0.33738245104168907</v>
      </c>
    </row>
    <row r="411" spans="1:8">
      <c r="A411" s="2">
        <f t="shared" ca="1" si="0"/>
        <v>0.70276155025487852</v>
      </c>
      <c r="B411" s="2">
        <f t="shared" ca="1" si="1"/>
        <v>9.1472647422934414E-2</v>
      </c>
      <c r="C411" s="2">
        <f t="shared" ca="1" si="2"/>
        <v>6.4283459508859303E-2</v>
      </c>
      <c r="D411" s="2">
        <f t="shared" ca="1" si="3"/>
        <v>0.71429758153231948</v>
      </c>
      <c r="E411" s="2">
        <f t="shared" ca="1" si="4"/>
        <v>0.28570241846768052</v>
      </c>
      <c r="F411" s="1">
        <v>0</v>
      </c>
      <c r="G411" s="1">
        <f t="shared" ca="1" si="5"/>
        <v>0.71429758153231948</v>
      </c>
      <c r="H411" s="1">
        <f t="shared" ca="1" si="6"/>
        <v>0.28570241846768052</v>
      </c>
    </row>
    <row r="412" spans="1:8">
      <c r="A412" s="2">
        <f t="shared" ca="1" si="0"/>
        <v>0.54704212257717977</v>
      </c>
      <c r="B412" s="2">
        <f t="shared" ca="1" si="1"/>
        <v>8.9449453202819496E-2</v>
      </c>
      <c r="C412" s="2">
        <f t="shared" ca="1" si="2"/>
        <v>4.8932618743438488E-2</v>
      </c>
      <c r="D412" s="2">
        <f t="shared" ca="1" si="3"/>
        <v>0.79509148029769217</v>
      </c>
      <c r="E412" s="2">
        <f t="shared" ca="1" si="4"/>
        <v>0.20490851970230783</v>
      </c>
      <c r="F412" s="1">
        <v>0</v>
      </c>
      <c r="G412" s="1">
        <f t="shared" ca="1" si="5"/>
        <v>0.79509148029769217</v>
      </c>
      <c r="H412" s="1">
        <f t="shared" ca="1" si="6"/>
        <v>0.20490851970230783</v>
      </c>
    </row>
    <row r="413" spans="1:8">
      <c r="A413" s="2">
        <f t="shared" ca="1" si="0"/>
        <v>0.52810434954073227</v>
      </c>
      <c r="B413" s="2">
        <f t="shared" ca="1" si="1"/>
        <v>8.9447220989037041E-2</v>
      </c>
      <c r="C413" s="2">
        <f t="shared" ca="1" si="2"/>
        <v>4.723746645864154E-2</v>
      </c>
      <c r="D413" s="2">
        <f t="shared" ca="1" si="3"/>
        <v>0.80401333442820244</v>
      </c>
      <c r="E413" s="2">
        <f t="shared" ca="1" si="4"/>
        <v>0.19598666557179756</v>
      </c>
      <c r="F413" s="1">
        <v>0</v>
      </c>
      <c r="G413" s="1">
        <f t="shared" ca="1" si="5"/>
        <v>0.80401333442820244</v>
      </c>
      <c r="H413" s="1">
        <f t="shared" ca="1" si="6"/>
        <v>0.19598666557179756</v>
      </c>
    </row>
    <row r="414" spans="1:8">
      <c r="A414" s="2">
        <f t="shared" ca="1" si="0"/>
        <v>1.0048404128539574</v>
      </c>
      <c r="B414" s="2">
        <f t="shared" ca="1" si="1"/>
        <v>0.1721883786220606</v>
      </c>
      <c r="C414" s="2">
        <f t="shared" ca="1" si="2"/>
        <v>0.1730218414632449</v>
      </c>
      <c r="D414" s="2">
        <f t="shared" ca="1" si="3"/>
        <v>0.1419903080881848</v>
      </c>
      <c r="E414" s="2">
        <f t="shared" ca="1" si="4"/>
        <v>0.8580096919118152</v>
      </c>
      <c r="F414" s="1">
        <v>0</v>
      </c>
      <c r="G414" s="1">
        <f t="shared" ca="1" si="5"/>
        <v>0.1419903080881848</v>
      </c>
      <c r="H414" s="1">
        <f t="shared" ca="1" si="6"/>
        <v>0.8580096919118152</v>
      </c>
    </row>
    <row r="415" spans="1:8">
      <c r="A415" s="2">
        <f t="shared" ca="1" si="0"/>
        <v>1.0028290847812578</v>
      </c>
      <c r="B415" s="2">
        <f t="shared" ca="1" si="1"/>
        <v>0.15205400874466679</v>
      </c>
      <c r="C415" s="2">
        <f t="shared" ca="1" si="2"/>
        <v>0.15248418242673556</v>
      </c>
      <c r="D415" s="2">
        <f t="shared" ca="1" si="3"/>
        <v>0.25008325038560242</v>
      </c>
      <c r="E415" s="2">
        <f t="shared" ca="1" si="4"/>
        <v>0.74991674961439758</v>
      </c>
      <c r="F415" s="1">
        <v>0</v>
      </c>
      <c r="G415" s="1">
        <f t="shared" ca="1" si="5"/>
        <v>0.25008325038560242</v>
      </c>
      <c r="H415" s="1">
        <f t="shared" ca="1" si="6"/>
        <v>0.74991674961439758</v>
      </c>
    </row>
    <row r="416" spans="1:8">
      <c r="A416" s="2">
        <f t="shared" ca="1" si="0"/>
        <v>0.37867599773143434</v>
      </c>
      <c r="B416" s="2">
        <f t="shared" ca="1" si="1"/>
        <v>9.0862004406795635E-2</v>
      </c>
      <c r="C416" s="2">
        <f t="shared" ca="1" si="2"/>
        <v>3.4407260174621319E-2</v>
      </c>
      <c r="D416" s="2">
        <f t="shared" ca="1" si="3"/>
        <v>0.87154073592304571</v>
      </c>
      <c r="E416" s="2">
        <f t="shared" ca="1" si="4"/>
        <v>0.12845926407695429</v>
      </c>
      <c r="F416" s="1">
        <v>0</v>
      </c>
      <c r="G416" s="1">
        <f t="shared" ca="1" si="5"/>
        <v>0.87154073592304571</v>
      </c>
      <c r="H416" s="1">
        <f t="shared" ca="1" si="6"/>
        <v>0.12845926407695429</v>
      </c>
    </row>
    <row r="417" spans="1:8">
      <c r="A417" s="2">
        <f t="shared" ca="1" si="0"/>
        <v>0.99774222542208491</v>
      </c>
      <c r="B417" s="2">
        <f t="shared" ca="1" si="1"/>
        <v>0.14163874823921568</v>
      </c>
      <c r="C417" s="2">
        <f t="shared" ca="1" si="2"/>
        <v>0.14131895987419346</v>
      </c>
      <c r="D417" s="2">
        <f t="shared" ca="1" si="3"/>
        <v>0.30884757960950815</v>
      </c>
      <c r="E417" s="2">
        <f t="shared" ca="1" si="4"/>
        <v>0.69115242039049185</v>
      </c>
      <c r="F417" s="1">
        <v>0</v>
      </c>
      <c r="G417" s="1">
        <f t="shared" ca="1" si="5"/>
        <v>0.30884757960950815</v>
      </c>
      <c r="H417" s="1">
        <f t="shared" ca="1" si="6"/>
        <v>0.69115242039049185</v>
      </c>
    </row>
    <row r="418" spans="1:8">
      <c r="A418" s="2">
        <f t="shared" ca="1" si="0"/>
        <v>1.000101751374006</v>
      </c>
      <c r="B418" s="2">
        <f t="shared" ca="1" si="1"/>
        <v>0.1455143974123696</v>
      </c>
      <c r="C418" s="2">
        <f t="shared" ca="1" si="2"/>
        <v>0.14552920370224395</v>
      </c>
      <c r="D418" s="2">
        <f t="shared" ca="1" si="3"/>
        <v>0.28668840156713704</v>
      </c>
      <c r="E418" s="2">
        <f t="shared" ca="1" si="4"/>
        <v>0.71331159843286296</v>
      </c>
      <c r="F418" s="1">
        <v>0</v>
      </c>
      <c r="G418" s="1">
        <f t="shared" ca="1" si="5"/>
        <v>0.28668840156713704</v>
      </c>
      <c r="H418" s="1">
        <f t="shared" ca="1" si="6"/>
        <v>0.71331159843286296</v>
      </c>
    </row>
    <row r="419" spans="1:8">
      <c r="A419" s="2">
        <f t="shared" ca="1" si="0"/>
        <v>1.001706582772901</v>
      </c>
      <c r="B419" s="2">
        <f t="shared" ca="1" si="1"/>
        <v>0.19277029419570102</v>
      </c>
      <c r="C419" s="2">
        <f t="shared" ca="1" si="2"/>
        <v>0.19309927265890248</v>
      </c>
      <c r="D419" s="2">
        <f t="shared" ca="1" si="3"/>
        <v>3.6319617584723796E-2</v>
      </c>
      <c r="E419" s="2">
        <f t="shared" ca="1" si="4"/>
        <v>0.9636803824152762</v>
      </c>
      <c r="F419" s="1">
        <v>0</v>
      </c>
      <c r="G419" s="1">
        <f t="shared" ca="1" si="5"/>
        <v>3.6319617584723796E-2</v>
      </c>
      <c r="H419" s="1">
        <f t="shared" ca="1" si="6"/>
        <v>0.9636803824152762</v>
      </c>
    </row>
    <row r="420" spans="1:8">
      <c r="A420" s="2">
        <f t="shared" ca="1" si="0"/>
        <v>0.96969056618659355</v>
      </c>
      <c r="B420" s="2">
        <f t="shared" ca="1" si="1"/>
        <v>0.12130355826365408</v>
      </c>
      <c r="C420" s="2">
        <f t="shared" ca="1" si="2"/>
        <v>0.11762691609313115</v>
      </c>
      <c r="D420" s="2">
        <f t="shared" ca="1" si="3"/>
        <v>0.43354254687825711</v>
      </c>
      <c r="E420" s="2">
        <f t="shared" ca="1" si="4"/>
        <v>0.56645745312174289</v>
      </c>
      <c r="F420" s="1">
        <v>0</v>
      </c>
      <c r="G420" s="1">
        <f t="shared" ca="1" si="5"/>
        <v>0.43354254687825711</v>
      </c>
      <c r="H420" s="1">
        <f t="shared" ca="1" si="6"/>
        <v>0.56645745312174289</v>
      </c>
    </row>
    <row r="421" spans="1:8">
      <c r="A421" s="2">
        <f t="shared" ca="1" si="0"/>
        <v>1.0049606362706192</v>
      </c>
      <c r="B421" s="2">
        <f t="shared" ca="1" si="1"/>
        <v>0.16558323027146418</v>
      </c>
      <c r="C421" s="2">
        <f t="shared" ca="1" si="2"/>
        <v>0.16640462844935511</v>
      </c>
      <c r="D421" s="2">
        <f t="shared" ca="1" si="3"/>
        <v>0.1768177450033942</v>
      </c>
      <c r="E421" s="2">
        <f t="shared" ca="1" si="4"/>
        <v>0.8231822549966058</v>
      </c>
      <c r="F421" s="1">
        <v>0</v>
      </c>
      <c r="G421" s="1">
        <f t="shared" ca="1" si="5"/>
        <v>0.1768177450033942</v>
      </c>
      <c r="H421" s="1">
        <f t="shared" ca="1" si="6"/>
        <v>0.8231822549966058</v>
      </c>
    </row>
    <row r="422" spans="1:8">
      <c r="A422" s="2">
        <f t="shared" ca="1" si="0"/>
        <v>0.41096077154611221</v>
      </c>
      <c r="B422" s="2">
        <f t="shared" ca="1" si="1"/>
        <v>9.0352695885770995E-2</v>
      </c>
      <c r="C422" s="2">
        <f t="shared" ca="1" si="2"/>
        <v>3.7131413612487688E-2</v>
      </c>
      <c r="D422" s="2">
        <f t="shared" ca="1" si="3"/>
        <v>0.85720308625006481</v>
      </c>
      <c r="E422" s="2">
        <f t="shared" ca="1" si="4"/>
        <v>0.14279691374993519</v>
      </c>
      <c r="F422" s="1">
        <v>0</v>
      </c>
      <c r="G422" s="1">
        <f t="shared" ca="1" si="5"/>
        <v>0.85720308625006481</v>
      </c>
      <c r="H422" s="1">
        <f t="shared" ca="1" si="6"/>
        <v>0.14279691374993519</v>
      </c>
    </row>
    <row r="423" spans="1:8">
      <c r="A423" s="2">
        <f t="shared" ca="1" si="0"/>
        <v>0.91601877445227564</v>
      </c>
      <c r="B423" s="2">
        <f t="shared" ca="1" si="1"/>
        <v>0.10717854220231252</v>
      </c>
      <c r="C423" s="2">
        <f t="shared" ca="1" si="2"/>
        <v>9.817755687574381E-2</v>
      </c>
      <c r="D423" s="2">
        <f t="shared" ca="1" si="3"/>
        <v>0.53590759539082211</v>
      </c>
      <c r="E423" s="2">
        <f t="shared" ca="1" si="4"/>
        <v>0.46409240460917789</v>
      </c>
      <c r="F423" s="1">
        <v>0</v>
      </c>
      <c r="G423" s="1">
        <f t="shared" ca="1" si="5"/>
        <v>0.53590759539082211</v>
      </c>
      <c r="H423" s="1">
        <f t="shared" ca="1" si="6"/>
        <v>0.46409240460917789</v>
      </c>
    </row>
    <row r="424" spans="1:8">
      <c r="A424" s="2">
        <f t="shared" ca="1" si="0"/>
        <v>0.27638814223892416</v>
      </c>
      <c r="B424" s="2">
        <f t="shared" ca="1" si="1"/>
        <v>9.319441774321488E-2</v>
      </c>
      <c r="C424" s="2">
        <f t="shared" ca="1" si="2"/>
        <v>2.5757831987085391E-2</v>
      </c>
      <c r="D424" s="2">
        <f t="shared" ca="1" si="3"/>
        <v>0.91706404217323478</v>
      </c>
      <c r="E424" s="2">
        <f t="shared" ca="1" si="4"/>
        <v>8.2935957826765216E-2</v>
      </c>
      <c r="F424" s="1">
        <v>0</v>
      </c>
      <c r="G424" s="1">
        <f t="shared" ca="1" si="5"/>
        <v>0.91706404217323478</v>
      </c>
      <c r="H424" s="1">
        <f t="shared" ca="1" si="6"/>
        <v>8.2935957826765216E-2</v>
      </c>
    </row>
    <row r="425" spans="1:8">
      <c r="A425" s="2">
        <f t="shared" ca="1" si="0"/>
        <v>1.004572906402851</v>
      </c>
      <c r="B425" s="2">
        <f t="shared" ca="1" si="1"/>
        <v>0.16027499160773806</v>
      </c>
      <c r="C425" s="2">
        <f t="shared" ca="1" si="2"/>
        <v>0.161007914143078</v>
      </c>
      <c r="D425" s="2">
        <f t="shared" ca="1" si="3"/>
        <v>0.20522150451011589</v>
      </c>
      <c r="E425" s="2">
        <f t="shared" ca="1" si="4"/>
        <v>0.79477849548988411</v>
      </c>
      <c r="F425" s="1">
        <v>0</v>
      </c>
      <c r="G425" s="1">
        <f t="shared" ca="1" si="5"/>
        <v>0.20522150451011589</v>
      </c>
      <c r="H425" s="1">
        <f t="shared" ca="1" si="6"/>
        <v>0.79477849548988411</v>
      </c>
    </row>
    <row r="426" spans="1:8">
      <c r="A426" s="2">
        <f t="shared" ca="1" si="0"/>
        <v>0.86813130826969098</v>
      </c>
      <c r="B426" s="2">
        <f t="shared" ca="1" si="1"/>
        <v>0.10081132044253921</v>
      </c>
      <c r="C426" s="2">
        <f t="shared" ca="1" si="2"/>
        <v>8.7517463504176607E-2</v>
      </c>
      <c r="D426" s="2">
        <f t="shared" ca="1" si="3"/>
        <v>0.59201334997801791</v>
      </c>
      <c r="E426" s="2">
        <f t="shared" ca="1" si="4"/>
        <v>0.40798665002198209</v>
      </c>
      <c r="F426" s="1">
        <v>0</v>
      </c>
      <c r="G426" s="1">
        <f t="shared" ca="1" si="5"/>
        <v>0.59201334997801791</v>
      </c>
      <c r="H426" s="1">
        <f t="shared" ca="1" si="6"/>
        <v>0.40798665002198209</v>
      </c>
    </row>
    <row r="427" spans="1:8">
      <c r="A427" s="2">
        <f t="shared" ca="1" si="0"/>
        <v>0.79937914856892534</v>
      </c>
      <c r="B427" s="2">
        <f t="shared" ca="1" si="1"/>
        <v>9.5439249245199101E-2</v>
      </c>
      <c r="C427" s="2">
        <f t="shared" ca="1" si="2"/>
        <v>7.629214580168471E-2</v>
      </c>
      <c r="D427" s="2">
        <f t="shared" ca="1" si="3"/>
        <v>0.65109396946481735</v>
      </c>
      <c r="E427" s="2">
        <f t="shared" ca="1" si="4"/>
        <v>0.34890603053518265</v>
      </c>
      <c r="F427" s="1">
        <v>0</v>
      </c>
      <c r="G427" s="1">
        <f t="shared" ca="1" si="5"/>
        <v>0.65109396946481735</v>
      </c>
      <c r="H427" s="1">
        <f t="shared" ca="1" si="6"/>
        <v>0.34890603053518265</v>
      </c>
    </row>
    <row r="428" spans="1:8">
      <c r="A428" s="2">
        <f t="shared" ca="1" si="0"/>
        <v>0.41405615622680569</v>
      </c>
      <c r="B428" s="2">
        <f t="shared" ca="1" si="1"/>
        <v>9.0309588594174192E-2</v>
      </c>
      <c r="C428" s="2">
        <f t="shared" ca="1" si="2"/>
        <v>3.7393241123727938E-2</v>
      </c>
      <c r="D428" s="2">
        <f t="shared" ca="1" si="3"/>
        <v>0.85582504671722137</v>
      </c>
      <c r="E428" s="2">
        <f t="shared" ca="1" si="4"/>
        <v>0.14417495328277863</v>
      </c>
      <c r="F428" s="1">
        <v>0</v>
      </c>
      <c r="G428" s="1">
        <f t="shared" ca="1" si="5"/>
        <v>0.85582504671722137</v>
      </c>
      <c r="H428" s="1">
        <f t="shared" ca="1" si="6"/>
        <v>0.14417495328277863</v>
      </c>
    </row>
    <row r="429" spans="1:8">
      <c r="A429" s="2">
        <f t="shared" ca="1" si="0"/>
        <v>0.85320536179114492</v>
      </c>
      <c r="B429" s="2">
        <f t="shared" ca="1" si="1"/>
        <v>9.9365983358906049E-2</v>
      </c>
      <c r="C429" s="2">
        <f t="shared" ca="1" si="2"/>
        <v>8.4779589781468323E-2</v>
      </c>
      <c r="D429" s="2">
        <f t="shared" ca="1" si="3"/>
        <v>0.6064232116764825</v>
      </c>
      <c r="E429" s="2">
        <f t="shared" ca="1" si="4"/>
        <v>0.3935767883235175</v>
      </c>
      <c r="F429" s="1">
        <v>0</v>
      </c>
      <c r="G429" s="1">
        <f t="shared" ca="1" si="5"/>
        <v>0.6064232116764825</v>
      </c>
      <c r="H429" s="1">
        <f t="shared" ca="1" si="6"/>
        <v>0.3935767883235175</v>
      </c>
    </row>
    <row r="430" spans="1:8">
      <c r="A430" s="2">
        <f t="shared" ca="1" si="0"/>
        <v>1.0049730763399867</v>
      </c>
      <c r="B430" s="2">
        <f t="shared" ca="1" si="1"/>
        <v>0.16608838332357137</v>
      </c>
      <c r="C430" s="2">
        <f t="shared" ca="1" si="2"/>
        <v>0.16691435353302447</v>
      </c>
      <c r="D430" s="2">
        <f t="shared" ca="1" si="3"/>
        <v>0.17413498140513428</v>
      </c>
      <c r="E430" s="2">
        <f t="shared" ca="1" si="4"/>
        <v>0.82586501859486572</v>
      </c>
      <c r="F430" s="1">
        <v>0</v>
      </c>
      <c r="G430" s="1">
        <f t="shared" ca="1" si="5"/>
        <v>0.17413498140513428</v>
      </c>
      <c r="H430" s="1">
        <f t="shared" ca="1" si="6"/>
        <v>0.82586501859486572</v>
      </c>
    </row>
    <row r="431" spans="1:8">
      <c r="A431" s="2">
        <f t="shared" ca="1" si="0"/>
        <v>0.99242044699093002</v>
      </c>
      <c r="B431" s="2">
        <f t="shared" ca="1" si="1"/>
        <v>0.13539499430784074</v>
      </c>
      <c r="C431" s="2">
        <f t="shared" ca="1" si="2"/>
        <v>0.13436876077132173</v>
      </c>
      <c r="D431" s="2">
        <f t="shared" ca="1" si="3"/>
        <v>0.34542757488778031</v>
      </c>
      <c r="E431" s="2">
        <f t="shared" ca="1" si="4"/>
        <v>0.65457242511221969</v>
      </c>
      <c r="F431" s="1">
        <v>0</v>
      </c>
      <c r="G431" s="1">
        <f t="shared" ca="1" si="5"/>
        <v>0.34542757488778031</v>
      </c>
      <c r="H431" s="1">
        <f t="shared" ca="1" si="6"/>
        <v>0.65457242511221969</v>
      </c>
    </row>
    <row r="432" spans="1:8">
      <c r="A432" s="2">
        <f t="shared" ca="1" si="0"/>
        <v>0.99029158351876123</v>
      </c>
      <c r="B432" s="2">
        <f t="shared" ca="1" si="1"/>
        <v>0.13344759577881327</v>
      </c>
      <c r="C432" s="2">
        <f t="shared" ca="1" si="2"/>
        <v>0.13215203094057254</v>
      </c>
      <c r="D432" s="2">
        <f t="shared" ca="1" si="3"/>
        <v>0.35709457399698663</v>
      </c>
      <c r="E432" s="2">
        <f t="shared" ca="1" si="4"/>
        <v>0.64290542600301337</v>
      </c>
      <c r="F432" s="1">
        <v>0</v>
      </c>
      <c r="G432" s="1">
        <f t="shared" ca="1" si="5"/>
        <v>0.35709457399698663</v>
      </c>
      <c r="H432" s="1">
        <f t="shared" ca="1" si="6"/>
        <v>0.64290542600301337</v>
      </c>
    </row>
    <row r="433" spans="1:8">
      <c r="A433" s="2">
        <f t="shared" ca="1" si="0"/>
        <v>0.72626563097227226</v>
      </c>
      <c r="B433" s="2">
        <f t="shared" ca="1" si="1"/>
        <v>9.2180483597448112E-2</v>
      </c>
      <c r="C433" s="2">
        <f t="shared" ca="1" si="2"/>
        <v>6.6947517083229852E-2</v>
      </c>
      <c r="D433" s="2">
        <f t="shared" ca="1" si="3"/>
        <v>0.70027622587773763</v>
      </c>
      <c r="E433" s="2">
        <f t="shared" ca="1" si="4"/>
        <v>0.29972377412226237</v>
      </c>
      <c r="F433" s="1">
        <v>0</v>
      </c>
      <c r="G433" s="1">
        <f t="shared" ca="1" si="5"/>
        <v>0.70027622587773763</v>
      </c>
      <c r="H433" s="1">
        <f t="shared" ca="1" si="6"/>
        <v>0.29972377412226237</v>
      </c>
    </row>
    <row r="434" spans="1:8">
      <c r="A434" s="2">
        <f t="shared" ca="1" si="0"/>
        <v>0.68103205802148048</v>
      </c>
      <c r="B434" s="2">
        <f t="shared" ca="1" si="1"/>
        <v>9.0932252573622627E-2</v>
      </c>
      <c r="C434" s="2">
        <f t="shared" ca="1" si="2"/>
        <v>6.1927779110743285E-2</v>
      </c>
      <c r="D434" s="2">
        <f t="shared" ca="1" si="3"/>
        <v>0.72669589941714063</v>
      </c>
      <c r="E434" s="2">
        <f t="shared" ca="1" si="4"/>
        <v>0.27330410058285937</v>
      </c>
      <c r="F434" s="1">
        <v>0</v>
      </c>
      <c r="G434" s="1">
        <f t="shared" ca="1" si="5"/>
        <v>0.72669589941714063</v>
      </c>
      <c r="H434" s="1">
        <f t="shared" ca="1" si="6"/>
        <v>0.27330410058285937</v>
      </c>
    </row>
    <row r="435" spans="1:8">
      <c r="A435" s="2">
        <f t="shared" ca="1" si="0"/>
        <v>0.87415686482878241</v>
      </c>
      <c r="B435" s="2">
        <f t="shared" ca="1" si="1"/>
        <v>0.10145299723057122</v>
      </c>
      <c r="C435" s="2">
        <f t="shared" ca="1" si="2"/>
        <v>8.8685833986559284E-2</v>
      </c>
      <c r="D435" s="2">
        <f t="shared" ca="1" si="3"/>
        <v>0.58586403164968803</v>
      </c>
      <c r="E435" s="2">
        <f t="shared" ca="1" si="4"/>
        <v>0.41413596835031197</v>
      </c>
      <c r="F435" s="1">
        <v>0</v>
      </c>
      <c r="G435" s="1">
        <f t="shared" ca="1" si="5"/>
        <v>0.58586403164968803</v>
      </c>
      <c r="H435" s="1">
        <f t="shared" ca="1" si="6"/>
        <v>0.41413596835031197</v>
      </c>
    </row>
    <row r="436" spans="1:8">
      <c r="A436" s="2">
        <f t="shared" ca="1" si="0"/>
        <v>0.77307070210014872</v>
      </c>
      <c r="B436" s="2">
        <f t="shared" ca="1" si="1"/>
        <v>9.4050717622371605E-2</v>
      </c>
      <c r="C436" s="2">
        <f t="shared" ca="1" si="2"/>
        <v>7.2707854305349651E-2</v>
      </c>
      <c r="D436" s="2">
        <f t="shared" ca="1" si="3"/>
        <v>0.66995866155079131</v>
      </c>
      <c r="E436" s="2">
        <f t="shared" ca="1" si="4"/>
        <v>0.33004133844920869</v>
      </c>
      <c r="F436" s="1">
        <v>0</v>
      </c>
      <c r="G436" s="1">
        <f t="shared" ca="1" si="5"/>
        <v>0.66995866155079131</v>
      </c>
      <c r="H436" s="1">
        <f t="shared" ca="1" si="6"/>
        <v>0.33004133844920869</v>
      </c>
    </row>
    <row r="437" spans="1:8">
      <c r="A437" s="2">
        <f t="shared" ca="1" si="0"/>
        <v>1.0031553630921559</v>
      </c>
      <c r="B437" s="2">
        <f t="shared" ca="1" si="1"/>
        <v>0.15314220661503106</v>
      </c>
      <c r="C437" s="2">
        <f t="shared" ca="1" si="2"/>
        <v>0.15362542588163544</v>
      </c>
      <c r="D437" s="2">
        <f t="shared" ca="1" si="3"/>
        <v>0.24407670588612929</v>
      </c>
      <c r="E437" s="2">
        <f t="shared" ca="1" si="4"/>
        <v>0.75592329411387071</v>
      </c>
      <c r="F437" s="1">
        <v>0</v>
      </c>
      <c r="G437" s="1">
        <f t="shared" ca="1" si="5"/>
        <v>0.24407670588612929</v>
      </c>
      <c r="H437" s="1">
        <f t="shared" ca="1" si="6"/>
        <v>0.75592329411387071</v>
      </c>
    </row>
    <row r="438" spans="1:8">
      <c r="A438" s="2">
        <f t="shared" ca="1" si="0"/>
        <v>1.0025373837391311</v>
      </c>
      <c r="B438" s="2">
        <f t="shared" ca="1" si="1"/>
        <v>0.18882209814584378</v>
      </c>
      <c r="C438" s="2">
        <f t="shared" ca="1" si="2"/>
        <v>0.18930121226726765</v>
      </c>
      <c r="D438" s="2">
        <f t="shared" ca="1" si="3"/>
        <v>5.6309409119643883E-2</v>
      </c>
      <c r="E438" s="2">
        <f t="shared" ca="1" si="4"/>
        <v>0.94369059088035612</v>
      </c>
      <c r="F438" s="1">
        <v>0</v>
      </c>
      <c r="G438" s="1">
        <f t="shared" ca="1" si="5"/>
        <v>5.6309409119643883E-2</v>
      </c>
      <c r="H438" s="1">
        <f t="shared" ca="1" si="6"/>
        <v>0.94369059088035612</v>
      </c>
    </row>
    <row r="439" spans="1:8">
      <c r="A439" s="2">
        <f t="shared" ca="1" si="0"/>
        <v>0.9211386586115432</v>
      </c>
      <c r="B439" s="2">
        <f t="shared" ca="1" si="1"/>
        <v>0.10808329131206375</v>
      </c>
      <c r="C439" s="2">
        <f t="shared" ca="1" si="2"/>
        <v>9.9559697977515058E-2</v>
      </c>
      <c r="D439" s="2">
        <f t="shared" ca="1" si="3"/>
        <v>0.52863316853939446</v>
      </c>
      <c r="E439" s="2">
        <f t="shared" ca="1" si="4"/>
        <v>0.47136683146060554</v>
      </c>
      <c r="F439" s="1">
        <v>0</v>
      </c>
      <c r="G439" s="1">
        <f t="shared" ca="1" si="5"/>
        <v>0.52863316853939446</v>
      </c>
      <c r="H439" s="1">
        <f t="shared" ca="1" si="6"/>
        <v>0.47136683146060554</v>
      </c>
    </row>
    <row r="440" spans="1:8">
      <c r="A440" s="2">
        <f t="shared" ca="1" si="0"/>
        <v>0.94009537119539377</v>
      </c>
      <c r="B440" s="2">
        <f t="shared" ca="1" si="1"/>
        <v>0.11202692643186815</v>
      </c>
      <c r="C440" s="2">
        <f t="shared" ca="1" si="2"/>
        <v>0.10531599498784616</v>
      </c>
      <c r="D440" s="2">
        <f t="shared" ca="1" si="3"/>
        <v>0.49833686848502023</v>
      </c>
      <c r="E440" s="2">
        <f t="shared" ca="1" si="4"/>
        <v>0.50166313151497977</v>
      </c>
      <c r="F440" s="1">
        <v>0</v>
      </c>
      <c r="G440" s="1">
        <f t="shared" ca="1" si="5"/>
        <v>0.49833686848502023</v>
      </c>
      <c r="H440" s="1">
        <f t="shared" ca="1" si="6"/>
        <v>0.50166313151497977</v>
      </c>
    </row>
    <row r="441" spans="1:8">
      <c r="A441" s="2">
        <f t="shared" ca="1" si="0"/>
        <v>1.0020864063297068</v>
      </c>
      <c r="B441" s="2">
        <f t="shared" ca="1" si="1"/>
        <v>0.19101303681861206</v>
      </c>
      <c r="C441" s="2">
        <f t="shared" ca="1" si="2"/>
        <v>0.19141156762768693</v>
      </c>
      <c r="D441" s="2">
        <f t="shared" ca="1" si="3"/>
        <v>4.5202275643753009E-2</v>
      </c>
      <c r="E441" s="2">
        <f t="shared" ca="1" si="4"/>
        <v>0.95479772435624699</v>
      </c>
      <c r="F441" s="1">
        <v>0</v>
      </c>
      <c r="G441" s="1">
        <f t="shared" ca="1" si="5"/>
        <v>4.5202275643753009E-2</v>
      </c>
      <c r="H441" s="1">
        <f t="shared" ca="1" si="6"/>
        <v>0.95479772435624699</v>
      </c>
    </row>
    <row r="442" spans="1:8">
      <c r="A442" s="2">
        <f t="shared" ca="1" si="0"/>
        <v>1.0049659424814026</v>
      </c>
      <c r="B442" s="2">
        <f t="shared" ca="1" si="1"/>
        <v>0.16577978185848413</v>
      </c>
      <c r="C442" s="2">
        <f t="shared" ca="1" si="2"/>
        <v>0.16660303471977284</v>
      </c>
      <c r="D442" s="2">
        <f t="shared" ca="1" si="3"/>
        <v>0.17577350147487991</v>
      </c>
      <c r="E442" s="2">
        <f t="shared" ca="1" si="4"/>
        <v>0.82422649852512009</v>
      </c>
      <c r="F442" s="1">
        <v>0</v>
      </c>
      <c r="G442" s="1">
        <f t="shared" ca="1" si="5"/>
        <v>0.17577350147487991</v>
      </c>
      <c r="H442" s="1">
        <f t="shared" ca="1" si="6"/>
        <v>0.82422649852512009</v>
      </c>
    </row>
    <row r="443" spans="1:8">
      <c r="A443" s="2">
        <f t="shared" ca="1" si="0"/>
        <v>0.11700036785020197</v>
      </c>
      <c r="B443" s="2">
        <f t="shared" ca="1" si="1"/>
        <v>9.9170669494995964E-2</v>
      </c>
      <c r="C443" s="2">
        <f t="shared" ca="1" si="2"/>
        <v>1.1603004810865332E-2</v>
      </c>
      <c r="D443" s="2">
        <f t="shared" ca="1" si="3"/>
        <v>0.99156313257439299</v>
      </c>
      <c r="E443" s="2">
        <f t="shared" ca="1" si="4"/>
        <v>8.4368674256070086E-3</v>
      </c>
      <c r="F443" s="1">
        <v>0</v>
      </c>
      <c r="G443" s="1">
        <f t="shared" ca="1" si="5"/>
        <v>0.99156313257439299</v>
      </c>
      <c r="H443" s="1">
        <f t="shared" ca="1" si="6"/>
        <v>8.4368674256070086E-3</v>
      </c>
    </row>
    <row r="444" spans="1:8">
      <c r="A444" s="2">
        <f t="shared" ca="1" si="0"/>
        <v>0.54602018398050389</v>
      </c>
      <c r="B444" s="2">
        <f t="shared" ca="1" si="1"/>
        <v>8.9448188844634444E-2</v>
      </c>
      <c r="C444" s="2">
        <f t="shared" ca="1" si="2"/>
        <v>4.8840516529670155E-2</v>
      </c>
      <c r="D444" s="2">
        <f t="shared" ca="1" si="3"/>
        <v>0.79557622879120971</v>
      </c>
      <c r="E444" s="2">
        <f t="shared" ca="1" si="4"/>
        <v>0.20442377120879029</v>
      </c>
      <c r="F444" s="1">
        <v>0</v>
      </c>
      <c r="G444" s="1">
        <f t="shared" ca="1" si="5"/>
        <v>0.79557622879120971</v>
      </c>
      <c r="H444" s="1">
        <f t="shared" ca="1" si="6"/>
        <v>0.20442377120879029</v>
      </c>
    </row>
    <row r="445" spans="1:8">
      <c r="A445" s="2">
        <f t="shared" ca="1" si="0"/>
        <v>1.0044837522927261</v>
      </c>
      <c r="B445" s="2">
        <f t="shared" ca="1" si="1"/>
        <v>0.15957847399357838</v>
      </c>
      <c r="C445" s="2">
        <f t="shared" ca="1" si="2"/>
        <v>0.16029398434221684</v>
      </c>
      <c r="D445" s="2">
        <f t="shared" ca="1" si="3"/>
        <v>0.20897902977780614</v>
      </c>
      <c r="E445" s="2">
        <f t="shared" ca="1" si="4"/>
        <v>0.79102097022219386</v>
      </c>
      <c r="F445" s="1">
        <v>0</v>
      </c>
      <c r="G445" s="1">
        <f t="shared" ca="1" si="5"/>
        <v>0.20897902977780614</v>
      </c>
      <c r="H445" s="1">
        <f t="shared" ca="1" si="6"/>
        <v>0.79102097022219386</v>
      </c>
    </row>
    <row r="446" spans="1:8">
      <c r="A446" s="2">
        <f t="shared" ca="1" si="0"/>
        <v>1.0049715969069961</v>
      </c>
      <c r="B446" s="2">
        <f t="shared" ca="1" si="1"/>
        <v>0.16601889924223412</v>
      </c>
      <c r="C446" s="2">
        <f t="shared" ca="1" si="2"/>
        <v>0.16684427828820972</v>
      </c>
      <c r="D446" s="2">
        <f t="shared" ca="1" si="3"/>
        <v>0.17450379848310693</v>
      </c>
      <c r="E446" s="2">
        <f t="shared" ca="1" si="4"/>
        <v>0.82549620151689307</v>
      </c>
      <c r="F446" s="1">
        <v>0</v>
      </c>
      <c r="G446" s="1">
        <f t="shared" ca="1" si="5"/>
        <v>0.17450379848310693</v>
      </c>
      <c r="H446" s="1">
        <f t="shared" ca="1" si="6"/>
        <v>0.82549620151689307</v>
      </c>
    </row>
    <row r="447" spans="1:8">
      <c r="A447" s="2">
        <f t="shared" ca="1" si="0"/>
        <v>1.0029014276911294</v>
      </c>
      <c r="B447" s="2">
        <f t="shared" ca="1" si="1"/>
        <v>0.18694823496184171</v>
      </c>
      <c r="C447" s="2">
        <f t="shared" ca="1" si="2"/>
        <v>0.18749065174756777</v>
      </c>
      <c r="D447" s="2">
        <f t="shared" ca="1" si="3"/>
        <v>6.5838675012801162E-2</v>
      </c>
      <c r="E447" s="2">
        <f t="shared" ca="1" si="4"/>
        <v>0.93416132498719884</v>
      </c>
      <c r="F447" s="1">
        <v>0</v>
      </c>
      <c r="G447" s="1">
        <f t="shared" ca="1" si="5"/>
        <v>6.5838675012801162E-2</v>
      </c>
      <c r="H447" s="1">
        <f t="shared" ca="1" si="6"/>
        <v>0.93416132498719884</v>
      </c>
    </row>
    <row r="448" spans="1:8">
      <c r="A448" s="2">
        <f t="shared" ca="1" si="0"/>
        <v>0.97901269985314288</v>
      </c>
      <c r="B448" s="2">
        <f t="shared" ca="1" si="1"/>
        <v>0.12576762431307079</v>
      </c>
      <c r="C448" s="2">
        <f t="shared" ca="1" si="2"/>
        <v>0.1231281014328552</v>
      </c>
      <c r="D448" s="2">
        <f t="shared" ca="1" si="3"/>
        <v>0.40458893982707789</v>
      </c>
      <c r="E448" s="2">
        <f t="shared" ca="1" si="4"/>
        <v>0.59541106017292211</v>
      </c>
      <c r="F448" s="1">
        <v>0</v>
      </c>
      <c r="G448" s="1">
        <f t="shared" ca="1" si="5"/>
        <v>0.40458893982707789</v>
      </c>
      <c r="H448" s="1">
        <f t="shared" ca="1" si="6"/>
        <v>0.59541106017292211</v>
      </c>
    </row>
    <row r="449" spans="1:8">
      <c r="A449" s="2">
        <f t="shared" ca="1" si="0"/>
        <v>1.0046236334607479</v>
      </c>
      <c r="B449" s="2">
        <f t="shared" ca="1" si="1"/>
        <v>0.17501821795991193</v>
      </c>
      <c r="C449" s="2">
        <f t="shared" ca="1" si="2"/>
        <v>0.17582743804871184</v>
      </c>
      <c r="D449" s="2">
        <f t="shared" ca="1" si="3"/>
        <v>0.12722401026993779</v>
      </c>
      <c r="E449" s="2">
        <f t="shared" ca="1" si="4"/>
        <v>0.87277598973006221</v>
      </c>
      <c r="F449" s="1">
        <v>0</v>
      </c>
      <c r="G449" s="1">
        <f t="shared" ca="1" si="5"/>
        <v>0.12722401026993779</v>
      </c>
      <c r="H449" s="1">
        <f t="shared" ca="1" si="6"/>
        <v>0.87277598973006221</v>
      </c>
    </row>
    <row r="450" spans="1:8">
      <c r="A450" s="2">
        <f t="shared" ca="1" si="0"/>
        <v>0.8219299783931594</v>
      </c>
      <c r="B450" s="2">
        <f t="shared" ca="1" si="1"/>
        <v>9.6878482422862941E-2</v>
      </c>
      <c r="C450" s="2">
        <f t="shared" ca="1" si="2"/>
        <v>7.9627328964585811E-2</v>
      </c>
      <c r="D450" s="2">
        <f t="shared" ca="1" si="3"/>
        <v>0.63354037387060103</v>
      </c>
      <c r="E450" s="2">
        <f t="shared" ca="1" si="4"/>
        <v>0.36645962612939897</v>
      </c>
      <c r="F450" s="1">
        <v>0</v>
      </c>
      <c r="G450" s="1">
        <f t="shared" ca="1" si="5"/>
        <v>0.63354037387060103</v>
      </c>
      <c r="H450" s="1">
        <f t="shared" ca="1" si="6"/>
        <v>0.36645962612939897</v>
      </c>
    </row>
    <row r="451" spans="1:8">
      <c r="A451" s="2">
        <f t="shared" ca="1" si="0"/>
        <v>0.52711527403809322</v>
      </c>
      <c r="B451" s="2">
        <f t="shared" ca="1" si="1"/>
        <v>8.9448318562054055E-2</v>
      </c>
      <c r="C451" s="2">
        <f t="shared" ca="1" si="2"/>
        <v>4.7149574951083781E-2</v>
      </c>
      <c r="D451" s="2">
        <f t="shared" ca="1" si="3"/>
        <v>0.80447592131008538</v>
      </c>
      <c r="E451" s="2">
        <f t="shared" ca="1" si="4"/>
        <v>0.19552407868991462</v>
      </c>
      <c r="F451" s="1">
        <v>0</v>
      </c>
      <c r="G451" s="1">
        <f t="shared" ca="1" si="5"/>
        <v>0.80447592131008538</v>
      </c>
      <c r="H451" s="1">
        <f t="shared" ca="1" si="6"/>
        <v>0.19552407868991462</v>
      </c>
    </row>
    <row r="452" spans="1:8">
      <c r="A452" s="2">
        <f t="shared" ca="1" si="0"/>
        <v>0.7001503970396441</v>
      </c>
      <c r="B452" s="2">
        <f t="shared" ca="1" si="1"/>
        <v>9.1402197363280493E-2</v>
      </c>
      <c r="C452" s="2">
        <f t="shared" ca="1" si="2"/>
        <v>6.3995284774196748E-2</v>
      </c>
      <c r="D452" s="2">
        <f t="shared" ca="1" si="3"/>
        <v>0.71581429066212243</v>
      </c>
      <c r="E452" s="2">
        <f t="shared" ca="1" si="4"/>
        <v>0.28418570933787757</v>
      </c>
      <c r="F452" s="1">
        <v>0</v>
      </c>
      <c r="G452" s="1">
        <f t="shared" ca="1" si="5"/>
        <v>0.71581429066212243</v>
      </c>
      <c r="H452" s="1">
        <f t="shared" ca="1" si="6"/>
        <v>0.28418570933787757</v>
      </c>
    </row>
    <row r="453" spans="1:8">
      <c r="A453" s="2">
        <f t="shared" ca="1" si="0"/>
        <v>0.65637966008342419</v>
      </c>
      <c r="B453" s="2">
        <f t="shared" ca="1" si="1"/>
        <v>9.0436499360203967E-2</v>
      </c>
      <c r="C453" s="2">
        <f t="shared" ca="1" si="2"/>
        <v>5.9360678709185488E-2</v>
      </c>
      <c r="D453" s="2">
        <f t="shared" ca="1" si="3"/>
        <v>0.74020695416218163</v>
      </c>
      <c r="E453" s="2">
        <f t="shared" ca="1" si="4"/>
        <v>0.25979304583781837</v>
      </c>
      <c r="F453" s="1">
        <v>0</v>
      </c>
      <c r="G453" s="1">
        <f t="shared" ca="1" si="5"/>
        <v>0.74020695416218163</v>
      </c>
      <c r="H453" s="1">
        <f t="shared" ca="1" si="6"/>
        <v>0.25979304583781837</v>
      </c>
    </row>
    <row r="454" spans="1:8">
      <c r="A454" s="2">
        <f t="shared" ca="1" si="0"/>
        <v>1.0034799216340211</v>
      </c>
      <c r="B454" s="2">
        <f t="shared" ca="1" si="1"/>
        <v>0.15434828294855027</v>
      </c>
      <c r="C454" s="2">
        <f t="shared" ca="1" si="2"/>
        <v>0.15488540287755695</v>
      </c>
      <c r="D454" s="2">
        <f t="shared" ca="1" si="3"/>
        <v>0.23744524801285816</v>
      </c>
      <c r="E454" s="2">
        <f t="shared" ca="1" si="4"/>
        <v>0.76255475198714184</v>
      </c>
      <c r="F454" s="1">
        <v>0</v>
      </c>
      <c r="G454" s="1">
        <f t="shared" ca="1" si="5"/>
        <v>0.23744524801285816</v>
      </c>
      <c r="H454" s="1">
        <f t="shared" ca="1" si="6"/>
        <v>0.76255475198714184</v>
      </c>
    </row>
    <row r="455" spans="1:8">
      <c r="A455" s="2">
        <f t="shared" ca="1" si="0"/>
        <v>0.64489450228462231</v>
      </c>
      <c r="B455" s="2">
        <f t="shared" ca="1" si="1"/>
        <v>9.0244367983048301E-2</v>
      </c>
      <c r="C455" s="2">
        <f t="shared" ca="1" si="2"/>
        <v>5.8198096774418243E-2</v>
      </c>
      <c r="D455" s="2">
        <f t="shared" ca="1" si="3"/>
        <v>0.74632580645043034</v>
      </c>
      <c r="E455" s="2">
        <f t="shared" ca="1" si="4"/>
        <v>0.25367419354956966</v>
      </c>
      <c r="F455" s="1">
        <v>0</v>
      </c>
      <c r="G455" s="1">
        <f t="shared" ca="1" si="5"/>
        <v>0.74632580645043034</v>
      </c>
      <c r="H455" s="1">
        <f t="shared" ca="1" si="6"/>
        <v>0.25367419354956966</v>
      </c>
    </row>
    <row r="456" spans="1:8">
      <c r="A456" s="2">
        <f t="shared" ca="1" si="0"/>
        <v>0.97003991662328337</v>
      </c>
      <c r="B456" s="2">
        <f t="shared" ca="1" si="1"/>
        <v>0.12145125925403977</v>
      </c>
      <c r="C456" s="2">
        <f t="shared" ca="1" si="2"/>
        <v>0.1178125694005815</v>
      </c>
      <c r="D456" s="2">
        <f t="shared" ca="1" si="3"/>
        <v>0.4325654242074658</v>
      </c>
      <c r="E456" s="2">
        <f t="shared" ca="1" si="4"/>
        <v>0.5674345757925342</v>
      </c>
      <c r="F456" s="1">
        <v>0</v>
      </c>
      <c r="G456" s="1">
        <f t="shared" ca="1" si="5"/>
        <v>0.4325654242074658</v>
      </c>
      <c r="H456" s="1">
        <f t="shared" ca="1" si="6"/>
        <v>0.5674345757925342</v>
      </c>
    </row>
    <row r="457" spans="1:8">
      <c r="A457" s="2">
        <f t="shared" ca="1" si="0"/>
        <v>0.95970479449308099</v>
      </c>
      <c r="B457" s="2">
        <f t="shared" ca="1" si="1"/>
        <v>0.11755365849202511</v>
      </c>
      <c r="C457" s="2">
        <f t="shared" ca="1" si="2"/>
        <v>0.11281680966499878</v>
      </c>
      <c r="D457" s="2">
        <f t="shared" ca="1" si="3"/>
        <v>0.45885889650000644</v>
      </c>
      <c r="E457" s="2">
        <f t="shared" ca="1" si="4"/>
        <v>0.54114110349999356</v>
      </c>
      <c r="F457" s="1">
        <v>0</v>
      </c>
      <c r="G457" s="1">
        <f t="shared" ca="1" si="5"/>
        <v>0.45885889650000644</v>
      </c>
      <c r="H457" s="1">
        <f t="shared" ca="1" si="6"/>
        <v>0.54114110349999356</v>
      </c>
    </row>
    <row r="458" spans="1:8">
      <c r="A458" s="2">
        <f t="shared" ca="1" si="0"/>
        <v>0.49893486339142024</v>
      </c>
      <c r="B458" s="2">
        <f t="shared" ca="1" si="1"/>
        <v>8.9528589929494168E-2</v>
      </c>
      <c r="C458" s="2">
        <f t="shared" ca="1" si="2"/>
        <v>4.4668934786098652E-2</v>
      </c>
      <c r="D458" s="2">
        <f t="shared" ca="1" si="3"/>
        <v>0.81753192217842818</v>
      </c>
      <c r="E458" s="2">
        <f t="shared" ca="1" si="4"/>
        <v>0.18246807782157182</v>
      </c>
      <c r="F458" s="1">
        <v>0</v>
      </c>
      <c r="G458" s="1">
        <f t="shared" ca="1" si="5"/>
        <v>0.81753192217842818</v>
      </c>
      <c r="H458" s="1">
        <f t="shared" ca="1" si="6"/>
        <v>0.18246807782157182</v>
      </c>
    </row>
    <row r="459" spans="1:8">
      <c r="A459" s="2">
        <f t="shared" ca="1" si="0"/>
        <v>0.41431819481269061</v>
      </c>
      <c r="B459" s="2">
        <f t="shared" ca="1" si="1"/>
        <v>9.030598557082975E-2</v>
      </c>
      <c r="C459" s="2">
        <f t="shared" ca="1" si="2"/>
        <v>3.7415412922487068E-2</v>
      </c>
      <c r="D459" s="2">
        <f t="shared" ca="1" si="3"/>
        <v>0.85570835303954174</v>
      </c>
      <c r="E459" s="2">
        <f t="shared" ca="1" si="4"/>
        <v>0.14429164696045826</v>
      </c>
      <c r="F459" s="1">
        <v>0</v>
      </c>
      <c r="G459" s="1">
        <f t="shared" ca="1" si="5"/>
        <v>0.85570835303954174</v>
      </c>
      <c r="H459" s="1">
        <f t="shared" ca="1" si="6"/>
        <v>0.14429164696045826</v>
      </c>
    </row>
    <row r="460" spans="1:8">
      <c r="A460" s="2">
        <f t="shared" ca="1" si="0"/>
        <v>0.93961892528963675</v>
      </c>
      <c r="B460" s="2">
        <f t="shared" ca="1" si="1"/>
        <v>0.1119140401965249</v>
      </c>
      <c r="C460" s="2">
        <f t="shared" ca="1" si="2"/>
        <v>0.10515655017427994</v>
      </c>
      <c r="D460" s="2">
        <f t="shared" ca="1" si="3"/>
        <v>0.49917605171431612</v>
      </c>
      <c r="E460" s="2">
        <f t="shared" ca="1" si="4"/>
        <v>0.50082394828568388</v>
      </c>
      <c r="F460" s="1">
        <v>0</v>
      </c>
      <c r="G460" s="1">
        <f t="shared" ca="1" si="5"/>
        <v>0.49917605171431612</v>
      </c>
      <c r="H460" s="1">
        <f t="shared" ca="1" si="6"/>
        <v>0.50082394828568388</v>
      </c>
    </row>
    <row r="461" spans="1:8">
      <c r="A461" s="2">
        <f t="shared" ca="1" si="0"/>
        <v>0.3042850749294867</v>
      </c>
      <c r="B461" s="2">
        <f t="shared" ca="1" si="1"/>
        <v>9.2448867972315968E-2</v>
      </c>
      <c r="C461" s="2">
        <f t="shared" ca="1" si="2"/>
        <v>2.8130810718102389E-2</v>
      </c>
      <c r="D461" s="2">
        <f t="shared" ca="1" si="3"/>
        <v>0.90457468043104006</v>
      </c>
      <c r="E461" s="2">
        <f t="shared" ca="1" si="4"/>
        <v>9.5425319568959943E-2</v>
      </c>
      <c r="F461" s="1">
        <v>0</v>
      </c>
      <c r="G461" s="1">
        <f t="shared" ca="1" si="5"/>
        <v>0.90457468043104006</v>
      </c>
      <c r="H461" s="1">
        <f t="shared" ca="1" si="6"/>
        <v>9.5425319568959943E-2</v>
      </c>
    </row>
    <row r="462" spans="1:8">
      <c r="A462" s="2">
        <f t="shared" ca="1" si="0"/>
        <v>1.0042003616215485</v>
      </c>
      <c r="B462" s="2">
        <f t="shared" ca="1" si="1"/>
        <v>0.15773819350947915</v>
      </c>
      <c r="C462" s="2">
        <f t="shared" ca="1" si="2"/>
        <v>0.15840075096374875</v>
      </c>
      <c r="D462" s="2">
        <f t="shared" ca="1" si="3"/>
        <v>0.21894341598026967</v>
      </c>
      <c r="E462" s="2">
        <f t="shared" ca="1" si="4"/>
        <v>0.78105658401973033</v>
      </c>
      <c r="F462" s="1">
        <v>0</v>
      </c>
      <c r="G462" s="1">
        <f t="shared" ca="1" si="5"/>
        <v>0.21894341598026967</v>
      </c>
      <c r="H462" s="1">
        <f t="shared" ca="1" si="6"/>
        <v>0.78105658401973033</v>
      </c>
    </row>
    <row r="463" spans="1:8">
      <c r="A463" s="2">
        <f t="shared" ca="1" si="0"/>
        <v>1.0049592219434069</v>
      </c>
      <c r="B463" s="2">
        <f t="shared" ca="1" si="1"/>
        <v>0.16951838918125051</v>
      </c>
      <c r="C463" s="2">
        <f t="shared" ca="1" si="2"/>
        <v>0.17035906849668916</v>
      </c>
      <c r="D463" s="2">
        <f t="shared" ca="1" si="3"/>
        <v>0.15600490264900446</v>
      </c>
      <c r="E463" s="2">
        <f t="shared" ca="1" si="4"/>
        <v>0.84399509735099554</v>
      </c>
      <c r="F463" s="1">
        <v>0</v>
      </c>
      <c r="G463" s="1">
        <f t="shared" ca="1" si="5"/>
        <v>0.15600490264900446</v>
      </c>
      <c r="H463" s="1">
        <f t="shared" ca="1" si="6"/>
        <v>0.84399509735099554</v>
      </c>
    </row>
    <row r="464" spans="1:8">
      <c r="A464" s="2">
        <f t="shared" ca="1" si="0"/>
        <v>1.0049690692207658</v>
      </c>
      <c r="B464" s="2">
        <f t="shared" ca="1" si="1"/>
        <v>0.16912552740294035</v>
      </c>
      <c r="C464" s="2">
        <f t="shared" ca="1" si="2"/>
        <v>0.16996592385560408</v>
      </c>
      <c r="D464" s="2">
        <f t="shared" ca="1" si="3"/>
        <v>0.1580740849705049</v>
      </c>
      <c r="E464" s="2">
        <f t="shared" ca="1" si="4"/>
        <v>0.8419259150294951</v>
      </c>
      <c r="F464" s="1">
        <v>0</v>
      </c>
      <c r="G464" s="1">
        <f t="shared" ca="1" si="5"/>
        <v>0.1580740849705049</v>
      </c>
      <c r="H464" s="1">
        <f t="shared" ca="1" si="6"/>
        <v>0.8419259150294951</v>
      </c>
    </row>
    <row r="465" spans="1:8">
      <c r="A465" s="2">
        <f t="shared" ca="1" si="0"/>
        <v>1.0007691572259267</v>
      </c>
      <c r="B465" s="2">
        <f t="shared" ca="1" si="1"/>
        <v>0.19685173664553068</v>
      </c>
      <c r="C465" s="2">
        <f t="shared" ca="1" si="2"/>
        <v>0.19700314658120782</v>
      </c>
      <c r="D465" s="2">
        <f t="shared" ca="1" si="3"/>
        <v>1.57729127304852E-2</v>
      </c>
      <c r="E465" s="2">
        <f t="shared" ca="1" si="4"/>
        <v>0.9842270872695148</v>
      </c>
      <c r="F465" s="1">
        <v>0</v>
      </c>
      <c r="G465" s="1">
        <f t="shared" ca="1" si="5"/>
        <v>1.57729127304852E-2</v>
      </c>
      <c r="H465" s="1">
        <f t="shared" ca="1" si="6"/>
        <v>0.9842270872695148</v>
      </c>
    </row>
    <row r="466" spans="1:8">
      <c r="A466" s="2">
        <f t="shared" ca="1" si="0"/>
        <v>0.30231719057785017</v>
      </c>
      <c r="B466" s="2">
        <f t="shared" ca="1" si="1"/>
        <v>9.2498731266226833E-2</v>
      </c>
      <c r="C466" s="2">
        <f t="shared" ca="1" si="2"/>
        <v>2.7963956568421246E-2</v>
      </c>
      <c r="D466" s="2">
        <f t="shared" ca="1" si="3"/>
        <v>0.90545286016620397</v>
      </c>
      <c r="E466" s="2">
        <f t="shared" ca="1" si="4"/>
        <v>9.4547139833796034E-2</v>
      </c>
      <c r="F466" s="1">
        <v>0</v>
      </c>
      <c r="G466" s="1">
        <f t="shared" ca="1" si="5"/>
        <v>0.90545286016620397</v>
      </c>
      <c r="H466" s="1">
        <f t="shared" ca="1" si="6"/>
        <v>9.4547139833796034E-2</v>
      </c>
    </row>
    <row r="467" spans="1:8">
      <c r="A467" s="2">
        <f t="shared" ca="1" si="0"/>
        <v>0.64696244768217481</v>
      </c>
      <c r="B467" s="2">
        <f t="shared" ca="1" si="1"/>
        <v>9.0277230603334938E-2</v>
      </c>
      <c r="C467" s="2">
        <f t="shared" ca="1" si="2"/>
        <v>5.8405978081101706E-2</v>
      </c>
      <c r="D467" s="2">
        <f t="shared" ca="1" si="3"/>
        <v>0.74523169430999103</v>
      </c>
      <c r="E467" s="2">
        <f t="shared" ca="1" si="4"/>
        <v>0.25476830569000897</v>
      </c>
      <c r="F467" s="1">
        <v>0</v>
      </c>
      <c r="G467" s="1">
        <f t="shared" ca="1" si="5"/>
        <v>0.74523169430999103</v>
      </c>
      <c r="H467" s="1">
        <f t="shared" ca="1" si="6"/>
        <v>0.25476830569000897</v>
      </c>
    </row>
    <row r="468" spans="1:8">
      <c r="A468" s="2">
        <f t="shared" ca="1" si="0"/>
        <v>0.1044209580633686</v>
      </c>
      <c r="B468" s="2">
        <f t="shared" ca="1" si="1"/>
        <v>9.9780364353391923E-2</v>
      </c>
      <c r="C468" s="2">
        <f t="shared" ca="1" si="2"/>
        <v>1.0419161241693177E-2</v>
      </c>
      <c r="D468" s="2">
        <f t="shared" ca="1" si="3"/>
        <v>0.99779388820161485</v>
      </c>
      <c r="E468" s="2">
        <f t="shared" ca="1" si="4"/>
        <v>2.2061117983851464E-3</v>
      </c>
      <c r="F468" s="1">
        <v>0</v>
      </c>
      <c r="G468" s="1">
        <f t="shared" ca="1" si="5"/>
        <v>0.99779388820161485</v>
      </c>
      <c r="H468" s="1">
        <f t="shared" ca="1" si="6"/>
        <v>2.2061117983851464E-3</v>
      </c>
    </row>
    <row r="469" spans="1:8">
      <c r="A469" s="2">
        <f t="shared" ca="1" si="0"/>
        <v>0.8727735660015018</v>
      </c>
      <c r="B469" s="2">
        <f t="shared" ca="1" si="1"/>
        <v>0.10130246265278042</v>
      </c>
      <c r="C469" s="2">
        <f t="shared" ca="1" si="2"/>
        <v>8.8414111574201121E-2</v>
      </c>
      <c r="D469" s="2">
        <f t="shared" ca="1" si="3"/>
        <v>0.5872941496094678</v>
      </c>
      <c r="E469" s="2">
        <f t="shared" ca="1" si="4"/>
        <v>0.4127058503905322</v>
      </c>
      <c r="F469" s="1">
        <v>0</v>
      </c>
      <c r="G469" s="1">
        <f t="shared" ca="1" si="5"/>
        <v>0.5872941496094678</v>
      </c>
      <c r="H469" s="1">
        <f t="shared" ca="1" si="6"/>
        <v>0.4127058503905322</v>
      </c>
    </row>
    <row r="470" spans="1:8">
      <c r="A470" s="2">
        <f t="shared" ca="1" si="0"/>
        <v>0.99157818215098903</v>
      </c>
      <c r="B470" s="2">
        <f t="shared" ca="1" si="1"/>
        <v>0.13459678305421074</v>
      </c>
      <c r="C470" s="2">
        <f t="shared" ca="1" si="2"/>
        <v>0.13346323346426534</v>
      </c>
      <c r="D470" s="2">
        <f t="shared" ca="1" si="3"/>
        <v>0.35019350808281402</v>
      </c>
      <c r="E470" s="2">
        <f t="shared" ca="1" si="4"/>
        <v>0.64980649191718598</v>
      </c>
      <c r="F470" s="1">
        <v>0</v>
      </c>
      <c r="G470" s="1">
        <f t="shared" ca="1" si="5"/>
        <v>0.35019350808281402</v>
      </c>
      <c r="H470" s="1">
        <f t="shared" ca="1" si="6"/>
        <v>0.64980649191718598</v>
      </c>
    </row>
    <row r="471" spans="1:8">
      <c r="A471" s="2">
        <f t="shared" ca="1" si="0"/>
        <v>0.37458145894973877</v>
      </c>
      <c r="B471" s="2">
        <f t="shared" ca="1" si="1"/>
        <v>9.0934353125472295E-2</v>
      </c>
      <c r="C471" s="2">
        <f t="shared" ca="1" si="2"/>
        <v>3.4062322662390149E-2</v>
      </c>
      <c r="D471" s="2">
        <f t="shared" ca="1" si="3"/>
        <v>0.87335619651373608</v>
      </c>
      <c r="E471" s="2">
        <f t="shared" ca="1" si="4"/>
        <v>0.12664380348626392</v>
      </c>
      <c r="F471" s="1">
        <v>0</v>
      </c>
      <c r="G471" s="1">
        <f t="shared" ca="1" si="5"/>
        <v>0.87335619651373608</v>
      </c>
      <c r="H471" s="1">
        <f t="shared" ca="1" si="6"/>
        <v>0.12664380348626392</v>
      </c>
    </row>
    <row r="472" spans="1:8">
      <c r="A472" s="2">
        <f t="shared" ca="1" si="0"/>
        <v>0.94882675636024161</v>
      </c>
      <c r="B472" s="2">
        <f t="shared" ca="1" si="1"/>
        <v>0.11425529246675055</v>
      </c>
      <c r="C472" s="2">
        <f t="shared" ca="1" si="2"/>
        <v>0.10840847854821767</v>
      </c>
      <c r="D472" s="2">
        <f t="shared" ca="1" si="3"/>
        <v>0.48206063921990705</v>
      </c>
      <c r="E472" s="2">
        <f t="shared" ca="1" si="4"/>
        <v>0.51793936078009295</v>
      </c>
      <c r="F472" s="1">
        <v>0</v>
      </c>
      <c r="G472" s="1">
        <f t="shared" ca="1" si="5"/>
        <v>0.48206063921990705</v>
      </c>
      <c r="H472" s="1">
        <f t="shared" ca="1" si="6"/>
        <v>0.51793936078009295</v>
      </c>
    </row>
    <row r="473" spans="1:8">
      <c r="A473" s="2">
        <f t="shared" ca="1" si="0"/>
        <v>1.0048640357245737</v>
      </c>
      <c r="B473" s="2">
        <f t="shared" ca="1" si="1"/>
        <v>0.16346026431366201</v>
      </c>
      <c r="C473" s="2">
        <f t="shared" ca="1" si="2"/>
        <v>0.16425534087883192</v>
      </c>
      <c r="D473" s="2">
        <f t="shared" ca="1" si="3"/>
        <v>0.18812978484825316</v>
      </c>
      <c r="E473" s="2">
        <f t="shared" ca="1" si="4"/>
        <v>0.81187021515174684</v>
      </c>
      <c r="F473" s="1">
        <v>0</v>
      </c>
      <c r="G473" s="1">
        <f t="shared" ca="1" si="5"/>
        <v>0.18812978484825316</v>
      </c>
      <c r="H473" s="1">
        <f t="shared" ca="1" si="6"/>
        <v>0.81187021515174684</v>
      </c>
    </row>
    <row r="474" spans="1:8">
      <c r="A474" s="2">
        <f t="shared" ca="1" si="0"/>
        <v>0.95294476536167427</v>
      </c>
      <c r="B474" s="2">
        <f t="shared" ca="1" si="1"/>
        <v>0.11542616800829093</v>
      </c>
      <c r="C474" s="2">
        <f t="shared" ca="1" si="2"/>
        <v>0.109994762589258</v>
      </c>
      <c r="D474" s="2">
        <f t="shared" ca="1" si="3"/>
        <v>0.47371177584601054</v>
      </c>
      <c r="E474" s="2">
        <f t="shared" ca="1" si="4"/>
        <v>0.52628822415398946</v>
      </c>
      <c r="F474" s="1">
        <v>0</v>
      </c>
      <c r="G474" s="1">
        <f t="shared" ca="1" si="5"/>
        <v>0.47371177584601054</v>
      </c>
      <c r="H474" s="1">
        <f t="shared" ca="1" si="6"/>
        <v>0.52628822415398946</v>
      </c>
    </row>
    <row r="475" spans="1:8">
      <c r="A475" s="2">
        <f t="shared" ca="1" si="0"/>
        <v>0.85858888190476357</v>
      </c>
      <c r="B475" s="2">
        <f t="shared" ca="1" si="1"/>
        <v>9.986516729360978E-2</v>
      </c>
      <c r="C475" s="2">
        <f t="shared" ca="1" si="2"/>
        <v>8.5743122327852583E-2</v>
      </c>
      <c r="D475" s="2">
        <f t="shared" ca="1" si="3"/>
        <v>0.60135198774814436</v>
      </c>
      <c r="E475" s="2">
        <f t="shared" ca="1" si="4"/>
        <v>0.39864801225185564</v>
      </c>
      <c r="F475" s="1">
        <v>0</v>
      </c>
      <c r="G475" s="1">
        <f t="shared" ca="1" si="5"/>
        <v>0.60135198774814436</v>
      </c>
      <c r="H475" s="1">
        <f t="shared" ca="1" si="6"/>
        <v>0.39864801225185564</v>
      </c>
    </row>
    <row r="476" spans="1:8">
      <c r="A476" s="2">
        <f t="shared" ca="1" si="0"/>
        <v>0.19173668561007934</v>
      </c>
      <c r="B476" s="2">
        <f t="shared" ca="1" si="1"/>
        <v>9.5985397079583812E-2</v>
      </c>
      <c r="C476" s="2">
        <f t="shared" ca="1" si="2"/>
        <v>1.8403921903006788E-2</v>
      </c>
      <c r="D476" s="2">
        <f t="shared" ca="1" si="3"/>
        <v>0.95576883208943797</v>
      </c>
      <c r="E476" s="2">
        <f t="shared" ca="1" si="4"/>
        <v>4.423116791056203E-2</v>
      </c>
      <c r="F476" s="1">
        <v>0</v>
      </c>
      <c r="G476" s="1">
        <f t="shared" ca="1" si="5"/>
        <v>0.95576883208943797</v>
      </c>
      <c r="H476" s="1">
        <f t="shared" ca="1" si="6"/>
        <v>4.423116791056203E-2</v>
      </c>
    </row>
    <row r="477" spans="1:8">
      <c r="A477" s="2">
        <f t="shared" ca="1" si="0"/>
        <v>0.98820366571791141</v>
      </c>
      <c r="B477" s="2">
        <f t="shared" ca="1" si="1"/>
        <v>0.13173682745083398</v>
      </c>
      <c r="C477" s="2">
        <f t="shared" ca="1" si="2"/>
        <v>0.13018281579696211</v>
      </c>
      <c r="D477" s="2">
        <f t="shared" ca="1" si="3"/>
        <v>0.3674588642265153</v>
      </c>
      <c r="E477" s="2">
        <f t="shared" ca="1" si="4"/>
        <v>0.6325411357734847</v>
      </c>
      <c r="F477" s="1">
        <v>0</v>
      </c>
      <c r="G477" s="1">
        <f t="shared" ca="1" si="5"/>
        <v>0.3674588642265153</v>
      </c>
      <c r="H477" s="1">
        <f t="shared" ca="1" si="6"/>
        <v>0.6325411357734847</v>
      </c>
    </row>
    <row r="478" spans="1:8">
      <c r="A478" s="2">
        <f t="shared" ca="1" si="0"/>
        <v>0.99921957898881797</v>
      </c>
      <c r="B478" s="2">
        <f t="shared" ca="1" si="1"/>
        <v>0.14394141771874222</v>
      </c>
      <c r="C478" s="2">
        <f t="shared" ca="1" si="2"/>
        <v>0.14382908281197518</v>
      </c>
      <c r="D478" s="2">
        <f t="shared" ca="1" si="3"/>
        <v>0.29563640625276222</v>
      </c>
      <c r="E478" s="2">
        <f t="shared" ca="1" si="4"/>
        <v>0.70436359374723778</v>
      </c>
      <c r="F478" s="1">
        <v>0</v>
      </c>
      <c r="G478" s="1">
        <f t="shared" ca="1" si="5"/>
        <v>0.29563640625276222</v>
      </c>
      <c r="H478" s="1">
        <f t="shared" ca="1" si="6"/>
        <v>0.70436359374723778</v>
      </c>
    </row>
    <row r="479" spans="1:8">
      <c r="A479" s="2">
        <f t="shared" ca="1" si="0"/>
        <v>0.24970396862988334</v>
      </c>
      <c r="B479" s="2">
        <f t="shared" ca="1" si="1"/>
        <v>9.3986635011882896E-2</v>
      </c>
      <c r="C479" s="2">
        <f t="shared" ca="1" si="2"/>
        <v>2.3468835760635503E-2</v>
      </c>
      <c r="D479" s="2">
        <f t="shared" ca="1" si="3"/>
        <v>0.92911139073349736</v>
      </c>
      <c r="E479" s="2">
        <f t="shared" ca="1" si="4"/>
        <v>7.0888609266502645E-2</v>
      </c>
      <c r="F479" s="1">
        <v>0</v>
      </c>
      <c r="G479" s="1">
        <f t="shared" ca="1" si="5"/>
        <v>0.92911139073349736</v>
      </c>
      <c r="H479" s="1">
        <f t="shared" ca="1" si="6"/>
        <v>7.0888609266502645E-2</v>
      </c>
    </row>
    <row r="480" spans="1:8">
      <c r="A480" s="2">
        <f t="shared" ca="1" si="0"/>
        <v>1.0020832035255069</v>
      </c>
      <c r="B480" s="2">
        <f t="shared" ca="1" si="1"/>
        <v>0.149900118052536</v>
      </c>
      <c r="C480" s="2">
        <f t="shared" ca="1" si="2"/>
        <v>0.15021239050693694</v>
      </c>
      <c r="D480" s="2">
        <f t="shared" ca="1" si="3"/>
        <v>0.26204004996348984</v>
      </c>
      <c r="E480" s="2">
        <f t="shared" ca="1" si="4"/>
        <v>0.73795995003651016</v>
      </c>
      <c r="F480" s="1">
        <v>0</v>
      </c>
      <c r="G480" s="1">
        <f t="shared" ca="1" si="5"/>
        <v>0.26204004996348984</v>
      </c>
      <c r="H480" s="1">
        <f t="shared" ca="1" si="6"/>
        <v>0.73795995003651016</v>
      </c>
    </row>
    <row r="481" spans="1:8">
      <c r="A481" s="2">
        <f t="shared" ca="1" si="0"/>
        <v>1.0025122789272074</v>
      </c>
      <c r="B481" s="2">
        <f t="shared" ca="1" si="1"/>
        <v>0.15109020750141744</v>
      </c>
      <c r="C481" s="2">
        <f t="shared" ca="1" si="2"/>
        <v>0.15146978824583066</v>
      </c>
      <c r="D481" s="2">
        <f t="shared" ca="1" si="3"/>
        <v>0.25542216712720711</v>
      </c>
      <c r="E481" s="2">
        <f t="shared" ca="1" si="4"/>
        <v>0.74457783287279289</v>
      </c>
      <c r="F481" s="1">
        <v>0</v>
      </c>
      <c r="G481" s="1">
        <f t="shared" ca="1" si="5"/>
        <v>0.25542216712720711</v>
      </c>
      <c r="H481" s="1">
        <f t="shared" ca="1" si="6"/>
        <v>0.74457783287279289</v>
      </c>
    </row>
    <row r="482" spans="1:8">
      <c r="A482" s="2">
        <f t="shared" ca="1" si="0"/>
        <v>1.0048439344875482</v>
      </c>
      <c r="B482" s="2">
        <f t="shared" ca="1" si="1"/>
        <v>0.16315399279721027</v>
      </c>
      <c r="C482" s="2">
        <f t="shared" ca="1" si="2"/>
        <v>0.16394430004970184</v>
      </c>
      <c r="D482" s="2">
        <f t="shared" ca="1" si="3"/>
        <v>0.18976684184367465</v>
      </c>
      <c r="E482" s="2">
        <f t="shared" ca="1" si="4"/>
        <v>0.81023315815632535</v>
      </c>
      <c r="F482" s="1">
        <v>0</v>
      </c>
      <c r="G482" s="1">
        <f t="shared" ca="1" si="5"/>
        <v>0.18976684184367465</v>
      </c>
      <c r="H482" s="1">
        <f t="shared" ca="1" si="6"/>
        <v>0.81023315815632535</v>
      </c>
    </row>
    <row r="483" spans="1:8">
      <c r="A483" s="2">
        <f t="shared" ca="1" si="0"/>
        <v>0.92042840267533965</v>
      </c>
      <c r="B483" s="2">
        <f t="shared" ca="1" si="1"/>
        <v>0.10795428274818979</v>
      </c>
      <c r="C483" s="2">
        <f t="shared" ca="1" si="2"/>
        <v>9.9364188031878298E-2</v>
      </c>
      <c r="D483" s="2">
        <f t="shared" ca="1" si="3"/>
        <v>0.52966216825327217</v>
      </c>
      <c r="E483" s="2">
        <f t="shared" ca="1" si="4"/>
        <v>0.47033783174672783</v>
      </c>
      <c r="F483" s="1">
        <v>0</v>
      </c>
      <c r="G483" s="1">
        <f t="shared" ca="1" si="5"/>
        <v>0.52966216825327217</v>
      </c>
      <c r="H483" s="1">
        <f t="shared" ca="1" si="6"/>
        <v>0.47033783174672783</v>
      </c>
    </row>
    <row r="484" spans="1:8">
      <c r="A484" s="2">
        <f t="shared" ca="1" si="0"/>
        <v>0.61961500528362567</v>
      </c>
      <c r="B484" s="2">
        <f t="shared" ca="1" si="1"/>
        <v>8.9901089066514381E-2</v>
      </c>
      <c r="C484" s="2">
        <f t="shared" ca="1" si="2"/>
        <v>5.5704063776952015E-2</v>
      </c>
      <c r="D484" s="2">
        <f t="shared" ca="1" si="3"/>
        <v>0.7594522959107789</v>
      </c>
      <c r="E484" s="2">
        <f t="shared" ca="1" si="4"/>
        <v>0.2405477040892211</v>
      </c>
      <c r="F484" s="1">
        <v>0</v>
      </c>
      <c r="G484" s="1">
        <f t="shared" ca="1" si="5"/>
        <v>0.7594522959107789</v>
      </c>
      <c r="H484" s="1">
        <f t="shared" ca="1" si="6"/>
        <v>0.2405477040892211</v>
      </c>
    </row>
    <row r="485" spans="1:8">
      <c r="A485" s="2">
        <f t="shared" ca="1" si="0"/>
        <v>0.53957922330314412</v>
      </c>
      <c r="B485" s="2">
        <f t="shared" ca="1" si="1"/>
        <v>8.9443249443483752E-2</v>
      </c>
      <c r="C485" s="2">
        <f t="shared" ca="1" si="2"/>
        <v>4.8261719064424335E-2</v>
      </c>
      <c r="D485" s="2">
        <f t="shared" ca="1" si="3"/>
        <v>0.79862253123987192</v>
      </c>
      <c r="E485" s="2">
        <f t="shared" ca="1" si="4"/>
        <v>0.20137746876012808</v>
      </c>
      <c r="F485" s="1">
        <v>0</v>
      </c>
      <c r="G485" s="1">
        <f t="shared" ca="1" si="5"/>
        <v>0.79862253123987192</v>
      </c>
      <c r="H485" s="1">
        <f t="shared" ca="1" si="6"/>
        <v>0.20137746876012808</v>
      </c>
    </row>
    <row r="486" spans="1:8">
      <c r="A486" s="2">
        <f t="shared" ca="1" si="0"/>
        <v>0.51111936999234742</v>
      </c>
      <c r="B486" s="2">
        <f t="shared" ca="1" si="1"/>
        <v>8.9482390194516162E-2</v>
      </c>
      <c r="C486" s="2">
        <f t="shared" ca="1" si="2"/>
        <v>4.5736182901630507E-2</v>
      </c>
      <c r="D486" s="2">
        <f t="shared" ca="1" si="3"/>
        <v>0.81191482683352367</v>
      </c>
      <c r="E486" s="2">
        <f t="shared" ca="1" si="4"/>
        <v>0.18808517316647633</v>
      </c>
      <c r="F486" s="1">
        <v>0</v>
      </c>
      <c r="G486" s="1">
        <f t="shared" ca="1" si="5"/>
        <v>0.81191482683352367</v>
      </c>
      <c r="H486" s="1">
        <f t="shared" ca="1" si="6"/>
        <v>0.18808517316647633</v>
      </c>
    </row>
    <row r="487" spans="1:8">
      <c r="A487" s="2">
        <f t="shared" ca="1" si="0"/>
        <v>1.0043783727372075</v>
      </c>
      <c r="B487" s="2">
        <f t="shared" ca="1" si="1"/>
        <v>0.1773829838221764</v>
      </c>
      <c r="C487" s="2">
        <f t="shared" ca="1" si="2"/>
        <v>0.17815963264258794</v>
      </c>
      <c r="D487" s="2">
        <f t="shared" ca="1" si="3"/>
        <v>0.11494930188111629</v>
      </c>
      <c r="E487" s="2">
        <f t="shared" ca="1" si="4"/>
        <v>0.88505069811888371</v>
      </c>
      <c r="F487" s="1">
        <v>0</v>
      </c>
      <c r="G487" s="1">
        <f t="shared" ca="1" si="5"/>
        <v>0.11494930188111629</v>
      </c>
      <c r="H487" s="1">
        <f t="shared" ca="1" si="6"/>
        <v>0.88505069811888371</v>
      </c>
    </row>
    <row r="488" spans="1:8">
      <c r="A488" s="2">
        <f t="shared" ca="1" si="0"/>
        <v>0.94660876777704095</v>
      </c>
      <c r="B488" s="2">
        <f t="shared" ca="1" si="1"/>
        <v>0.11365857932597956</v>
      </c>
      <c r="C488" s="2">
        <f t="shared" ca="1" si="2"/>
        <v>0.10759020772305457</v>
      </c>
      <c r="D488" s="2">
        <f t="shared" ca="1" si="3"/>
        <v>0.48636732777339708</v>
      </c>
      <c r="E488" s="2">
        <f t="shared" ca="1" si="4"/>
        <v>0.51363267222660292</v>
      </c>
      <c r="F488" s="1">
        <v>0</v>
      </c>
      <c r="G488" s="1">
        <f t="shared" ca="1" si="5"/>
        <v>0.48636732777339708</v>
      </c>
      <c r="H488" s="1">
        <f t="shared" ca="1" si="6"/>
        <v>0.51363267222660292</v>
      </c>
    </row>
    <row r="489" spans="1:8">
      <c r="A489" s="2">
        <f t="shared" ca="1" si="0"/>
        <v>0.94179461502972694</v>
      </c>
      <c r="B489" s="2">
        <f t="shared" ca="1" si="1"/>
        <v>0.1124363926205726</v>
      </c>
      <c r="C489" s="2">
        <f t="shared" ca="1" si="2"/>
        <v>0.1058919891034234</v>
      </c>
      <c r="D489" s="2">
        <f t="shared" ca="1" si="3"/>
        <v>0.4953053205082979</v>
      </c>
      <c r="E489" s="2">
        <f t="shared" ca="1" si="4"/>
        <v>0.5046946794917021</v>
      </c>
      <c r="F489" s="1">
        <v>0</v>
      </c>
      <c r="G489" s="1">
        <f t="shared" ca="1" si="5"/>
        <v>0.4953053205082979</v>
      </c>
      <c r="H489" s="1">
        <f t="shared" ca="1" si="6"/>
        <v>0.5046946794917021</v>
      </c>
    </row>
    <row r="490" spans="1:8">
      <c r="A490" s="2">
        <f t="shared" ca="1" si="0"/>
        <v>0.99798222072978637</v>
      </c>
      <c r="B490" s="2">
        <f t="shared" ca="1" si="1"/>
        <v>0.14198930467467039</v>
      </c>
      <c r="C490" s="2">
        <f t="shared" ca="1" si="2"/>
        <v>0.14170280159910578</v>
      </c>
      <c r="D490" s="2">
        <f t="shared" ca="1" si="3"/>
        <v>0.30682736000470645</v>
      </c>
      <c r="E490" s="2">
        <f t="shared" ca="1" si="4"/>
        <v>0.69317263999529355</v>
      </c>
      <c r="F490" s="1">
        <v>0</v>
      </c>
      <c r="G490" s="1">
        <f t="shared" ca="1" si="5"/>
        <v>0.30682736000470645</v>
      </c>
      <c r="H490" s="1">
        <f t="shared" ca="1" si="6"/>
        <v>0.69317263999529355</v>
      </c>
    </row>
    <row r="491" spans="1:8">
      <c r="A491" s="2">
        <f t="shared" ca="1" si="0"/>
        <v>0.96431141685506627</v>
      </c>
      <c r="B491" s="2">
        <f t="shared" ca="1" si="1"/>
        <v>0.11917950149029911</v>
      </c>
      <c r="C491" s="2">
        <f t="shared" ca="1" si="2"/>
        <v>0.11492615394219081</v>
      </c>
      <c r="D491" s="2">
        <f t="shared" ca="1" si="3"/>
        <v>0.44775708451478524</v>
      </c>
      <c r="E491" s="2">
        <f t="shared" ca="1" si="4"/>
        <v>0.55224291548521476</v>
      </c>
      <c r="F491" s="1">
        <v>0</v>
      </c>
      <c r="G491" s="1">
        <f t="shared" ca="1" si="5"/>
        <v>0.44775708451478524</v>
      </c>
      <c r="H491" s="1">
        <f t="shared" ca="1" si="6"/>
        <v>0.55224291548521476</v>
      </c>
    </row>
    <row r="492" spans="1:8">
      <c r="A492" s="2">
        <f t="shared" ca="1" si="0"/>
        <v>1.0048457478908708</v>
      </c>
      <c r="B492" s="2">
        <f t="shared" ca="1" si="1"/>
        <v>0.17209974858735586</v>
      </c>
      <c r="C492" s="2">
        <f t="shared" ca="1" si="2"/>
        <v>0.17293370058109242</v>
      </c>
      <c r="D492" s="2">
        <f t="shared" ca="1" si="3"/>
        <v>0.14245420746793469</v>
      </c>
      <c r="E492" s="2">
        <f t="shared" ca="1" si="4"/>
        <v>0.85754579253206531</v>
      </c>
      <c r="F492" s="1">
        <v>0</v>
      </c>
      <c r="G492" s="1">
        <f t="shared" ca="1" si="5"/>
        <v>0.14245420746793469</v>
      </c>
      <c r="H492" s="1">
        <f t="shared" ca="1" si="6"/>
        <v>0.85754579253206531</v>
      </c>
    </row>
    <row r="493" spans="1:8">
      <c r="A493" s="2">
        <f t="shared" ca="1" si="0"/>
        <v>0.22654869849445716</v>
      </c>
      <c r="B493" s="2">
        <f t="shared" ca="1" si="1"/>
        <v>9.4738444434465718E-2</v>
      </c>
      <c r="C493" s="2">
        <f t="shared" ca="1" si="2"/>
        <v>2.1462871284017658E-2</v>
      </c>
      <c r="D493" s="2">
        <f t="shared" ca="1" si="3"/>
        <v>0.93966909850517022</v>
      </c>
      <c r="E493" s="2">
        <f t="shared" ca="1" si="4"/>
        <v>6.0330901494829781E-2</v>
      </c>
      <c r="F493" s="1">
        <v>0</v>
      </c>
      <c r="G493" s="1">
        <f t="shared" ca="1" si="5"/>
        <v>0.93966909850517022</v>
      </c>
      <c r="H493" s="1">
        <f t="shared" ca="1" si="6"/>
        <v>6.0330901494829781E-2</v>
      </c>
    </row>
    <row r="494" spans="1:8">
      <c r="A494" s="2">
        <f t="shared" ca="1" si="0"/>
        <v>0.99113522676518417</v>
      </c>
      <c r="B494" s="2">
        <f t="shared" ca="1" si="1"/>
        <v>0.13419205054520519</v>
      </c>
      <c r="C494" s="2">
        <f t="shared" ca="1" si="2"/>
        <v>0.13300246844720701</v>
      </c>
      <c r="D494" s="2">
        <f t="shared" ca="1" si="3"/>
        <v>0.35261858711996308</v>
      </c>
      <c r="E494" s="2">
        <f t="shared" ca="1" si="4"/>
        <v>0.64738141288003692</v>
      </c>
      <c r="F494" s="1">
        <v>0</v>
      </c>
      <c r="G494" s="1">
        <f t="shared" ca="1" si="5"/>
        <v>0.35261858711996308</v>
      </c>
      <c r="H494" s="1">
        <f t="shared" ca="1" si="6"/>
        <v>0.64738141288003692</v>
      </c>
    </row>
    <row r="495" spans="1:8">
      <c r="A495" s="2">
        <f t="shared" ca="1" si="0"/>
        <v>0.71175432037365249</v>
      </c>
      <c r="B495" s="2">
        <f t="shared" ca="1" si="1"/>
        <v>9.1727455507105468E-2</v>
      </c>
      <c r="C495" s="2">
        <f t="shared" ca="1" si="2"/>
        <v>6.52874127540643E-2</v>
      </c>
      <c r="D495" s="2">
        <f t="shared" ca="1" si="3"/>
        <v>0.70901361708387212</v>
      </c>
      <c r="E495" s="2">
        <f t="shared" ca="1" si="4"/>
        <v>0.29098638291612788</v>
      </c>
      <c r="F495" s="1">
        <v>0</v>
      </c>
      <c r="G495" s="1">
        <f t="shared" ca="1" si="5"/>
        <v>0.70901361708387212</v>
      </c>
      <c r="H495" s="1">
        <f t="shared" ca="1" si="6"/>
        <v>0.29098638291612788</v>
      </c>
    </row>
    <row r="496" spans="1:8">
      <c r="A496" s="2">
        <f t="shared" ca="1" si="0"/>
        <v>1.0049525948592712</v>
      </c>
      <c r="B496" s="2">
        <f t="shared" ca="1" si="1"/>
        <v>0.16974582003945185</v>
      </c>
      <c r="C496" s="2">
        <f t="shared" ca="1" si="2"/>
        <v>0.17058650231516204</v>
      </c>
      <c r="D496" s="2">
        <f t="shared" ca="1" si="3"/>
        <v>0.15480788255177869</v>
      </c>
      <c r="E496" s="2">
        <f t="shared" ca="1" si="4"/>
        <v>0.84519211744822131</v>
      </c>
      <c r="F496" s="1">
        <v>0</v>
      </c>
      <c r="G496" s="1">
        <f t="shared" ca="1" si="5"/>
        <v>0.15480788255177869</v>
      </c>
      <c r="H496" s="1">
        <f t="shared" ca="1" si="6"/>
        <v>0.84519211744822131</v>
      </c>
    </row>
    <row r="497" spans="1:8">
      <c r="A497" s="2">
        <f t="shared" ca="1" si="0"/>
        <v>0.92820327656796819</v>
      </c>
      <c r="B497" s="2">
        <f t="shared" ca="1" si="1"/>
        <v>0.10943343290838754</v>
      </c>
      <c r="C497" s="2">
        <f t="shared" ca="1" si="2"/>
        <v>0.10157647099164624</v>
      </c>
      <c r="D497" s="2">
        <f t="shared" ca="1" si="3"/>
        <v>0.51801857372817772</v>
      </c>
      <c r="E497" s="2">
        <f t="shared" ca="1" si="4"/>
        <v>0.48198142627182228</v>
      </c>
      <c r="F497" s="1">
        <v>0</v>
      </c>
      <c r="G497" s="1">
        <f t="shared" ca="1" si="5"/>
        <v>0.51801857372817772</v>
      </c>
      <c r="H497" s="1">
        <f t="shared" ca="1" si="6"/>
        <v>0.48198142627182228</v>
      </c>
    </row>
    <row r="498" spans="1:8">
      <c r="A498" s="2">
        <f t="shared" ca="1" si="0"/>
        <v>0.9934630141863674</v>
      </c>
      <c r="B498" s="2">
        <f t="shared" ca="1" si="1"/>
        <v>0.13644034522443252</v>
      </c>
      <c r="C498" s="2">
        <f t="shared" ca="1" si="2"/>
        <v>0.13554843662329327</v>
      </c>
      <c r="D498" s="2">
        <f t="shared" ca="1" si="3"/>
        <v>0.339218754614246</v>
      </c>
      <c r="E498" s="2">
        <f t="shared" ca="1" si="4"/>
        <v>0.660781245385754</v>
      </c>
      <c r="F498" s="1">
        <v>0</v>
      </c>
      <c r="G498" s="1">
        <f t="shared" ca="1" si="5"/>
        <v>0.339218754614246</v>
      </c>
      <c r="H498" s="1">
        <f t="shared" ca="1" si="6"/>
        <v>0.660781245385754</v>
      </c>
    </row>
    <row r="499" spans="1:8">
      <c r="A499" s="2">
        <f t="shared" ca="1" si="0"/>
        <v>1.000387110323375</v>
      </c>
      <c r="B499" s="2">
        <f t="shared" ca="1" si="1"/>
        <v>0.19843428173669214</v>
      </c>
      <c r="C499" s="2">
        <f t="shared" ca="1" si="2"/>
        <v>0.19851109769566391</v>
      </c>
      <c r="D499" s="2">
        <f t="shared" ca="1" si="3"/>
        <v>7.8363279175582834E-3</v>
      </c>
      <c r="E499" s="2">
        <f t="shared" ca="1" si="4"/>
        <v>0.99216367208244172</v>
      </c>
      <c r="F499" s="1">
        <v>0</v>
      </c>
      <c r="G499" s="1">
        <f t="shared" ca="1" si="5"/>
        <v>7.8363279175582834E-3</v>
      </c>
      <c r="H499" s="1">
        <f t="shared" ca="1" si="6"/>
        <v>0.99216367208244172</v>
      </c>
    </row>
    <row r="500" spans="1:8">
      <c r="A500" s="2">
        <f t="shared" ca="1" si="0"/>
        <v>0.8720736761207033</v>
      </c>
      <c r="B500" s="2">
        <f t="shared" ca="1" si="1"/>
        <v>0.10122704374159724</v>
      </c>
      <c r="C500" s="2">
        <f t="shared" ca="1" si="2"/>
        <v>8.8277440158565937E-2</v>
      </c>
      <c r="D500" s="2">
        <f t="shared" ca="1" si="3"/>
        <v>0.588013472849653</v>
      </c>
      <c r="E500" s="2">
        <f t="shared" ca="1" si="4"/>
        <v>0.411986527150347</v>
      </c>
      <c r="F500" s="1">
        <v>0</v>
      </c>
      <c r="G500" s="1">
        <f t="shared" ca="1" si="5"/>
        <v>0.588013472849653</v>
      </c>
      <c r="H500" s="1">
        <f t="shared" ca="1" si="6"/>
        <v>0.411986527150347</v>
      </c>
    </row>
    <row r="501" spans="1:8">
      <c r="A501" s="2">
        <f t="shared" ca="1" si="0"/>
        <v>0.61762908399532102</v>
      </c>
      <c r="B501" s="2">
        <f t="shared" ca="1" si="1"/>
        <v>8.9878526969971229E-2</v>
      </c>
      <c r="C501" s="2">
        <f t="shared" ca="1" si="2"/>
        <v>5.5511592283312088E-2</v>
      </c>
      <c r="D501" s="2">
        <f t="shared" ca="1" si="3"/>
        <v>0.76046530377204169</v>
      </c>
      <c r="E501" s="2">
        <f t="shared" ca="1" si="4"/>
        <v>0.23953469622795831</v>
      </c>
      <c r="F501" s="1">
        <v>0</v>
      </c>
      <c r="G501" s="1">
        <f t="shared" ca="1" si="5"/>
        <v>0.76046530377204169</v>
      </c>
      <c r="H501" s="1">
        <f t="shared" ca="1" si="6"/>
        <v>0.23953469622795831</v>
      </c>
    </row>
    <row r="502" spans="1:8">
      <c r="A502" s="2">
        <f t="shared" ca="1" si="0"/>
        <v>1.000326415343155</v>
      </c>
      <c r="B502" s="2">
        <f t="shared" ca="1" si="1"/>
        <v>0.19868214687509422</v>
      </c>
      <c r="C502" s="2">
        <f t="shared" ca="1" si="2"/>
        <v>0.19874699977624524</v>
      </c>
      <c r="D502" s="2">
        <f t="shared" ca="1" si="3"/>
        <v>6.5947380197618477E-3</v>
      </c>
      <c r="E502" s="2">
        <f t="shared" ca="1" si="4"/>
        <v>0.99340526198023815</v>
      </c>
      <c r="F502" s="1">
        <v>0</v>
      </c>
      <c r="G502" s="1">
        <f t="shared" ca="1" si="5"/>
        <v>6.5947380197618477E-3</v>
      </c>
      <c r="H502" s="1">
        <f t="shared" ca="1" si="6"/>
        <v>0.99340526198023815</v>
      </c>
    </row>
    <row r="503" spans="1:8">
      <c r="A503" s="2">
        <f t="shared" ca="1" si="0"/>
        <v>0.41850207491314623</v>
      </c>
      <c r="B503" s="2">
        <f t="shared" ca="1" si="1"/>
        <v>9.0249435614173729E-2</v>
      </c>
      <c r="C503" s="2">
        <f t="shared" ca="1" si="2"/>
        <v>3.7769576064272101E-2</v>
      </c>
      <c r="D503" s="2">
        <f t="shared" ca="1" si="3"/>
        <v>0.85384433650383107</v>
      </c>
      <c r="E503" s="2">
        <f t="shared" ca="1" si="4"/>
        <v>0.14615566349616893</v>
      </c>
      <c r="F503" s="1">
        <v>0</v>
      </c>
      <c r="G503" s="1">
        <f t="shared" ca="1" si="5"/>
        <v>0.85384433650383107</v>
      </c>
      <c r="H503" s="1">
        <f t="shared" ca="1" si="6"/>
        <v>0.14615566349616893</v>
      </c>
    </row>
    <row r="504" spans="1:8">
      <c r="A504" s="2">
        <f t="shared" ca="1" si="0"/>
        <v>0.9665721059844129</v>
      </c>
      <c r="B504" s="2">
        <f t="shared" ca="1" si="1"/>
        <v>0.12003960108430009</v>
      </c>
      <c r="C504" s="2">
        <f t="shared" ca="1" si="2"/>
        <v>0.11602693002158075</v>
      </c>
      <c r="D504" s="2">
        <f t="shared" ca="1" si="3"/>
        <v>0.44196352620220658</v>
      </c>
      <c r="E504" s="2">
        <f t="shared" ca="1" si="4"/>
        <v>0.55803647379779342</v>
      </c>
      <c r="F504" s="1">
        <v>0</v>
      </c>
      <c r="G504" s="1">
        <f t="shared" ca="1" si="5"/>
        <v>0.44196352620220658</v>
      </c>
      <c r="H504" s="1">
        <f t="shared" ca="1" si="6"/>
        <v>0.55803647379779342</v>
      </c>
    </row>
    <row r="505" spans="1:8">
      <c r="A505" s="2">
        <f t="shared" ca="1" si="0"/>
        <v>0.38131420986149672</v>
      </c>
      <c r="B505" s="2">
        <f t="shared" ca="1" si="1"/>
        <v>9.0816311315025752E-2</v>
      </c>
      <c r="C505" s="2">
        <f t="shared" ca="1" si="2"/>
        <v>3.462954999162475E-2</v>
      </c>
      <c r="D505" s="2">
        <f t="shared" ca="1" si="3"/>
        <v>0.87037078951776448</v>
      </c>
      <c r="E505" s="2">
        <f t="shared" ca="1" si="4"/>
        <v>0.12962921048223552</v>
      </c>
      <c r="F505" s="1">
        <v>0</v>
      </c>
      <c r="G505" s="1">
        <f t="shared" ca="1" si="5"/>
        <v>0.87037078951776448</v>
      </c>
      <c r="H505" s="1">
        <f t="shared" ca="1" si="6"/>
        <v>0.12962921048223552</v>
      </c>
    </row>
    <row r="506" spans="1:8">
      <c r="A506" s="2">
        <f t="shared" ca="1" si="0"/>
        <v>0.3189540412659333</v>
      </c>
      <c r="B506" s="2">
        <f t="shared" ca="1" si="1"/>
        <v>9.2090099546140586E-2</v>
      </c>
      <c r="C506" s="2">
        <f t="shared" ca="1" si="2"/>
        <v>2.937250941082363E-2</v>
      </c>
      <c r="D506" s="2">
        <f t="shared" ca="1" si="3"/>
        <v>0.89803942415355986</v>
      </c>
      <c r="E506" s="2">
        <f t="shared" ca="1" si="4"/>
        <v>0.10196057584644014</v>
      </c>
      <c r="F506" s="1">
        <v>0</v>
      </c>
      <c r="G506" s="1">
        <f t="shared" ca="1" si="5"/>
        <v>0.89803942415355986</v>
      </c>
      <c r="H506" s="1">
        <f t="shared" ca="1" si="6"/>
        <v>0.10196057584644014</v>
      </c>
    </row>
    <row r="507" spans="1:8">
      <c r="A507" s="2">
        <f t="shared" ca="1" si="0"/>
        <v>1.002668031103302</v>
      </c>
      <c r="B507" s="2">
        <f t="shared" ca="1" si="1"/>
        <v>0.15155387744203996</v>
      </c>
      <c r="C507" s="2">
        <f t="shared" ca="1" si="2"/>
        <v>0.15195822790088134</v>
      </c>
      <c r="D507" s="2">
        <f t="shared" ca="1" si="3"/>
        <v>0.25285143210062455</v>
      </c>
      <c r="E507" s="2">
        <f t="shared" ca="1" si="4"/>
        <v>0.74714856789937545</v>
      </c>
      <c r="F507" s="1">
        <v>0</v>
      </c>
      <c r="G507" s="1">
        <f t="shared" ca="1" si="5"/>
        <v>0.25285143210062455</v>
      </c>
      <c r="H507" s="1">
        <f t="shared" ca="1" si="6"/>
        <v>0.74714856789937545</v>
      </c>
    </row>
    <row r="508" spans="1:8">
      <c r="A508" s="2">
        <f t="shared" ca="1" si="0"/>
        <v>0.86555614505511369</v>
      </c>
      <c r="B508" s="2">
        <f t="shared" ca="1" si="1"/>
        <v>0.10054784721849355</v>
      </c>
      <c r="C508" s="2">
        <f t="shared" ca="1" si="2"/>
        <v>8.702980703202981E-2</v>
      </c>
      <c r="D508" s="2">
        <f t="shared" ca="1" si="3"/>
        <v>0.59457996298931681</v>
      </c>
      <c r="E508" s="2">
        <f t="shared" ca="1" si="4"/>
        <v>0.40542003701068319</v>
      </c>
      <c r="F508" s="1">
        <v>0</v>
      </c>
      <c r="G508" s="1">
        <f t="shared" ca="1" si="5"/>
        <v>0.59457996298931681</v>
      </c>
      <c r="H508" s="1">
        <f t="shared" ca="1" si="6"/>
        <v>0.40542003701068319</v>
      </c>
    </row>
    <row r="509" spans="1:8">
      <c r="A509" s="2">
        <f t="shared" ca="1" si="0"/>
        <v>0.44531490360428189</v>
      </c>
      <c r="B509" s="2">
        <f t="shared" ca="1" si="1"/>
        <v>8.9931030933825082E-2</v>
      </c>
      <c r="C509" s="2">
        <f t="shared" ca="1" si="2"/>
        <v>4.004762837133001E-2</v>
      </c>
      <c r="D509" s="2">
        <f t="shared" ca="1" si="3"/>
        <v>0.84185458751931574</v>
      </c>
      <c r="E509" s="2">
        <f t="shared" ca="1" si="4"/>
        <v>0.15814541248068426</v>
      </c>
      <c r="F509" s="1">
        <v>0</v>
      </c>
      <c r="G509" s="1">
        <f t="shared" ca="1" si="5"/>
        <v>0.84185458751931574</v>
      </c>
      <c r="H509" s="1">
        <f t="shared" ca="1" si="6"/>
        <v>0.15814541248068426</v>
      </c>
    </row>
    <row r="510" spans="1:8">
      <c r="A510" s="2">
        <f t="shared" ca="1" si="0"/>
        <v>0.72540402268672732</v>
      </c>
      <c r="B510" s="2">
        <f t="shared" ca="1" si="1"/>
        <v>9.2152076586639875E-2</v>
      </c>
      <c r="C510" s="2">
        <f t="shared" ca="1" si="2"/>
        <v>6.6847487054883942E-2</v>
      </c>
      <c r="D510" s="2">
        <f t="shared" ca="1" si="3"/>
        <v>0.70080269971113718</v>
      </c>
      <c r="E510" s="2">
        <f t="shared" ca="1" si="4"/>
        <v>0.29919730028886282</v>
      </c>
      <c r="F510" s="1">
        <v>0</v>
      </c>
      <c r="G510" s="1">
        <f t="shared" ca="1" si="5"/>
        <v>0.70080269971113718</v>
      </c>
      <c r="H510" s="1">
        <f t="shared" ca="1" si="6"/>
        <v>0.29919730028886282</v>
      </c>
    </row>
    <row r="511" spans="1:8">
      <c r="A511" s="2">
        <f t="shared" ca="1" si="0"/>
        <v>1.0042852113450829</v>
      </c>
      <c r="B511" s="2">
        <f t="shared" ca="1" si="1"/>
        <v>0.17816718141032448</v>
      </c>
      <c r="C511" s="2">
        <f t="shared" ca="1" si="2"/>
        <v>0.17893066543742542</v>
      </c>
      <c r="D511" s="2">
        <f t="shared" ca="1" si="3"/>
        <v>0.11089123453986638</v>
      </c>
      <c r="E511" s="2">
        <f t="shared" ca="1" si="4"/>
        <v>0.88910876546013362</v>
      </c>
      <c r="F511" s="1">
        <v>0</v>
      </c>
      <c r="G511" s="1">
        <f t="shared" ca="1" si="5"/>
        <v>0.11089123453986638</v>
      </c>
      <c r="H511" s="1">
        <f t="shared" ca="1" si="6"/>
        <v>0.88910876546013362</v>
      </c>
    </row>
    <row r="512" spans="1:8">
      <c r="A512" s="2">
        <f t="shared" ca="1" si="0"/>
        <v>1.003683981747904</v>
      </c>
      <c r="B512" s="2">
        <f t="shared" ca="1" si="1"/>
        <v>0.1551881760191024</v>
      </c>
      <c r="C512" s="2">
        <f t="shared" ca="1" si="2"/>
        <v>0.15575988642704727</v>
      </c>
      <c r="D512" s="2">
        <f t="shared" ca="1" si="3"/>
        <v>0.23284270301554066</v>
      </c>
      <c r="E512" s="2">
        <f t="shared" ca="1" si="4"/>
        <v>0.76715729698445934</v>
      </c>
      <c r="F512" s="1">
        <v>0</v>
      </c>
      <c r="G512" s="1">
        <f t="shared" ca="1" si="5"/>
        <v>0.23284270301554066</v>
      </c>
      <c r="H512" s="1">
        <f t="shared" ca="1" si="6"/>
        <v>0.76715729698445934</v>
      </c>
    </row>
    <row r="513" spans="1:8">
      <c r="A513" s="2">
        <f t="shared" ca="1" si="0"/>
        <v>0.99617112595604873</v>
      </c>
      <c r="B513" s="2">
        <f t="shared" ca="1" si="1"/>
        <v>0.13952423125274957</v>
      </c>
      <c r="C513" s="2">
        <f t="shared" ca="1" si="2"/>
        <v>0.13899001054520366</v>
      </c>
      <c r="D513" s="2">
        <f t="shared" ca="1" si="3"/>
        <v>0.32110520765682282</v>
      </c>
      <c r="E513" s="2">
        <f t="shared" ca="1" si="4"/>
        <v>0.67889479234317718</v>
      </c>
      <c r="F513" s="1">
        <v>0</v>
      </c>
      <c r="G513" s="1">
        <f t="shared" ca="1" si="5"/>
        <v>0.32110520765682282</v>
      </c>
      <c r="H513" s="1">
        <f t="shared" ca="1" si="6"/>
        <v>0.67889479234317718</v>
      </c>
    </row>
    <row r="514" spans="1:8">
      <c r="A514" s="2">
        <f t="shared" ca="1" si="0"/>
        <v>0.9946478497603275</v>
      </c>
      <c r="B514" s="2">
        <f t="shared" ca="1" si="1"/>
        <v>0.13771672299485416</v>
      </c>
      <c r="C514" s="2">
        <f t="shared" ca="1" si="2"/>
        <v>0.13697964240287033</v>
      </c>
      <c r="D514" s="2">
        <f t="shared" ca="1" si="3"/>
        <v>0.33168609261647186</v>
      </c>
      <c r="E514" s="2">
        <f t="shared" ca="1" si="4"/>
        <v>0.66831390738352814</v>
      </c>
      <c r="F514" s="1">
        <v>0</v>
      </c>
      <c r="G514" s="1">
        <f t="shared" ca="1" si="5"/>
        <v>0.33168609261647186</v>
      </c>
      <c r="H514" s="1">
        <f t="shared" ca="1" si="6"/>
        <v>0.66831390738352814</v>
      </c>
    </row>
    <row r="515" spans="1:8">
      <c r="A515" s="2">
        <f t="shared" ca="1" si="0"/>
        <v>1.0045762281013382</v>
      </c>
      <c r="B515" s="2">
        <f t="shared" ca="1" si="1"/>
        <v>0.1603024762683862</v>
      </c>
      <c r="C515" s="2">
        <f t="shared" ca="1" si="2"/>
        <v>0.16103605696499967</v>
      </c>
      <c r="D515" s="2">
        <f t="shared" ca="1" si="3"/>
        <v>0.20507338439473866</v>
      </c>
      <c r="E515" s="2">
        <f t="shared" ca="1" si="4"/>
        <v>0.79492661560526134</v>
      </c>
      <c r="F515" s="1">
        <v>0</v>
      </c>
      <c r="G515" s="1">
        <f t="shared" ca="1" si="5"/>
        <v>0.20507338439473866</v>
      </c>
      <c r="H515" s="1">
        <f t="shared" ca="1" si="6"/>
        <v>0.79492661560526134</v>
      </c>
    </row>
    <row r="516" spans="1:8">
      <c r="A516" s="2">
        <f t="shared" ca="1" si="0"/>
        <v>0.98144167291248474</v>
      </c>
      <c r="B516" s="2">
        <f t="shared" ca="1" si="1"/>
        <v>0.12715270938070622</v>
      </c>
      <c r="C516" s="2">
        <f t="shared" ca="1" si="2"/>
        <v>0.1247929678099553</v>
      </c>
      <c r="D516" s="2">
        <f t="shared" ca="1" si="3"/>
        <v>0.39582648521076158</v>
      </c>
      <c r="E516" s="2">
        <f t="shared" ca="1" si="4"/>
        <v>0.60417351478923842</v>
      </c>
      <c r="F516" s="1">
        <v>0</v>
      </c>
      <c r="G516" s="1">
        <f t="shared" ca="1" si="5"/>
        <v>0.39582648521076158</v>
      </c>
      <c r="H516" s="1">
        <f t="shared" ca="1" si="6"/>
        <v>0.60417351478923842</v>
      </c>
    </row>
    <row r="517" spans="1:8">
      <c r="A517" s="2">
        <f t="shared" ca="1" si="0"/>
        <v>1.0029778440709598</v>
      </c>
      <c r="B517" s="2">
        <f t="shared" ca="1" si="1"/>
        <v>0.1865403502848467</v>
      </c>
      <c r="C517" s="2">
        <f t="shared" ca="1" si="2"/>
        <v>0.18709583836093718</v>
      </c>
      <c r="D517" s="2">
        <f t="shared" ca="1" si="3"/>
        <v>6.7916640205593737E-2</v>
      </c>
      <c r="E517" s="2">
        <f t="shared" ca="1" si="4"/>
        <v>0.93208335979440626</v>
      </c>
      <c r="F517" s="1">
        <v>0</v>
      </c>
      <c r="G517" s="1">
        <f t="shared" ca="1" si="5"/>
        <v>6.7916640205593737E-2</v>
      </c>
      <c r="H517" s="1">
        <f t="shared" ca="1" si="6"/>
        <v>0.93208335979440626</v>
      </c>
    </row>
    <row r="518" spans="1:8">
      <c r="A518" s="2">
        <f t="shared" ca="1" si="0"/>
        <v>0.91959893687619787</v>
      </c>
      <c r="B518" s="2">
        <f t="shared" ca="1" si="1"/>
        <v>0.10780508309857739</v>
      </c>
      <c r="C518" s="2">
        <f t="shared" ca="1" si="2"/>
        <v>9.9137439807301941E-2</v>
      </c>
      <c r="D518" s="2">
        <f t="shared" ca="1" si="3"/>
        <v>0.53085557996156874</v>
      </c>
      <c r="E518" s="2">
        <f t="shared" ca="1" si="4"/>
        <v>0.46914442003843126</v>
      </c>
      <c r="F518" s="1">
        <v>0</v>
      </c>
      <c r="G518" s="1">
        <f t="shared" ca="1" si="5"/>
        <v>0.53085557996156874</v>
      </c>
      <c r="H518" s="1">
        <f t="shared" ca="1" si="6"/>
        <v>0.46914442003843126</v>
      </c>
    </row>
    <row r="519" spans="1:8">
      <c r="A519" s="2">
        <f t="shared" ca="1" si="0"/>
        <v>0.73688516913983126</v>
      </c>
      <c r="B519" s="2">
        <f t="shared" ca="1" si="1"/>
        <v>9.2547069333843129E-2</v>
      </c>
      <c r="C519" s="2">
        <f t="shared" ca="1" si="2"/>
        <v>6.8196562839464681E-2</v>
      </c>
      <c r="D519" s="2">
        <f t="shared" ca="1" si="3"/>
        <v>0.69370230084492279</v>
      </c>
      <c r="E519" s="2">
        <f t="shared" ca="1" si="4"/>
        <v>0.30629769915507721</v>
      </c>
      <c r="F519" s="1">
        <v>0</v>
      </c>
      <c r="G519" s="1">
        <f t="shared" ca="1" si="5"/>
        <v>0.69370230084492279</v>
      </c>
      <c r="H519" s="1">
        <f t="shared" ca="1" si="6"/>
        <v>0.30629769915507721</v>
      </c>
    </row>
    <row r="520" spans="1:8">
      <c r="A520" s="2">
        <f t="shared" ca="1" si="0"/>
        <v>0.94760614945197819</v>
      </c>
      <c r="B520" s="2">
        <f t="shared" ca="1" si="1"/>
        <v>0.11392413010744601</v>
      </c>
      <c r="C520" s="2">
        <f t="shared" ca="1" si="2"/>
        <v>0.10795520626078309</v>
      </c>
      <c r="D520" s="2">
        <f t="shared" ca="1" si="3"/>
        <v>0.48444628283798374</v>
      </c>
      <c r="E520" s="2">
        <f t="shared" ca="1" si="4"/>
        <v>0.51555371716201626</v>
      </c>
      <c r="F520" s="1">
        <v>0</v>
      </c>
      <c r="G520" s="1">
        <f t="shared" ca="1" si="5"/>
        <v>0.48444628283798374</v>
      </c>
      <c r="H520" s="1">
        <f t="shared" ca="1" si="6"/>
        <v>0.51555371716201626</v>
      </c>
    </row>
    <row r="521" spans="1:8">
      <c r="A521" s="2">
        <f t="shared" ca="1" si="0"/>
        <v>0.71994418636072399</v>
      </c>
      <c r="B521" s="2">
        <f t="shared" ca="1" si="1"/>
        <v>9.1976566637523974E-2</v>
      </c>
      <c r="C521" s="2">
        <f t="shared" ca="1" si="2"/>
        <v>6.6217994432105104E-2</v>
      </c>
      <c r="D521" s="2">
        <f t="shared" ca="1" si="3"/>
        <v>0.70411581877839424</v>
      </c>
      <c r="E521" s="2">
        <f t="shared" ca="1" si="4"/>
        <v>0.29588418122160576</v>
      </c>
      <c r="F521" s="1">
        <v>0</v>
      </c>
      <c r="G521" s="1">
        <f t="shared" ca="1" si="5"/>
        <v>0.70411581877839424</v>
      </c>
      <c r="H521" s="1">
        <f t="shared" ca="1" si="6"/>
        <v>0.29588418122160576</v>
      </c>
    </row>
    <row r="522" spans="1:8">
      <c r="A522" s="2">
        <f t="shared" ca="1" si="0"/>
        <v>1.0027571298221645</v>
      </c>
      <c r="B522" s="2">
        <f t="shared" ca="1" si="1"/>
        <v>0.1877039676375177</v>
      </c>
      <c r="C522" s="2">
        <f t="shared" ca="1" si="2"/>
        <v>0.18822149184442971</v>
      </c>
      <c r="D522" s="2">
        <f t="shared" ca="1" si="3"/>
        <v>6.1992148187212104E-2</v>
      </c>
      <c r="E522" s="2">
        <f t="shared" ca="1" si="4"/>
        <v>0.9380078518127879</v>
      </c>
      <c r="F522" s="1">
        <v>0</v>
      </c>
      <c r="G522" s="1">
        <f t="shared" ca="1" si="5"/>
        <v>6.1992148187212104E-2</v>
      </c>
      <c r="H522" s="1">
        <f t="shared" ca="1" si="6"/>
        <v>0.9380078518127879</v>
      </c>
    </row>
    <row r="523" spans="1:8">
      <c r="A523" s="2">
        <f t="shared" ca="1" si="0"/>
        <v>0.98751551056514375</v>
      </c>
      <c r="B523" s="2">
        <f t="shared" ca="1" si="1"/>
        <v>0.13120923286971245</v>
      </c>
      <c r="C523" s="2">
        <f t="shared" ca="1" si="2"/>
        <v>0.12957115258819493</v>
      </c>
      <c r="D523" s="2">
        <f t="shared" ca="1" si="3"/>
        <v>0.37067814427265822</v>
      </c>
      <c r="E523" s="2">
        <f t="shared" ca="1" si="4"/>
        <v>0.62932185572734178</v>
      </c>
      <c r="F523" s="1">
        <v>0</v>
      </c>
      <c r="G523" s="1">
        <f t="shared" ca="1" si="5"/>
        <v>0.37067814427265822</v>
      </c>
      <c r="H523" s="1">
        <f t="shared" ca="1" si="6"/>
        <v>0.62932185572734178</v>
      </c>
    </row>
    <row r="524" spans="1:8">
      <c r="A524" s="2">
        <f t="shared" ca="1" si="0"/>
        <v>0.98955471197120615</v>
      </c>
      <c r="B524" s="2">
        <f t="shared" ca="1" si="1"/>
        <v>0.13282360703406582</v>
      </c>
      <c r="C524" s="2">
        <f t="shared" ca="1" si="2"/>
        <v>0.13143622620157167</v>
      </c>
      <c r="D524" s="2">
        <f t="shared" ca="1" si="3"/>
        <v>0.36086196736014919</v>
      </c>
      <c r="E524" s="2">
        <f t="shared" ca="1" si="4"/>
        <v>0.63913803263985081</v>
      </c>
      <c r="F524" s="1">
        <v>0</v>
      </c>
      <c r="G524" s="1">
        <f t="shared" ca="1" si="5"/>
        <v>0.36086196736014919</v>
      </c>
      <c r="H524" s="1">
        <f t="shared" ca="1" si="6"/>
        <v>0.63913803263985081</v>
      </c>
    </row>
    <row r="525" spans="1:8">
      <c r="A525" s="2">
        <f t="shared" ca="1" si="0"/>
        <v>0.99890230325838603</v>
      </c>
      <c r="B525" s="2">
        <f t="shared" ca="1" si="1"/>
        <v>0.14341552689400963</v>
      </c>
      <c r="C525" s="2">
        <f t="shared" ca="1" si="2"/>
        <v>0.14325810013744122</v>
      </c>
      <c r="D525" s="2">
        <f t="shared" ca="1" si="3"/>
        <v>0.29864157822399351</v>
      </c>
      <c r="E525" s="2">
        <f t="shared" ca="1" si="4"/>
        <v>0.70135842177600649</v>
      </c>
      <c r="F525" s="1">
        <v>0</v>
      </c>
      <c r="G525" s="1">
        <f t="shared" ca="1" si="5"/>
        <v>0.29864157822399351</v>
      </c>
      <c r="H525" s="1">
        <f t="shared" ca="1" si="6"/>
        <v>0.70135842177600649</v>
      </c>
    </row>
    <row r="526" spans="1:8">
      <c r="A526" s="2">
        <f t="shared" ca="1" si="0"/>
        <v>0.15033950528855128</v>
      </c>
      <c r="B526" s="2">
        <f t="shared" ca="1" si="1"/>
        <v>9.7660141286882315E-2</v>
      </c>
      <c r="C526" s="2">
        <f t="shared" ca="1" si="2"/>
        <v>1.4682177327479909E-2</v>
      </c>
      <c r="D526" s="2">
        <f t="shared" ca="1" si="3"/>
        <v>0.97535696143431627</v>
      </c>
      <c r="E526" s="2">
        <f t="shared" ca="1" si="4"/>
        <v>2.4643038565683728E-2</v>
      </c>
      <c r="F526" s="1">
        <v>0</v>
      </c>
      <c r="G526" s="1">
        <f t="shared" ca="1" si="5"/>
        <v>0.97535696143431627</v>
      </c>
      <c r="H526" s="1">
        <f t="shared" ca="1" si="6"/>
        <v>2.4643038565683728E-2</v>
      </c>
    </row>
    <row r="527" spans="1:8">
      <c r="A527" s="2">
        <f t="shared" ca="1" si="0"/>
        <v>0.99084251751312113</v>
      </c>
      <c r="B527" s="2">
        <f t="shared" ca="1" si="1"/>
        <v>0.1339299449743232</v>
      </c>
      <c r="C527" s="2">
        <f t="shared" ca="1" si="2"/>
        <v>0.13270348384875219</v>
      </c>
      <c r="D527" s="2">
        <f t="shared" ca="1" si="3"/>
        <v>0.35419219026972537</v>
      </c>
      <c r="E527" s="2">
        <f t="shared" ca="1" si="4"/>
        <v>0.64580780973027463</v>
      </c>
      <c r="F527" s="1">
        <v>0</v>
      </c>
      <c r="G527" s="1">
        <f t="shared" ca="1" si="5"/>
        <v>0.35419219026972537</v>
      </c>
      <c r="H527" s="1">
        <f t="shared" ca="1" si="6"/>
        <v>0.64580780973027463</v>
      </c>
    </row>
    <row r="528" spans="1:8">
      <c r="A528" s="2">
        <f t="shared" ca="1" si="0"/>
        <v>0.99567974644991109</v>
      </c>
      <c r="B528" s="2">
        <f t="shared" ca="1" si="1"/>
        <v>0.13891818811995454</v>
      </c>
      <c r="C528" s="2">
        <f t="shared" ca="1" si="2"/>
        <v>0.13831802632455739</v>
      </c>
      <c r="D528" s="2">
        <f t="shared" ca="1" si="3"/>
        <v>0.32464196671285583</v>
      </c>
      <c r="E528" s="2">
        <f t="shared" ca="1" si="4"/>
        <v>0.67535803328714417</v>
      </c>
      <c r="F528" s="1">
        <v>0</v>
      </c>
      <c r="G528" s="1">
        <f t="shared" ca="1" si="5"/>
        <v>0.32464196671285583</v>
      </c>
      <c r="H528" s="1">
        <f t="shared" ca="1" si="6"/>
        <v>0.67535803328714417</v>
      </c>
    </row>
    <row r="529" spans="1:8">
      <c r="A529" s="2">
        <f t="shared" ca="1" si="0"/>
        <v>1.0049592646455392</v>
      </c>
      <c r="B529" s="2">
        <f t="shared" ca="1" si="1"/>
        <v>0.16553574580581654</v>
      </c>
      <c r="C529" s="2">
        <f t="shared" ca="1" si="2"/>
        <v>0.16635668137756429</v>
      </c>
      <c r="D529" s="2">
        <f t="shared" ca="1" si="3"/>
        <v>0.17707009801281959</v>
      </c>
      <c r="E529" s="2">
        <f t="shared" ca="1" si="4"/>
        <v>0.82292990198718041</v>
      </c>
      <c r="F529" s="1">
        <v>0</v>
      </c>
      <c r="G529" s="1">
        <f t="shared" ca="1" si="5"/>
        <v>0.17707009801281959</v>
      </c>
      <c r="H529" s="1">
        <f t="shared" ca="1" si="6"/>
        <v>0.82292990198718041</v>
      </c>
    </row>
    <row r="530" spans="1:8">
      <c r="A530" s="2">
        <f t="shared" ca="1" si="0"/>
        <v>1.0043213813343019</v>
      </c>
      <c r="B530" s="2">
        <f t="shared" ca="1" si="1"/>
        <v>0.15846868735939773</v>
      </c>
      <c r="C530" s="2">
        <f t="shared" ca="1" si="2"/>
        <v>0.15915349098702394</v>
      </c>
      <c r="D530" s="2">
        <f t="shared" ca="1" si="3"/>
        <v>0.21498162638408458</v>
      </c>
      <c r="E530" s="2">
        <f t="shared" ca="1" si="4"/>
        <v>0.78501837361591542</v>
      </c>
      <c r="F530" s="1">
        <v>0</v>
      </c>
      <c r="G530" s="1">
        <f t="shared" ca="1" si="5"/>
        <v>0.21498162638408458</v>
      </c>
      <c r="H530" s="1">
        <f t="shared" ca="1" si="6"/>
        <v>0.78501837361591542</v>
      </c>
    </row>
    <row r="531" spans="1:8">
      <c r="A531" s="2">
        <f t="shared" ca="1" si="0"/>
        <v>0.84129641886726858</v>
      </c>
      <c r="B531" s="2">
        <f t="shared" ca="1" si="1"/>
        <v>9.8341220493230658E-2</v>
      </c>
      <c r="C531" s="2">
        <f t="shared" ca="1" si="2"/>
        <v>8.2734116627991391E-2</v>
      </c>
      <c r="D531" s="2">
        <f t="shared" ca="1" si="3"/>
        <v>0.61718885985267691</v>
      </c>
      <c r="E531" s="2">
        <f t="shared" ca="1" si="4"/>
        <v>0.38281114014732309</v>
      </c>
      <c r="F531" s="1">
        <v>0</v>
      </c>
      <c r="G531" s="1">
        <f t="shared" ca="1" si="5"/>
        <v>0.61718885985267691</v>
      </c>
      <c r="H531" s="1">
        <f t="shared" ca="1" si="6"/>
        <v>0.38281114014732309</v>
      </c>
    </row>
    <row r="532" spans="1:8">
      <c r="A532" s="2">
        <f t="shared" ca="1" si="0"/>
        <v>0.62801421681434733</v>
      </c>
      <c r="B532" s="2">
        <f t="shared" ca="1" si="1"/>
        <v>9.0003456405276017E-2</v>
      </c>
      <c r="C532" s="2">
        <f t="shared" ca="1" si="2"/>
        <v>5.6523450184943674E-2</v>
      </c>
      <c r="D532" s="2">
        <f t="shared" ca="1" si="3"/>
        <v>0.75513973586871752</v>
      </c>
      <c r="E532" s="2">
        <f t="shared" ca="1" si="4"/>
        <v>0.24486026413128248</v>
      </c>
      <c r="F532" s="1">
        <v>0</v>
      </c>
      <c r="G532" s="1">
        <f t="shared" ca="1" si="5"/>
        <v>0.75513973586871752</v>
      </c>
      <c r="H532" s="1">
        <f t="shared" ca="1" si="6"/>
        <v>0.24486026413128248</v>
      </c>
    </row>
    <row r="533" spans="1:8">
      <c r="A533" s="2">
        <f t="shared" ca="1" si="0"/>
        <v>1.0008354344397137</v>
      </c>
      <c r="B533" s="2">
        <f t="shared" ca="1" si="1"/>
        <v>0.19657300329509028</v>
      </c>
      <c r="C533" s="2">
        <f t="shared" ca="1" si="2"/>
        <v>0.19673722715196096</v>
      </c>
      <c r="D533" s="2">
        <f t="shared" ca="1" si="3"/>
        <v>1.7172488673889652E-2</v>
      </c>
      <c r="E533" s="2">
        <f t="shared" ca="1" si="4"/>
        <v>0.98282751132611035</v>
      </c>
      <c r="F533" s="1">
        <v>0</v>
      </c>
      <c r="G533" s="1">
        <f t="shared" ca="1" si="5"/>
        <v>1.7172488673889652E-2</v>
      </c>
      <c r="H533" s="1">
        <f t="shared" ca="1" si="6"/>
        <v>0.98282751132611035</v>
      </c>
    </row>
    <row r="534" spans="1:8">
      <c r="A534" s="2">
        <f t="shared" ca="1" si="0"/>
        <v>0.72235380132918392</v>
      </c>
      <c r="B534" s="2">
        <f t="shared" ca="1" si="1"/>
        <v>9.2053074668044438E-2</v>
      </c>
      <c r="C534" s="2">
        <f t="shared" ca="1" si="2"/>
        <v>6.6494888410501107E-2</v>
      </c>
      <c r="D534" s="2">
        <f t="shared" ca="1" si="3"/>
        <v>0.70265848204999415</v>
      </c>
      <c r="E534" s="2">
        <f t="shared" ca="1" si="4"/>
        <v>0.29734151795000585</v>
      </c>
      <c r="F534" s="1">
        <v>0</v>
      </c>
      <c r="G534" s="1">
        <f t="shared" ca="1" si="5"/>
        <v>0.70265848204999415</v>
      </c>
      <c r="H534" s="1">
        <f t="shared" ca="1" si="6"/>
        <v>0.29734151795000585</v>
      </c>
    </row>
    <row r="535" spans="1:8">
      <c r="A535" s="2">
        <f t="shared" ca="1" si="0"/>
        <v>0.92616950001240095</v>
      </c>
      <c r="B535" s="2">
        <f t="shared" ca="1" si="1"/>
        <v>0.10903174500954346</v>
      </c>
      <c r="C535" s="2">
        <f t="shared" ca="1" si="2"/>
        <v>0.10098187676096847</v>
      </c>
      <c r="D535" s="2">
        <f t="shared" ca="1" si="3"/>
        <v>0.52114801704753444</v>
      </c>
      <c r="E535" s="2">
        <f t="shared" ca="1" si="4"/>
        <v>0.47885198295246556</v>
      </c>
      <c r="F535" s="1">
        <v>0</v>
      </c>
      <c r="G535" s="1">
        <f t="shared" ca="1" si="5"/>
        <v>0.52114801704753444</v>
      </c>
      <c r="H535" s="1">
        <f t="shared" ca="1" si="6"/>
        <v>0.47885198295246556</v>
      </c>
    </row>
    <row r="536" spans="1:8">
      <c r="A536" s="2">
        <f t="shared" ca="1" si="0"/>
        <v>0.98300840430262404</v>
      </c>
      <c r="B536" s="2">
        <f t="shared" ca="1" si="1"/>
        <v>0.12810988815870916</v>
      </c>
      <c r="C536" s="2">
        <f t="shared" ca="1" si="2"/>
        <v>0.12593309673428033</v>
      </c>
      <c r="D536" s="2">
        <f t="shared" ca="1" si="3"/>
        <v>0.38982580666168254</v>
      </c>
      <c r="E536" s="2">
        <f t="shared" ca="1" si="4"/>
        <v>0.61017419333831746</v>
      </c>
      <c r="F536" s="1">
        <v>0</v>
      </c>
      <c r="G536" s="1">
        <f t="shared" ca="1" si="5"/>
        <v>0.38982580666168254</v>
      </c>
      <c r="H536" s="1">
        <f t="shared" ca="1" si="6"/>
        <v>0.61017419333831746</v>
      </c>
    </row>
    <row r="537" spans="1:8">
      <c r="A537" s="2">
        <f t="shared" ca="1" si="0"/>
        <v>0.87942286900975586</v>
      </c>
      <c r="B537" s="2">
        <f t="shared" ca="1" si="1"/>
        <v>0.10204458304132552</v>
      </c>
      <c r="C537" s="2">
        <f t="shared" ca="1" si="2"/>
        <v>8.9740339985106762E-2</v>
      </c>
      <c r="D537" s="2">
        <f t="shared" ca="1" si="3"/>
        <v>0.58031400007838552</v>
      </c>
      <c r="E537" s="2">
        <f t="shared" ca="1" si="4"/>
        <v>0.41968599992161448</v>
      </c>
      <c r="F537" s="1">
        <v>0</v>
      </c>
      <c r="G537" s="1">
        <f t="shared" ca="1" si="5"/>
        <v>0.58031400007838552</v>
      </c>
      <c r="H537" s="1">
        <f t="shared" ca="1" si="6"/>
        <v>0.41968599992161448</v>
      </c>
    </row>
    <row r="538" spans="1:8">
      <c r="A538" s="2">
        <f t="shared" ca="1" si="0"/>
        <v>0.68615381589921176</v>
      </c>
      <c r="B538" s="2">
        <f t="shared" ca="1" si="1"/>
        <v>9.1050461401211563E-2</v>
      </c>
      <c r="C538" s="2">
        <f t="shared" ca="1" si="2"/>
        <v>6.2474621529825206E-2</v>
      </c>
      <c r="D538" s="2">
        <f t="shared" ca="1" si="3"/>
        <v>0.72381778142197262</v>
      </c>
      <c r="E538" s="2">
        <f t="shared" ca="1" si="4"/>
        <v>0.27618221857802738</v>
      </c>
      <c r="F538" s="1">
        <v>0</v>
      </c>
      <c r="G538" s="1">
        <f t="shared" ca="1" si="5"/>
        <v>0.72381778142197262</v>
      </c>
      <c r="H538" s="1">
        <f t="shared" ca="1" si="6"/>
        <v>0.27618221857802738</v>
      </c>
    </row>
    <row r="539" spans="1:8">
      <c r="A539" s="2">
        <f t="shared" ca="1" si="0"/>
        <v>0.89081472481568325</v>
      </c>
      <c r="B539" s="2">
        <f t="shared" ca="1" si="1"/>
        <v>0.1034340385965497</v>
      </c>
      <c r="C539" s="2">
        <f t="shared" ca="1" si="2"/>
        <v>9.2140564628960184E-2</v>
      </c>
      <c r="D539" s="2">
        <f t="shared" ca="1" si="3"/>
        <v>0.56768123879494647</v>
      </c>
      <c r="E539" s="2">
        <f t="shared" ca="1" si="4"/>
        <v>0.43231876120505353</v>
      </c>
      <c r="F539" s="1">
        <v>0</v>
      </c>
      <c r="G539" s="1">
        <f t="shared" ca="1" si="5"/>
        <v>0.56768123879494647</v>
      </c>
      <c r="H539" s="1">
        <f t="shared" ca="1" si="6"/>
        <v>0.43231876120505353</v>
      </c>
    </row>
    <row r="540" spans="1:8">
      <c r="A540" s="2">
        <f t="shared" ca="1" si="0"/>
        <v>0.88459226238167443</v>
      </c>
      <c r="B540" s="2">
        <f t="shared" ca="1" si="1"/>
        <v>0.10265552339246642</v>
      </c>
      <c r="C540" s="2">
        <f t="shared" ca="1" si="2"/>
        <v>9.0808281683716768E-2</v>
      </c>
      <c r="D540" s="2">
        <f t="shared" ca="1" si="3"/>
        <v>0.57469325429622753</v>
      </c>
      <c r="E540" s="2">
        <f t="shared" ca="1" si="4"/>
        <v>0.42530674570377247</v>
      </c>
      <c r="F540" s="1">
        <v>0</v>
      </c>
      <c r="G540" s="1">
        <f t="shared" ca="1" si="5"/>
        <v>0.57469325429622753</v>
      </c>
      <c r="H540" s="1">
        <f t="shared" ca="1" si="6"/>
        <v>0.42530674570377247</v>
      </c>
    </row>
    <row r="541" spans="1:8">
      <c r="A541" s="2">
        <f t="shared" ca="1" si="0"/>
        <v>0.88411422054213196</v>
      </c>
      <c r="B541" s="2">
        <f t="shared" ca="1" si="1"/>
        <v>0.10259770831463955</v>
      </c>
      <c r="C541" s="2">
        <f t="shared" ca="1" si="2"/>
        <v>9.0708092916006552E-2</v>
      </c>
      <c r="D541" s="2">
        <f t="shared" ca="1" si="3"/>
        <v>0.57522056359996554</v>
      </c>
      <c r="E541" s="2">
        <f t="shared" ca="1" si="4"/>
        <v>0.42477943640003446</v>
      </c>
      <c r="F541" s="1">
        <v>0</v>
      </c>
      <c r="G541" s="1">
        <f t="shared" ca="1" si="5"/>
        <v>0.57522056359996554</v>
      </c>
      <c r="H541" s="1">
        <f t="shared" ca="1" si="6"/>
        <v>0.42477943640003446</v>
      </c>
    </row>
    <row r="542" spans="1:8">
      <c r="A542" s="2">
        <f t="shared" ca="1" si="0"/>
        <v>0.94424235801836853</v>
      </c>
      <c r="B542" s="2">
        <f t="shared" ca="1" si="1"/>
        <v>0.11304587859921857</v>
      </c>
      <c r="C542" s="2">
        <f t="shared" ca="1" si="2"/>
        <v>0.10674270697278436</v>
      </c>
      <c r="D542" s="2">
        <f t="shared" ca="1" si="3"/>
        <v>0.49082785803797713</v>
      </c>
      <c r="E542" s="2">
        <f t="shared" ca="1" si="4"/>
        <v>0.50917214196202287</v>
      </c>
      <c r="F542" s="1">
        <v>0</v>
      </c>
      <c r="G542" s="1">
        <f t="shared" ca="1" si="5"/>
        <v>0.49082785803797713</v>
      </c>
      <c r="H542" s="1">
        <f t="shared" ca="1" si="6"/>
        <v>0.50917214196202287</v>
      </c>
    </row>
    <row r="543" spans="1:8">
      <c r="A543" s="2">
        <f t="shared" ca="1" si="0"/>
        <v>1.0049748942137993</v>
      </c>
      <c r="B543" s="2">
        <f t="shared" ca="1" si="1"/>
        <v>0.16617892723591435</v>
      </c>
      <c r="C543" s="2">
        <f t="shared" ca="1" si="2"/>
        <v>0.16700564981947566</v>
      </c>
      <c r="D543" s="2">
        <f t="shared" ca="1" si="3"/>
        <v>0.1736544746343387</v>
      </c>
      <c r="E543" s="2">
        <f t="shared" ca="1" si="4"/>
        <v>0.8263455253656613</v>
      </c>
      <c r="F543" s="1">
        <v>0</v>
      </c>
      <c r="G543" s="1">
        <f t="shared" ca="1" si="5"/>
        <v>0.1736544746343387</v>
      </c>
      <c r="H543" s="1">
        <f t="shared" ca="1" si="6"/>
        <v>0.8263455253656613</v>
      </c>
    </row>
    <row r="544" spans="1:8">
      <c r="A544" s="2">
        <f t="shared" ca="1" si="0"/>
        <v>0.87014289639295428</v>
      </c>
      <c r="B544" s="2">
        <f t="shared" ca="1" si="1"/>
        <v>0.10102153467955945</v>
      </c>
      <c r="C544" s="2">
        <f t="shared" ca="1" si="2"/>
        <v>8.7903170784133136E-2</v>
      </c>
      <c r="D544" s="2">
        <f t="shared" ca="1" si="3"/>
        <v>0.58998331166245721</v>
      </c>
      <c r="E544" s="2">
        <f t="shared" ca="1" si="4"/>
        <v>0.41001668833754279</v>
      </c>
      <c r="F544" s="1">
        <v>0</v>
      </c>
      <c r="G544" s="1">
        <f t="shared" ca="1" si="5"/>
        <v>0.58998331166245721</v>
      </c>
      <c r="H544" s="1">
        <f t="shared" ca="1" si="6"/>
        <v>0.41001668833754279</v>
      </c>
    </row>
    <row r="545" spans="1:8">
      <c r="A545" s="2">
        <f t="shared" ca="1" si="0"/>
        <v>0.98345290649302997</v>
      </c>
      <c r="B545" s="2">
        <f t="shared" ca="1" si="1"/>
        <v>0.12839156151340411</v>
      </c>
      <c r="C545" s="2">
        <f t="shared" ca="1" si="2"/>
        <v>0.12626705433953592</v>
      </c>
      <c r="D545" s="2">
        <f t="shared" ca="1" si="3"/>
        <v>0.3880681350550742</v>
      </c>
      <c r="E545" s="2">
        <f t="shared" ca="1" si="4"/>
        <v>0.6119318649449258</v>
      </c>
      <c r="F545" s="1">
        <v>0</v>
      </c>
      <c r="G545" s="1">
        <f t="shared" ca="1" si="5"/>
        <v>0.3880681350550742</v>
      </c>
      <c r="H545" s="1">
        <f t="shared" ca="1" si="6"/>
        <v>0.6119318649449258</v>
      </c>
    </row>
    <row r="546" spans="1:8">
      <c r="A546" s="2">
        <f t="shared" ca="1" si="0"/>
        <v>1.0024465172196011</v>
      </c>
      <c r="B546" s="2">
        <f t="shared" ca="1" si="1"/>
        <v>0.18927403832622156</v>
      </c>
      <c r="C546" s="2">
        <f t="shared" ca="1" si="2"/>
        <v>0.18973710052021009</v>
      </c>
      <c r="D546" s="2">
        <f t="shared" ca="1" si="3"/>
        <v>5.4015260419946864E-2</v>
      </c>
      <c r="E546" s="2">
        <f t="shared" ca="1" si="4"/>
        <v>0.94598473958005314</v>
      </c>
      <c r="F546" s="1">
        <v>0</v>
      </c>
      <c r="G546" s="1">
        <f t="shared" ca="1" si="5"/>
        <v>5.4015260419946864E-2</v>
      </c>
      <c r="H546" s="1">
        <f t="shared" ca="1" si="6"/>
        <v>0.94598473958005314</v>
      </c>
    </row>
    <row r="547" spans="1:8">
      <c r="A547" s="2">
        <f t="shared" ca="1" si="0"/>
        <v>1.0045420077990279</v>
      </c>
      <c r="B547" s="2">
        <f t="shared" ca="1" si="1"/>
        <v>0.17586662337201833</v>
      </c>
      <c r="C547" s="2">
        <f t="shared" ca="1" si="2"/>
        <v>0.17666541094696275</v>
      </c>
      <c r="D547" s="2">
        <f t="shared" ca="1" si="3"/>
        <v>0.122813626594933</v>
      </c>
      <c r="E547" s="2">
        <f t="shared" ca="1" si="4"/>
        <v>0.877186373405067</v>
      </c>
      <c r="F547" s="1">
        <v>0</v>
      </c>
      <c r="G547" s="1">
        <f t="shared" ca="1" si="5"/>
        <v>0.122813626594933</v>
      </c>
      <c r="H547" s="1">
        <f t="shared" ca="1" si="6"/>
        <v>0.877186373405067</v>
      </c>
    </row>
    <row r="548" spans="1:8">
      <c r="A548" s="2">
        <f t="shared" ca="1" si="0"/>
        <v>0.3608624149424603</v>
      </c>
      <c r="B548" s="2">
        <f t="shared" ca="1" si="1"/>
        <v>9.118945646822009E-2</v>
      </c>
      <c r="C548" s="2">
        <f t="shared" ca="1" si="2"/>
        <v>3.2906847478412257E-2</v>
      </c>
      <c r="D548" s="2">
        <f t="shared" ca="1" si="3"/>
        <v>0.87943764485046183</v>
      </c>
      <c r="E548" s="2">
        <f t="shared" ca="1" si="4"/>
        <v>0.12056235514953817</v>
      </c>
      <c r="F548" s="1">
        <v>0</v>
      </c>
      <c r="G548" s="1">
        <f t="shared" ca="1" si="5"/>
        <v>0.87943764485046183</v>
      </c>
      <c r="H548" s="1">
        <f t="shared" ca="1" si="6"/>
        <v>0.12056235514953817</v>
      </c>
    </row>
    <row r="549" spans="1:8">
      <c r="A549" s="2">
        <f t="shared" ca="1" si="0"/>
        <v>0.91424185996762264</v>
      </c>
      <c r="B549" s="2">
        <f t="shared" ca="1" si="1"/>
        <v>0.10687765520076351</v>
      </c>
      <c r="C549" s="2">
        <f t="shared" ca="1" si="2"/>
        <v>9.7712026279724279E-2</v>
      </c>
      <c r="D549" s="2">
        <f t="shared" ca="1" si="3"/>
        <v>0.53835775642250383</v>
      </c>
      <c r="E549" s="2">
        <f t="shared" ca="1" si="4"/>
        <v>0.46164224357749617</v>
      </c>
      <c r="F549" s="1">
        <v>0</v>
      </c>
      <c r="G549" s="1">
        <f t="shared" ca="1" si="5"/>
        <v>0.53835775642250383</v>
      </c>
      <c r="H549" s="1">
        <f t="shared" ca="1" si="6"/>
        <v>0.46164224357749617</v>
      </c>
    </row>
    <row r="550" spans="1:8">
      <c r="A550" s="2">
        <f t="shared" ca="1" si="0"/>
        <v>1.0049874815453841</v>
      </c>
      <c r="B550" s="2">
        <f t="shared" ca="1" si="1"/>
        <v>0.16760420042758958</v>
      </c>
      <c r="C550" s="2">
        <f t="shared" ca="1" si="2"/>
        <v>0.16844012328415106</v>
      </c>
      <c r="D550" s="2">
        <f t="shared" ca="1" si="3"/>
        <v>0.16610461429394174</v>
      </c>
      <c r="E550" s="2">
        <f t="shared" ca="1" si="4"/>
        <v>0.83389538570605826</v>
      </c>
      <c r="F550" s="1">
        <v>0</v>
      </c>
      <c r="G550" s="1">
        <f t="shared" ca="1" si="5"/>
        <v>0.16610461429394174</v>
      </c>
      <c r="H550" s="1">
        <f t="shared" ca="1" si="6"/>
        <v>0.83389538570605826</v>
      </c>
    </row>
    <row r="551" spans="1:8">
      <c r="A551" s="2">
        <f t="shared" ca="1" si="0"/>
        <v>0.2640777207286214</v>
      </c>
      <c r="B551" s="2">
        <f t="shared" ca="1" si="1"/>
        <v>9.355016742599169E-2</v>
      </c>
      <c r="C551" s="2">
        <f t="shared" ca="1" si="2"/>
        <v>2.4704514987636809E-2</v>
      </c>
      <c r="D551" s="2">
        <f t="shared" ca="1" si="3"/>
        <v>0.9226078158545431</v>
      </c>
      <c r="E551" s="2">
        <f t="shared" ca="1" si="4"/>
        <v>7.7392184145456899E-2</v>
      </c>
      <c r="F551" s="1">
        <v>0</v>
      </c>
      <c r="G551" s="1">
        <f t="shared" ca="1" si="5"/>
        <v>0.9226078158545431</v>
      </c>
      <c r="H551" s="1">
        <f t="shared" ca="1" si="6"/>
        <v>7.7392184145456899E-2</v>
      </c>
    </row>
    <row r="552" spans="1:8">
      <c r="A552" s="2">
        <f t="shared" ca="1" si="0"/>
        <v>0.37056048765384481</v>
      </c>
      <c r="B552" s="2">
        <f t="shared" ca="1" si="1"/>
        <v>9.1007097060831849E-2</v>
      </c>
      <c r="C552" s="2">
        <f t="shared" ca="1" si="2"/>
        <v>3.3723634266822636E-2</v>
      </c>
      <c r="D552" s="2">
        <f t="shared" ca="1" si="3"/>
        <v>0.875138767016723</v>
      </c>
      <c r="E552" s="2">
        <f t="shared" ca="1" si="4"/>
        <v>0.124861232983277</v>
      </c>
      <c r="F552" s="1">
        <v>0</v>
      </c>
      <c r="G552" s="1">
        <f t="shared" ca="1" si="5"/>
        <v>0.875138767016723</v>
      </c>
      <c r="H552" s="1">
        <f t="shared" ca="1" si="6"/>
        <v>0.124861232983277</v>
      </c>
    </row>
    <row r="553" spans="1:8">
      <c r="A553" s="2">
        <f t="shared" ca="1" si="0"/>
        <v>1.0049352671183114</v>
      </c>
      <c r="B553" s="2">
        <f t="shared" ca="1" si="1"/>
        <v>0.17025680671888921</v>
      </c>
      <c r="C553" s="2">
        <f t="shared" ca="1" si="2"/>
        <v>0.17109706953875764</v>
      </c>
      <c r="D553" s="2">
        <f t="shared" ca="1" si="3"/>
        <v>0.15212068663811784</v>
      </c>
      <c r="E553" s="2">
        <f t="shared" ca="1" si="4"/>
        <v>0.84787931336188216</v>
      </c>
      <c r="F553" s="1">
        <v>0</v>
      </c>
      <c r="G553" s="1">
        <f t="shared" ca="1" si="5"/>
        <v>0.15212068663811784</v>
      </c>
      <c r="H553" s="1">
        <f t="shared" ca="1" si="6"/>
        <v>0.84787931336188216</v>
      </c>
    </row>
    <row r="554" spans="1:8">
      <c r="A554" s="2">
        <f t="shared" ca="1" si="0"/>
        <v>1.0008183566135624</v>
      </c>
      <c r="B554" s="2">
        <f t="shared" ca="1" si="1"/>
        <v>0.19664495077849078</v>
      </c>
      <c r="C554" s="2">
        <f t="shared" ca="1" si="2"/>
        <v>0.19680587647448403</v>
      </c>
      <c r="D554" s="2">
        <f t="shared" ca="1" si="3"/>
        <v>1.681117645008412E-2</v>
      </c>
      <c r="E554" s="2">
        <f t="shared" ca="1" si="4"/>
        <v>0.98318882354991588</v>
      </c>
      <c r="F554" s="1">
        <v>0</v>
      </c>
      <c r="G554" s="1">
        <f t="shared" ca="1" si="5"/>
        <v>1.681117645008412E-2</v>
      </c>
      <c r="H554" s="1">
        <f t="shared" ca="1" si="6"/>
        <v>0.98318882354991588</v>
      </c>
    </row>
    <row r="555" spans="1:8">
      <c r="A555" s="2">
        <f t="shared" ca="1" si="0"/>
        <v>1.0049501681980262</v>
      </c>
      <c r="B555" s="2">
        <f t="shared" ca="1" si="1"/>
        <v>0.16982378633581655</v>
      </c>
      <c r="C555" s="2">
        <f t="shared" ca="1" si="2"/>
        <v>0.17066444264220451</v>
      </c>
      <c r="D555" s="2">
        <f t="shared" ca="1" si="3"/>
        <v>0.15439767030418683</v>
      </c>
      <c r="E555" s="2">
        <f t="shared" ca="1" si="4"/>
        <v>0.84560232969581317</v>
      </c>
      <c r="F555" s="1">
        <v>0</v>
      </c>
      <c r="G555" s="1">
        <f t="shared" ca="1" si="5"/>
        <v>0.15439767030418683</v>
      </c>
      <c r="H555" s="1">
        <f t="shared" ca="1" si="6"/>
        <v>0.84560232969581317</v>
      </c>
    </row>
    <row r="556" spans="1:8">
      <c r="A556" s="2">
        <f t="shared" ca="1" si="0"/>
        <v>0.58864413373829394</v>
      </c>
      <c r="B556" s="2">
        <f t="shared" ca="1" si="1"/>
        <v>8.9617446075924104E-2</v>
      </c>
      <c r="C556" s="2">
        <f t="shared" ca="1" si="2"/>
        <v>5.275278391320061E-2</v>
      </c>
      <c r="D556" s="2">
        <f t="shared" ca="1" si="3"/>
        <v>0.77498534782525996</v>
      </c>
      <c r="E556" s="2">
        <f t="shared" ca="1" si="4"/>
        <v>0.22501465217474004</v>
      </c>
      <c r="F556" s="1">
        <v>0</v>
      </c>
      <c r="G556" s="1">
        <f t="shared" ca="1" si="5"/>
        <v>0.77498534782525996</v>
      </c>
      <c r="H556" s="1">
        <f t="shared" ca="1" si="6"/>
        <v>0.22501465217474004</v>
      </c>
    </row>
    <row r="557" spans="1:8">
      <c r="A557" s="2">
        <f t="shared" ca="1" si="0"/>
        <v>0.2805434295104291</v>
      </c>
      <c r="B557" s="2">
        <f t="shared" ca="1" si="1"/>
        <v>9.3078060887414812E-2</v>
      </c>
      <c r="C557" s="2">
        <f t="shared" ca="1" si="2"/>
        <v>2.6112438413535884E-2</v>
      </c>
      <c r="D557" s="2">
        <f t="shared" ca="1" si="3"/>
        <v>0.91519769256033745</v>
      </c>
      <c r="E557" s="2">
        <f t="shared" ca="1" si="4"/>
        <v>8.480230743966255E-2</v>
      </c>
      <c r="F557" s="1">
        <v>0</v>
      </c>
      <c r="G557" s="1">
        <f t="shared" ca="1" si="5"/>
        <v>0.91519769256033745</v>
      </c>
      <c r="H557" s="1">
        <f t="shared" ca="1" si="6"/>
        <v>8.480230743966255E-2</v>
      </c>
    </row>
    <row r="558" spans="1:8">
      <c r="A558" s="2">
        <f t="shared" ca="1" si="0"/>
        <v>0.91187307690794661</v>
      </c>
      <c r="B558" s="2">
        <f t="shared" ca="1" si="1"/>
        <v>0.10648641924556136</v>
      </c>
      <c r="C558" s="2">
        <f t="shared" ca="1" si="2"/>
        <v>9.7102098766359626E-2</v>
      </c>
      <c r="D558" s="2">
        <f t="shared" ca="1" si="3"/>
        <v>0.54156790122968623</v>
      </c>
      <c r="E558" s="2">
        <f t="shared" ca="1" si="4"/>
        <v>0.45843209877031377</v>
      </c>
      <c r="F558" s="1">
        <v>0</v>
      </c>
      <c r="G558" s="1">
        <f t="shared" ca="1" si="5"/>
        <v>0.54156790122968623</v>
      </c>
      <c r="H558" s="1">
        <f t="shared" ca="1" si="6"/>
        <v>0.45843209877031377</v>
      </c>
    </row>
    <row r="559" spans="1:8">
      <c r="A559" s="2">
        <f t="shared" ca="1" si="0"/>
        <v>1.0032421055331879</v>
      </c>
      <c r="B559" s="2">
        <f t="shared" ca="1" si="1"/>
        <v>0.15345104262032211</v>
      </c>
      <c r="C559" s="2">
        <f t="shared" ca="1" si="2"/>
        <v>0.15394854709467493</v>
      </c>
      <c r="D559" s="2">
        <f t="shared" ca="1" si="3"/>
        <v>0.24237606792276367</v>
      </c>
      <c r="E559" s="2">
        <f t="shared" ca="1" si="4"/>
        <v>0.75762393207723633</v>
      </c>
      <c r="F559" s="1">
        <v>0</v>
      </c>
      <c r="G559" s="1">
        <f t="shared" ca="1" si="5"/>
        <v>0.24237606792276367</v>
      </c>
      <c r="H559" s="1">
        <f t="shared" ca="1" si="6"/>
        <v>0.75762393207723633</v>
      </c>
    </row>
    <row r="560" spans="1:8">
      <c r="A560" s="2">
        <f t="shared" ca="1" si="0"/>
        <v>0.31260409357136448</v>
      </c>
      <c r="B560" s="2">
        <f t="shared" ca="1" si="1"/>
        <v>9.2242613257679795E-2</v>
      </c>
      <c r="C560" s="2">
        <f t="shared" ca="1" si="2"/>
        <v>2.8835418506070923E-2</v>
      </c>
      <c r="D560" s="2">
        <f t="shared" ca="1" si="3"/>
        <v>0.90086621838910041</v>
      </c>
      <c r="E560" s="2">
        <f t="shared" ca="1" si="4"/>
        <v>9.9133781610899585E-2</v>
      </c>
      <c r="F560" s="1">
        <v>0</v>
      </c>
      <c r="G560" s="1">
        <f t="shared" ca="1" si="5"/>
        <v>0.90086621838910041</v>
      </c>
      <c r="H560" s="1">
        <f t="shared" ca="1" si="6"/>
        <v>9.9133781610899585E-2</v>
      </c>
    </row>
    <row r="561" spans="1:8">
      <c r="A561" s="2">
        <f t="shared" ca="1" si="0"/>
        <v>0.15802190991753121</v>
      </c>
      <c r="B561" s="2">
        <f t="shared" ca="1" si="1"/>
        <v>9.7332966785011812E-2</v>
      </c>
      <c r="C561" s="2">
        <f t="shared" ca="1" si="2"/>
        <v>1.5380741309307194E-2</v>
      </c>
      <c r="D561" s="2">
        <f t="shared" ca="1" si="3"/>
        <v>0.97168030889838319</v>
      </c>
      <c r="E561" s="2">
        <f t="shared" ca="1" si="4"/>
        <v>2.8319691101616806E-2</v>
      </c>
      <c r="F561" s="1">
        <v>0</v>
      </c>
      <c r="G561" s="1">
        <f t="shared" ca="1" si="5"/>
        <v>0.97168030889838319</v>
      </c>
      <c r="H561" s="1">
        <f t="shared" ca="1" si="6"/>
        <v>2.8319691101616806E-2</v>
      </c>
    </row>
    <row r="562" spans="1:8">
      <c r="A562" s="2">
        <f t="shared" ca="1" si="0"/>
        <v>0.94679885147410292</v>
      </c>
      <c r="B562" s="2">
        <f t="shared" ca="1" si="1"/>
        <v>0.11370884566766865</v>
      </c>
      <c r="C562" s="2">
        <f t="shared" ca="1" si="2"/>
        <v>0.1076594044805947</v>
      </c>
      <c r="D562" s="2">
        <f t="shared" ca="1" si="3"/>
        <v>0.48600313431265951</v>
      </c>
      <c r="E562" s="2">
        <f t="shared" ca="1" si="4"/>
        <v>0.51399686568734049</v>
      </c>
      <c r="F562" s="1">
        <v>0</v>
      </c>
      <c r="G562" s="1">
        <f t="shared" ca="1" si="5"/>
        <v>0.48600313431265951</v>
      </c>
      <c r="H562" s="1">
        <f t="shared" ca="1" si="6"/>
        <v>0.51399686568734049</v>
      </c>
    </row>
    <row r="563" spans="1:8">
      <c r="A563" s="2">
        <f t="shared" ca="1" si="0"/>
        <v>1.0032668116579311</v>
      </c>
      <c r="B563" s="2">
        <f t="shared" ca="1" si="1"/>
        <v>0.18494303408620605</v>
      </c>
      <c r="C563" s="2">
        <f t="shared" ca="1" si="2"/>
        <v>0.18554720814601203</v>
      </c>
      <c r="D563" s="2">
        <f t="shared" ca="1" si="3"/>
        <v>7.606732554730522E-2</v>
      </c>
      <c r="E563" s="2">
        <f t="shared" ca="1" si="4"/>
        <v>0.92393267445269478</v>
      </c>
      <c r="F563" s="1">
        <v>0</v>
      </c>
      <c r="G563" s="1">
        <f t="shared" ca="1" si="5"/>
        <v>7.606732554730522E-2</v>
      </c>
      <c r="H563" s="1">
        <f t="shared" ca="1" si="6"/>
        <v>0.92393267445269478</v>
      </c>
    </row>
    <row r="564" spans="1:8">
      <c r="A564" s="2">
        <f t="shared" ca="1" si="0"/>
        <v>1.0013840415899244</v>
      </c>
      <c r="B564" s="2">
        <f t="shared" ca="1" si="1"/>
        <v>0.14817893192177825</v>
      </c>
      <c r="C564" s="2">
        <f t="shared" ca="1" si="2"/>
        <v>0.14838401772630858</v>
      </c>
      <c r="D564" s="2">
        <f t="shared" ca="1" si="3"/>
        <v>0.27166306459837597</v>
      </c>
      <c r="E564" s="2">
        <f t="shared" ca="1" si="4"/>
        <v>0.72833693540162403</v>
      </c>
      <c r="F564" s="1">
        <v>0</v>
      </c>
      <c r="G564" s="1">
        <f t="shared" ca="1" si="5"/>
        <v>0.27166306459837597</v>
      </c>
      <c r="H564" s="1">
        <f t="shared" ca="1" si="6"/>
        <v>0.72833693540162403</v>
      </c>
    </row>
    <row r="565" spans="1:8">
      <c r="A565" s="2">
        <f t="shared" ca="1" si="0"/>
        <v>0.90668149098412387</v>
      </c>
      <c r="B565" s="2">
        <f t="shared" ca="1" si="1"/>
        <v>0.10566611710103185</v>
      </c>
      <c r="C565" s="2">
        <f t="shared" ca="1" si="2"/>
        <v>9.580551259966659E-2</v>
      </c>
      <c r="D565" s="2">
        <f t="shared" ca="1" si="3"/>
        <v>0.54839203894912325</v>
      </c>
      <c r="E565" s="2">
        <f t="shared" ca="1" si="4"/>
        <v>0.45160796105087675</v>
      </c>
      <c r="F565" s="1">
        <v>0</v>
      </c>
      <c r="G565" s="1">
        <f t="shared" ca="1" si="5"/>
        <v>0.54839203894912325</v>
      </c>
      <c r="H565" s="1">
        <f t="shared" ca="1" si="6"/>
        <v>0.45160796105087675</v>
      </c>
    </row>
    <row r="566" spans="1:8">
      <c r="A566" s="2">
        <f t="shared" ca="1" si="0"/>
        <v>0.141249751808083</v>
      </c>
      <c r="B566" s="2">
        <f t="shared" ca="1" si="1"/>
        <v>9.8057198241274068E-2</v>
      </c>
      <c r="C566" s="2">
        <f t="shared" ca="1" si="2"/>
        <v>1.3850554914575954E-2</v>
      </c>
      <c r="D566" s="2">
        <f t="shared" ca="1" si="3"/>
        <v>0.97973392150223182</v>
      </c>
      <c r="E566" s="2">
        <f t="shared" ca="1" si="4"/>
        <v>2.0266078497768181E-2</v>
      </c>
      <c r="F566" s="1">
        <v>0</v>
      </c>
      <c r="G566" s="1">
        <f t="shared" ca="1" si="5"/>
        <v>0.97973392150223182</v>
      </c>
      <c r="H566" s="1">
        <f t="shared" ca="1" si="6"/>
        <v>2.0266078497768181E-2</v>
      </c>
    </row>
    <row r="567" spans="1:8">
      <c r="A567" s="2">
        <f t="shared" ca="1" si="0"/>
        <v>0.79482635445793759</v>
      </c>
      <c r="B567" s="2">
        <f t="shared" ca="1" si="1"/>
        <v>9.5178327663551388E-2</v>
      </c>
      <c r="C567" s="2">
        <f t="shared" ca="1" si="2"/>
        <v>7.5650243200223621E-2</v>
      </c>
      <c r="D567" s="2">
        <f t="shared" ca="1" si="3"/>
        <v>0.65447240420934938</v>
      </c>
      <c r="E567" s="2">
        <f t="shared" ca="1" si="4"/>
        <v>0.34552759579065062</v>
      </c>
      <c r="F567" s="1">
        <v>0</v>
      </c>
      <c r="G567" s="1">
        <f t="shared" ca="1" si="5"/>
        <v>0.65447240420934938</v>
      </c>
      <c r="H567" s="1">
        <f t="shared" ca="1" si="6"/>
        <v>0.34552759579065062</v>
      </c>
    </row>
    <row r="568" spans="1:8">
      <c r="A568" s="2">
        <f t="shared" ca="1" si="0"/>
        <v>0.24260846468399538</v>
      </c>
      <c r="B568" s="2">
        <f t="shared" ca="1" si="1"/>
        <v>9.4210574215457241E-2</v>
      </c>
      <c r="C568" s="2">
        <f t="shared" ca="1" si="2"/>
        <v>2.2856282767409683E-2</v>
      </c>
      <c r="D568" s="2">
        <f t="shared" ca="1" si="3"/>
        <v>0.93233535385573851</v>
      </c>
      <c r="E568" s="2">
        <f t="shared" ca="1" si="4"/>
        <v>6.7664646144261487E-2</v>
      </c>
      <c r="F568" s="1">
        <v>0</v>
      </c>
      <c r="G568" s="1">
        <f t="shared" ca="1" si="5"/>
        <v>0.93233535385573851</v>
      </c>
      <c r="H568" s="1">
        <f t="shared" ca="1" si="6"/>
        <v>6.7664646144261487E-2</v>
      </c>
    </row>
    <row r="569" spans="1:8">
      <c r="A569" s="2">
        <f t="shared" ca="1" si="0"/>
        <v>0.97520513385094754</v>
      </c>
      <c r="B569" s="2">
        <f t="shared" ca="1" si="1"/>
        <v>0.12380056240076308</v>
      </c>
      <c r="C569" s="2">
        <f t="shared" ca="1" si="2"/>
        <v>0.12073094402685874</v>
      </c>
      <c r="D569" s="2">
        <f t="shared" ca="1" si="3"/>
        <v>0.41720555775337509</v>
      </c>
      <c r="E569" s="2">
        <f t="shared" ca="1" si="4"/>
        <v>0.58279444224662491</v>
      </c>
      <c r="F569" s="1">
        <v>0</v>
      </c>
      <c r="G569" s="1">
        <f t="shared" ca="1" si="5"/>
        <v>0.41720555775337509</v>
      </c>
      <c r="H569" s="1">
        <f t="shared" ca="1" si="6"/>
        <v>0.58279444224662491</v>
      </c>
    </row>
    <row r="570" spans="1:8">
      <c r="A570" s="2">
        <f t="shared" ca="1" si="0"/>
        <v>0.86101319489775396</v>
      </c>
      <c r="B570" s="2">
        <f t="shared" ca="1" si="1"/>
        <v>0.10009786618535048</v>
      </c>
      <c r="C570" s="2">
        <f t="shared" ca="1" si="2"/>
        <v>8.6185583566696464E-2</v>
      </c>
      <c r="D570" s="2">
        <f t="shared" ca="1" si="3"/>
        <v>0.59902324438580812</v>
      </c>
      <c r="E570" s="2">
        <f t="shared" ca="1" si="4"/>
        <v>0.40097675561419188</v>
      </c>
      <c r="F570" s="1">
        <v>0</v>
      </c>
      <c r="G570" s="1">
        <f t="shared" ca="1" si="5"/>
        <v>0.59902324438580812</v>
      </c>
      <c r="H570" s="1">
        <f t="shared" ca="1" si="6"/>
        <v>0.40097675561419188</v>
      </c>
    </row>
    <row r="571" spans="1:8">
      <c r="A571" s="2">
        <f t="shared" ca="1" si="0"/>
        <v>0.8163479162880013</v>
      </c>
      <c r="B571" s="2">
        <f t="shared" ca="1" si="1"/>
        <v>9.6497918597954258E-2</v>
      </c>
      <c r="C571" s="2">
        <f t="shared" ca="1" si="2"/>
        <v>7.8775874773569121E-2</v>
      </c>
      <c r="D571" s="2">
        <f t="shared" ca="1" si="3"/>
        <v>0.63802171171805733</v>
      </c>
      <c r="E571" s="2">
        <f t="shared" ca="1" si="4"/>
        <v>0.36197828828194267</v>
      </c>
      <c r="F571" s="1">
        <v>0</v>
      </c>
      <c r="G571" s="1">
        <f t="shared" ca="1" si="5"/>
        <v>0.63802171171805733</v>
      </c>
      <c r="H571" s="1">
        <f t="shared" ca="1" si="6"/>
        <v>0.36197828828194267</v>
      </c>
    </row>
    <row r="572" spans="1:8">
      <c r="A572" s="2">
        <f t="shared" ca="1" si="0"/>
        <v>0.75852178103989054</v>
      </c>
      <c r="B572" s="2">
        <f t="shared" ca="1" si="1"/>
        <v>9.339527391736141E-2</v>
      </c>
      <c r="C572" s="2">
        <f t="shared" ca="1" si="2"/>
        <v>7.0842349512505412E-2</v>
      </c>
      <c r="D572" s="2">
        <f t="shared" ca="1" si="3"/>
        <v>0.67977710782891887</v>
      </c>
      <c r="E572" s="2">
        <f t="shared" ca="1" si="4"/>
        <v>0.32022289217108113</v>
      </c>
      <c r="F572" s="1">
        <v>0</v>
      </c>
      <c r="G572" s="1">
        <f t="shared" ca="1" si="5"/>
        <v>0.67977710782891887</v>
      </c>
      <c r="H572" s="1">
        <f t="shared" ca="1" si="6"/>
        <v>0.32022289217108113</v>
      </c>
    </row>
    <row r="573" spans="1:8">
      <c r="A573" s="2">
        <f t="shared" ca="1" si="0"/>
        <v>0.86079510905744228</v>
      </c>
      <c r="B573" s="2">
        <f t="shared" ca="1" si="1"/>
        <v>0.10007672572753386</v>
      </c>
      <c r="C573" s="2">
        <f t="shared" ca="1" si="2"/>
        <v>8.6145556036744245E-2</v>
      </c>
      <c r="D573" s="2">
        <f t="shared" ca="1" si="3"/>
        <v>0.59923391559608297</v>
      </c>
      <c r="E573" s="2">
        <f t="shared" ca="1" si="4"/>
        <v>0.40076608440391703</v>
      </c>
      <c r="F573" s="1">
        <v>0</v>
      </c>
      <c r="G573" s="1">
        <f t="shared" ca="1" si="5"/>
        <v>0.59923391559608297</v>
      </c>
      <c r="H573" s="1">
        <f t="shared" ca="1" si="6"/>
        <v>0.40076608440391703</v>
      </c>
    </row>
    <row r="574" spans="1:8">
      <c r="A574" s="2">
        <f t="shared" ca="1" si="0"/>
        <v>0.35146347731570921</v>
      </c>
      <c r="B574" s="2">
        <f t="shared" ca="1" si="1"/>
        <v>9.1375516941115453E-2</v>
      </c>
      <c r="C574" s="2">
        <f t="shared" ca="1" si="2"/>
        <v>3.2115156925644935E-2</v>
      </c>
      <c r="D574" s="2">
        <f t="shared" ca="1" si="3"/>
        <v>0.88360443723344773</v>
      </c>
      <c r="E574" s="2">
        <f t="shared" ca="1" si="4"/>
        <v>0.11639556276655227</v>
      </c>
      <c r="F574" s="1">
        <v>0</v>
      </c>
      <c r="G574" s="1">
        <f t="shared" ca="1" si="5"/>
        <v>0.88360443723344773</v>
      </c>
      <c r="H574" s="1">
        <f t="shared" ca="1" si="6"/>
        <v>0.11639556276655227</v>
      </c>
    </row>
    <row r="575" spans="1:8">
      <c r="A575" s="2">
        <f t="shared" ca="1" si="0"/>
        <v>1.0049799704893811</v>
      </c>
      <c r="B575" s="2">
        <f t="shared" ca="1" si="1"/>
        <v>0.168536411434002</v>
      </c>
      <c r="C575" s="2">
        <f t="shared" ca="1" si="2"/>
        <v>0.16937571778932953</v>
      </c>
      <c r="D575" s="2">
        <f t="shared" ca="1" si="3"/>
        <v>0.16118043268773929</v>
      </c>
      <c r="E575" s="2">
        <f t="shared" ca="1" si="4"/>
        <v>0.83881956731226071</v>
      </c>
      <c r="F575" s="1">
        <v>0</v>
      </c>
      <c r="G575" s="1">
        <f t="shared" ca="1" si="5"/>
        <v>0.16118043268773929</v>
      </c>
      <c r="H575" s="1">
        <f t="shared" ca="1" si="6"/>
        <v>0.83881956731226071</v>
      </c>
    </row>
    <row r="576" spans="1:8">
      <c r="A576" s="2">
        <f t="shared" ca="1" si="0"/>
        <v>0.52850000055092605</v>
      </c>
      <c r="B576" s="2">
        <f t="shared" ca="1" si="1"/>
        <v>8.9446815236540855E-2</v>
      </c>
      <c r="C576" s="2">
        <f t="shared" ca="1" si="2"/>
        <v>4.7272641901790424E-2</v>
      </c>
      <c r="D576" s="2">
        <f t="shared" ca="1" si="3"/>
        <v>0.80382820051689252</v>
      </c>
      <c r="E576" s="2">
        <f t="shared" ca="1" si="4"/>
        <v>0.19617179948310748</v>
      </c>
      <c r="F576" s="1">
        <v>0</v>
      </c>
      <c r="G576" s="1">
        <f t="shared" ca="1" si="5"/>
        <v>0.80382820051689252</v>
      </c>
      <c r="H576" s="1">
        <f t="shared" ca="1" si="6"/>
        <v>0.19617179948310748</v>
      </c>
    </row>
    <row r="577" spans="1:8">
      <c r="A577" s="2">
        <f t="shared" ca="1" si="0"/>
        <v>1.0014302996221798</v>
      </c>
      <c r="B577" s="2">
        <f t="shared" ca="1" si="1"/>
        <v>0.14828585128420191</v>
      </c>
      <c r="C577" s="2">
        <f t="shared" ca="1" si="2"/>
        <v>0.1484979444812683</v>
      </c>
      <c r="D577" s="2">
        <f t="shared" ca="1" si="3"/>
        <v>0.27106345009858801</v>
      </c>
      <c r="E577" s="2">
        <f t="shared" ca="1" si="4"/>
        <v>0.72893654990141199</v>
      </c>
      <c r="F577" s="1">
        <v>0</v>
      </c>
      <c r="G577" s="1">
        <f t="shared" ca="1" si="5"/>
        <v>0.27106345009858801</v>
      </c>
      <c r="H577" s="1">
        <f t="shared" ca="1" si="6"/>
        <v>0.72893654990141199</v>
      </c>
    </row>
    <row r="578" spans="1:8">
      <c r="A578" s="2">
        <f t="shared" ca="1" si="0"/>
        <v>0.774355194929778</v>
      </c>
      <c r="B578" s="2">
        <f t="shared" ca="1" si="1"/>
        <v>9.4112181404716194E-2</v>
      </c>
      <c r="C578" s="2">
        <f t="shared" ca="1" si="2"/>
        <v>7.2876256576915641E-2</v>
      </c>
      <c r="D578" s="2">
        <f t="shared" ca="1" si="3"/>
        <v>0.66907233380570719</v>
      </c>
      <c r="E578" s="2">
        <f t="shared" ca="1" si="4"/>
        <v>0.33092766619429281</v>
      </c>
      <c r="F578" s="1">
        <v>0</v>
      </c>
      <c r="G578" s="1">
        <f t="shared" ca="1" si="5"/>
        <v>0.66907233380570719</v>
      </c>
      <c r="H578" s="1">
        <f t="shared" ca="1" si="6"/>
        <v>0.33092766619429281</v>
      </c>
    </row>
    <row r="579" spans="1:8">
      <c r="A579" s="2">
        <f t="shared" ca="1" si="0"/>
        <v>0.60684883087324137</v>
      </c>
      <c r="B579" s="2">
        <f t="shared" ca="1" si="1"/>
        <v>8.9766729769148887E-2</v>
      </c>
      <c r="C579" s="2">
        <f t="shared" ca="1" si="2"/>
        <v>5.4474835011722199E-2</v>
      </c>
      <c r="D579" s="2">
        <f t="shared" ca="1" si="3"/>
        <v>0.76592192099093581</v>
      </c>
      <c r="E579" s="2">
        <f t="shared" ca="1" si="4"/>
        <v>0.23407807900906419</v>
      </c>
      <c r="F579" s="1">
        <v>0</v>
      </c>
      <c r="G579" s="1">
        <f t="shared" ca="1" si="5"/>
        <v>0.76592192099093581</v>
      </c>
      <c r="H579" s="1">
        <f t="shared" ca="1" si="6"/>
        <v>0.23407807900906419</v>
      </c>
    </row>
    <row r="580" spans="1:8">
      <c r="A580" s="2">
        <f t="shared" ca="1" si="0"/>
        <v>1.0047036846050996</v>
      </c>
      <c r="B580" s="2">
        <f t="shared" ca="1" si="1"/>
        <v>0.17409854756993229</v>
      </c>
      <c r="C580" s="2">
        <f t="shared" ca="1" si="2"/>
        <v>0.17491745222790719</v>
      </c>
      <c r="D580" s="2">
        <f t="shared" ca="1" si="3"/>
        <v>0.13201340932680428</v>
      </c>
      <c r="E580" s="2">
        <f t="shared" ca="1" si="4"/>
        <v>0.86798659067319572</v>
      </c>
      <c r="F580" s="1">
        <v>0</v>
      </c>
      <c r="G580" s="1">
        <f t="shared" ca="1" si="5"/>
        <v>0.13201340932680428</v>
      </c>
      <c r="H580" s="1">
        <f t="shared" ca="1" si="6"/>
        <v>0.86798659067319572</v>
      </c>
    </row>
    <row r="581" spans="1:8">
      <c r="A581" s="2">
        <f t="shared" ca="1" si="0"/>
        <v>0.95251379831379224</v>
      </c>
      <c r="B581" s="2">
        <f t="shared" ca="1" si="1"/>
        <v>0.11529954794338174</v>
      </c>
      <c r="C581" s="2">
        <f t="shared" ca="1" si="2"/>
        <v>0.10982441035541372</v>
      </c>
      <c r="D581" s="2">
        <f t="shared" ca="1" si="3"/>
        <v>0.47460836655045413</v>
      </c>
      <c r="E581" s="2">
        <f t="shared" ca="1" si="4"/>
        <v>0.52539163344954587</v>
      </c>
      <c r="F581" s="1">
        <v>0</v>
      </c>
      <c r="G581" s="1">
        <f t="shared" ca="1" si="5"/>
        <v>0.47460836655045413</v>
      </c>
      <c r="H581" s="1">
        <f t="shared" ca="1" si="6"/>
        <v>0.52539163344954587</v>
      </c>
    </row>
    <row r="582" spans="1:8">
      <c r="A582" s="2">
        <f t="shared" ca="1" si="0"/>
        <v>0.28640403768344602</v>
      </c>
      <c r="B582" s="2">
        <f t="shared" ca="1" si="1"/>
        <v>9.2917124239460566E-2</v>
      </c>
      <c r="C582" s="2">
        <f t="shared" ca="1" si="2"/>
        <v>2.66118395521159E-2</v>
      </c>
      <c r="D582" s="2">
        <f t="shared" ca="1" si="3"/>
        <v>0.91256926551517947</v>
      </c>
      <c r="E582" s="2">
        <f t="shared" ca="1" si="4"/>
        <v>8.7430734484820527E-2</v>
      </c>
      <c r="F582" s="1">
        <v>0</v>
      </c>
      <c r="G582" s="1">
        <f t="shared" ca="1" si="5"/>
        <v>0.91256926551517947</v>
      </c>
      <c r="H582" s="1">
        <f t="shared" ca="1" si="6"/>
        <v>8.7430734484820527E-2</v>
      </c>
    </row>
    <row r="583" spans="1:8">
      <c r="A583" s="2">
        <f t="shared" ca="1" si="0"/>
        <v>1.0047519255984501</v>
      </c>
      <c r="B583" s="2">
        <f t="shared" ca="1" si="1"/>
        <v>0.17348657314833402</v>
      </c>
      <c r="C583" s="2">
        <f t="shared" ca="1" si="2"/>
        <v>0.17431096843626498</v>
      </c>
      <c r="D583" s="2">
        <f t="shared" ca="1" si="3"/>
        <v>0.13520542928281598</v>
      </c>
      <c r="E583" s="2">
        <f t="shared" ca="1" si="4"/>
        <v>0.86479457071718402</v>
      </c>
      <c r="F583" s="1">
        <v>0</v>
      </c>
      <c r="G583" s="1">
        <f t="shared" ca="1" si="5"/>
        <v>0.13520542928281598</v>
      </c>
      <c r="H583" s="1">
        <f t="shared" ca="1" si="6"/>
        <v>0.86479457071718402</v>
      </c>
    </row>
    <row r="584" spans="1:8">
      <c r="A584" s="2">
        <f t="shared" ca="1" si="0"/>
        <v>1.0005247526552536</v>
      </c>
      <c r="B584" s="2">
        <f t="shared" ca="1" si="1"/>
        <v>0.14633647989192181</v>
      </c>
      <c r="C584" s="2">
        <f t="shared" ca="1" si="2"/>
        <v>0.14641327034830556</v>
      </c>
      <c r="D584" s="2">
        <f t="shared" ca="1" si="3"/>
        <v>0.28203541921944442</v>
      </c>
      <c r="E584" s="2">
        <f t="shared" ca="1" si="4"/>
        <v>0.71796458078055558</v>
      </c>
      <c r="F584" s="1">
        <v>0</v>
      </c>
      <c r="G584" s="1">
        <f t="shared" ca="1" si="5"/>
        <v>0.28203541921944442</v>
      </c>
      <c r="H584" s="1">
        <f t="shared" ca="1" si="6"/>
        <v>0.71796458078055558</v>
      </c>
    </row>
    <row r="585" spans="1:8">
      <c r="A585" s="2">
        <f t="shared" ca="1" si="0"/>
        <v>0.55402235021759672</v>
      </c>
      <c r="B585" s="2">
        <f t="shared" ca="1" si="1"/>
        <v>8.9461650319500305E-2</v>
      </c>
      <c r="C585" s="2">
        <f t="shared" ca="1" si="2"/>
        <v>4.9563753764354367E-2</v>
      </c>
      <c r="D585" s="2">
        <f t="shared" ca="1" si="3"/>
        <v>0.79176971702971388</v>
      </c>
      <c r="E585" s="2">
        <f t="shared" ca="1" si="4"/>
        <v>0.20823028297028612</v>
      </c>
      <c r="F585" s="1">
        <v>0</v>
      </c>
      <c r="G585" s="1">
        <f t="shared" ca="1" si="5"/>
        <v>0.79176971702971388</v>
      </c>
      <c r="H585" s="1">
        <f t="shared" ca="1" si="6"/>
        <v>0.20823028297028612</v>
      </c>
    </row>
    <row r="586" spans="1:8">
      <c r="A586" s="2">
        <f t="shared" ca="1" si="0"/>
        <v>1.0013601694350045</v>
      </c>
      <c r="B586" s="2">
        <f t="shared" ca="1" si="1"/>
        <v>0.19431614938730085</v>
      </c>
      <c r="C586" s="2">
        <f t="shared" ca="1" si="2"/>
        <v>0.19458045227442522</v>
      </c>
      <c r="D586" s="2">
        <f t="shared" ca="1" si="3"/>
        <v>2.852393539776199E-2</v>
      </c>
      <c r="E586" s="2">
        <f t="shared" ca="1" si="4"/>
        <v>0.97147606460223801</v>
      </c>
      <c r="F586" s="1">
        <v>0</v>
      </c>
      <c r="G586" s="1">
        <f t="shared" ca="1" si="5"/>
        <v>2.852393539776199E-2</v>
      </c>
      <c r="H586" s="1">
        <f t="shared" ca="1" si="6"/>
        <v>0.97147606460223801</v>
      </c>
    </row>
    <row r="587" spans="1:8">
      <c r="A587" s="2">
        <f t="shared" ca="1" si="0"/>
        <v>1.0049812268399443</v>
      </c>
      <c r="B587" s="2">
        <f t="shared" ca="1" si="1"/>
        <v>0.1684459881226561</v>
      </c>
      <c r="C587" s="2">
        <f t="shared" ca="1" si="2"/>
        <v>0.16928505579977363</v>
      </c>
      <c r="D587" s="2">
        <f t="shared" ca="1" si="3"/>
        <v>0.16165760105382321</v>
      </c>
      <c r="E587" s="2">
        <f t="shared" ca="1" si="4"/>
        <v>0.83834239894617679</v>
      </c>
      <c r="F587" s="1">
        <v>0</v>
      </c>
      <c r="G587" s="1">
        <f t="shared" ca="1" si="5"/>
        <v>0.16165760105382321</v>
      </c>
      <c r="H587" s="1">
        <f t="shared" ca="1" si="6"/>
        <v>0.83834239894617679</v>
      </c>
    </row>
    <row r="588" spans="1:8">
      <c r="A588" s="2">
        <f t="shared" ca="1" si="0"/>
        <v>0.37123523650108009</v>
      </c>
      <c r="B588" s="2">
        <f t="shared" ca="1" si="1"/>
        <v>9.0994772817022437E-2</v>
      </c>
      <c r="C588" s="2">
        <f t="shared" ca="1" si="2"/>
        <v>3.378046600708938E-2</v>
      </c>
      <c r="D588" s="2">
        <f t="shared" ca="1" si="3"/>
        <v>0.87483965259426644</v>
      </c>
      <c r="E588" s="2">
        <f t="shared" ca="1" si="4"/>
        <v>0.12516034740573356</v>
      </c>
      <c r="F588" s="1">
        <v>0</v>
      </c>
      <c r="G588" s="1">
        <f t="shared" ca="1" si="5"/>
        <v>0.87483965259426644</v>
      </c>
      <c r="H588" s="1">
        <f t="shared" ca="1" si="6"/>
        <v>0.12516034740573356</v>
      </c>
    </row>
    <row r="589" spans="1:8">
      <c r="A589" s="2">
        <f t="shared" ca="1" si="0"/>
        <v>0.38341033712499512</v>
      </c>
      <c r="B589" s="2">
        <f t="shared" ca="1" si="1"/>
        <v>9.0780522820759546E-2</v>
      </c>
      <c r="C589" s="2">
        <f t="shared" ca="1" si="2"/>
        <v>3.480619085909073E-2</v>
      </c>
      <c r="D589" s="2">
        <f t="shared" ca="1" si="3"/>
        <v>0.86944110074162773</v>
      </c>
      <c r="E589" s="2">
        <f t="shared" ca="1" si="4"/>
        <v>0.13055889925837227</v>
      </c>
      <c r="F589" s="1">
        <v>0</v>
      </c>
      <c r="G589" s="1">
        <f t="shared" ca="1" si="5"/>
        <v>0.86944110074162773</v>
      </c>
      <c r="H589" s="1">
        <f t="shared" ca="1" si="6"/>
        <v>0.13055889925837227</v>
      </c>
    </row>
    <row r="590" spans="1:8">
      <c r="A590" s="2">
        <f t="shared" ca="1" si="0"/>
        <v>1.0048741328461934</v>
      </c>
      <c r="B590" s="2">
        <f t="shared" ca="1" si="1"/>
        <v>0.17159929300879592</v>
      </c>
      <c r="C590" s="2">
        <f t="shared" ca="1" si="2"/>
        <v>0.17243569075923365</v>
      </c>
      <c r="D590" s="2">
        <f t="shared" ca="1" si="3"/>
        <v>0.14507531179350719</v>
      </c>
      <c r="E590" s="2">
        <f t="shared" ca="1" si="4"/>
        <v>0.85492468820649281</v>
      </c>
      <c r="F590" s="1">
        <v>0</v>
      </c>
      <c r="G590" s="1">
        <f t="shared" ca="1" si="5"/>
        <v>0.14507531179350719</v>
      </c>
      <c r="H590" s="1">
        <f t="shared" ca="1" si="6"/>
        <v>0.85492468820649281</v>
      </c>
    </row>
    <row r="591" spans="1:8">
      <c r="A591" s="2">
        <f t="shared" ca="1" si="0"/>
        <v>0.15377840330389922</v>
      </c>
      <c r="B591" s="2">
        <f t="shared" ca="1" si="1"/>
        <v>9.7512742725975127E-2</v>
      </c>
      <c r="C591" s="2">
        <f t="shared" ca="1" si="2"/>
        <v>1.4995353878184367E-2</v>
      </c>
      <c r="D591" s="2">
        <f t="shared" ca="1" si="3"/>
        <v>0.97370866379902965</v>
      </c>
      <c r="E591" s="2">
        <f t="shared" ca="1" si="4"/>
        <v>2.629133620097035E-2</v>
      </c>
      <c r="F591" s="1">
        <v>0</v>
      </c>
      <c r="G591" s="1">
        <f t="shared" ca="1" si="5"/>
        <v>0.97370866379902965</v>
      </c>
      <c r="H591" s="1">
        <f t="shared" ca="1" si="6"/>
        <v>2.629133620097035E-2</v>
      </c>
    </row>
    <row r="592" spans="1:8">
      <c r="A592" s="2">
        <f t="shared" ca="1" si="0"/>
        <v>0.27828664244094958</v>
      </c>
      <c r="B592" s="2">
        <f t="shared" ca="1" si="1"/>
        <v>9.3141023567455086E-2</v>
      </c>
      <c r="C592" s="2">
        <f t="shared" ca="1" si="2"/>
        <v>2.591990272210043E-2</v>
      </c>
      <c r="D592" s="2">
        <f t="shared" ca="1" si="3"/>
        <v>0.9162110383047346</v>
      </c>
      <c r="E592" s="2">
        <f t="shared" ca="1" si="4"/>
        <v>8.3788961695265396E-2</v>
      </c>
      <c r="F592" s="1">
        <v>0</v>
      </c>
      <c r="G592" s="1">
        <f t="shared" ca="1" si="5"/>
        <v>0.9162110383047346</v>
      </c>
      <c r="H592" s="1">
        <f t="shared" ca="1" si="6"/>
        <v>8.3788961695265396E-2</v>
      </c>
    </row>
    <row r="593" spans="1:8">
      <c r="A593" s="2">
        <f t="shared" ca="1" si="0"/>
        <v>0.96574647457247864</v>
      </c>
      <c r="B593" s="2">
        <f t="shared" ca="1" si="1"/>
        <v>0.11972032334138408</v>
      </c>
      <c r="C593" s="2">
        <f t="shared" ca="1" si="2"/>
        <v>0.1156194802016189</v>
      </c>
      <c r="D593" s="2">
        <f t="shared" ca="1" si="3"/>
        <v>0.44410799893884789</v>
      </c>
      <c r="E593" s="2">
        <f t="shared" ca="1" si="4"/>
        <v>0.55589200106115211</v>
      </c>
      <c r="F593" s="1">
        <v>0</v>
      </c>
      <c r="G593" s="1">
        <f t="shared" ca="1" si="5"/>
        <v>0.44410799893884789</v>
      </c>
      <c r="H593" s="1">
        <f t="shared" ca="1" si="6"/>
        <v>0.55589200106115211</v>
      </c>
    </row>
    <row r="594" spans="1:8">
      <c r="A594" s="2">
        <f t="shared" ca="1" si="0"/>
        <v>0.45523563261747974</v>
      </c>
      <c r="B594" s="2">
        <f t="shared" ca="1" si="1"/>
        <v>8.9832718143194851E-2</v>
      </c>
      <c r="C594" s="2">
        <f t="shared" ca="1" si="2"/>
        <v>4.0895054273665056E-2</v>
      </c>
      <c r="D594" s="2">
        <f t="shared" ca="1" si="3"/>
        <v>0.83739445119123657</v>
      </c>
      <c r="E594" s="2">
        <f t="shared" ca="1" si="4"/>
        <v>0.16260554880876343</v>
      </c>
      <c r="F594" s="1">
        <v>0</v>
      </c>
      <c r="G594" s="1">
        <f t="shared" ca="1" si="5"/>
        <v>0.83739445119123657</v>
      </c>
      <c r="H594" s="1">
        <f t="shared" ca="1" si="6"/>
        <v>0.16260554880876343</v>
      </c>
    </row>
    <row r="595" spans="1:8">
      <c r="A595" s="2">
        <f t="shared" ca="1" si="0"/>
        <v>0.9911365562899721</v>
      </c>
      <c r="B595" s="2">
        <f t="shared" ca="1" si="1"/>
        <v>0.13419325060209208</v>
      </c>
      <c r="C595" s="2">
        <f t="shared" ca="1" si="2"/>
        <v>0.13300383627911477</v>
      </c>
      <c r="D595" s="2">
        <f t="shared" ca="1" si="3"/>
        <v>0.35261138800465908</v>
      </c>
      <c r="E595" s="2">
        <f t="shared" ca="1" si="4"/>
        <v>0.64738861199534092</v>
      </c>
      <c r="F595" s="1">
        <v>0</v>
      </c>
      <c r="G595" s="1">
        <f t="shared" ca="1" si="5"/>
        <v>0.35261138800465908</v>
      </c>
      <c r="H595" s="1">
        <f t="shared" ca="1" si="6"/>
        <v>0.64738861199534092</v>
      </c>
    </row>
    <row r="596" spans="1:8">
      <c r="A596" s="2">
        <f t="shared" ca="1" si="0"/>
        <v>1.0041304352912237</v>
      </c>
      <c r="B596" s="2">
        <f t="shared" ca="1" si="1"/>
        <v>0.1793784623555621</v>
      </c>
      <c r="C596" s="2">
        <f t="shared" ca="1" si="2"/>
        <v>0.18011937348696094</v>
      </c>
      <c r="D596" s="2">
        <f t="shared" ca="1" si="3"/>
        <v>0.10463487638441615</v>
      </c>
      <c r="E596" s="2">
        <f t="shared" ca="1" si="4"/>
        <v>0.89536512361558385</v>
      </c>
      <c r="F596" s="1">
        <v>0</v>
      </c>
      <c r="G596" s="1">
        <f t="shared" ca="1" si="5"/>
        <v>0.10463487638441615</v>
      </c>
      <c r="H596" s="1">
        <f t="shared" ca="1" si="6"/>
        <v>0.89536512361558385</v>
      </c>
    </row>
    <row r="597" spans="1:8">
      <c r="A597" s="2">
        <f t="shared" ca="1" si="0"/>
        <v>0.86640650143466913</v>
      </c>
      <c r="B597" s="2">
        <f t="shared" ca="1" si="1"/>
        <v>0.10063416167837318</v>
      </c>
      <c r="C597" s="2">
        <f t="shared" ca="1" si="2"/>
        <v>8.7190091944570156E-2</v>
      </c>
      <c r="D597" s="2">
        <f t="shared" ca="1" si="3"/>
        <v>0.59373635818647286</v>
      </c>
      <c r="E597" s="2">
        <f t="shared" ca="1" si="4"/>
        <v>0.40626364181352714</v>
      </c>
      <c r="F597" s="1">
        <v>0</v>
      </c>
      <c r="G597" s="1">
        <f t="shared" ca="1" si="5"/>
        <v>0.59373635818647286</v>
      </c>
      <c r="H597" s="1">
        <f t="shared" ca="1" si="6"/>
        <v>0.40626364181352714</v>
      </c>
    </row>
    <row r="598" spans="1:8">
      <c r="A598" s="2">
        <f t="shared" ca="1" si="0"/>
        <v>0.60876756117699449</v>
      </c>
      <c r="B598" s="2">
        <f t="shared" ca="1" si="1"/>
        <v>8.9785325749582839E-2</v>
      </c>
      <c r="C598" s="2">
        <f t="shared" ca="1" si="2"/>
        <v>5.4658393786055554E-2</v>
      </c>
      <c r="D598" s="2">
        <f t="shared" ca="1" si="3"/>
        <v>0.76495582217865499</v>
      </c>
      <c r="E598" s="2">
        <f t="shared" ca="1" si="4"/>
        <v>0.23504417782134501</v>
      </c>
      <c r="F598" s="1">
        <v>0</v>
      </c>
      <c r="G598" s="1">
        <f t="shared" ca="1" si="5"/>
        <v>0.76495582217865499</v>
      </c>
      <c r="H598" s="1">
        <f t="shared" ca="1" si="6"/>
        <v>0.23504417782134501</v>
      </c>
    </row>
    <row r="599" spans="1:8">
      <c r="A599" s="2">
        <f t="shared" ca="1" si="0"/>
        <v>0.89872809291175737</v>
      </c>
      <c r="B599" s="2">
        <f t="shared" ca="1" si="1"/>
        <v>0.10449938944613946</v>
      </c>
      <c r="C599" s="2">
        <f t="shared" ca="1" si="2"/>
        <v>9.3916536987371943E-2</v>
      </c>
      <c r="D599" s="2">
        <f t="shared" ca="1" si="3"/>
        <v>0.55833401585593712</v>
      </c>
      <c r="E599" s="2">
        <f t="shared" ca="1" si="4"/>
        <v>0.44166598414406288</v>
      </c>
      <c r="F599" s="1">
        <v>0</v>
      </c>
      <c r="G599" s="1">
        <f t="shared" ca="1" si="5"/>
        <v>0.55833401585593712</v>
      </c>
      <c r="H599" s="1">
        <f t="shared" ca="1" si="6"/>
        <v>0.44166598414406288</v>
      </c>
    </row>
    <row r="600" spans="1:8">
      <c r="A600" s="2">
        <f t="shared" ca="1" si="0"/>
        <v>0.9942071041629954</v>
      </c>
      <c r="B600" s="2">
        <f t="shared" ca="1" si="1"/>
        <v>0.13722999219987381</v>
      </c>
      <c r="C600" s="2">
        <f t="shared" ca="1" si="2"/>
        <v>0.13643503314934699</v>
      </c>
      <c r="D600" s="2">
        <f t="shared" ca="1" si="3"/>
        <v>0.33455245710870007</v>
      </c>
      <c r="E600" s="2">
        <f t="shared" ca="1" si="4"/>
        <v>0.66544754289129993</v>
      </c>
      <c r="F600" s="1">
        <v>0</v>
      </c>
      <c r="G600" s="1">
        <f t="shared" ca="1" si="5"/>
        <v>0.33455245710870007</v>
      </c>
      <c r="H600" s="1">
        <f t="shared" ca="1" si="6"/>
        <v>0.66544754289129993</v>
      </c>
    </row>
    <row r="601" spans="1:8">
      <c r="A601" s="2">
        <f t="shared" ca="1" si="0"/>
        <v>0.89615458612517351</v>
      </c>
      <c r="B601" s="2">
        <f t="shared" ca="1" si="1"/>
        <v>0.10414309020040342</v>
      </c>
      <c r="C601" s="2">
        <f t="shared" ca="1" si="2"/>
        <v>9.3328307896339141E-2</v>
      </c>
      <c r="D601" s="2">
        <f t="shared" ca="1" si="3"/>
        <v>0.5614299584403204</v>
      </c>
      <c r="E601" s="2">
        <f t="shared" ca="1" si="4"/>
        <v>0.4385700415596796</v>
      </c>
      <c r="F601" s="1">
        <v>0</v>
      </c>
      <c r="G601" s="1">
        <f t="shared" ca="1" si="5"/>
        <v>0.5614299584403204</v>
      </c>
      <c r="H601" s="1">
        <f t="shared" ca="1" si="6"/>
        <v>0.4385700415596796</v>
      </c>
    </row>
    <row r="602" spans="1:8">
      <c r="A602" s="2">
        <f t="shared" ca="1" si="0"/>
        <v>0.95485079546551987</v>
      </c>
      <c r="B602" s="2">
        <f t="shared" ca="1" si="1"/>
        <v>0.11599839528917717</v>
      </c>
      <c r="C602" s="2">
        <f t="shared" ca="1" si="2"/>
        <v>0.11076116001459464</v>
      </c>
      <c r="D602" s="2">
        <f t="shared" ca="1" si="3"/>
        <v>0.46967810518634401</v>
      </c>
      <c r="E602" s="2">
        <f t="shared" ca="1" si="4"/>
        <v>0.53032189481365599</v>
      </c>
      <c r="F602" s="1">
        <v>0</v>
      </c>
      <c r="G602" s="1">
        <f t="shared" ca="1" si="5"/>
        <v>0.46967810518634401</v>
      </c>
      <c r="H602" s="1">
        <f t="shared" ca="1" si="6"/>
        <v>0.53032189481365599</v>
      </c>
    </row>
    <row r="603" spans="1:8">
      <c r="A603" s="2">
        <f t="shared" ca="1" si="0"/>
        <v>0.96136049472173957</v>
      </c>
      <c r="B603" s="2">
        <f t="shared" ca="1" si="1"/>
        <v>0.11811979340743126</v>
      </c>
      <c r="C603" s="2">
        <f t="shared" ca="1" si="2"/>
        <v>0.11355570302659779</v>
      </c>
      <c r="D603" s="2">
        <f t="shared" ca="1" si="3"/>
        <v>0.45496998407053801</v>
      </c>
      <c r="E603" s="2">
        <f t="shared" ca="1" si="4"/>
        <v>0.54503001592946199</v>
      </c>
      <c r="F603" s="1">
        <v>0</v>
      </c>
      <c r="G603" s="1">
        <f t="shared" ca="1" si="5"/>
        <v>0.45496998407053801</v>
      </c>
      <c r="H603" s="1">
        <f t="shared" ca="1" si="6"/>
        <v>0.54503001592946199</v>
      </c>
    </row>
    <row r="604" spans="1:8">
      <c r="A604" s="2">
        <f t="shared" ca="1" si="0"/>
        <v>0.6508545551691064</v>
      </c>
      <c r="B604" s="2">
        <f t="shared" ca="1" si="1"/>
        <v>9.034112780563118E-2</v>
      </c>
      <c r="C604" s="2">
        <f t="shared" ca="1" si="2"/>
        <v>5.8798934551409471E-2</v>
      </c>
      <c r="D604" s="2">
        <f t="shared" ca="1" si="3"/>
        <v>0.74316350236100281</v>
      </c>
      <c r="E604" s="2">
        <f t="shared" ca="1" si="4"/>
        <v>0.25683649763899719</v>
      </c>
      <c r="F604" s="1">
        <v>0</v>
      </c>
      <c r="G604" s="1">
        <f t="shared" ca="1" si="5"/>
        <v>0.74316350236100281</v>
      </c>
      <c r="H604" s="1">
        <f t="shared" ca="1" si="6"/>
        <v>0.25683649763899719</v>
      </c>
    </row>
    <row r="605" spans="1:8">
      <c r="A605" s="2">
        <f t="shared" ca="1" si="0"/>
        <v>0.98802200283127328</v>
      </c>
      <c r="B605" s="2">
        <f t="shared" ca="1" si="1"/>
        <v>0.13159593242669987</v>
      </c>
      <c r="C605" s="2">
        <f t="shared" ca="1" si="2"/>
        <v>0.13001967672067691</v>
      </c>
      <c r="D605" s="2">
        <f t="shared" ca="1" si="3"/>
        <v>0.36831749094380584</v>
      </c>
      <c r="E605" s="2">
        <f t="shared" ca="1" si="4"/>
        <v>0.63168250905619416</v>
      </c>
      <c r="F605" s="1">
        <v>0</v>
      </c>
      <c r="G605" s="1">
        <f t="shared" ca="1" si="5"/>
        <v>0.36831749094380584</v>
      </c>
      <c r="H605" s="1">
        <f t="shared" ca="1" si="6"/>
        <v>0.63168250905619416</v>
      </c>
    </row>
    <row r="606" spans="1:8">
      <c r="A606" s="2">
        <f t="shared" ca="1" si="0"/>
        <v>0.99564033422575859</v>
      </c>
      <c r="B606" s="2">
        <f t="shared" ca="1" si="1"/>
        <v>0.13887057999033645</v>
      </c>
      <c r="C606" s="2">
        <f t="shared" ca="1" si="2"/>
        <v>0.13826515067570352</v>
      </c>
      <c r="D606" s="2">
        <f t="shared" ca="1" si="3"/>
        <v>0.32492025960156046</v>
      </c>
      <c r="E606" s="2">
        <f t="shared" ca="1" si="4"/>
        <v>0.67507974039843954</v>
      </c>
      <c r="F606" s="1">
        <v>0</v>
      </c>
      <c r="G606" s="1">
        <f t="shared" ca="1" si="5"/>
        <v>0.32492025960156046</v>
      </c>
      <c r="H606" s="1">
        <f t="shared" ca="1" si="6"/>
        <v>0.67507974039843954</v>
      </c>
    </row>
    <row r="607" spans="1:8">
      <c r="A607" s="2">
        <f t="shared" ca="1" si="0"/>
        <v>0.9786389450402021</v>
      </c>
      <c r="B607" s="2">
        <f t="shared" ca="1" si="1"/>
        <v>0.12556415468665069</v>
      </c>
      <c r="C607" s="2">
        <f t="shared" ca="1" si="2"/>
        <v>0.12288197187740858</v>
      </c>
      <c r="D607" s="2">
        <f t="shared" ca="1" si="3"/>
        <v>0.40588435853995486</v>
      </c>
      <c r="E607" s="2">
        <f t="shared" ca="1" si="4"/>
        <v>0.59411564146004514</v>
      </c>
      <c r="F607" s="1">
        <v>0</v>
      </c>
      <c r="G607" s="1">
        <f t="shared" ca="1" si="5"/>
        <v>0.40588435853995486</v>
      </c>
      <c r="H607" s="1">
        <f t="shared" ca="1" si="6"/>
        <v>0.59411564146004514</v>
      </c>
    </row>
    <row r="608" spans="1:8">
      <c r="A608" s="2">
        <f t="shared" ca="1" si="0"/>
        <v>1.001989896114637</v>
      </c>
      <c r="B608" s="2">
        <f t="shared" ca="1" si="1"/>
        <v>0.14965619287905246</v>
      </c>
      <c r="C608" s="2">
        <f t="shared" ca="1" si="2"/>
        <v>0.14995399315579386</v>
      </c>
      <c r="D608" s="2">
        <f t="shared" ca="1" si="3"/>
        <v>0.26340003602213768</v>
      </c>
      <c r="E608" s="2">
        <f t="shared" ca="1" si="4"/>
        <v>0.73659996397786232</v>
      </c>
      <c r="F608" s="1">
        <v>0</v>
      </c>
      <c r="G608" s="1">
        <f t="shared" ca="1" si="5"/>
        <v>0.26340003602213768</v>
      </c>
      <c r="H608" s="1">
        <f t="shared" ca="1" si="6"/>
        <v>0.73659996397786232</v>
      </c>
    </row>
    <row r="609" spans="1:8">
      <c r="A609" s="2">
        <f t="shared" ca="1" si="0"/>
        <v>1.0024970619042537</v>
      </c>
      <c r="B609" s="2">
        <f t="shared" ca="1" si="1"/>
        <v>0.1510458875912678</v>
      </c>
      <c r="C609" s="2">
        <f t="shared" ca="1" si="2"/>
        <v>0.15142305852296614</v>
      </c>
      <c r="D609" s="2">
        <f t="shared" ca="1" si="3"/>
        <v>0.25566811303702031</v>
      </c>
      <c r="E609" s="2">
        <f t="shared" ca="1" si="4"/>
        <v>0.74433188696297969</v>
      </c>
      <c r="F609" s="1">
        <v>0</v>
      </c>
      <c r="G609" s="1">
        <f t="shared" ca="1" si="5"/>
        <v>0.25566811303702031</v>
      </c>
      <c r="H609" s="1">
        <f t="shared" ca="1" si="6"/>
        <v>0.74433188696297969</v>
      </c>
    </row>
    <row r="610" spans="1:8">
      <c r="A610" s="2">
        <f t="shared" ca="1" si="0"/>
        <v>0.71982390106063654</v>
      </c>
      <c r="B610" s="2">
        <f t="shared" ca="1" si="1"/>
        <v>9.1972786359095476E-2</v>
      </c>
      <c r="C610" s="2">
        <f t="shared" ca="1" si="2"/>
        <v>6.6204209868420599E-2</v>
      </c>
      <c r="D610" s="2">
        <f t="shared" ca="1" si="3"/>
        <v>0.70418836911357585</v>
      </c>
      <c r="E610" s="2">
        <f t="shared" ca="1" si="4"/>
        <v>0.29581163088642415</v>
      </c>
      <c r="F610" s="1">
        <v>0</v>
      </c>
      <c r="G610" s="1">
        <f t="shared" ca="1" si="5"/>
        <v>0.70418836911357585</v>
      </c>
      <c r="H610" s="1">
        <f t="shared" ca="1" si="6"/>
        <v>0.29581163088642415</v>
      </c>
    </row>
    <row r="611" spans="1:8">
      <c r="A611" s="2">
        <f t="shared" ca="1" si="0"/>
        <v>0.89651126096538225</v>
      </c>
      <c r="B611" s="2">
        <f t="shared" ca="1" si="1"/>
        <v>0.1041918875467366</v>
      </c>
      <c r="C611" s="2">
        <f t="shared" ca="1" si="2"/>
        <v>9.3409200486888139E-2</v>
      </c>
      <c r="D611" s="2">
        <f t="shared" ca="1" si="3"/>
        <v>0.56100420796374662</v>
      </c>
      <c r="E611" s="2">
        <f t="shared" ca="1" si="4"/>
        <v>0.43899579203625338</v>
      </c>
      <c r="F611" s="1">
        <v>0</v>
      </c>
      <c r="G611" s="1">
        <f t="shared" ca="1" si="5"/>
        <v>0.56100420796374662</v>
      </c>
      <c r="H611" s="1">
        <f t="shared" ca="1" si="6"/>
        <v>0.43899579203625338</v>
      </c>
    </row>
    <row r="612" spans="1:8">
      <c r="A612" s="2">
        <f t="shared" ca="1" si="0"/>
        <v>0.71346996927293893</v>
      </c>
      <c r="B612" s="2">
        <f t="shared" ca="1" si="1"/>
        <v>9.1778266576452161E-2</v>
      </c>
      <c r="C612" s="2">
        <f t="shared" ca="1" si="2"/>
        <v>6.548103703422492E-2</v>
      </c>
      <c r="D612" s="2">
        <f t="shared" ca="1" si="3"/>
        <v>0.707994541925132</v>
      </c>
      <c r="E612" s="2">
        <f t="shared" ca="1" si="4"/>
        <v>0.292005458074868</v>
      </c>
      <c r="F612" s="1">
        <v>0</v>
      </c>
      <c r="G612" s="1">
        <f t="shared" ca="1" si="5"/>
        <v>0.707994541925132</v>
      </c>
      <c r="H612" s="1">
        <f t="shared" ca="1" si="6"/>
        <v>0.292005458074868</v>
      </c>
    </row>
    <row r="613" spans="1:8">
      <c r="A613" s="2">
        <f t="shared" ca="1" si="0"/>
        <v>0.3580879971820573</v>
      </c>
      <c r="B613" s="2">
        <f t="shared" ca="1" si="1"/>
        <v>9.1243423273755064E-2</v>
      </c>
      <c r="C613" s="2">
        <f t="shared" ca="1" si="2"/>
        <v>3.2673174696133664E-2</v>
      </c>
      <c r="D613" s="2">
        <f t="shared" ca="1" si="3"/>
        <v>0.88066750159929652</v>
      </c>
      <c r="E613" s="2">
        <f t="shared" ca="1" si="4"/>
        <v>0.11933249840070348</v>
      </c>
      <c r="F613" s="1">
        <v>0</v>
      </c>
      <c r="G613" s="1">
        <f t="shared" ca="1" si="5"/>
        <v>0.88066750159929652</v>
      </c>
      <c r="H613" s="1">
        <f t="shared" ca="1" si="6"/>
        <v>0.11933249840070348</v>
      </c>
    </row>
    <row r="614" spans="1:8">
      <c r="A614" s="2">
        <f t="shared" ca="1" si="0"/>
        <v>1.0049838108035161</v>
      </c>
      <c r="B614" s="2">
        <f t="shared" ca="1" si="1"/>
        <v>0.16822632126492604</v>
      </c>
      <c r="C614" s="2">
        <f t="shared" ca="1" si="2"/>
        <v>0.16906472942228196</v>
      </c>
      <c r="D614" s="2">
        <f t="shared" ca="1" si="3"/>
        <v>0.16281721356693712</v>
      </c>
      <c r="E614" s="2">
        <f t="shared" ca="1" si="4"/>
        <v>0.83718278643306288</v>
      </c>
      <c r="F614" s="1">
        <v>0</v>
      </c>
      <c r="G614" s="1">
        <f t="shared" ca="1" si="5"/>
        <v>0.16281721356693712</v>
      </c>
      <c r="H614" s="1">
        <f t="shared" ca="1" si="6"/>
        <v>0.83718278643306288</v>
      </c>
    </row>
    <row r="615" spans="1:8">
      <c r="A615" s="2">
        <f t="shared" ca="1" si="0"/>
        <v>0.37889992216768925</v>
      </c>
      <c r="B615" s="2">
        <f t="shared" ca="1" si="1"/>
        <v>9.0858098002710816E-2</v>
      </c>
      <c r="C615" s="2">
        <f t="shared" ca="1" si="2"/>
        <v>3.4426126261531409E-2</v>
      </c>
      <c r="D615" s="2">
        <f t="shared" ca="1" si="3"/>
        <v>0.87144144072878205</v>
      </c>
      <c r="E615" s="2">
        <f t="shared" ca="1" si="4"/>
        <v>0.12855855927121795</v>
      </c>
      <c r="F615" s="1">
        <v>0</v>
      </c>
      <c r="G615" s="1">
        <f t="shared" ca="1" si="5"/>
        <v>0.87144144072878205</v>
      </c>
      <c r="H615" s="1">
        <f t="shared" ca="1" si="6"/>
        <v>0.12855855927121795</v>
      </c>
    </row>
    <row r="616" spans="1:8">
      <c r="A616" s="2">
        <f t="shared" ca="1" si="0"/>
        <v>1.0023118511860374</v>
      </c>
      <c r="B616" s="2">
        <f t="shared" ca="1" si="1"/>
        <v>0.15051946565270125</v>
      </c>
      <c r="C616" s="2">
        <f t="shared" ca="1" si="2"/>
        <v>0.15086744425789214</v>
      </c>
      <c r="D616" s="2">
        <f t="shared" ca="1" si="3"/>
        <v>0.25859239864267303</v>
      </c>
      <c r="E616" s="2">
        <f t="shared" ca="1" si="4"/>
        <v>0.74140760135732697</v>
      </c>
      <c r="F616" s="1">
        <v>0</v>
      </c>
      <c r="G616" s="1">
        <f t="shared" ca="1" si="5"/>
        <v>0.25859239864267303</v>
      </c>
      <c r="H616" s="1">
        <f t="shared" ca="1" si="6"/>
        <v>0.74140760135732697</v>
      </c>
    </row>
    <row r="617" spans="1:8">
      <c r="A617" s="2">
        <f t="shared" ca="1" si="0"/>
        <v>0.92752688642434178</v>
      </c>
      <c r="B617" s="2">
        <f t="shared" ca="1" si="1"/>
        <v>0.10929861629904028</v>
      </c>
      <c r="C617" s="2">
        <f t="shared" ca="1" si="2"/>
        <v>0.10137740526633765</v>
      </c>
      <c r="D617" s="2">
        <f t="shared" ca="1" si="3"/>
        <v>0.51906628807190713</v>
      </c>
      <c r="E617" s="2">
        <f t="shared" ca="1" si="4"/>
        <v>0.48093371192809287</v>
      </c>
      <c r="F617" s="1">
        <v>0</v>
      </c>
      <c r="G617" s="1">
        <f t="shared" ca="1" si="5"/>
        <v>0.51906628807190713</v>
      </c>
      <c r="H617" s="1">
        <f t="shared" ca="1" si="6"/>
        <v>0.48093371192809287</v>
      </c>
    </row>
    <row r="618" spans="1:8">
      <c r="A618" s="2">
        <f t="shared" ca="1" si="0"/>
        <v>0.61818056849378911</v>
      </c>
      <c r="B618" s="2">
        <f t="shared" ca="1" si="1"/>
        <v>8.9884730185731662E-2</v>
      </c>
      <c r="C618" s="2">
        <f t="shared" ca="1" si="2"/>
        <v>5.5564993605126449E-2</v>
      </c>
      <c r="D618" s="2">
        <f t="shared" ca="1" si="3"/>
        <v>0.76018424418354502</v>
      </c>
      <c r="E618" s="2">
        <f t="shared" ca="1" si="4"/>
        <v>0.23981575581645498</v>
      </c>
      <c r="F618" s="1">
        <v>0</v>
      </c>
      <c r="G618" s="1">
        <f t="shared" ca="1" si="5"/>
        <v>0.76018424418354502</v>
      </c>
      <c r="H618" s="1">
        <f t="shared" ca="1" si="6"/>
        <v>0.23981575581645498</v>
      </c>
    </row>
    <row r="619" spans="1:8">
      <c r="A619" s="2">
        <f t="shared" ca="1" si="0"/>
        <v>1.0009422055597856</v>
      </c>
      <c r="B619" s="2">
        <f t="shared" ca="1" si="1"/>
        <v>0.19612116255425985</v>
      </c>
      <c r="C619" s="2">
        <f t="shared" ca="1" si="2"/>
        <v>0.19630594900401011</v>
      </c>
      <c r="D619" s="2">
        <f t="shared" ca="1" si="3"/>
        <v>1.944237366310464E-2</v>
      </c>
      <c r="E619" s="2">
        <f t="shared" ca="1" si="4"/>
        <v>0.98055762633689536</v>
      </c>
      <c r="F619" s="1">
        <v>0</v>
      </c>
      <c r="G619" s="1">
        <f t="shared" ca="1" si="5"/>
        <v>1.944237366310464E-2</v>
      </c>
      <c r="H619" s="1">
        <f t="shared" ca="1" si="6"/>
        <v>0.98055762633689536</v>
      </c>
    </row>
    <row r="620" spans="1:8">
      <c r="A620" s="2">
        <f t="shared" ca="1" si="0"/>
        <v>0.94308781450539336</v>
      </c>
      <c r="B620" s="2">
        <f t="shared" ca="1" si="1"/>
        <v>0.11275542575678313</v>
      </c>
      <c r="C620" s="2">
        <f t="shared" ca="1" si="2"/>
        <v>0.10633826805058974</v>
      </c>
      <c r="D620" s="2">
        <f t="shared" ca="1" si="3"/>
        <v>0.49295648394426461</v>
      </c>
      <c r="E620" s="2">
        <f t="shared" ca="1" si="4"/>
        <v>0.50704351605573539</v>
      </c>
      <c r="F620" s="1">
        <v>0</v>
      </c>
      <c r="G620" s="1">
        <f t="shared" ca="1" si="5"/>
        <v>0.49295648394426461</v>
      </c>
      <c r="H620" s="1">
        <f t="shared" ca="1" si="6"/>
        <v>0.50704351605573539</v>
      </c>
    </row>
    <row r="621" spans="1:8">
      <c r="A621" s="2">
        <f t="shared" ca="1" si="0"/>
        <v>0.40341137237260238</v>
      </c>
      <c r="B621" s="2">
        <f t="shared" ca="1" si="1"/>
        <v>9.0462044506481029E-2</v>
      </c>
      <c r="C621" s="2">
        <f t="shared" ca="1" si="2"/>
        <v>3.6493417521990951E-2</v>
      </c>
      <c r="D621" s="2">
        <f t="shared" ca="1" si="3"/>
        <v>0.86056096041057395</v>
      </c>
      <c r="E621" s="2">
        <f t="shared" ca="1" si="4"/>
        <v>0.13943903958942605</v>
      </c>
      <c r="F621" s="1">
        <v>0</v>
      </c>
      <c r="G621" s="1">
        <f t="shared" ca="1" si="5"/>
        <v>0.86056096041057395</v>
      </c>
      <c r="H621" s="1">
        <f t="shared" ca="1" si="6"/>
        <v>0.13943903958942605</v>
      </c>
    </row>
    <row r="622" spans="1:8">
      <c r="A622" s="2">
        <f t="shared" ca="1" si="0"/>
        <v>0.46394144331112586</v>
      </c>
      <c r="B622" s="2">
        <f t="shared" ca="1" si="1"/>
        <v>8.9755242983529299E-2</v>
      </c>
      <c r="C622" s="2">
        <f t="shared" ca="1" si="2"/>
        <v>4.1641176974519384E-2</v>
      </c>
      <c r="D622" s="2">
        <f t="shared" ca="1" si="3"/>
        <v>0.83346748960779271</v>
      </c>
      <c r="E622" s="2">
        <f t="shared" ca="1" si="4"/>
        <v>0.16653251039220729</v>
      </c>
      <c r="F622" s="1">
        <v>0</v>
      </c>
      <c r="G622" s="1">
        <f t="shared" ca="1" si="5"/>
        <v>0.83346748960779271</v>
      </c>
      <c r="H622" s="1">
        <f t="shared" ca="1" si="6"/>
        <v>0.16653251039220729</v>
      </c>
    </row>
    <row r="623" spans="1:8">
      <c r="A623" s="2">
        <f t="shared" ca="1" si="0"/>
        <v>0.77107218248338205</v>
      </c>
      <c r="B623" s="2">
        <f t="shared" ca="1" si="1"/>
        <v>9.3956284277135108E-2</v>
      </c>
      <c r="C623" s="2">
        <f t="shared" ca="1" si="2"/>
        <v>7.2447077175599645E-2</v>
      </c>
      <c r="D623" s="2">
        <f t="shared" ca="1" si="3"/>
        <v>0.67133117276000187</v>
      </c>
      <c r="E623" s="2">
        <f t="shared" ca="1" si="4"/>
        <v>0.32866882723999813</v>
      </c>
      <c r="F623" s="1">
        <v>0</v>
      </c>
      <c r="G623" s="1">
        <f t="shared" ca="1" si="5"/>
        <v>0.67133117276000187</v>
      </c>
      <c r="H623" s="1">
        <f t="shared" ca="1" si="6"/>
        <v>0.32866882723999813</v>
      </c>
    </row>
    <row r="624" spans="1:8">
      <c r="A624" s="2">
        <f t="shared" ca="1" si="0"/>
        <v>0.25118568028409277</v>
      </c>
      <c r="B624" s="2">
        <f t="shared" ca="1" si="1"/>
        <v>9.3940582065399694E-2</v>
      </c>
      <c r="C624" s="2">
        <f t="shared" ca="1" si="2"/>
        <v>2.3596529012381066E-2</v>
      </c>
      <c r="D624" s="2">
        <f t="shared" ca="1" si="3"/>
        <v>0.92843932098746806</v>
      </c>
      <c r="E624" s="2">
        <f t="shared" ca="1" si="4"/>
        <v>7.1560679012531936E-2</v>
      </c>
      <c r="F624" s="1">
        <v>0</v>
      </c>
      <c r="G624" s="1">
        <f t="shared" ca="1" si="5"/>
        <v>0.92843932098746806</v>
      </c>
      <c r="H624" s="1">
        <f t="shared" ca="1" si="6"/>
        <v>7.1560679012531936E-2</v>
      </c>
    </row>
    <row r="625" spans="1:8">
      <c r="A625" s="2">
        <f t="shared" ca="1" si="0"/>
        <v>1.0038169905078564</v>
      </c>
      <c r="B625" s="2">
        <f t="shared" ca="1" si="1"/>
        <v>0.18158183638507563</v>
      </c>
      <c r="C625" s="2">
        <f t="shared" ca="1" si="2"/>
        <v>0.18227493253095661</v>
      </c>
      <c r="D625" s="2">
        <f t="shared" ca="1" si="3"/>
        <v>9.3289828784439033E-2</v>
      </c>
      <c r="E625" s="2">
        <f t="shared" ca="1" si="4"/>
        <v>0.90671017121556097</v>
      </c>
      <c r="F625" s="1">
        <v>0</v>
      </c>
      <c r="G625" s="1">
        <f t="shared" ca="1" si="5"/>
        <v>9.3289828784439033E-2</v>
      </c>
      <c r="H625" s="1">
        <f t="shared" ca="1" si="6"/>
        <v>0.90671017121556097</v>
      </c>
    </row>
    <row r="626" spans="1:8">
      <c r="A626" s="2">
        <f t="shared" ca="1" si="0"/>
        <v>0.13637652845564283</v>
      </c>
      <c r="B626" s="2">
        <f t="shared" ca="1" si="1"/>
        <v>9.8274572460177262E-2</v>
      </c>
      <c r="C626" s="2">
        <f t="shared" ca="1" si="2"/>
        <v>1.3402345027581497E-2</v>
      </c>
      <c r="D626" s="2">
        <f t="shared" ca="1" si="3"/>
        <v>0.98209292090746581</v>
      </c>
      <c r="E626" s="2">
        <f t="shared" ca="1" si="4"/>
        <v>1.7907079092534195E-2</v>
      </c>
      <c r="F626" s="1">
        <v>0</v>
      </c>
      <c r="G626" s="1">
        <f t="shared" ca="1" si="5"/>
        <v>0.98209292090746581</v>
      </c>
      <c r="H626" s="1">
        <f t="shared" ca="1" si="6"/>
        <v>1.7907079092534195E-2</v>
      </c>
    </row>
    <row r="627" spans="1:8">
      <c r="A627" s="2">
        <f t="shared" ca="1" si="0"/>
        <v>0.79215040802781289</v>
      </c>
      <c r="B627" s="2">
        <f t="shared" ca="1" si="1"/>
        <v>9.5029214317614491E-2</v>
      </c>
      <c r="C627" s="2">
        <f t="shared" ca="1" si="2"/>
        <v>7.5277430896260794E-2</v>
      </c>
      <c r="D627" s="2">
        <f t="shared" ca="1" si="3"/>
        <v>0.65643457423020635</v>
      </c>
      <c r="E627" s="2">
        <f t="shared" ca="1" si="4"/>
        <v>0.34356542576979365</v>
      </c>
      <c r="F627" s="1">
        <v>0</v>
      </c>
      <c r="G627" s="1">
        <f t="shared" ca="1" si="5"/>
        <v>0.65643457423020635</v>
      </c>
      <c r="H627" s="1">
        <f t="shared" ca="1" si="6"/>
        <v>0.34356542576979365</v>
      </c>
    </row>
    <row r="628" spans="1:8">
      <c r="A628" s="2">
        <f t="shared" ca="1" si="0"/>
        <v>0.50053090591298621</v>
      </c>
      <c r="B628" s="2">
        <f t="shared" ca="1" si="1"/>
        <v>8.9521557689652531E-2</v>
      </c>
      <c r="C628" s="2">
        <f t="shared" ca="1" si="2"/>
        <v>4.4808306369143437E-2</v>
      </c>
      <c r="D628" s="2">
        <f t="shared" ca="1" si="3"/>
        <v>0.81679838753082401</v>
      </c>
      <c r="E628" s="2">
        <f t="shared" ca="1" si="4"/>
        <v>0.18320161246917599</v>
      </c>
      <c r="F628" s="1">
        <v>0</v>
      </c>
      <c r="G628" s="1">
        <f t="shared" ca="1" si="5"/>
        <v>0.81679838753082401</v>
      </c>
      <c r="H628" s="1">
        <f t="shared" ca="1" si="6"/>
        <v>0.18320161246917599</v>
      </c>
    </row>
    <row r="629" spans="1:8">
      <c r="A629" s="2">
        <f t="shared" ca="1" si="0"/>
        <v>1.0045852119650083</v>
      </c>
      <c r="B629" s="2">
        <f t="shared" ca="1" si="1"/>
        <v>0.16037743081413619</v>
      </c>
      <c r="C629" s="2">
        <f t="shared" ca="1" si="2"/>
        <v>0.16111279532882244</v>
      </c>
      <c r="D629" s="2">
        <f t="shared" ca="1" si="3"/>
        <v>0.20466949826935554</v>
      </c>
      <c r="E629" s="2">
        <f t="shared" ca="1" si="4"/>
        <v>0.79533050173064446</v>
      </c>
      <c r="F629" s="1">
        <v>0</v>
      </c>
      <c r="G629" s="1">
        <f t="shared" ca="1" si="5"/>
        <v>0.20466949826935554</v>
      </c>
      <c r="H629" s="1">
        <f t="shared" ca="1" si="6"/>
        <v>0.79533050173064446</v>
      </c>
    </row>
    <row r="630" spans="1:8">
      <c r="A630" s="2">
        <f t="shared" ca="1" si="0"/>
        <v>0.48377608947396661</v>
      </c>
      <c r="B630" s="2">
        <f t="shared" ca="1" si="1"/>
        <v>8.9609896591691496E-2</v>
      </c>
      <c r="C630" s="2">
        <f t="shared" ca="1" si="2"/>
        <v>4.3351125351295039E-2</v>
      </c>
      <c r="D630" s="2">
        <f t="shared" ca="1" si="3"/>
        <v>0.82446776130897348</v>
      </c>
      <c r="E630" s="2">
        <f t="shared" ca="1" si="4"/>
        <v>0.17553223869102652</v>
      </c>
      <c r="F630" s="1">
        <v>0</v>
      </c>
      <c r="G630" s="1">
        <f t="shared" ca="1" si="5"/>
        <v>0.82446776130897348</v>
      </c>
      <c r="H630" s="1">
        <f t="shared" ca="1" si="6"/>
        <v>0.17553223869102652</v>
      </c>
    </row>
    <row r="631" spans="1:8">
      <c r="A631" s="2">
        <f t="shared" ca="1" si="0"/>
        <v>0.35788154258876126</v>
      </c>
      <c r="B631" s="2">
        <f t="shared" ca="1" si="1"/>
        <v>9.124747112050946E-2</v>
      </c>
      <c r="C631" s="2">
        <f t="shared" ca="1" si="2"/>
        <v>3.2655785721931369E-2</v>
      </c>
      <c r="D631" s="2">
        <f t="shared" ca="1" si="3"/>
        <v>0.88075902251615068</v>
      </c>
      <c r="E631" s="2">
        <f t="shared" ca="1" si="4"/>
        <v>0.11924097748384932</v>
      </c>
      <c r="F631" s="1">
        <v>0</v>
      </c>
      <c r="G631" s="1">
        <f t="shared" ca="1" si="5"/>
        <v>0.88075902251615068</v>
      </c>
      <c r="H631" s="1">
        <f t="shared" ca="1" si="6"/>
        <v>0.11924097748384932</v>
      </c>
    </row>
    <row r="632" spans="1:8">
      <c r="A632" s="2">
        <f t="shared" ca="1" si="0"/>
        <v>0.98793640615877565</v>
      </c>
      <c r="B632" s="2">
        <f t="shared" ca="1" si="1"/>
        <v>0.13152995254102848</v>
      </c>
      <c r="C632" s="2">
        <f t="shared" ca="1" si="2"/>
        <v>0.12994322861561799</v>
      </c>
      <c r="D632" s="2">
        <f t="shared" ca="1" si="3"/>
        <v>0.36871984939148428</v>
      </c>
      <c r="E632" s="2">
        <f t="shared" ca="1" si="4"/>
        <v>0.63128015060851572</v>
      </c>
      <c r="F632" s="1">
        <v>0</v>
      </c>
      <c r="G632" s="1">
        <f t="shared" ca="1" si="5"/>
        <v>0.36871984939148428</v>
      </c>
      <c r="H632" s="1">
        <f t="shared" ca="1" si="6"/>
        <v>0.63128015060851572</v>
      </c>
    </row>
    <row r="633" spans="1:8">
      <c r="A633" s="2">
        <f t="shared" ca="1" si="0"/>
        <v>0.30277669870622315</v>
      </c>
      <c r="B633" s="2">
        <f t="shared" ca="1" si="1"/>
        <v>9.2487051181400867E-2</v>
      </c>
      <c r="C633" s="2">
        <f t="shared" ca="1" si="2"/>
        <v>2.800292402977805E-2</v>
      </c>
      <c r="D633" s="2">
        <f t="shared" ca="1" si="3"/>
        <v>0.90524776826432607</v>
      </c>
      <c r="E633" s="2">
        <f t="shared" ca="1" si="4"/>
        <v>9.4752231735673931E-2</v>
      </c>
      <c r="F633" s="1">
        <v>0</v>
      </c>
      <c r="G633" s="1">
        <f t="shared" ca="1" si="5"/>
        <v>0.90524776826432607</v>
      </c>
      <c r="H633" s="1">
        <f t="shared" ca="1" si="6"/>
        <v>9.4752231735673931E-2</v>
      </c>
    </row>
    <row r="634" spans="1:8">
      <c r="A634" s="2">
        <f t="shared" ca="1" si="0"/>
        <v>0.97098745744775905</v>
      </c>
      <c r="B634" s="2">
        <f t="shared" ca="1" si="1"/>
        <v>0.12185850520637</v>
      </c>
      <c r="C634" s="2">
        <f t="shared" ca="1" si="2"/>
        <v>0.11832308013871772</v>
      </c>
      <c r="D634" s="2">
        <f t="shared" ca="1" si="3"/>
        <v>0.42987852558569628</v>
      </c>
      <c r="E634" s="2">
        <f t="shared" ca="1" si="4"/>
        <v>0.57012147441430372</v>
      </c>
      <c r="F634" s="1">
        <v>0</v>
      </c>
      <c r="G634" s="1">
        <f t="shared" ca="1" si="5"/>
        <v>0.42987852558569628</v>
      </c>
      <c r="H634" s="1">
        <f t="shared" ca="1" si="6"/>
        <v>0.57012147441430372</v>
      </c>
    </row>
    <row r="635" spans="1:8">
      <c r="A635" s="2">
        <f t="shared" ca="1" si="0"/>
        <v>1.0044094305934863</v>
      </c>
      <c r="B635" s="2">
        <f t="shared" ca="1" si="1"/>
        <v>0.17711027401989696</v>
      </c>
      <c r="C635" s="2">
        <f t="shared" ca="1" si="2"/>
        <v>0.17789122948058103</v>
      </c>
      <c r="D635" s="2">
        <f t="shared" ca="1" si="3"/>
        <v>0.11636195010220518</v>
      </c>
      <c r="E635" s="2">
        <f t="shared" ca="1" si="4"/>
        <v>0.88363804989779482</v>
      </c>
      <c r="F635" s="1">
        <v>0</v>
      </c>
      <c r="G635" s="1">
        <f t="shared" ca="1" si="5"/>
        <v>0.11636195010220518</v>
      </c>
      <c r="H635" s="1">
        <f t="shared" ca="1" si="6"/>
        <v>0.88363804989779482</v>
      </c>
    </row>
    <row r="636" spans="1:8">
      <c r="A636" s="2">
        <f t="shared" ca="1" si="0"/>
        <v>0.20815863992203285</v>
      </c>
      <c r="B636" s="2">
        <f t="shared" ca="1" si="1"/>
        <v>9.5379364512656412E-2</v>
      </c>
      <c r="C636" s="2">
        <f t="shared" ca="1" si="2"/>
        <v>1.9854038793582364E-2</v>
      </c>
      <c r="D636" s="2">
        <f t="shared" ca="1" si="3"/>
        <v>0.94813663792851388</v>
      </c>
      <c r="E636" s="2">
        <f t="shared" ca="1" si="4"/>
        <v>5.1863362071486119E-2</v>
      </c>
      <c r="F636" s="1">
        <v>0</v>
      </c>
      <c r="G636" s="1">
        <f t="shared" ca="1" si="5"/>
        <v>0.94813663792851388</v>
      </c>
      <c r="H636" s="1">
        <f t="shared" ca="1" si="6"/>
        <v>5.1863362071486119E-2</v>
      </c>
    </row>
    <row r="637" spans="1:8">
      <c r="A637" s="2">
        <f t="shared" ca="1" si="0"/>
        <v>0.99628603244441738</v>
      </c>
      <c r="B637" s="2">
        <f t="shared" ca="1" si="1"/>
        <v>0.1396694129290216</v>
      </c>
      <c r="C637" s="2">
        <f t="shared" ca="1" si="2"/>
        <v>0.13915068526089594</v>
      </c>
      <c r="D637" s="2">
        <f t="shared" ca="1" si="3"/>
        <v>0.32025955125844241</v>
      </c>
      <c r="E637" s="2">
        <f t="shared" ca="1" si="4"/>
        <v>0.67974044874155759</v>
      </c>
      <c r="F637" s="1">
        <v>0</v>
      </c>
      <c r="G637" s="1">
        <f t="shared" ca="1" si="5"/>
        <v>0.32025955125844241</v>
      </c>
      <c r="H637" s="1">
        <f t="shared" ca="1" si="6"/>
        <v>0.67974044874155759</v>
      </c>
    </row>
    <row r="638" spans="1:8">
      <c r="A638" s="2">
        <f t="shared" ca="1" si="0"/>
        <v>1.0000982443920041</v>
      </c>
      <c r="B638" s="2">
        <f t="shared" ca="1" si="1"/>
        <v>0.19960594823457437</v>
      </c>
      <c r="C638" s="2">
        <f t="shared" ca="1" si="2"/>
        <v>0.19962555839959906</v>
      </c>
      <c r="D638" s="2">
        <f t="shared" ca="1" si="3"/>
        <v>1.9707452652680812E-3</v>
      </c>
      <c r="E638" s="2">
        <f t="shared" ca="1" si="4"/>
        <v>0.99802925473473192</v>
      </c>
      <c r="F638" s="1">
        <v>0</v>
      </c>
      <c r="G638" s="1">
        <f t="shared" ca="1" si="5"/>
        <v>1.9707452652680812E-3</v>
      </c>
      <c r="H638" s="1">
        <f t="shared" ca="1" si="6"/>
        <v>0.99802925473473192</v>
      </c>
    </row>
    <row r="639" spans="1:8">
      <c r="A639" s="2">
        <f t="shared" ca="1" si="0"/>
        <v>0.61361761345503374</v>
      </c>
      <c r="B639" s="2">
        <f t="shared" ca="1" si="1"/>
        <v>8.9834834183933204E-2</v>
      </c>
      <c r="C639" s="2">
        <f t="shared" ca="1" si="2"/>
        <v>5.5124236557073776E-2</v>
      </c>
      <c r="D639" s="2">
        <f t="shared" ca="1" si="3"/>
        <v>0.76250401812066437</v>
      </c>
      <c r="E639" s="2">
        <f t="shared" ca="1" si="4"/>
        <v>0.23749598187933563</v>
      </c>
      <c r="F639" s="1">
        <v>0</v>
      </c>
      <c r="G639" s="1">
        <f t="shared" ca="1" si="5"/>
        <v>0.76250401812066437</v>
      </c>
      <c r="H639" s="1">
        <f t="shared" ca="1" si="6"/>
        <v>0.23749598187933563</v>
      </c>
    </row>
    <row r="640" spans="1:8">
      <c r="A640" s="2">
        <f t="shared" ca="1" si="0"/>
        <v>1.0010782347859188</v>
      </c>
      <c r="B640" s="2">
        <f t="shared" ca="1" si="1"/>
        <v>0.19554026719599071</v>
      </c>
      <c r="C640" s="2">
        <f t="shared" ca="1" si="2"/>
        <v>0.19575110551412928</v>
      </c>
      <c r="D640" s="2">
        <f t="shared" ca="1" si="3"/>
        <v>2.2362602557214339E-2</v>
      </c>
      <c r="E640" s="2">
        <f t="shared" ca="1" si="4"/>
        <v>0.97763739744278566</v>
      </c>
      <c r="F640" s="1">
        <v>0</v>
      </c>
      <c r="G640" s="1">
        <f t="shared" ca="1" si="5"/>
        <v>2.2362602557214339E-2</v>
      </c>
      <c r="H640" s="1">
        <f t="shared" ca="1" si="6"/>
        <v>0.97763739744278566</v>
      </c>
    </row>
    <row r="641" spans="1:8">
      <c r="A641" s="2">
        <f t="shared" ca="1" si="0"/>
        <v>1.0044138054496436</v>
      </c>
      <c r="B641" s="2">
        <f t="shared" ca="1" si="1"/>
        <v>0.15907890499012489</v>
      </c>
      <c r="C641" s="2">
        <f t="shared" ca="1" si="2"/>
        <v>0.15978104832789364</v>
      </c>
      <c r="D641" s="2">
        <f t="shared" ca="1" si="3"/>
        <v>0.21167869301108622</v>
      </c>
      <c r="E641" s="2">
        <f t="shared" ca="1" si="4"/>
        <v>0.78832130698891378</v>
      </c>
      <c r="F641" s="1">
        <v>0</v>
      </c>
      <c r="G641" s="1">
        <f t="shared" ca="1" si="5"/>
        <v>0.21167869301108622</v>
      </c>
      <c r="H641" s="1">
        <f t="shared" ca="1" si="6"/>
        <v>0.78832130698891378</v>
      </c>
    </row>
    <row r="642" spans="1:8">
      <c r="A642" s="2">
        <f t="shared" ca="1" si="0"/>
        <v>0.97669143783944268</v>
      </c>
      <c r="B642" s="2">
        <f t="shared" ca="1" si="1"/>
        <v>0.12454159279071143</v>
      </c>
      <c r="C642" s="2">
        <f t="shared" ca="1" si="2"/>
        <v>0.12163870733357432</v>
      </c>
      <c r="D642" s="2">
        <f t="shared" ca="1" si="3"/>
        <v>0.4124278561390825</v>
      </c>
      <c r="E642" s="2">
        <f t="shared" ca="1" si="4"/>
        <v>0.5875721438609175</v>
      </c>
      <c r="F642" s="1">
        <v>0</v>
      </c>
      <c r="G642" s="1">
        <f t="shared" ca="1" si="5"/>
        <v>0.4124278561390825</v>
      </c>
      <c r="H642" s="1">
        <f t="shared" ca="1" si="6"/>
        <v>0.5875721438609175</v>
      </c>
    </row>
    <row r="643" spans="1:8">
      <c r="A643" s="2">
        <f t="shared" ca="1" si="0"/>
        <v>0.9983496337537221</v>
      </c>
      <c r="B643" s="2">
        <f t="shared" ca="1" si="1"/>
        <v>0.1425424359274769</v>
      </c>
      <c r="C643" s="2">
        <f t="shared" ca="1" si="2"/>
        <v>0.14230718870255996</v>
      </c>
      <c r="D643" s="2">
        <f t="shared" ca="1" si="3"/>
        <v>0.30364637524968441</v>
      </c>
      <c r="E643" s="2">
        <f t="shared" ca="1" si="4"/>
        <v>0.69635362475031559</v>
      </c>
      <c r="F643" s="1">
        <v>0</v>
      </c>
      <c r="G643" s="1">
        <f t="shared" ca="1" si="5"/>
        <v>0.30364637524968441</v>
      </c>
      <c r="H643" s="1">
        <f t="shared" ca="1" si="6"/>
        <v>0.69635362475031559</v>
      </c>
    </row>
    <row r="644" spans="1:8">
      <c r="A644" s="2">
        <f t="shared" ca="1" si="0"/>
        <v>0.81183172574376428</v>
      </c>
      <c r="B644" s="2">
        <f t="shared" ca="1" si="1"/>
        <v>9.6202184349107614E-2</v>
      </c>
      <c r="C644" s="2">
        <f t="shared" ca="1" si="2"/>
        <v>7.8099985340455785E-2</v>
      </c>
      <c r="D644" s="2">
        <f t="shared" ca="1" si="3"/>
        <v>0.64157902452391691</v>
      </c>
      <c r="E644" s="2">
        <f t="shared" ca="1" si="4"/>
        <v>0.35842097547608309</v>
      </c>
      <c r="F644" s="1">
        <v>0</v>
      </c>
      <c r="G644" s="1">
        <f t="shared" ca="1" si="5"/>
        <v>0.64157902452391691</v>
      </c>
      <c r="H644" s="1">
        <f t="shared" ca="1" si="6"/>
        <v>0.35842097547608309</v>
      </c>
    </row>
    <row r="645" spans="1:8">
      <c r="A645" s="2">
        <f t="shared" ca="1" si="0"/>
        <v>0.92315233933891871</v>
      </c>
      <c r="B645" s="2">
        <f t="shared" ca="1" si="1"/>
        <v>0.10845548906702775</v>
      </c>
      <c r="C645" s="2">
        <f t="shared" ca="1" si="2"/>
        <v>0.10012093844637318</v>
      </c>
      <c r="D645" s="2">
        <f t="shared" ca="1" si="3"/>
        <v>0.52567927133487802</v>
      </c>
      <c r="E645" s="2">
        <f t="shared" ca="1" si="4"/>
        <v>0.47432072866512198</v>
      </c>
      <c r="F645" s="1">
        <v>0</v>
      </c>
      <c r="G645" s="1">
        <f t="shared" ca="1" si="5"/>
        <v>0.52567927133487802</v>
      </c>
      <c r="H645" s="1">
        <f t="shared" ca="1" si="6"/>
        <v>0.47432072866512198</v>
      </c>
    </row>
    <row r="646" spans="1:8">
      <c r="A646" s="2">
        <f t="shared" ca="1" si="0"/>
        <v>0.9806042832167885</v>
      </c>
      <c r="B646" s="2">
        <f t="shared" ca="1" si="1"/>
        <v>0.12666236971862052</v>
      </c>
      <c r="C646" s="2">
        <f t="shared" ca="1" si="2"/>
        <v>0.12420566226846773</v>
      </c>
      <c r="D646" s="2">
        <f t="shared" ca="1" si="3"/>
        <v>0.39891756700806458</v>
      </c>
      <c r="E646" s="2">
        <f t="shared" ca="1" si="4"/>
        <v>0.60108243299193542</v>
      </c>
      <c r="F646" s="1">
        <v>0</v>
      </c>
      <c r="G646" s="1">
        <f t="shared" ca="1" si="5"/>
        <v>0.39891756700806458</v>
      </c>
      <c r="H646" s="1">
        <f t="shared" ca="1" si="6"/>
        <v>0.60108243299193542</v>
      </c>
    </row>
    <row r="647" spans="1:8">
      <c r="A647" s="2">
        <f t="shared" ca="1" si="0"/>
        <v>1.0049779692952774</v>
      </c>
      <c r="B647" s="2">
        <f t="shared" ca="1" si="1"/>
        <v>0.16634871841713506</v>
      </c>
      <c r="C647" s="2">
        <f t="shared" ca="1" si="2"/>
        <v>0.16717679722972428</v>
      </c>
      <c r="D647" s="2">
        <f t="shared" ca="1" si="3"/>
        <v>0.17275369879092495</v>
      </c>
      <c r="E647" s="2">
        <f t="shared" ca="1" si="4"/>
        <v>0.82724630120907505</v>
      </c>
      <c r="F647" s="1">
        <v>0</v>
      </c>
      <c r="G647" s="1">
        <f t="shared" ca="1" si="5"/>
        <v>0.17275369879092495</v>
      </c>
      <c r="H647" s="1">
        <f t="shared" ca="1" si="6"/>
        <v>0.82724630120907505</v>
      </c>
    </row>
    <row r="648" spans="1:8">
      <c r="A648" s="2">
        <f t="shared" ca="1" si="0"/>
        <v>1.0048614421942559</v>
      </c>
      <c r="B648" s="2">
        <f t="shared" ca="1" si="1"/>
        <v>0.17182954816817203</v>
      </c>
      <c r="C648" s="2">
        <f t="shared" ca="1" si="2"/>
        <v>0.1726648875838567</v>
      </c>
      <c r="D648" s="2">
        <f t="shared" ca="1" si="3"/>
        <v>0.14386901271654373</v>
      </c>
      <c r="E648" s="2">
        <f t="shared" ca="1" si="4"/>
        <v>0.85613098728345627</v>
      </c>
      <c r="F648" s="1">
        <v>0</v>
      </c>
      <c r="G648" s="1">
        <f t="shared" ca="1" si="5"/>
        <v>0.14386901271654373</v>
      </c>
      <c r="H648" s="1">
        <f t="shared" ca="1" si="6"/>
        <v>0.85613098728345627</v>
      </c>
    </row>
    <row r="649" spans="1:8">
      <c r="A649" s="2">
        <f t="shared" ca="1" si="0"/>
        <v>0.95685965452379818</v>
      </c>
      <c r="B649" s="2">
        <f t="shared" ca="1" si="1"/>
        <v>0.11662418478852515</v>
      </c>
      <c r="C649" s="2">
        <f t="shared" ca="1" si="2"/>
        <v>0.11159297716586777</v>
      </c>
      <c r="D649" s="2">
        <f t="shared" ca="1" si="3"/>
        <v>0.46530012017964328</v>
      </c>
      <c r="E649" s="2">
        <f t="shared" ca="1" si="4"/>
        <v>0.53469987982035672</v>
      </c>
      <c r="F649" s="1">
        <v>0</v>
      </c>
      <c r="G649" s="1">
        <f t="shared" ca="1" si="5"/>
        <v>0.46530012017964328</v>
      </c>
      <c r="H649" s="1">
        <f t="shared" ca="1" si="6"/>
        <v>0.53469987982035672</v>
      </c>
    </row>
    <row r="650" spans="1:8">
      <c r="A650" s="2">
        <f t="shared" ca="1" si="0"/>
        <v>0.91390681052140921</v>
      </c>
      <c r="B650" s="2">
        <f t="shared" ca="1" si="1"/>
        <v>0.10682164182364533</v>
      </c>
      <c r="C650" s="2">
        <f t="shared" ca="1" si="2"/>
        <v>9.7625025973708077E-2</v>
      </c>
      <c r="D650" s="2">
        <f t="shared" ca="1" si="3"/>
        <v>0.53881565276995746</v>
      </c>
      <c r="E650" s="2">
        <f t="shared" ca="1" si="4"/>
        <v>0.46118434723004254</v>
      </c>
      <c r="F650" s="1">
        <v>0</v>
      </c>
      <c r="G650" s="1">
        <f t="shared" ca="1" si="5"/>
        <v>0.53881565276995746</v>
      </c>
      <c r="H650" s="1">
        <f t="shared" ca="1" si="6"/>
        <v>0.46118434723004254</v>
      </c>
    </row>
    <row r="651" spans="1:8">
      <c r="A651" s="2">
        <f t="shared" ca="1" si="0"/>
        <v>0.98580489412124461</v>
      </c>
      <c r="B651" s="2">
        <f t="shared" ca="1" si="1"/>
        <v>0.12996516960192092</v>
      </c>
      <c r="C651" s="2">
        <f t="shared" ca="1" si="2"/>
        <v>0.12812030025887125</v>
      </c>
      <c r="D651" s="2">
        <f t="shared" ca="1" si="3"/>
        <v>0.37831420916383562</v>
      </c>
      <c r="E651" s="2">
        <f t="shared" ca="1" si="4"/>
        <v>0.62168579083616438</v>
      </c>
      <c r="F651" s="1">
        <v>0</v>
      </c>
      <c r="G651" s="1">
        <f t="shared" ca="1" si="5"/>
        <v>0.37831420916383562</v>
      </c>
      <c r="H651" s="1">
        <f t="shared" ca="1" si="6"/>
        <v>0.62168579083616438</v>
      </c>
    </row>
    <row r="652" spans="1:8">
      <c r="A652" s="2">
        <f t="shared" ca="1" si="0"/>
        <v>1.0044959845918253</v>
      </c>
      <c r="B652" s="2">
        <f t="shared" ca="1" si="1"/>
        <v>0.17631465296865112</v>
      </c>
      <c r="C652" s="2">
        <f t="shared" ca="1" si="2"/>
        <v>0.1771073609317112</v>
      </c>
      <c r="D652" s="2">
        <f t="shared" ca="1" si="3"/>
        <v>0.12048757404362542</v>
      </c>
      <c r="E652" s="2">
        <f t="shared" ca="1" si="4"/>
        <v>0.87951242595637458</v>
      </c>
      <c r="F652" s="1">
        <v>0</v>
      </c>
      <c r="G652" s="1">
        <f t="shared" ca="1" si="5"/>
        <v>0.12048757404362542</v>
      </c>
      <c r="H652" s="1">
        <f t="shared" ca="1" si="6"/>
        <v>0.87951242595637458</v>
      </c>
    </row>
    <row r="653" spans="1:8">
      <c r="A653" s="2">
        <f t="shared" ca="1" si="0"/>
        <v>0.78467508761984817</v>
      </c>
      <c r="B653" s="2">
        <f t="shared" ca="1" si="1"/>
        <v>9.4628637513278491E-2</v>
      </c>
      <c r="C653" s="2">
        <f t="shared" ca="1" si="2"/>
        <v>7.4252734432078651E-2</v>
      </c>
      <c r="D653" s="2">
        <f t="shared" ca="1" si="3"/>
        <v>0.6618277135153755</v>
      </c>
      <c r="E653" s="2">
        <f t="shared" ca="1" si="4"/>
        <v>0.3381722864846245</v>
      </c>
      <c r="F653" s="1">
        <v>0</v>
      </c>
      <c r="G653" s="1">
        <f t="shared" ca="1" si="5"/>
        <v>0.6618277135153755</v>
      </c>
      <c r="H653" s="1">
        <f t="shared" ca="1" si="6"/>
        <v>0.3381722864846245</v>
      </c>
    </row>
    <row r="654" spans="1:8">
      <c r="A654" s="2">
        <f t="shared" ca="1" si="0"/>
        <v>0.98405474382305635</v>
      </c>
      <c r="B654" s="2">
        <f t="shared" ca="1" si="1"/>
        <v>0.12878053472698656</v>
      </c>
      <c r="C654" s="2">
        <f t="shared" ca="1" si="2"/>
        <v>0.12672709611016097</v>
      </c>
      <c r="D654" s="2">
        <f t="shared" ca="1" si="3"/>
        <v>0.38564686257810021</v>
      </c>
      <c r="E654" s="2">
        <f t="shared" ca="1" si="4"/>
        <v>0.61435313742189979</v>
      </c>
      <c r="F654" s="1">
        <v>0</v>
      </c>
      <c r="G654" s="1">
        <f t="shared" ca="1" si="5"/>
        <v>0.38564686257810021</v>
      </c>
      <c r="H654" s="1">
        <f t="shared" ca="1" si="6"/>
        <v>0.61435313742189979</v>
      </c>
    </row>
    <row r="655" spans="1:8">
      <c r="A655" s="2">
        <f t="shared" ca="1" si="0"/>
        <v>0.48108265340262446</v>
      </c>
      <c r="B655" s="2">
        <f t="shared" ca="1" si="1"/>
        <v>8.9627064136547183E-2</v>
      </c>
      <c r="C655" s="2">
        <f t="shared" ca="1" si="2"/>
        <v>4.311802583149732E-2</v>
      </c>
      <c r="D655" s="2">
        <f t="shared" ca="1" si="3"/>
        <v>0.8256946008868562</v>
      </c>
      <c r="E655" s="2">
        <f t="shared" ca="1" si="4"/>
        <v>0.1743053991131438</v>
      </c>
      <c r="F655" s="1">
        <v>0</v>
      </c>
      <c r="G655" s="1">
        <f t="shared" ca="1" si="5"/>
        <v>0.8256946008868562</v>
      </c>
      <c r="H655" s="1">
        <f t="shared" ca="1" si="6"/>
        <v>0.1743053991131438</v>
      </c>
    </row>
    <row r="656" spans="1:8">
      <c r="A656" s="2">
        <f t="shared" ca="1" si="0"/>
        <v>0.77370816728694014</v>
      </c>
      <c r="B656" s="2">
        <f t="shared" ca="1" si="1"/>
        <v>9.40811449659604E-2</v>
      </c>
      <c r="C656" s="2">
        <f t="shared" ca="1" si="2"/>
        <v>7.279135024787016E-2</v>
      </c>
      <c r="D656" s="2">
        <f t="shared" ca="1" si="3"/>
        <v>0.66951920922173602</v>
      </c>
      <c r="E656" s="2">
        <f t="shared" ca="1" si="4"/>
        <v>0.33048079077826398</v>
      </c>
      <c r="F656" s="1">
        <v>0</v>
      </c>
      <c r="G656" s="1">
        <f t="shared" ca="1" si="5"/>
        <v>0.66951920922173602</v>
      </c>
      <c r="H656" s="1">
        <f t="shared" ca="1" si="6"/>
        <v>0.33048079077826398</v>
      </c>
    </row>
    <row r="657" spans="1:8">
      <c r="A657" s="2">
        <f t="shared" ca="1" si="0"/>
        <v>1.0025081154292175</v>
      </c>
      <c r="B657" s="2">
        <f t="shared" ca="1" si="1"/>
        <v>0.18896829854132827</v>
      </c>
      <c r="C657" s="2">
        <f t="shared" ca="1" si="2"/>
        <v>0.18944225284653274</v>
      </c>
      <c r="D657" s="2">
        <f t="shared" ca="1" si="3"/>
        <v>5.5567090281406606E-2</v>
      </c>
      <c r="E657" s="2">
        <f t="shared" ca="1" si="4"/>
        <v>0.94443290971859339</v>
      </c>
      <c r="F657" s="1">
        <v>0</v>
      </c>
      <c r="G657" s="1">
        <f t="shared" ca="1" si="5"/>
        <v>5.5567090281406606E-2</v>
      </c>
      <c r="H657" s="1">
        <f t="shared" ca="1" si="6"/>
        <v>0.94443290971859339</v>
      </c>
    </row>
    <row r="658" spans="1:8">
      <c r="A658" s="2">
        <f t="shared" ca="1" si="0"/>
        <v>0.92883870298910309</v>
      </c>
      <c r="B658" s="2">
        <f t="shared" ca="1" si="1"/>
        <v>0.10956121889572511</v>
      </c>
      <c r="C658" s="2">
        <f t="shared" ca="1" si="2"/>
        <v>0.10176470045701053</v>
      </c>
      <c r="D658" s="2">
        <f t="shared" ca="1" si="3"/>
        <v>0.51702789233152358</v>
      </c>
      <c r="E658" s="2">
        <f t="shared" ca="1" si="4"/>
        <v>0.48297210766847642</v>
      </c>
      <c r="F658" s="1">
        <v>0</v>
      </c>
      <c r="G658" s="1">
        <f t="shared" ca="1" si="5"/>
        <v>0.51702789233152358</v>
      </c>
      <c r="H658" s="1">
        <f t="shared" ca="1" si="6"/>
        <v>0.48297210766847642</v>
      </c>
    </row>
    <row r="659" spans="1:8">
      <c r="A659" s="2">
        <f t="shared" ca="1" si="0"/>
        <v>1.0016309565551547</v>
      </c>
      <c r="B659" s="2">
        <f t="shared" ca="1" si="1"/>
        <v>0.19311205261793526</v>
      </c>
      <c r="C659" s="2">
        <f t="shared" ca="1" si="2"/>
        <v>0.19342700998603185</v>
      </c>
      <c r="D659" s="2">
        <f t="shared" ca="1" si="3"/>
        <v>3.4594684284042887E-2</v>
      </c>
      <c r="E659" s="2">
        <f t="shared" ca="1" si="4"/>
        <v>0.96540531571595711</v>
      </c>
      <c r="F659" s="1">
        <v>0</v>
      </c>
      <c r="G659" s="1">
        <f t="shared" ca="1" si="5"/>
        <v>3.4594684284042887E-2</v>
      </c>
      <c r="H659" s="1">
        <f t="shared" ca="1" si="6"/>
        <v>0.96540531571595711</v>
      </c>
    </row>
    <row r="660" spans="1:8">
      <c r="A660" s="2">
        <f t="shared" ca="1" si="0"/>
        <v>0.8193899867754364</v>
      </c>
      <c r="B660" s="2">
        <f t="shared" ca="1" si="1"/>
        <v>9.670320389768583E-2</v>
      </c>
      <c r="C660" s="2">
        <f t="shared" ca="1" si="2"/>
        <v>7.923763696286712E-2</v>
      </c>
      <c r="D660" s="2">
        <f t="shared" ca="1" si="3"/>
        <v>0.63559138440596252</v>
      </c>
      <c r="E660" s="2">
        <f t="shared" ca="1" si="4"/>
        <v>0.36440861559403748</v>
      </c>
      <c r="F660" s="1">
        <v>0</v>
      </c>
      <c r="G660" s="1">
        <f t="shared" ca="1" si="5"/>
        <v>0.63559138440596252</v>
      </c>
      <c r="H660" s="1">
        <f t="shared" ca="1" si="6"/>
        <v>0.36440861559403748</v>
      </c>
    </row>
    <row r="661" spans="1:8">
      <c r="A661" s="2">
        <f t="shared" ca="1" si="0"/>
        <v>1.0011535126166977</v>
      </c>
      <c r="B661" s="2">
        <f t="shared" ca="1" si="1"/>
        <v>0.19521616437479683</v>
      </c>
      <c r="C661" s="2">
        <f t="shared" ca="1" si="2"/>
        <v>0.1954413486833865</v>
      </c>
      <c r="D661" s="2">
        <f t="shared" ca="1" si="3"/>
        <v>2.3992901666386901E-2</v>
      </c>
      <c r="E661" s="2">
        <f t="shared" ca="1" si="4"/>
        <v>0.9760070983336131</v>
      </c>
      <c r="F661" s="1">
        <v>0</v>
      </c>
      <c r="G661" s="1">
        <f t="shared" ca="1" si="5"/>
        <v>2.3992901666386901E-2</v>
      </c>
      <c r="H661" s="1">
        <f t="shared" ca="1" si="6"/>
        <v>0.9760070983336131</v>
      </c>
    </row>
    <row r="662" spans="1:8">
      <c r="A662" s="2">
        <f t="shared" ca="1" si="0"/>
        <v>1.0027367795933106</v>
      </c>
      <c r="B662" s="2">
        <f t="shared" ca="1" si="1"/>
        <v>0.15176466554068954</v>
      </c>
      <c r="C662" s="2">
        <f t="shared" ca="1" si="2"/>
        <v>0.15218001198032691</v>
      </c>
      <c r="D662" s="2">
        <f t="shared" ca="1" si="3"/>
        <v>0.25168414747196366</v>
      </c>
      <c r="E662" s="2">
        <f t="shared" ca="1" si="4"/>
        <v>0.74831585252803634</v>
      </c>
      <c r="F662" s="1">
        <v>0</v>
      </c>
      <c r="G662" s="1">
        <f t="shared" ca="1" si="5"/>
        <v>0.25168414747196366</v>
      </c>
      <c r="H662" s="1">
        <f t="shared" ca="1" si="6"/>
        <v>0.74831585252803634</v>
      </c>
    </row>
    <row r="663" spans="1:8">
      <c r="A663" s="2">
        <f t="shared" ca="1" si="0"/>
        <v>0.96551369423861866</v>
      </c>
      <c r="B663" s="2">
        <f t="shared" ca="1" si="1"/>
        <v>0.11963139683015564</v>
      </c>
      <c r="C663" s="2">
        <f t="shared" ca="1" si="2"/>
        <v>0.11550575190040975</v>
      </c>
      <c r="D663" s="2">
        <f t="shared" ca="1" si="3"/>
        <v>0.44470656894521188</v>
      </c>
      <c r="E663" s="2">
        <f t="shared" ca="1" si="4"/>
        <v>0.55529343105478812</v>
      </c>
      <c r="F663" s="1">
        <v>0</v>
      </c>
      <c r="G663" s="1">
        <f t="shared" ca="1" si="5"/>
        <v>0.44470656894521188</v>
      </c>
      <c r="H663" s="1">
        <f t="shared" ca="1" si="6"/>
        <v>0.55529343105478812</v>
      </c>
    </row>
    <row r="664" spans="1:8">
      <c r="A664" s="2">
        <f t="shared" ca="1" si="0"/>
        <v>0.58769210002159267</v>
      </c>
      <c r="B664" s="2">
        <f t="shared" ca="1" si="1"/>
        <v>8.9610960193406447E-2</v>
      </c>
      <c r="C664" s="2">
        <f t="shared" ca="1" si="2"/>
        <v>5.2663653381014384E-2</v>
      </c>
      <c r="D664" s="2">
        <f t="shared" ca="1" si="3"/>
        <v>0.77545445588939799</v>
      </c>
      <c r="E664" s="2">
        <f t="shared" ca="1" si="4"/>
        <v>0.22454554411060201</v>
      </c>
      <c r="F664" s="1">
        <v>0</v>
      </c>
      <c r="G664" s="1">
        <f t="shared" ca="1" si="5"/>
        <v>0.77545445588939799</v>
      </c>
      <c r="H664" s="1">
        <f t="shared" ca="1" si="6"/>
        <v>0.22454554411060201</v>
      </c>
    </row>
    <row r="665" spans="1:8">
      <c r="A665" s="2">
        <f t="shared" ca="1" si="0"/>
        <v>1.0034698064271386</v>
      </c>
      <c r="B665" s="2">
        <f t="shared" ca="1" si="1"/>
        <v>0.15430845998303383</v>
      </c>
      <c r="C665" s="2">
        <f t="shared" ca="1" si="2"/>
        <v>0.1548438804692448</v>
      </c>
      <c r="D665" s="2">
        <f t="shared" ca="1" si="3"/>
        <v>0.23766378700397484</v>
      </c>
      <c r="E665" s="2">
        <f t="shared" ca="1" si="4"/>
        <v>0.76233621299602516</v>
      </c>
      <c r="F665" s="1">
        <v>0</v>
      </c>
      <c r="G665" s="1">
        <f t="shared" ca="1" si="5"/>
        <v>0.23766378700397484</v>
      </c>
      <c r="H665" s="1">
        <f t="shared" ca="1" si="6"/>
        <v>0.76233621299602516</v>
      </c>
    </row>
    <row r="666" spans="1:8">
      <c r="A666" s="2">
        <f t="shared" ca="1" si="0"/>
        <v>0.88187089699528631</v>
      </c>
      <c r="B666" s="2">
        <f t="shared" ca="1" si="1"/>
        <v>0.10233002909885738</v>
      </c>
      <c r="C666" s="2">
        <f t="shared" ca="1" si="2"/>
        <v>9.0241874550963108E-2</v>
      </c>
      <c r="D666" s="2">
        <f t="shared" ca="1" si="3"/>
        <v>0.57767434446861521</v>
      </c>
      <c r="E666" s="2">
        <f t="shared" ca="1" si="4"/>
        <v>0.42232565553138479</v>
      </c>
      <c r="F666" s="1">
        <v>0</v>
      </c>
      <c r="G666" s="1">
        <f t="shared" ca="1" si="5"/>
        <v>0.57767434446861521</v>
      </c>
      <c r="H666" s="1">
        <f t="shared" ca="1" si="6"/>
        <v>0.42232565553138479</v>
      </c>
    </row>
    <row r="667" spans="1:8">
      <c r="A667" s="2">
        <f t="shared" ca="1" si="0"/>
        <v>0.69995232742122659</v>
      </c>
      <c r="B667" s="2">
        <f t="shared" ca="1" si="1"/>
        <v>9.1396916892463556E-2</v>
      </c>
      <c r="C667" s="2">
        <f t="shared" ca="1" si="2"/>
        <v>6.397348469800429E-2</v>
      </c>
      <c r="D667" s="2">
        <f t="shared" ca="1" si="3"/>
        <v>0.7159290279052406</v>
      </c>
      <c r="E667" s="2">
        <f t="shared" ca="1" si="4"/>
        <v>0.2840709720947594</v>
      </c>
      <c r="F667" s="1">
        <v>0</v>
      </c>
      <c r="G667" s="1">
        <f t="shared" ca="1" si="5"/>
        <v>0.7159290279052406</v>
      </c>
      <c r="H667" s="1">
        <f t="shared" ca="1" si="6"/>
        <v>0.2840709720947594</v>
      </c>
    </row>
    <row r="668" spans="1:8">
      <c r="A668" s="2">
        <f t="shared" ca="1" si="0"/>
        <v>1.0018979897833948</v>
      </c>
      <c r="B668" s="2">
        <f t="shared" ca="1" si="1"/>
        <v>0.14942057571646639</v>
      </c>
      <c r="C668" s="2">
        <f t="shared" ca="1" si="2"/>
        <v>0.14970417444260523</v>
      </c>
      <c r="D668" s="2">
        <f t="shared" ca="1" si="3"/>
        <v>0.26471487135470939</v>
      </c>
      <c r="E668" s="2">
        <f t="shared" ca="1" si="4"/>
        <v>0.73528512864529061</v>
      </c>
      <c r="F668" s="1">
        <v>0</v>
      </c>
      <c r="G668" s="1">
        <f t="shared" ca="1" si="5"/>
        <v>0.26471487135470939</v>
      </c>
      <c r="H668" s="1">
        <f t="shared" ca="1" si="6"/>
        <v>0.73528512864529061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668"/>
  <sheetViews>
    <sheetView workbookViewId="0"/>
  </sheetViews>
  <sheetFormatPr defaultColWidth="14.42578125" defaultRowHeight="15.75" customHeight="1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12</v>
      </c>
      <c r="I1" s="1"/>
      <c r="J1" s="1" t="s">
        <v>5</v>
      </c>
      <c r="K1" s="1">
        <v>0.01</v>
      </c>
      <c r="L1" s="1">
        <v>0.2</v>
      </c>
      <c r="N1" s="1" t="s">
        <v>13</v>
      </c>
      <c r="O1" s="1">
        <v>5.0000000000000001E-3</v>
      </c>
    </row>
    <row r="2" spans="1:15">
      <c r="A2" s="2">
        <f t="shared" ref="A2:A668" ca="1" si="0">(C2-$O$1)/B2</f>
        <v>0.84725982801200528</v>
      </c>
      <c r="B2" s="2">
        <f t="shared" ref="B2:B668" ca="1" si="1">SQRT(G2^2*$K$2+H2^2*$L$3)</f>
        <v>8.3224015031429996E-2</v>
      </c>
      <c r="C2" s="2">
        <f t="shared" ref="C2:C668" ca="1" si="2">G2*$K$1+H2*$L$1+F2*$O$1</f>
        <v>7.5512364661997927E-2</v>
      </c>
      <c r="D2" s="2">
        <f t="shared" ref="D2:D668" ca="1" si="3">RAND()</f>
        <v>0.56241865353948739</v>
      </c>
      <c r="E2" s="2">
        <f t="shared" ref="E2:E668" ca="1" si="4">1-D2</f>
        <v>0.43758134646051261</v>
      </c>
      <c r="F2" s="1">
        <v>0.2</v>
      </c>
      <c r="G2" s="1">
        <f t="shared" ref="G2:G668" ca="1" si="5">(1-F2)*D2</f>
        <v>0.44993492283158992</v>
      </c>
      <c r="H2" s="1">
        <f t="shared" ref="H2:H668" ca="1" si="6">(1-F2)*E2</f>
        <v>0.35006507716841012</v>
      </c>
      <c r="I2" s="1"/>
      <c r="J2" s="1" t="s">
        <v>6</v>
      </c>
      <c r="K2" s="1">
        <v>0.01</v>
      </c>
      <c r="L2" s="1">
        <v>0</v>
      </c>
    </row>
    <row r="3" spans="1:15">
      <c r="A3" s="2">
        <f t="shared" ca="1" si="0"/>
        <v>0.97564949548487667</v>
      </c>
      <c r="B3" s="2">
        <f t="shared" ca="1" si="1"/>
        <v>0.15527875337425773</v>
      </c>
      <c r="C3" s="2">
        <f t="shared" ca="1" si="2"/>
        <v>0.15649763738911515</v>
      </c>
      <c r="D3" s="2">
        <f t="shared" ca="1" si="3"/>
        <v>2.9620806650558551E-2</v>
      </c>
      <c r="E3" s="2">
        <f t="shared" ca="1" si="4"/>
        <v>0.97037919334944145</v>
      </c>
      <c r="F3" s="1">
        <v>0.2</v>
      </c>
      <c r="G3" s="1">
        <f t="shared" ca="1" si="5"/>
        <v>2.3696645320446841E-2</v>
      </c>
      <c r="H3" s="1">
        <f t="shared" ca="1" si="6"/>
        <v>0.77630335467955325</v>
      </c>
      <c r="K3" s="1">
        <v>0</v>
      </c>
      <c r="L3" s="1">
        <v>0.04</v>
      </c>
    </row>
    <row r="4" spans="1:15">
      <c r="A4" s="2">
        <f t="shared" ca="1" si="0"/>
        <v>0.97241505110843407</v>
      </c>
      <c r="B4" s="2">
        <f t="shared" ca="1" si="1"/>
        <v>0.12600564828088592</v>
      </c>
      <c r="C4" s="2">
        <f t="shared" ca="1" si="2"/>
        <v>0.12752978891300906</v>
      </c>
      <c r="D4" s="2">
        <f t="shared" ca="1" si="3"/>
        <v>0.22019875715125636</v>
      </c>
      <c r="E4" s="2">
        <f t="shared" ca="1" si="4"/>
        <v>0.77980124284874364</v>
      </c>
      <c r="F4" s="1">
        <v>0.2</v>
      </c>
      <c r="G4" s="1">
        <f t="shared" ca="1" si="5"/>
        <v>0.1761590057210051</v>
      </c>
      <c r="H4" s="1">
        <f t="shared" ca="1" si="6"/>
        <v>0.62384099427899498</v>
      </c>
      <c r="K4" s="2" t="s">
        <v>1</v>
      </c>
      <c r="L4" s="2" t="s">
        <v>2</v>
      </c>
      <c r="M4" s="2" t="s">
        <v>0</v>
      </c>
      <c r="N4" s="2" t="s">
        <v>3</v>
      </c>
      <c r="O4" s="2" t="s">
        <v>4</v>
      </c>
    </row>
    <row r="5" spans="1:15">
      <c r="A5" s="2">
        <f t="shared" ca="1" si="0"/>
        <v>0.81583757316344163</v>
      </c>
      <c r="B5" s="2">
        <f t="shared" ca="1" si="1"/>
        <v>8.0438970888044872E-2</v>
      </c>
      <c r="C5" s="2">
        <f t="shared" ca="1" si="2"/>
        <v>7.0625134797067265E-2</v>
      </c>
      <c r="D5" s="2">
        <f t="shared" ca="1" si="3"/>
        <v>0.5945714815982418</v>
      </c>
      <c r="E5" s="2">
        <f t="shared" ca="1" si="4"/>
        <v>0.4054285184017582</v>
      </c>
      <c r="F5" s="1">
        <v>0.2</v>
      </c>
      <c r="G5" s="1">
        <f t="shared" ca="1" si="5"/>
        <v>0.47565718527859346</v>
      </c>
      <c r="H5" s="1">
        <f t="shared" ca="1" si="6"/>
        <v>0.32434281472140658</v>
      </c>
      <c r="J5" s="2" t="s">
        <v>8</v>
      </c>
      <c r="K5" s="2">
        <f ca="1">MIN(B2:B325)</f>
        <v>7.1554185316407601E-2</v>
      </c>
      <c r="L5" s="2">
        <f ca="1">VLOOKUP(K5,B:C,2,FALSE)</f>
        <v>3.9367797440389804E-2</v>
      </c>
      <c r="M5" s="2">
        <f ca="1">L5/K5</f>
        <v>0.55018161783700226</v>
      </c>
      <c r="N5" s="2">
        <f ca="1">VLOOKUP(K5,B:E,3,FALSE)</f>
        <v>0.80021185894480396</v>
      </c>
      <c r="O5" s="2">
        <f ca="1">VLOOKUP(K5,B:E,4,FALSE)</f>
        <v>0.19978814105519604</v>
      </c>
    </row>
    <row r="6" spans="1:15">
      <c r="A6" s="2">
        <f t="shared" ca="1" si="0"/>
        <v>0.97620730703627734</v>
      </c>
      <c r="B6" s="2">
        <f t="shared" ca="1" si="1"/>
        <v>0.14222481285818284</v>
      </c>
      <c r="C6" s="2">
        <f t="shared" ca="1" si="2"/>
        <v>0.14384090155402518</v>
      </c>
      <c r="D6" s="2">
        <f t="shared" ca="1" si="3"/>
        <v>0.11288880556562375</v>
      </c>
      <c r="E6" s="2">
        <f t="shared" ca="1" si="4"/>
        <v>0.88711119443437625</v>
      </c>
      <c r="F6" s="1">
        <v>0.2</v>
      </c>
      <c r="G6" s="1">
        <f t="shared" ca="1" si="5"/>
        <v>9.0311044452499004E-2</v>
      </c>
      <c r="H6" s="1">
        <f t="shared" ca="1" si="6"/>
        <v>0.709688955547501</v>
      </c>
      <c r="J6" s="2" t="s">
        <v>9</v>
      </c>
      <c r="K6" s="2">
        <f ca="1">VLOOKUP(M6,A:C,2,FALSE)</f>
        <v>0.14512714456871958</v>
      </c>
      <c r="L6" s="2">
        <f ca="1">VLOOKUP(M6,A:C,3,FALSE)</f>
        <v>0.14668486939668504</v>
      </c>
      <c r="M6" s="2">
        <f ca="1">MAX(A2:A325)</f>
        <v>0.97628096947497933</v>
      </c>
      <c r="N6" s="2">
        <f ca="1">VLOOKUP(M6,A:E,4,FALSE)</f>
        <v>9.4178490811282822E-2</v>
      </c>
      <c r="O6" s="2">
        <f ca="1">VLOOKUP(M6,A:E,5,FALSE)</f>
        <v>0.90582150918871718</v>
      </c>
    </row>
    <row r="7" spans="1:15">
      <c r="A7" s="2">
        <f t="shared" ca="1" si="0"/>
        <v>0.93818116627838977</v>
      </c>
      <c r="B7" s="2">
        <f t="shared" ca="1" si="1"/>
        <v>0.10021756465638727</v>
      </c>
      <c r="C7" s="2">
        <f t="shared" ca="1" si="2"/>
        <v>9.9022231690909346E-2</v>
      </c>
      <c r="D7" s="2">
        <f t="shared" ca="1" si="3"/>
        <v>0.40774847571770179</v>
      </c>
      <c r="E7" s="2">
        <f t="shared" ca="1" si="4"/>
        <v>0.59225152428229821</v>
      </c>
      <c r="F7" s="1">
        <v>0.2</v>
      </c>
      <c r="G7" s="1">
        <f t="shared" ca="1" si="5"/>
        <v>0.32619878057416146</v>
      </c>
      <c r="H7" s="1">
        <f t="shared" ca="1" si="6"/>
        <v>0.47380121942583858</v>
      </c>
    </row>
    <row r="8" spans="1:15">
      <c r="A8" s="2">
        <f t="shared" ca="1" si="0"/>
        <v>0.60632647298995701</v>
      </c>
      <c r="B8" s="2">
        <f t="shared" ca="1" si="1"/>
        <v>7.2424742751107399E-2</v>
      </c>
      <c r="C8" s="2">
        <f t="shared" ca="1" si="2"/>
        <v>4.8913038829483904E-2</v>
      </c>
      <c r="D8" s="2">
        <f t="shared" ca="1" si="3"/>
        <v>0.73741421822707964</v>
      </c>
      <c r="E8" s="2">
        <f t="shared" ca="1" si="4"/>
        <v>0.26258578177292036</v>
      </c>
      <c r="F8" s="1">
        <v>0.2</v>
      </c>
      <c r="G8" s="1">
        <f t="shared" ca="1" si="5"/>
        <v>0.58993137458166378</v>
      </c>
      <c r="H8" s="1">
        <f t="shared" ca="1" si="6"/>
        <v>0.21006862541833629</v>
      </c>
    </row>
    <row r="9" spans="1:15">
      <c r="A9" s="2">
        <f t="shared" ca="1" si="0"/>
        <v>0.95084145246065477</v>
      </c>
      <c r="B9" s="2">
        <f t="shared" ca="1" si="1"/>
        <v>0.10569380850354575</v>
      </c>
      <c r="C9" s="2">
        <f t="shared" ca="1" si="2"/>
        <v>0.10549805439360975</v>
      </c>
      <c r="D9" s="2">
        <f t="shared" ca="1" si="3"/>
        <v>0.36514437898940955</v>
      </c>
      <c r="E9" s="2">
        <f t="shared" ca="1" si="4"/>
        <v>0.63485562101059045</v>
      </c>
      <c r="F9" s="1">
        <v>0.2</v>
      </c>
      <c r="G9" s="1">
        <f t="shared" ca="1" si="5"/>
        <v>0.29211550319152763</v>
      </c>
      <c r="H9" s="1">
        <f t="shared" ca="1" si="6"/>
        <v>0.50788449680847236</v>
      </c>
    </row>
    <row r="10" spans="1:15">
      <c r="A10" s="2">
        <f t="shared" ca="1" si="0"/>
        <v>0.29417318107328871</v>
      </c>
      <c r="B10" s="2">
        <f t="shared" ca="1" si="1"/>
        <v>7.3142933808578392E-2</v>
      </c>
      <c r="C10" s="2">
        <f t="shared" ca="1" si="2"/>
        <v>2.6516689511502503E-2</v>
      </c>
      <c r="D10" s="2">
        <f t="shared" ca="1" si="3"/>
        <v>0.88475862163485197</v>
      </c>
      <c r="E10" s="2">
        <f t="shared" ca="1" si="4"/>
        <v>0.11524137836514803</v>
      </c>
      <c r="F10" s="1">
        <v>0.2</v>
      </c>
      <c r="G10" s="1">
        <f t="shared" ca="1" si="5"/>
        <v>0.7078068973078816</v>
      </c>
      <c r="H10" s="1">
        <f t="shared" ca="1" si="6"/>
        <v>9.2193102692118431E-2</v>
      </c>
    </row>
    <row r="11" spans="1:15">
      <c r="A11" s="2">
        <f t="shared" ca="1" si="0"/>
        <v>0.73399544102057546</v>
      </c>
      <c r="B11" s="2">
        <f t="shared" ca="1" si="1"/>
        <v>7.579095411684493E-2</v>
      </c>
      <c r="C11" s="2">
        <f t="shared" ca="1" si="2"/>
        <v>6.0630214792363794E-2</v>
      </c>
      <c r="D11" s="2">
        <f t="shared" ca="1" si="3"/>
        <v>0.66032753426076451</v>
      </c>
      <c r="E11" s="2">
        <f t="shared" ca="1" si="4"/>
        <v>0.33967246573923549</v>
      </c>
      <c r="F11" s="1">
        <v>0.2</v>
      </c>
      <c r="G11" s="1">
        <f t="shared" ca="1" si="5"/>
        <v>0.52826202740861161</v>
      </c>
      <c r="H11" s="1">
        <f t="shared" ca="1" si="6"/>
        <v>0.27173797259138838</v>
      </c>
    </row>
    <row r="12" spans="1:15">
      <c r="A12" s="2">
        <f t="shared" ca="1" si="0"/>
        <v>0.13453774285822456</v>
      </c>
      <c r="B12" s="2">
        <f t="shared" ca="1" si="1"/>
        <v>7.6947731229777938E-2</v>
      </c>
      <c r="C12" s="2">
        <f t="shared" ca="1" si="2"/>
        <v>1.5352374077715641E-2</v>
      </c>
      <c r="D12" s="2">
        <f t="shared" ca="1" si="3"/>
        <v>0.95820806527818658</v>
      </c>
      <c r="E12" s="2">
        <f t="shared" ca="1" si="4"/>
        <v>4.1791934721813417E-2</v>
      </c>
      <c r="F12" s="1">
        <v>0.2</v>
      </c>
      <c r="G12" s="1">
        <f t="shared" ca="1" si="5"/>
        <v>0.76656645222254927</v>
      </c>
      <c r="H12" s="1">
        <f t="shared" ca="1" si="6"/>
        <v>3.3433547777450737E-2</v>
      </c>
    </row>
    <row r="13" spans="1:15">
      <c r="A13" s="2">
        <f t="shared" ca="1" si="0"/>
        <v>0.1496655732285119</v>
      </c>
      <c r="B13" s="2">
        <f t="shared" ca="1" si="1"/>
        <v>7.6483334974476111E-2</v>
      </c>
      <c r="C13" s="2">
        <f t="shared" ca="1" si="2"/>
        <v>1.6446922171383261E-2</v>
      </c>
      <c r="D13" s="2">
        <f t="shared" ca="1" si="3"/>
        <v>0.95100709097774172</v>
      </c>
      <c r="E13" s="2">
        <f t="shared" ca="1" si="4"/>
        <v>4.899290902225828E-2</v>
      </c>
      <c r="F13" s="1">
        <v>0.2</v>
      </c>
      <c r="G13" s="1">
        <f t="shared" ca="1" si="5"/>
        <v>0.76080567278219347</v>
      </c>
      <c r="H13" s="1">
        <f t="shared" ca="1" si="6"/>
        <v>3.9194327217806628E-2</v>
      </c>
    </row>
    <row r="14" spans="1:15">
      <c r="A14" s="2">
        <f t="shared" ca="1" si="0"/>
        <v>0.859449368835006</v>
      </c>
      <c r="B14" s="2">
        <f t="shared" ca="1" si="1"/>
        <v>8.4542853340171448E-2</v>
      </c>
      <c r="C14" s="2">
        <f t="shared" ca="1" si="2"/>
        <v>7.7660301942720833E-2</v>
      </c>
      <c r="D14" s="2">
        <f t="shared" ca="1" si="3"/>
        <v>0.54828748721894194</v>
      </c>
      <c r="E14" s="2">
        <f t="shared" ca="1" si="4"/>
        <v>0.45171251278105806</v>
      </c>
      <c r="F14" s="1">
        <v>0.2</v>
      </c>
      <c r="G14" s="1">
        <f t="shared" ca="1" si="5"/>
        <v>0.43862998977515355</v>
      </c>
      <c r="H14" s="1">
        <f t="shared" ca="1" si="6"/>
        <v>0.36137001022484649</v>
      </c>
    </row>
    <row r="15" spans="1:15">
      <c r="A15" s="2">
        <f t="shared" ca="1" si="0"/>
        <v>0.80470540377669919</v>
      </c>
      <c r="B15" s="2">
        <f t="shared" ca="1" si="1"/>
        <v>7.9619709506743463E-2</v>
      </c>
      <c r="C15" s="2">
        <f t="shared" ca="1" si="2"/>
        <v>6.9070410487207495E-2</v>
      </c>
      <c r="D15" s="2">
        <f t="shared" ca="1" si="3"/>
        <v>0.6047999310052139</v>
      </c>
      <c r="E15" s="2">
        <f t="shared" ca="1" si="4"/>
        <v>0.3952000689947861</v>
      </c>
      <c r="F15" s="1">
        <v>0.2</v>
      </c>
      <c r="G15" s="1">
        <f t="shared" ca="1" si="5"/>
        <v>0.48383994480417114</v>
      </c>
      <c r="H15" s="1">
        <f t="shared" ca="1" si="6"/>
        <v>0.3161600551958289</v>
      </c>
    </row>
    <row r="16" spans="1:15">
      <c r="A16" s="2">
        <f t="shared" ca="1" si="0"/>
        <v>0.16757855105469269</v>
      </c>
      <c r="B16" s="2">
        <f t="shared" ca="1" si="1"/>
        <v>7.5963225992431063E-2</v>
      </c>
      <c r="C16" s="2">
        <f t="shared" ca="1" si="2"/>
        <v>1.7729807345251768E-2</v>
      </c>
      <c r="D16" s="2">
        <f t="shared" ca="1" si="3"/>
        <v>0.94256705693913312</v>
      </c>
      <c r="E16" s="2">
        <f t="shared" ca="1" si="4"/>
        <v>5.7432943060866881E-2</v>
      </c>
      <c r="F16" s="1">
        <v>0.2</v>
      </c>
      <c r="G16" s="1">
        <f t="shared" ca="1" si="5"/>
        <v>0.7540536455513065</v>
      </c>
      <c r="H16" s="1">
        <f t="shared" ca="1" si="6"/>
        <v>4.5946354448693508E-2</v>
      </c>
    </row>
    <row r="17" spans="1:8">
      <c r="A17" s="2">
        <f t="shared" ca="1" si="0"/>
        <v>0.91798228514379721</v>
      </c>
      <c r="B17" s="2">
        <f t="shared" ca="1" si="1"/>
        <v>9.4238754590523249E-2</v>
      </c>
      <c r="C17" s="2">
        <f t="shared" ca="1" si="2"/>
        <v>9.150950728811405E-2</v>
      </c>
      <c r="D17" s="2">
        <f t="shared" ca="1" si="3"/>
        <v>0.4571742941571445</v>
      </c>
      <c r="E17" s="2">
        <f t="shared" ca="1" si="4"/>
        <v>0.5428257058428555</v>
      </c>
      <c r="F17" s="1">
        <v>0.2</v>
      </c>
      <c r="G17" s="1">
        <f t="shared" ca="1" si="5"/>
        <v>0.36573943532571562</v>
      </c>
      <c r="H17" s="1">
        <f t="shared" ca="1" si="6"/>
        <v>0.43426056467428442</v>
      </c>
    </row>
    <row r="18" spans="1:8">
      <c r="A18" s="2">
        <f t="shared" ca="1" si="0"/>
        <v>0.90170699714091063</v>
      </c>
      <c r="B18" s="2">
        <f t="shared" ca="1" si="1"/>
        <v>9.0753521150739064E-2</v>
      </c>
      <c r="C18" s="2">
        <f t="shared" ca="1" si="2"/>
        <v>8.6833085036797042E-2</v>
      </c>
      <c r="D18" s="2">
        <f t="shared" ca="1" si="3"/>
        <v>0.48794023002107223</v>
      </c>
      <c r="E18" s="2">
        <f t="shared" ca="1" si="4"/>
        <v>0.51205976997892777</v>
      </c>
      <c r="F18" s="1">
        <v>0.2</v>
      </c>
      <c r="G18" s="1">
        <f t="shared" ca="1" si="5"/>
        <v>0.39035218401685778</v>
      </c>
      <c r="H18" s="1">
        <f t="shared" ca="1" si="6"/>
        <v>0.40964781598314226</v>
      </c>
    </row>
    <row r="19" spans="1:8">
      <c r="A19" s="2">
        <f t="shared" ca="1" si="0"/>
        <v>0.97619176010488418</v>
      </c>
      <c r="B19" s="2">
        <f t="shared" ca="1" si="1"/>
        <v>0.14888262399397473</v>
      </c>
      <c r="C19" s="2">
        <f t="shared" ca="1" si="2"/>
        <v>0.15033799076571186</v>
      </c>
      <c r="D19" s="2">
        <f t="shared" ca="1" si="3"/>
        <v>7.0144797594001052E-2</v>
      </c>
      <c r="E19" s="2">
        <f t="shared" ca="1" si="4"/>
        <v>0.92985520240599895</v>
      </c>
      <c r="F19" s="1">
        <v>0.2</v>
      </c>
      <c r="G19" s="1">
        <f t="shared" ca="1" si="5"/>
        <v>5.6115838075200847E-2</v>
      </c>
      <c r="H19" s="1">
        <f t="shared" ca="1" si="6"/>
        <v>0.74388416192479923</v>
      </c>
    </row>
    <row r="20" spans="1:8">
      <c r="A20" s="2">
        <f t="shared" ca="1" si="0"/>
        <v>0.97598472366497535</v>
      </c>
      <c r="B20" s="2">
        <f t="shared" ca="1" si="1"/>
        <v>0.15197233353223127</v>
      </c>
      <c r="C20" s="2">
        <f t="shared" ca="1" si="2"/>
        <v>0.15332267594717622</v>
      </c>
      <c r="D20" s="2">
        <f t="shared" ca="1" si="3"/>
        <v>5.0508710873840679E-2</v>
      </c>
      <c r="E20" s="2">
        <f t="shared" ca="1" si="4"/>
        <v>0.94949128912615932</v>
      </c>
      <c r="F20" s="1">
        <v>0.2</v>
      </c>
      <c r="G20" s="1">
        <f t="shared" ca="1" si="5"/>
        <v>4.0406968699072544E-2</v>
      </c>
      <c r="H20" s="1">
        <f t="shared" ca="1" si="6"/>
        <v>0.75959303130092748</v>
      </c>
    </row>
    <row r="21" spans="1:8">
      <c r="A21" s="2">
        <f t="shared" ca="1" si="0"/>
        <v>0.32009142982836153</v>
      </c>
      <c r="B21" s="2">
        <f t="shared" ca="1" si="1"/>
        <v>7.2740338672189542E-2</v>
      </c>
      <c r="C21" s="2">
        <f t="shared" ca="1" si="2"/>
        <v>2.8283559011780413E-2</v>
      </c>
      <c r="D21" s="2">
        <f t="shared" ca="1" si="3"/>
        <v>0.8731344801856552</v>
      </c>
      <c r="E21" s="2">
        <f t="shared" ca="1" si="4"/>
        <v>0.1268655198143448</v>
      </c>
      <c r="F21" s="1">
        <v>0.2</v>
      </c>
      <c r="G21" s="1">
        <f t="shared" ca="1" si="5"/>
        <v>0.69850758414852421</v>
      </c>
      <c r="H21" s="1">
        <f t="shared" ca="1" si="6"/>
        <v>0.10149241585147584</v>
      </c>
    </row>
    <row r="22" spans="1:8">
      <c r="A22" s="2">
        <f t="shared" ca="1" si="0"/>
        <v>0.23654438725039345</v>
      </c>
      <c r="B22" s="2">
        <f t="shared" ca="1" si="1"/>
        <v>7.4247215459987345E-2</v>
      </c>
      <c r="C22" s="2">
        <f t="shared" ca="1" si="2"/>
        <v>2.2562762086030648E-2</v>
      </c>
      <c r="D22" s="2">
        <f t="shared" ca="1" si="3"/>
        <v>0.91077130206558787</v>
      </c>
      <c r="E22" s="2">
        <f t="shared" ca="1" si="4"/>
        <v>8.9228697934412127E-2</v>
      </c>
      <c r="F22" s="1">
        <v>0.2</v>
      </c>
      <c r="G22" s="1">
        <f t="shared" ca="1" si="5"/>
        <v>0.72861704165247032</v>
      </c>
      <c r="H22" s="1">
        <f t="shared" ca="1" si="6"/>
        <v>7.138295834752971E-2</v>
      </c>
    </row>
    <row r="23" spans="1:8">
      <c r="A23" s="2">
        <f t="shared" ca="1" si="0"/>
        <v>0.9762799702865399</v>
      </c>
      <c r="B23" s="2">
        <f t="shared" ca="1" si="1"/>
        <v>0.14571750646965503</v>
      </c>
      <c r="C23" s="2">
        <f t="shared" ca="1" si="2"/>
        <v>0.14726108288642351</v>
      </c>
      <c r="D23" s="2">
        <f t="shared" ca="1" si="3"/>
        <v>9.0387612589319266E-2</v>
      </c>
      <c r="E23" s="2">
        <f t="shared" ca="1" si="4"/>
        <v>0.90961238741068073</v>
      </c>
      <c r="F23" s="1">
        <v>0.2</v>
      </c>
      <c r="G23" s="1">
        <f t="shared" ca="1" si="5"/>
        <v>7.2310090071455418E-2</v>
      </c>
      <c r="H23" s="1">
        <f t="shared" ca="1" si="6"/>
        <v>0.72768990992854465</v>
      </c>
    </row>
    <row r="24" spans="1:8">
      <c r="A24" s="2">
        <f t="shared" ca="1" si="0"/>
        <v>0.79151403352535754</v>
      </c>
      <c r="B24" s="2">
        <f t="shared" ca="1" si="1"/>
        <v>7.8739833040788118E-2</v>
      </c>
      <c r="C24" s="2">
        <f t="shared" ca="1" si="2"/>
        <v>6.732368284922742E-2</v>
      </c>
      <c r="D24" s="2">
        <f t="shared" ca="1" si="3"/>
        <v>0.61629156020245124</v>
      </c>
      <c r="E24" s="2">
        <f t="shared" ca="1" si="4"/>
        <v>0.38370843979754876</v>
      </c>
      <c r="F24" s="1">
        <v>0.2</v>
      </c>
      <c r="G24" s="1">
        <f t="shared" ca="1" si="5"/>
        <v>0.49303324816196104</v>
      </c>
      <c r="H24" s="1">
        <f t="shared" ca="1" si="6"/>
        <v>0.30696675183803901</v>
      </c>
    </row>
    <row r="25" spans="1:8">
      <c r="A25" s="2">
        <f t="shared" ca="1" si="0"/>
        <v>0.16863817895272806</v>
      </c>
      <c r="B25" s="2">
        <f t="shared" ca="1" si="1"/>
        <v>7.5933452157495585E-2</v>
      </c>
      <c r="C25" s="2">
        <f t="shared" ca="1" si="2"/>
        <v>1.7805279093434156E-2</v>
      </c>
      <c r="D25" s="2">
        <f t="shared" ca="1" si="3"/>
        <v>0.94207053228003845</v>
      </c>
      <c r="E25" s="2">
        <f t="shared" ca="1" si="4"/>
        <v>5.7929467719961547E-2</v>
      </c>
      <c r="F25" s="1">
        <v>0.2</v>
      </c>
      <c r="G25" s="1">
        <f t="shared" ca="1" si="5"/>
        <v>0.75365642582403081</v>
      </c>
      <c r="H25" s="1">
        <f t="shared" ca="1" si="6"/>
        <v>4.6343574175969238E-2</v>
      </c>
    </row>
    <row r="26" spans="1:8">
      <c r="A26" s="2">
        <f t="shared" ca="1" si="0"/>
        <v>0.97617704779337655</v>
      </c>
      <c r="B26" s="2">
        <f t="shared" ca="1" si="1"/>
        <v>0.14166465039667148</v>
      </c>
      <c r="C26" s="2">
        <f t="shared" ca="1" si="2"/>
        <v>0.14328978020090355</v>
      </c>
      <c r="D26" s="2">
        <f t="shared" ca="1" si="3"/>
        <v>0.11651460394142399</v>
      </c>
      <c r="E26" s="2">
        <f t="shared" ca="1" si="4"/>
        <v>0.88348539605857601</v>
      </c>
      <c r="F26" s="1">
        <v>0.2</v>
      </c>
      <c r="G26" s="1">
        <f t="shared" ca="1" si="5"/>
        <v>9.3211683153139199E-2</v>
      </c>
      <c r="H26" s="1">
        <f t="shared" ca="1" si="6"/>
        <v>0.70678831684686083</v>
      </c>
    </row>
    <row r="27" spans="1:8">
      <c r="A27" s="2">
        <f t="shared" ca="1" si="0"/>
        <v>0.24494954300716476</v>
      </c>
      <c r="B27" s="2">
        <f t="shared" ca="1" si="1"/>
        <v>7.406792180662497E-2</v>
      </c>
      <c r="C27" s="2">
        <f t="shared" ca="1" si="2"/>
        <v>2.31429035980232E-2</v>
      </c>
      <c r="D27" s="2">
        <f t="shared" ca="1" si="3"/>
        <v>0.90695458159195264</v>
      </c>
      <c r="E27" s="2">
        <f t="shared" ca="1" si="4"/>
        <v>9.3045418408047365E-2</v>
      </c>
      <c r="F27" s="1">
        <v>0.2</v>
      </c>
      <c r="G27" s="1">
        <f t="shared" ca="1" si="5"/>
        <v>0.7255636652735622</v>
      </c>
      <c r="H27" s="1">
        <f t="shared" ca="1" si="6"/>
        <v>7.4436334726437889E-2</v>
      </c>
    </row>
    <row r="28" spans="1:8">
      <c r="A28" s="2">
        <f t="shared" ca="1" si="0"/>
        <v>0.85323093803464289</v>
      </c>
      <c r="B28" s="2">
        <f t="shared" ca="1" si="1"/>
        <v>8.3850335728170619E-2</v>
      </c>
      <c r="C28" s="2">
        <f t="shared" ca="1" si="2"/>
        <v>7.6543700607866749E-2</v>
      </c>
      <c r="D28" s="2">
        <f t="shared" ca="1" si="3"/>
        <v>0.55563354863245562</v>
      </c>
      <c r="E28" s="2">
        <f t="shared" ca="1" si="4"/>
        <v>0.44436645136754438</v>
      </c>
      <c r="F28" s="1">
        <v>0.2</v>
      </c>
      <c r="G28" s="1">
        <f t="shared" ca="1" si="5"/>
        <v>0.44450683890596454</v>
      </c>
      <c r="H28" s="1">
        <f t="shared" ca="1" si="6"/>
        <v>0.3554931610940355</v>
      </c>
    </row>
    <row r="29" spans="1:8">
      <c r="A29" s="2">
        <f t="shared" ca="1" si="0"/>
        <v>0.97611664423115729</v>
      </c>
      <c r="B29" s="2">
        <f t="shared" ca="1" si="1"/>
        <v>0.14076285169012404</v>
      </c>
      <c r="C29" s="2">
        <f t="shared" ca="1" si="2"/>
        <v>0.14240096242417197</v>
      </c>
      <c r="D29" s="2">
        <f t="shared" ca="1" si="3"/>
        <v>0.1223620893146582</v>
      </c>
      <c r="E29" s="2">
        <f t="shared" ca="1" si="4"/>
        <v>0.8776379106853418</v>
      </c>
      <c r="F29" s="1">
        <v>0.2</v>
      </c>
      <c r="G29" s="1">
        <f t="shared" ca="1" si="5"/>
        <v>9.7889671451726556E-2</v>
      </c>
      <c r="H29" s="1">
        <f t="shared" ca="1" si="6"/>
        <v>0.70211032854827349</v>
      </c>
    </row>
    <row r="30" spans="1:8">
      <c r="A30" s="2">
        <f t="shared" ca="1" si="0"/>
        <v>0.30097319410367784</v>
      </c>
      <c r="B30" s="2">
        <f t="shared" ca="1" si="1"/>
        <v>7.3031714232770759E-2</v>
      </c>
      <c r="C30" s="2">
        <f t="shared" ca="1" si="2"/>
        <v>2.6980588303504048E-2</v>
      </c>
      <c r="D30" s="2">
        <f t="shared" ca="1" si="3"/>
        <v>0.88170665589799968</v>
      </c>
      <c r="E30" s="2">
        <f t="shared" ca="1" si="4"/>
        <v>0.11829334410200032</v>
      </c>
      <c r="F30" s="1">
        <v>0.2</v>
      </c>
      <c r="G30" s="1">
        <f t="shared" ca="1" si="5"/>
        <v>0.70536532471839974</v>
      </c>
      <c r="H30" s="1">
        <f t="shared" ca="1" si="6"/>
        <v>9.4634675281600258E-2</v>
      </c>
    </row>
    <row r="31" spans="1:8">
      <c r="A31" s="2">
        <f t="shared" ca="1" si="0"/>
        <v>0.96170006609996761</v>
      </c>
      <c r="B31" s="2">
        <f t="shared" ca="1" si="1"/>
        <v>0.1126941933014671</v>
      </c>
      <c r="C31" s="2">
        <f t="shared" ca="1" si="2"/>
        <v>0.11337801314710344</v>
      </c>
      <c r="D31" s="2">
        <f t="shared" ca="1" si="3"/>
        <v>0.3133025450848459</v>
      </c>
      <c r="E31" s="2">
        <f t="shared" ca="1" si="4"/>
        <v>0.6866974549151541</v>
      </c>
      <c r="F31" s="1">
        <v>0.2</v>
      </c>
      <c r="G31" s="1">
        <f t="shared" ca="1" si="5"/>
        <v>0.25064203606787672</v>
      </c>
      <c r="H31" s="1">
        <f t="shared" ca="1" si="6"/>
        <v>0.54935796393212333</v>
      </c>
    </row>
    <row r="32" spans="1:8">
      <c r="A32" s="2">
        <f t="shared" ca="1" si="0"/>
        <v>0.94611142661944891</v>
      </c>
      <c r="B32" s="2">
        <f t="shared" ca="1" si="1"/>
        <v>0.10341484970916232</v>
      </c>
      <c r="C32" s="2">
        <f t="shared" ca="1" si="2"/>
        <v>0.10284197099197147</v>
      </c>
      <c r="D32" s="2">
        <f t="shared" ca="1" si="3"/>
        <v>0.38261861189492463</v>
      </c>
      <c r="E32" s="2">
        <f t="shared" ca="1" si="4"/>
        <v>0.61738138810507537</v>
      </c>
      <c r="F32" s="1">
        <v>0.2</v>
      </c>
      <c r="G32" s="1">
        <f t="shared" ca="1" si="5"/>
        <v>0.30609488951593972</v>
      </c>
      <c r="H32" s="1">
        <f t="shared" ca="1" si="6"/>
        <v>0.49390511048406033</v>
      </c>
    </row>
    <row r="33" spans="1:8">
      <c r="A33" s="2">
        <f t="shared" ca="1" si="0"/>
        <v>0.74962655179369764</v>
      </c>
      <c r="B33" s="2">
        <f t="shared" ca="1" si="1"/>
        <v>7.6471787752978346E-2</v>
      </c>
      <c r="C33" s="2">
        <f t="shared" ca="1" si="2"/>
        <v>6.2325282562764671E-2</v>
      </c>
      <c r="D33" s="2">
        <f t="shared" ca="1" si="3"/>
        <v>0.64917577261339032</v>
      </c>
      <c r="E33" s="2">
        <f t="shared" ca="1" si="4"/>
        <v>0.35082422738660968</v>
      </c>
      <c r="F33" s="1">
        <v>0.2</v>
      </c>
      <c r="G33" s="1">
        <f t="shared" ca="1" si="5"/>
        <v>0.5193406180907123</v>
      </c>
      <c r="H33" s="1">
        <f t="shared" ca="1" si="6"/>
        <v>0.28065938190928774</v>
      </c>
    </row>
    <row r="34" spans="1:8">
      <c r="A34" s="2">
        <f t="shared" ca="1" si="0"/>
        <v>0.13491473619179953</v>
      </c>
      <c r="B34" s="2">
        <f t="shared" ca="1" si="1"/>
        <v>7.6935873068781885E-2</v>
      </c>
      <c r="C34" s="2">
        <f t="shared" ca="1" si="2"/>
        <v>1.5379783018760484E-2</v>
      </c>
      <c r="D34" s="2">
        <f t="shared" ca="1" si="3"/>
        <v>0.95802774329762841</v>
      </c>
      <c r="E34" s="2">
        <f t="shared" ca="1" si="4"/>
        <v>4.1972256702371591E-2</v>
      </c>
      <c r="F34" s="1">
        <v>0.2</v>
      </c>
      <c r="G34" s="1">
        <f t="shared" ca="1" si="5"/>
        <v>0.76642219463810279</v>
      </c>
      <c r="H34" s="1">
        <f t="shared" ca="1" si="6"/>
        <v>3.3577805361897271E-2</v>
      </c>
    </row>
    <row r="35" spans="1:8">
      <c r="A35" s="2">
        <f t="shared" ca="1" si="0"/>
        <v>0.37067396771103284</v>
      </c>
      <c r="B35" s="2">
        <f t="shared" ca="1" si="1"/>
        <v>7.2120803380034987E-2</v>
      </c>
      <c r="C35" s="2">
        <f t="shared" ca="1" si="2"/>
        <v>3.1733304343384838E-2</v>
      </c>
      <c r="D35" s="2">
        <f t="shared" ca="1" si="3"/>
        <v>0.85043878721457344</v>
      </c>
      <c r="E35" s="2">
        <f t="shared" ca="1" si="4"/>
        <v>0.14956121278542656</v>
      </c>
      <c r="F35" s="1">
        <v>0.2</v>
      </c>
      <c r="G35" s="1">
        <f t="shared" ca="1" si="5"/>
        <v>0.68035102977165884</v>
      </c>
      <c r="H35" s="1">
        <f t="shared" ca="1" si="6"/>
        <v>0.11964897022834126</v>
      </c>
    </row>
    <row r="36" spans="1:8">
      <c r="A36" s="2">
        <f t="shared" ca="1" si="0"/>
        <v>0.84742975426475031</v>
      </c>
      <c r="B36" s="2">
        <f t="shared" ca="1" si="1"/>
        <v>8.3241346060300078E-2</v>
      </c>
      <c r="C36" s="2">
        <f t="shared" ca="1" si="2"/>
        <v>7.5541193436547138E-2</v>
      </c>
      <c r="D36" s="2">
        <f t="shared" ca="1" si="3"/>
        <v>0.56222899054903197</v>
      </c>
      <c r="E36" s="2">
        <f t="shared" ca="1" si="4"/>
        <v>0.43777100945096803</v>
      </c>
      <c r="F36" s="1">
        <v>0.2</v>
      </c>
      <c r="G36" s="1">
        <f t="shared" ca="1" si="5"/>
        <v>0.4497831924392256</v>
      </c>
      <c r="H36" s="1">
        <f t="shared" ca="1" si="6"/>
        <v>0.35021680756077445</v>
      </c>
    </row>
    <row r="37" spans="1:8">
      <c r="A37" s="2">
        <f t="shared" ca="1" si="0"/>
        <v>0.1250537683447758</v>
      </c>
      <c r="B37" s="2">
        <f t="shared" ca="1" si="1"/>
        <v>7.7250913091202397E-2</v>
      </c>
      <c r="C37" s="2">
        <f t="shared" ca="1" si="2"/>
        <v>1.4660517790129633E-2</v>
      </c>
      <c r="D37" s="2">
        <f t="shared" ca="1" si="3"/>
        <v>0.96275975138072611</v>
      </c>
      <c r="E37" s="2">
        <f t="shared" ca="1" si="4"/>
        <v>3.7240248619273886E-2</v>
      </c>
      <c r="F37" s="1">
        <v>0.2</v>
      </c>
      <c r="G37" s="1">
        <f t="shared" ca="1" si="5"/>
        <v>0.77020780110458098</v>
      </c>
      <c r="H37" s="1">
        <f t="shared" ca="1" si="6"/>
        <v>2.9792198895419109E-2</v>
      </c>
    </row>
    <row r="38" spans="1:8">
      <c r="A38" s="2">
        <f t="shared" ca="1" si="0"/>
        <v>0.39766411925333917</v>
      </c>
      <c r="B38" s="2">
        <f t="shared" ca="1" si="1"/>
        <v>7.1880760852509759E-2</v>
      </c>
      <c r="C38" s="2">
        <f t="shared" ca="1" si="2"/>
        <v>3.3584399455673195E-2</v>
      </c>
      <c r="D38" s="2">
        <f t="shared" ca="1" si="3"/>
        <v>0.83826052989688693</v>
      </c>
      <c r="E38" s="2">
        <f t="shared" ca="1" si="4"/>
        <v>0.16173947010311307</v>
      </c>
      <c r="F38" s="1">
        <v>0.2</v>
      </c>
      <c r="G38" s="1">
        <f t="shared" ca="1" si="5"/>
        <v>0.67060842391750963</v>
      </c>
      <c r="H38" s="1">
        <f t="shared" ca="1" si="6"/>
        <v>0.12939157608249047</v>
      </c>
    </row>
    <row r="39" spans="1:8">
      <c r="A39" s="2">
        <f t="shared" ca="1" si="0"/>
        <v>0.97243340258179201</v>
      </c>
      <c r="B39" s="2">
        <f t="shared" ca="1" si="1"/>
        <v>0.1260443248958957</v>
      </c>
      <c r="C39" s="2">
        <f t="shared" ca="1" si="2"/>
        <v>0.12756971173464074</v>
      </c>
      <c r="D39" s="2">
        <f t="shared" ca="1" si="3"/>
        <v>0.21993610700894262</v>
      </c>
      <c r="E39" s="2">
        <f t="shared" ca="1" si="4"/>
        <v>0.78006389299105738</v>
      </c>
      <c r="F39" s="1">
        <v>0.2</v>
      </c>
      <c r="G39" s="1">
        <f t="shared" ca="1" si="5"/>
        <v>0.1759488856071541</v>
      </c>
      <c r="H39" s="1">
        <f t="shared" ca="1" si="6"/>
        <v>0.624051114392846</v>
      </c>
    </row>
    <row r="40" spans="1:8">
      <c r="A40" s="2">
        <f t="shared" ca="1" si="0"/>
        <v>0.97580855150709522</v>
      </c>
      <c r="B40" s="2">
        <f t="shared" ca="1" si="1"/>
        <v>0.15384138162719757</v>
      </c>
      <c r="C40" s="2">
        <f t="shared" ca="1" si="2"/>
        <v>0.15511973576748592</v>
      </c>
      <c r="D40" s="2">
        <f t="shared" ca="1" si="3"/>
        <v>3.8685948898119049E-2</v>
      </c>
      <c r="E40" s="2">
        <f t="shared" ca="1" si="4"/>
        <v>0.96131405110188095</v>
      </c>
      <c r="F40" s="1">
        <v>0.2</v>
      </c>
      <c r="G40" s="1">
        <f t="shared" ca="1" si="5"/>
        <v>3.0948759118495241E-2</v>
      </c>
      <c r="H40" s="1">
        <f t="shared" ca="1" si="6"/>
        <v>0.76905124088150478</v>
      </c>
    </row>
    <row r="41" spans="1:8">
      <c r="A41" s="2">
        <f t="shared" ca="1" si="0"/>
        <v>0.92929253191201722</v>
      </c>
      <c r="B41" s="2">
        <f t="shared" ca="1" si="1"/>
        <v>9.7286679133959761E-2</v>
      </c>
      <c r="C41" s="2">
        <f t="shared" ca="1" si="2"/>
        <v>9.5407784373709489E-2</v>
      </c>
      <c r="D41" s="2">
        <f t="shared" ca="1" si="3"/>
        <v>0.43152773438349024</v>
      </c>
      <c r="E41" s="2">
        <f t="shared" ca="1" si="4"/>
        <v>0.56847226561650976</v>
      </c>
      <c r="F41" s="1">
        <v>0.2</v>
      </c>
      <c r="G41" s="1">
        <f t="shared" ca="1" si="5"/>
        <v>0.34522218750679223</v>
      </c>
      <c r="H41" s="1">
        <f t="shared" ca="1" si="6"/>
        <v>0.45477781249320781</v>
      </c>
    </row>
    <row r="42" spans="1:8">
      <c r="A42" s="2">
        <f t="shared" ca="1" si="0"/>
        <v>0.3975809803130429</v>
      </c>
      <c r="B42" s="2">
        <f t="shared" ca="1" si="1"/>
        <v>7.1881402260340274E-2</v>
      </c>
      <c r="C42" s="2">
        <f t="shared" ca="1" si="2"/>
        <v>3.3578678376942263E-2</v>
      </c>
      <c r="D42" s="2">
        <f t="shared" ca="1" si="3"/>
        <v>0.8382981685727483</v>
      </c>
      <c r="E42" s="2">
        <f t="shared" ca="1" si="4"/>
        <v>0.1617018314272517</v>
      </c>
      <c r="F42" s="1">
        <v>0.2</v>
      </c>
      <c r="G42" s="1">
        <f t="shared" ca="1" si="5"/>
        <v>0.67063853485819869</v>
      </c>
      <c r="H42" s="1">
        <f t="shared" ca="1" si="6"/>
        <v>0.12936146514180136</v>
      </c>
    </row>
    <row r="43" spans="1:8">
      <c r="A43" s="2">
        <f t="shared" ca="1" si="0"/>
        <v>6.0173212810899858E-2</v>
      </c>
      <c r="B43" s="2">
        <f t="shared" ca="1" si="1"/>
        <v>7.9589005299081458E-2</v>
      </c>
      <c r="C43" s="2">
        <f t="shared" ca="1" si="2"/>
        <v>9.7891261532694653E-3</v>
      </c>
      <c r="D43" s="2">
        <f t="shared" ca="1" si="3"/>
        <v>0.99480838057059562</v>
      </c>
      <c r="E43" s="2">
        <f t="shared" ca="1" si="4"/>
        <v>5.1916194294043816E-3</v>
      </c>
      <c r="F43" s="1">
        <v>0.2</v>
      </c>
      <c r="G43" s="1">
        <f t="shared" ca="1" si="5"/>
        <v>0.79584670445647654</v>
      </c>
      <c r="H43" s="1">
        <f t="shared" ca="1" si="6"/>
        <v>4.1532955435235053E-3</v>
      </c>
    </row>
    <row r="44" spans="1:8">
      <c r="A44" s="2">
        <f t="shared" ca="1" si="0"/>
        <v>0.91626543011761774</v>
      </c>
      <c r="B44" s="2">
        <f t="shared" ca="1" si="1"/>
        <v>9.3827454867792842E-2</v>
      </c>
      <c r="C44" s="2">
        <f t="shared" ca="1" si="2"/>
        <v>9.0970853291279574E-2</v>
      </c>
      <c r="D44" s="2">
        <f t="shared" ca="1" si="3"/>
        <v>0.46071807045210811</v>
      </c>
      <c r="E44" s="2">
        <f t="shared" ca="1" si="4"/>
        <v>0.53928192954789189</v>
      </c>
      <c r="F44" s="1">
        <v>0.2</v>
      </c>
      <c r="G44" s="1">
        <f t="shared" ca="1" si="5"/>
        <v>0.36857445636168651</v>
      </c>
      <c r="H44" s="1">
        <f t="shared" ca="1" si="6"/>
        <v>0.43142554363831354</v>
      </c>
    </row>
    <row r="45" spans="1:8">
      <c r="A45" s="2">
        <f t="shared" ca="1" si="0"/>
        <v>0.88885699573012278</v>
      </c>
      <c r="B45" s="2">
        <f t="shared" ca="1" si="1"/>
        <v>8.8521248663460506E-2</v>
      </c>
      <c r="C45" s="2">
        <f t="shared" ca="1" si="2"/>
        <v>8.3682731145282657E-2</v>
      </c>
      <c r="D45" s="2">
        <f t="shared" ca="1" si="3"/>
        <v>0.50866624246524572</v>
      </c>
      <c r="E45" s="2">
        <f t="shared" ca="1" si="4"/>
        <v>0.49133375753475428</v>
      </c>
      <c r="F45" s="1">
        <v>0.2</v>
      </c>
      <c r="G45" s="1">
        <f t="shared" ca="1" si="5"/>
        <v>0.40693299397219662</v>
      </c>
      <c r="H45" s="1">
        <f t="shared" ca="1" si="6"/>
        <v>0.39306700602780342</v>
      </c>
    </row>
    <row r="46" spans="1:8">
      <c r="A46" s="2">
        <f t="shared" ca="1" si="0"/>
        <v>0.90262059242765558</v>
      </c>
      <c r="B46" s="2">
        <f t="shared" ca="1" si="1"/>
        <v>9.092748138579887E-2</v>
      </c>
      <c r="C46" s="2">
        <f t="shared" ca="1" si="2"/>
        <v>8.7073017116404403E-2</v>
      </c>
      <c r="D46" s="2">
        <f t="shared" ca="1" si="3"/>
        <v>0.48636172949733958</v>
      </c>
      <c r="E46" s="2">
        <f t="shared" ca="1" si="4"/>
        <v>0.51363827050266042</v>
      </c>
      <c r="F46" s="1">
        <v>0.2</v>
      </c>
      <c r="G46" s="1">
        <f t="shared" ca="1" si="5"/>
        <v>0.38908938359787171</v>
      </c>
      <c r="H46" s="1">
        <f t="shared" ca="1" si="6"/>
        <v>0.41091061640212834</v>
      </c>
    </row>
    <row r="47" spans="1:8">
      <c r="A47" s="2">
        <f t="shared" ca="1" si="0"/>
        <v>0.32270443489363498</v>
      </c>
      <c r="B47" s="2">
        <f t="shared" ca="1" si="1"/>
        <v>7.2702952675269966E-2</v>
      </c>
      <c r="C47" s="2">
        <f t="shared" ca="1" si="2"/>
        <v>2.8461565258171683E-2</v>
      </c>
      <c r="D47" s="2">
        <f t="shared" ca="1" si="3"/>
        <v>0.87196338645939686</v>
      </c>
      <c r="E47" s="2">
        <f t="shared" ca="1" si="4"/>
        <v>0.12803661354060314</v>
      </c>
      <c r="F47" s="1">
        <v>0.2</v>
      </c>
      <c r="G47" s="1">
        <f t="shared" ca="1" si="5"/>
        <v>0.69757070916751751</v>
      </c>
      <c r="H47" s="1">
        <f t="shared" ca="1" si="6"/>
        <v>0.10242929083248252</v>
      </c>
    </row>
    <row r="48" spans="1:8">
      <c r="A48" s="2">
        <f t="shared" ca="1" si="0"/>
        <v>0.95053972704459821</v>
      </c>
      <c r="B48" s="2">
        <f t="shared" ca="1" si="1"/>
        <v>0.10553801186825164</v>
      </c>
      <c r="C48" s="2">
        <f t="shared" ca="1" si="2"/>
        <v>0.10531807299407749</v>
      </c>
      <c r="D48" s="2">
        <f t="shared" ca="1" si="3"/>
        <v>0.36632846714422707</v>
      </c>
      <c r="E48" s="2">
        <f t="shared" ca="1" si="4"/>
        <v>0.63367153285577293</v>
      </c>
      <c r="F48" s="1">
        <v>0.2</v>
      </c>
      <c r="G48" s="1">
        <f t="shared" ca="1" si="5"/>
        <v>0.29306277371538164</v>
      </c>
      <c r="H48" s="1">
        <f t="shared" ca="1" si="6"/>
        <v>0.50693722628461835</v>
      </c>
    </row>
    <row r="49" spans="1:8">
      <c r="A49" s="2">
        <f t="shared" ca="1" si="0"/>
        <v>0.91907620944145441</v>
      </c>
      <c r="B49" s="2">
        <f t="shared" ca="1" si="1"/>
        <v>9.4507128314534838E-2</v>
      </c>
      <c r="C49" s="2">
        <f t="shared" ca="1" si="2"/>
        <v>9.1859253256519835E-2</v>
      </c>
      <c r="D49" s="2">
        <f t="shared" ca="1" si="3"/>
        <v>0.45487333383868533</v>
      </c>
      <c r="E49" s="2">
        <f t="shared" ca="1" si="4"/>
        <v>0.54512666616131467</v>
      </c>
      <c r="F49" s="1">
        <v>0.2</v>
      </c>
      <c r="G49" s="1">
        <f t="shared" ca="1" si="5"/>
        <v>0.36389866707094831</v>
      </c>
      <c r="H49" s="1">
        <f t="shared" ca="1" si="6"/>
        <v>0.43610133292905173</v>
      </c>
    </row>
    <row r="50" spans="1:8">
      <c r="A50" s="2">
        <f t="shared" ca="1" si="0"/>
        <v>0.13698001469446464</v>
      </c>
      <c r="B50" s="2">
        <f t="shared" ca="1" si="1"/>
        <v>7.6871171248419079E-2</v>
      </c>
      <c r="C50" s="2">
        <f t="shared" ca="1" si="2"/>
        <v>1.5529814167189154E-2</v>
      </c>
      <c r="D50" s="2">
        <f t="shared" ca="1" si="3"/>
        <v>0.95704069626849242</v>
      </c>
      <c r="E50" s="2">
        <f t="shared" ca="1" si="4"/>
        <v>4.2959303731507581E-2</v>
      </c>
      <c r="F50" s="1">
        <v>0.2</v>
      </c>
      <c r="G50" s="1">
        <f t="shared" ca="1" si="5"/>
        <v>0.76563255701479394</v>
      </c>
      <c r="H50" s="1">
        <f t="shared" ca="1" si="6"/>
        <v>3.4367442985206068E-2</v>
      </c>
    </row>
    <row r="51" spans="1:8">
      <c r="A51" s="2">
        <f t="shared" ca="1" si="0"/>
        <v>0.9762741279207473</v>
      </c>
      <c r="B51" s="2">
        <f t="shared" ca="1" si="1"/>
        <v>0.14629285832817132</v>
      </c>
      <c r="C51" s="2">
        <f t="shared" ca="1" si="2"/>
        <v>0.14782193268536889</v>
      </c>
      <c r="D51" s="2">
        <f t="shared" ca="1" si="3"/>
        <v>8.6697811280467829E-2</v>
      </c>
      <c r="E51" s="2">
        <f t="shared" ca="1" si="4"/>
        <v>0.91330218871953217</v>
      </c>
      <c r="F51" s="1">
        <v>0.2</v>
      </c>
      <c r="G51" s="1">
        <f t="shared" ca="1" si="5"/>
        <v>6.9358249024374263E-2</v>
      </c>
      <c r="H51" s="1">
        <f t="shared" ca="1" si="6"/>
        <v>0.73064175097562578</v>
      </c>
    </row>
    <row r="52" spans="1:8">
      <c r="A52" s="2">
        <f t="shared" ca="1" si="0"/>
        <v>0.9377454552588973</v>
      </c>
      <c r="B52" s="2">
        <f t="shared" ca="1" si="1"/>
        <v>0.10005983673298945</v>
      </c>
      <c r="C52" s="2">
        <f t="shared" ca="1" si="2"/>
        <v>9.8830657150308129E-2</v>
      </c>
      <c r="D52" s="2">
        <f t="shared" ca="1" si="3"/>
        <v>0.40900883453744663</v>
      </c>
      <c r="E52" s="2">
        <f t="shared" ca="1" si="4"/>
        <v>0.59099116546255337</v>
      </c>
      <c r="F52" s="1">
        <v>0.2</v>
      </c>
      <c r="G52" s="1">
        <f t="shared" ca="1" si="5"/>
        <v>0.32720706762995733</v>
      </c>
      <c r="H52" s="1">
        <f t="shared" ca="1" si="6"/>
        <v>0.47279293237004272</v>
      </c>
    </row>
    <row r="53" spans="1:8">
      <c r="A53" s="2">
        <f t="shared" ca="1" si="0"/>
        <v>0.75668031767591548</v>
      </c>
      <c r="B53" s="2">
        <f t="shared" ca="1" si="1"/>
        <v>7.6805590773817406E-2</v>
      </c>
      <c r="C53" s="2">
        <f t="shared" ca="1" si="2"/>
        <v>6.3117278826018516E-2</v>
      </c>
      <c r="D53" s="2">
        <f t="shared" ca="1" si="3"/>
        <v>0.64396527088145716</v>
      </c>
      <c r="E53" s="2">
        <f t="shared" ca="1" si="4"/>
        <v>0.35603472911854284</v>
      </c>
      <c r="F53" s="1">
        <v>0.2</v>
      </c>
      <c r="G53" s="1">
        <f t="shared" ca="1" si="5"/>
        <v>0.51517221670516578</v>
      </c>
      <c r="H53" s="1">
        <f t="shared" ca="1" si="6"/>
        <v>0.28482778329483427</v>
      </c>
    </row>
    <row r="54" spans="1:8">
      <c r="A54" s="2">
        <f t="shared" ca="1" si="0"/>
        <v>0.97560172861990913</v>
      </c>
      <c r="B54" s="2">
        <f t="shared" ca="1" si="1"/>
        <v>0.15567932164648637</v>
      </c>
      <c r="C54" s="2">
        <f t="shared" ca="1" si="2"/>
        <v>0.15688101530868695</v>
      </c>
      <c r="D54" s="2">
        <f t="shared" ca="1" si="3"/>
        <v>2.7098583495480666E-2</v>
      </c>
      <c r="E54" s="2">
        <f t="shared" ca="1" si="4"/>
        <v>0.97290141650451933</v>
      </c>
      <c r="F54" s="1">
        <v>0.2</v>
      </c>
      <c r="G54" s="1">
        <f t="shared" ca="1" si="5"/>
        <v>2.1678866796384533E-2</v>
      </c>
      <c r="H54" s="1">
        <f t="shared" ca="1" si="6"/>
        <v>0.77832113320361551</v>
      </c>
    </row>
    <row r="55" spans="1:8">
      <c r="A55" s="2">
        <f t="shared" ca="1" si="0"/>
        <v>0.73408268828900913</v>
      </c>
      <c r="B55" s="2">
        <f t="shared" ca="1" si="1"/>
        <v>7.5794542190035924E-2</v>
      </c>
      <c r="C55" s="2">
        <f t="shared" ca="1" si="2"/>
        <v>6.0639461288496288E-2</v>
      </c>
      <c r="D55" s="2">
        <f t="shared" ca="1" si="3"/>
        <v>0.66026670204936655</v>
      </c>
      <c r="E55" s="2">
        <f t="shared" ca="1" si="4"/>
        <v>0.33973329795063345</v>
      </c>
      <c r="F55" s="1">
        <v>0.2</v>
      </c>
      <c r="G55" s="1">
        <f t="shared" ca="1" si="5"/>
        <v>0.52821336163949328</v>
      </c>
      <c r="H55" s="1">
        <f t="shared" ca="1" si="6"/>
        <v>0.27178663836050676</v>
      </c>
    </row>
    <row r="56" spans="1:8">
      <c r="A56" s="2">
        <f t="shared" ca="1" si="0"/>
        <v>0.97552429821643949</v>
      </c>
      <c r="B56" s="2">
        <f t="shared" ca="1" si="1"/>
        <v>0.15630448425009694</v>
      </c>
      <c r="C56" s="2">
        <f t="shared" ca="1" si="2"/>
        <v>0.15747882230615834</v>
      </c>
      <c r="D56" s="2">
        <f t="shared" ca="1" si="3"/>
        <v>2.3165642722642543E-2</v>
      </c>
      <c r="E56" s="2">
        <f t="shared" ca="1" si="4"/>
        <v>0.97683435727735746</v>
      </c>
      <c r="F56" s="1">
        <v>0.2</v>
      </c>
      <c r="G56" s="1">
        <f t="shared" ca="1" si="5"/>
        <v>1.8532514178114034E-2</v>
      </c>
      <c r="H56" s="1">
        <f t="shared" ca="1" si="6"/>
        <v>0.78146748582188597</v>
      </c>
    </row>
    <row r="57" spans="1:8">
      <c r="A57" s="2">
        <f t="shared" ca="1" si="0"/>
        <v>0.97563383443186968</v>
      </c>
      <c r="B57" s="2">
        <f t="shared" ca="1" si="1"/>
        <v>0.13660632844487416</v>
      </c>
      <c r="C57" s="2">
        <f t="shared" ca="1" si="2"/>
        <v>0.13827775602833198</v>
      </c>
      <c r="D57" s="2">
        <f t="shared" ca="1" si="3"/>
        <v>0.14948844718202647</v>
      </c>
      <c r="E57" s="2">
        <f t="shared" ca="1" si="4"/>
        <v>0.85051155281797353</v>
      </c>
      <c r="F57" s="1">
        <v>0.2</v>
      </c>
      <c r="G57" s="1">
        <f t="shared" ca="1" si="5"/>
        <v>0.11959075774562118</v>
      </c>
      <c r="H57" s="1">
        <f t="shared" ca="1" si="6"/>
        <v>0.68040924225437882</v>
      </c>
    </row>
    <row r="58" spans="1:8">
      <c r="A58" s="2">
        <f t="shared" ca="1" si="0"/>
        <v>0.96714482585514194</v>
      </c>
      <c r="B58" s="2">
        <f t="shared" ca="1" si="1"/>
        <v>0.1179557235508765</v>
      </c>
      <c r="C58" s="2">
        <f t="shared" ca="1" si="2"/>
        <v>0.11908026771222972</v>
      </c>
      <c r="D58" s="2">
        <f t="shared" ca="1" si="3"/>
        <v>0.27578771241954136</v>
      </c>
      <c r="E58" s="2">
        <f t="shared" ca="1" si="4"/>
        <v>0.72421228758045864</v>
      </c>
      <c r="F58" s="1">
        <v>0.2</v>
      </c>
      <c r="G58" s="1">
        <f t="shared" ca="1" si="5"/>
        <v>0.22063016993563311</v>
      </c>
      <c r="H58" s="1">
        <f t="shared" ca="1" si="6"/>
        <v>0.57936983006436693</v>
      </c>
    </row>
    <row r="59" spans="1:8">
      <c r="A59" s="2">
        <f t="shared" ca="1" si="0"/>
        <v>0.94557370459558032</v>
      </c>
      <c r="B59" s="2">
        <f t="shared" ca="1" si="1"/>
        <v>0.10317576805685906</v>
      </c>
      <c r="C59" s="2">
        <f t="shared" ca="1" si="2"/>
        <v>0.10256029322601856</v>
      </c>
      <c r="D59" s="2">
        <f t="shared" ca="1" si="3"/>
        <v>0.38447175509198317</v>
      </c>
      <c r="E59" s="2">
        <f t="shared" ca="1" si="4"/>
        <v>0.61552824490801683</v>
      </c>
      <c r="F59" s="1">
        <v>0.2</v>
      </c>
      <c r="G59" s="1">
        <f t="shared" ca="1" si="5"/>
        <v>0.30757740407358658</v>
      </c>
      <c r="H59" s="1">
        <f t="shared" ca="1" si="6"/>
        <v>0.49242259592641346</v>
      </c>
    </row>
    <row r="60" spans="1:8">
      <c r="A60" s="2">
        <f t="shared" ca="1" si="0"/>
        <v>0.97017715724269127</v>
      </c>
      <c r="B60" s="2">
        <f t="shared" ca="1" si="1"/>
        <v>0.12199581159541145</v>
      </c>
      <c r="C60" s="2">
        <f t="shared" ca="1" si="2"/>
        <v>0.12335754968915123</v>
      </c>
      <c r="D60" s="2">
        <f t="shared" ca="1" si="3"/>
        <v>0.24764769941347886</v>
      </c>
      <c r="E60" s="2">
        <f t="shared" ca="1" si="4"/>
        <v>0.75235230058652114</v>
      </c>
      <c r="F60" s="1">
        <v>0.2</v>
      </c>
      <c r="G60" s="1">
        <f t="shared" ca="1" si="5"/>
        <v>0.1981181595307831</v>
      </c>
      <c r="H60" s="1">
        <f t="shared" ca="1" si="6"/>
        <v>0.601881840469217</v>
      </c>
    </row>
    <row r="61" spans="1:8">
      <c r="A61" s="2">
        <f t="shared" ca="1" si="0"/>
        <v>0.60376883450413255</v>
      </c>
      <c r="B61" s="2">
        <f t="shared" ca="1" si="1"/>
        <v>7.2387338167570689E-2</v>
      </c>
      <c r="C61" s="2">
        <f t="shared" ca="1" si="2"/>
        <v>4.8705218798290664E-2</v>
      </c>
      <c r="D61" s="2">
        <f t="shared" ca="1" si="3"/>
        <v>0.73878145527440353</v>
      </c>
      <c r="E61" s="2">
        <f t="shared" ca="1" si="4"/>
        <v>0.26121854472559647</v>
      </c>
      <c r="F61" s="1">
        <v>0.2</v>
      </c>
      <c r="G61" s="1">
        <f t="shared" ca="1" si="5"/>
        <v>0.59102516421952289</v>
      </c>
      <c r="H61" s="1">
        <f t="shared" ca="1" si="6"/>
        <v>0.20897483578047718</v>
      </c>
    </row>
    <row r="62" spans="1:8">
      <c r="A62" s="2">
        <f t="shared" ca="1" si="0"/>
        <v>0.48030450334131836</v>
      </c>
      <c r="B62" s="2">
        <f t="shared" ca="1" si="1"/>
        <v>7.1554185316407601E-2</v>
      </c>
      <c r="C62" s="2">
        <f t="shared" ca="1" si="2"/>
        <v>3.9367797440389804E-2</v>
      </c>
      <c r="D62" s="2">
        <f t="shared" ca="1" si="3"/>
        <v>0.80021185894480396</v>
      </c>
      <c r="E62" s="2">
        <f t="shared" ca="1" si="4"/>
        <v>0.19978814105519604</v>
      </c>
      <c r="F62" s="1">
        <v>0.2</v>
      </c>
      <c r="G62" s="1">
        <f t="shared" ca="1" si="5"/>
        <v>0.64016948715584321</v>
      </c>
      <c r="H62" s="1">
        <f t="shared" ca="1" si="6"/>
        <v>0.15983051284415684</v>
      </c>
    </row>
    <row r="63" spans="1:8">
      <c r="A63" s="2">
        <f t="shared" ca="1" si="0"/>
        <v>0.53796130122874142</v>
      </c>
      <c r="B63" s="2">
        <f t="shared" ca="1" si="1"/>
        <v>7.1723436616365599E-2</v>
      </c>
      <c r="C63" s="2">
        <f t="shared" ca="1" si="2"/>
        <v>4.358443329073719E-2</v>
      </c>
      <c r="D63" s="2">
        <f t="shared" ca="1" si="3"/>
        <v>0.77247083361357116</v>
      </c>
      <c r="E63" s="2">
        <f t="shared" ca="1" si="4"/>
        <v>0.22752916638642884</v>
      </c>
      <c r="F63" s="1">
        <v>0.2</v>
      </c>
      <c r="G63" s="1">
        <f t="shared" ca="1" si="5"/>
        <v>0.61797666689085695</v>
      </c>
      <c r="H63" s="1">
        <f t="shared" ca="1" si="6"/>
        <v>0.18202333310914309</v>
      </c>
    </row>
    <row r="64" spans="1:8">
      <c r="A64" s="2">
        <f t="shared" ca="1" si="0"/>
        <v>0.68753959533343967</v>
      </c>
      <c r="B64" s="2">
        <f t="shared" ca="1" si="1"/>
        <v>7.4172009809919545E-2</v>
      </c>
      <c r="C64" s="2">
        <f t="shared" ca="1" si="2"/>
        <v>5.5996193609779997E-2</v>
      </c>
      <c r="D64" s="2">
        <f t="shared" ca="1" si="3"/>
        <v>0.69081451572513164</v>
      </c>
      <c r="E64" s="2">
        <f t="shared" ca="1" si="4"/>
        <v>0.30918548427486836</v>
      </c>
      <c r="F64" s="1">
        <v>0.2</v>
      </c>
      <c r="G64" s="1">
        <f t="shared" ca="1" si="5"/>
        <v>0.55265161258010531</v>
      </c>
      <c r="H64" s="1">
        <f t="shared" ca="1" si="6"/>
        <v>0.24734838741989471</v>
      </c>
    </row>
    <row r="65" spans="1:8">
      <c r="A65" s="2">
        <f t="shared" ca="1" si="0"/>
        <v>0.30302348827720371</v>
      </c>
      <c r="B65" s="2">
        <f t="shared" ca="1" si="1"/>
        <v>7.2998961915273233E-2</v>
      </c>
      <c r="C65" s="2">
        <f t="shared" ca="1" si="2"/>
        <v>2.7120400080180841E-2</v>
      </c>
      <c r="D65" s="2">
        <f t="shared" ca="1" si="3"/>
        <v>0.88078684157775766</v>
      </c>
      <c r="E65" s="2">
        <f t="shared" ca="1" si="4"/>
        <v>0.11921315842224234</v>
      </c>
      <c r="F65" s="1">
        <v>0.2</v>
      </c>
      <c r="G65" s="1">
        <f t="shared" ca="1" si="5"/>
        <v>0.70462947326220615</v>
      </c>
      <c r="H65" s="1">
        <f t="shared" ca="1" si="6"/>
        <v>9.5370526737793879E-2</v>
      </c>
    </row>
    <row r="66" spans="1:8">
      <c r="A66" s="2">
        <f t="shared" ca="1" si="0"/>
        <v>0.48894456963242816</v>
      </c>
      <c r="B66" s="2">
        <f t="shared" ca="1" si="1"/>
        <v>7.1557517533403725E-2</v>
      </c>
      <c r="C66" s="2">
        <f t="shared" ca="1" si="2"/>
        <v>3.9987659614335015E-2</v>
      </c>
      <c r="D66" s="2">
        <f t="shared" ca="1" si="3"/>
        <v>0.79613381832674335</v>
      </c>
      <c r="E66" s="2">
        <f t="shared" ca="1" si="4"/>
        <v>0.20386618167325665</v>
      </c>
      <c r="F66" s="1">
        <v>0.2</v>
      </c>
      <c r="G66" s="1">
        <f t="shared" ca="1" si="5"/>
        <v>0.63690705466139474</v>
      </c>
      <c r="H66" s="1">
        <f t="shared" ca="1" si="6"/>
        <v>0.16309294533860533</v>
      </c>
    </row>
    <row r="67" spans="1:8">
      <c r="A67" s="2">
        <f t="shared" ca="1" si="0"/>
        <v>0.97464078288098299</v>
      </c>
      <c r="B67" s="2">
        <f t="shared" ca="1" si="1"/>
        <v>0.13200893257672155</v>
      </c>
      <c r="C67" s="2">
        <f t="shared" ca="1" si="2"/>
        <v>0.1336612893938588</v>
      </c>
      <c r="D67" s="2">
        <f t="shared" ca="1" si="3"/>
        <v>0.17985993819829749</v>
      </c>
      <c r="E67" s="2">
        <f t="shared" ca="1" si="4"/>
        <v>0.82014006180170251</v>
      </c>
      <c r="F67" s="1">
        <v>0.2</v>
      </c>
      <c r="G67" s="1">
        <f t="shared" ca="1" si="5"/>
        <v>0.14388795055863798</v>
      </c>
      <c r="H67" s="1">
        <f t="shared" ca="1" si="6"/>
        <v>0.65611204944136203</v>
      </c>
    </row>
    <row r="68" spans="1:8">
      <c r="A68" s="2">
        <f t="shared" ca="1" si="0"/>
        <v>0.97484327920581104</v>
      </c>
      <c r="B68" s="2">
        <f t="shared" ca="1" si="1"/>
        <v>0.13277088136858992</v>
      </c>
      <c r="C68" s="2">
        <f t="shared" ca="1" si="2"/>
        <v>0.13443080137640193</v>
      </c>
      <c r="D68" s="2">
        <f t="shared" ca="1" si="3"/>
        <v>0.17479735936577701</v>
      </c>
      <c r="E68" s="2">
        <f t="shared" ca="1" si="4"/>
        <v>0.82520264063422299</v>
      </c>
      <c r="F68" s="1">
        <v>0.2</v>
      </c>
      <c r="G68" s="1">
        <f t="shared" ca="1" si="5"/>
        <v>0.1398378874926216</v>
      </c>
      <c r="H68" s="1">
        <f t="shared" ca="1" si="6"/>
        <v>0.66016211250737844</v>
      </c>
    </row>
    <row r="69" spans="1:8">
      <c r="A69" s="2">
        <f t="shared" ca="1" si="0"/>
        <v>0.80055052056986553</v>
      </c>
      <c r="B69" s="2">
        <f t="shared" ca="1" si="1"/>
        <v>7.9332515288792343E-2</v>
      </c>
      <c r="C69" s="2">
        <f t="shared" ca="1" si="2"/>
        <v>6.8509686412559528E-2</v>
      </c>
      <c r="D69" s="2">
        <f t="shared" ca="1" si="3"/>
        <v>0.60848890518052956</v>
      </c>
      <c r="E69" s="2">
        <f t="shared" ca="1" si="4"/>
        <v>0.39151109481947044</v>
      </c>
      <c r="F69" s="1">
        <v>0.2</v>
      </c>
      <c r="G69" s="1">
        <f t="shared" ca="1" si="5"/>
        <v>0.48679112414442366</v>
      </c>
      <c r="H69" s="1">
        <f t="shared" ca="1" si="6"/>
        <v>0.31320887585557639</v>
      </c>
    </row>
    <row r="70" spans="1:8">
      <c r="A70" s="2">
        <f t="shared" ca="1" si="0"/>
        <v>0.97624986158943128</v>
      </c>
      <c r="B70" s="2">
        <f t="shared" ca="1" si="1"/>
        <v>0.14739940869172766</v>
      </c>
      <c r="C70" s="2">
        <f t="shared" ca="1" si="2"/>
        <v>0.14889865233366315</v>
      </c>
      <c r="D70" s="2">
        <f t="shared" ca="1" si="3"/>
        <v>7.9614129383795085E-2</v>
      </c>
      <c r="E70" s="2">
        <f t="shared" ca="1" si="4"/>
        <v>0.92038587061620492</v>
      </c>
      <c r="F70" s="1">
        <v>0.2</v>
      </c>
      <c r="G70" s="1">
        <f t="shared" ca="1" si="5"/>
        <v>6.3691303507036071E-2</v>
      </c>
      <c r="H70" s="1">
        <f t="shared" ca="1" si="6"/>
        <v>0.73630869649296393</v>
      </c>
    </row>
    <row r="71" spans="1:8">
      <c r="A71" s="2">
        <f t="shared" ca="1" si="0"/>
        <v>0.13452351983249272</v>
      </c>
      <c r="B71" s="2">
        <f t="shared" ca="1" si="1"/>
        <v>7.6948178896780114E-2</v>
      </c>
      <c r="C71" s="2">
        <f t="shared" ca="1" si="2"/>
        <v>1.53513398698952E-2</v>
      </c>
      <c r="D71" s="2">
        <f t="shared" ca="1" si="3"/>
        <v>0.95821486927700528</v>
      </c>
      <c r="E71" s="2">
        <f t="shared" ca="1" si="4"/>
        <v>4.1785130722994723E-2</v>
      </c>
      <c r="F71" s="1">
        <v>0.2</v>
      </c>
      <c r="G71" s="1">
        <f t="shared" ca="1" si="5"/>
        <v>0.76657189542160431</v>
      </c>
      <c r="H71" s="1">
        <f t="shared" ca="1" si="6"/>
        <v>3.3428104578395783E-2</v>
      </c>
    </row>
    <row r="72" spans="1:8">
      <c r="A72" s="2">
        <f t="shared" ca="1" si="0"/>
        <v>0.95186032893940353</v>
      </c>
      <c r="B72" s="2">
        <f t="shared" ca="1" si="1"/>
        <v>0.10623174783794229</v>
      </c>
      <c r="C72" s="2">
        <f t="shared" ca="1" si="2"/>
        <v>0.10611778644083152</v>
      </c>
      <c r="D72" s="2">
        <f t="shared" ca="1" si="3"/>
        <v>0.36106719446821378</v>
      </c>
      <c r="E72" s="2">
        <f t="shared" ca="1" si="4"/>
        <v>0.63893280553178622</v>
      </c>
      <c r="F72" s="1">
        <v>0.2</v>
      </c>
      <c r="G72" s="1">
        <f t="shared" ca="1" si="5"/>
        <v>0.28885375557457105</v>
      </c>
      <c r="H72" s="1">
        <f t="shared" ca="1" si="6"/>
        <v>0.511146244425429</v>
      </c>
    </row>
    <row r="73" spans="1:8">
      <c r="A73" s="2">
        <f t="shared" ca="1" si="0"/>
        <v>0.24578880241571677</v>
      </c>
      <c r="B73" s="2">
        <f t="shared" ca="1" si="1"/>
        <v>7.40503654303514E-2</v>
      </c>
      <c r="C73" s="2">
        <f t="shared" ca="1" si="2"/>
        <v>2.3200750637572265E-2</v>
      </c>
      <c r="D73" s="2">
        <f t="shared" ca="1" si="3"/>
        <v>0.90657400896334039</v>
      </c>
      <c r="E73" s="2">
        <f t="shared" ca="1" si="4"/>
        <v>9.3425991036659606E-2</v>
      </c>
      <c r="F73" s="1">
        <v>0.2</v>
      </c>
      <c r="G73" s="1">
        <f t="shared" ca="1" si="5"/>
        <v>0.72525920717067238</v>
      </c>
      <c r="H73" s="1">
        <f t="shared" ca="1" si="6"/>
        <v>7.474079282932769E-2</v>
      </c>
    </row>
    <row r="74" spans="1:8">
      <c r="A74" s="2">
        <f t="shared" ca="1" si="0"/>
        <v>0.92993275531354502</v>
      </c>
      <c r="B74" s="2">
        <f t="shared" ca="1" si="1"/>
        <v>9.7479669997143817E-2</v>
      </c>
      <c r="C74" s="2">
        <f t="shared" ca="1" si="2"/>
        <v>9.5649538107499057E-2</v>
      </c>
      <c r="D74" s="2">
        <f t="shared" ca="1" si="3"/>
        <v>0.42993724929276944</v>
      </c>
      <c r="E74" s="2">
        <f t="shared" ca="1" si="4"/>
        <v>0.57006275070723056</v>
      </c>
      <c r="F74" s="1">
        <v>0.2</v>
      </c>
      <c r="G74" s="1">
        <f t="shared" ca="1" si="5"/>
        <v>0.34394979943421555</v>
      </c>
      <c r="H74" s="1">
        <f t="shared" ca="1" si="6"/>
        <v>0.45605020056578449</v>
      </c>
    </row>
    <row r="75" spans="1:8">
      <c r="A75" s="2">
        <f t="shared" ca="1" si="0"/>
        <v>0.97529101435892585</v>
      </c>
      <c r="B75" s="2">
        <f t="shared" ca="1" si="1"/>
        <v>0.15804504230438179</v>
      </c>
      <c r="C75" s="2">
        <f t="shared" ca="1" si="2"/>
        <v>0.15913990962343988</v>
      </c>
      <c r="D75" s="2">
        <f t="shared" ca="1" si="3"/>
        <v>1.2237436687895675E-2</v>
      </c>
      <c r="E75" s="2">
        <f t="shared" ca="1" si="4"/>
        <v>0.98776256331210432</v>
      </c>
      <c r="F75" s="1">
        <v>0.2</v>
      </c>
      <c r="G75" s="1">
        <f t="shared" ca="1" si="5"/>
        <v>9.7899493503165406E-3</v>
      </c>
      <c r="H75" s="1">
        <f t="shared" ca="1" si="6"/>
        <v>0.79021005064968353</v>
      </c>
    </row>
    <row r="76" spans="1:8">
      <c r="A76" s="2">
        <f t="shared" ca="1" si="0"/>
        <v>0.93747443453951018</v>
      </c>
      <c r="B76" s="2">
        <f t="shared" ca="1" si="1"/>
        <v>9.9962545620198073E-2</v>
      </c>
      <c r="C76" s="2">
        <f t="shared" ca="1" si="2"/>
        <v>9.8712330930425182E-2</v>
      </c>
      <c r="D76" s="2">
        <f t="shared" ca="1" si="3"/>
        <v>0.40978729651036072</v>
      </c>
      <c r="E76" s="2">
        <f t="shared" ca="1" si="4"/>
        <v>0.59021270348963928</v>
      </c>
      <c r="F76" s="1">
        <v>0.2</v>
      </c>
      <c r="G76" s="1">
        <f t="shared" ca="1" si="5"/>
        <v>0.32782983720828862</v>
      </c>
      <c r="H76" s="1">
        <f t="shared" ca="1" si="6"/>
        <v>0.47217016279171142</v>
      </c>
    </row>
    <row r="77" spans="1:8">
      <c r="A77" s="2">
        <f t="shared" ca="1" si="0"/>
        <v>0.97605923203013356</v>
      </c>
      <c r="B77" s="2">
        <f t="shared" ca="1" si="1"/>
        <v>0.14006023433250123</v>
      </c>
      <c r="C77" s="2">
        <f t="shared" ca="1" si="2"/>
        <v>0.1417070847605417</v>
      </c>
      <c r="D77" s="2">
        <f t="shared" ca="1" si="3"/>
        <v>0.12692707394380465</v>
      </c>
      <c r="E77" s="2">
        <f t="shared" ca="1" si="4"/>
        <v>0.87307292605619535</v>
      </c>
      <c r="F77" s="1">
        <v>0.2</v>
      </c>
      <c r="G77" s="1">
        <f t="shared" ca="1" si="5"/>
        <v>0.10154165915504372</v>
      </c>
      <c r="H77" s="1">
        <f t="shared" ca="1" si="6"/>
        <v>0.69845834084495628</v>
      </c>
    </row>
    <row r="78" spans="1:8">
      <c r="A78" s="2">
        <f t="shared" ca="1" si="0"/>
        <v>0.94444509551623346</v>
      </c>
      <c r="B78" s="2">
        <f t="shared" ca="1" si="1"/>
        <v>0.10268568088463112</v>
      </c>
      <c r="C78" s="2">
        <f t="shared" ca="1" si="2"/>
        <v>0.10198098769123491</v>
      </c>
      <c r="D78" s="2">
        <f t="shared" ca="1" si="3"/>
        <v>0.38828297571555992</v>
      </c>
      <c r="E78" s="2">
        <f t="shared" ca="1" si="4"/>
        <v>0.61171702428444008</v>
      </c>
      <c r="F78" s="1">
        <v>0.2</v>
      </c>
      <c r="G78" s="1">
        <f t="shared" ca="1" si="5"/>
        <v>0.31062638057244796</v>
      </c>
      <c r="H78" s="1">
        <f t="shared" ca="1" si="6"/>
        <v>0.48937361942755209</v>
      </c>
    </row>
    <row r="79" spans="1:8">
      <c r="A79" s="2">
        <f t="shared" ca="1" si="0"/>
        <v>0.96047631966909153</v>
      </c>
      <c r="B79" s="2">
        <f t="shared" ca="1" si="1"/>
        <v>0.11172718541268865</v>
      </c>
      <c r="C79" s="2">
        <f t="shared" ca="1" si="2"/>
        <v>0.11231131585216542</v>
      </c>
      <c r="D79" s="2">
        <f t="shared" ca="1" si="3"/>
        <v>0.3203202904462803</v>
      </c>
      <c r="E79" s="2">
        <f t="shared" ca="1" si="4"/>
        <v>0.6796797095537197</v>
      </c>
      <c r="F79" s="1">
        <v>0.2</v>
      </c>
      <c r="G79" s="1">
        <f t="shared" ca="1" si="5"/>
        <v>0.25625623235702427</v>
      </c>
      <c r="H79" s="1">
        <f t="shared" ca="1" si="6"/>
        <v>0.54374376764297583</v>
      </c>
    </row>
    <row r="80" spans="1:8">
      <c r="A80" s="2">
        <f t="shared" ca="1" si="0"/>
        <v>0.66619501704010953</v>
      </c>
      <c r="B80" s="2">
        <f t="shared" ca="1" si="1"/>
        <v>7.3596415567695347E-2</v>
      </c>
      <c r="C80" s="2">
        <f t="shared" ca="1" si="2"/>
        <v>5.4029565323211778E-2</v>
      </c>
      <c r="D80" s="2">
        <f t="shared" ca="1" si="3"/>
        <v>0.703752859715712</v>
      </c>
      <c r="E80" s="2">
        <f t="shared" ca="1" si="4"/>
        <v>0.296247140284288</v>
      </c>
      <c r="F80" s="1">
        <v>0.2</v>
      </c>
      <c r="G80" s="1">
        <f t="shared" ca="1" si="5"/>
        <v>0.56300228777256967</v>
      </c>
      <c r="H80" s="1">
        <f t="shared" ca="1" si="6"/>
        <v>0.23699771222743041</v>
      </c>
    </row>
    <row r="81" spans="1:8">
      <c r="A81" s="2">
        <f t="shared" ca="1" si="0"/>
        <v>0.26483145384020662</v>
      </c>
      <c r="B81" s="2">
        <f t="shared" ca="1" si="1"/>
        <v>7.3668774670699919E-2</v>
      </c>
      <c r="C81" s="2">
        <f t="shared" ca="1" si="2"/>
        <v>2.4509808698668048E-2</v>
      </c>
      <c r="D81" s="2">
        <f t="shared" ca="1" si="3"/>
        <v>0.89796178487718392</v>
      </c>
      <c r="E81" s="2">
        <f t="shared" ca="1" si="4"/>
        <v>0.10203821512281608</v>
      </c>
      <c r="F81" s="1">
        <v>0.2</v>
      </c>
      <c r="G81" s="1">
        <f t="shared" ca="1" si="5"/>
        <v>0.71836942790174718</v>
      </c>
      <c r="H81" s="1">
        <f t="shared" ca="1" si="6"/>
        <v>8.1630572098252863E-2</v>
      </c>
    </row>
    <row r="82" spans="1:8">
      <c r="A82" s="2">
        <f t="shared" ca="1" si="0"/>
        <v>0.96544298693042829</v>
      </c>
      <c r="B82" s="2">
        <f t="shared" ca="1" si="1"/>
        <v>0.11610368283842007</v>
      </c>
      <c r="C82" s="2">
        <f t="shared" ca="1" si="2"/>
        <v>0.11709148635314738</v>
      </c>
      <c r="D82" s="2">
        <f t="shared" ca="1" si="3"/>
        <v>0.288871800308241</v>
      </c>
      <c r="E82" s="2">
        <f t="shared" ca="1" si="4"/>
        <v>0.711128199691759</v>
      </c>
      <c r="F82" s="1">
        <v>0.2</v>
      </c>
      <c r="G82" s="1">
        <f t="shared" ca="1" si="5"/>
        <v>0.23109744024659282</v>
      </c>
      <c r="H82" s="1">
        <f t="shared" ca="1" si="6"/>
        <v>0.5689025597534072</v>
      </c>
    </row>
    <row r="83" spans="1:8">
      <c r="A83" s="2">
        <f t="shared" ca="1" si="0"/>
        <v>0.97231959066997209</v>
      </c>
      <c r="B83" s="2">
        <f t="shared" ca="1" si="1"/>
        <v>0.12580638903801136</v>
      </c>
      <c r="C83" s="2">
        <f t="shared" ca="1" si="2"/>
        <v>0.12732401669310647</v>
      </c>
      <c r="D83" s="2">
        <f t="shared" ca="1" si="3"/>
        <v>0.22155252175587858</v>
      </c>
      <c r="E83" s="2">
        <f t="shared" ca="1" si="4"/>
        <v>0.77844747824412142</v>
      </c>
      <c r="F83" s="1">
        <v>0.2</v>
      </c>
      <c r="G83" s="1">
        <f t="shared" ca="1" si="5"/>
        <v>0.17724201740470288</v>
      </c>
      <c r="H83" s="1">
        <f t="shared" ca="1" si="6"/>
        <v>0.62275798259529713</v>
      </c>
    </row>
    <row r="84" spans="1:8">
      <c r="A84" s="2">
        <f t="shared" ca="1" si="0"/>
        <v>0.96935187167602077</v>
      </c>
      <c r="B84" s="2">
        <f t="shared" ca="1" si="1"/>
        <v>0.12077623029937114</v>
      </c>
      <c r="C84" s="2">
        <f t="shared" ca="1" si="2"/>
        <v>0.12207466489466955</v>
      </c>
      <c r="D84" s="2">
        <f t="shared" ca="1" si="3"/>
        <v>0.25608773095612158</v>
      </c>
      <c r="E84" s="2">
        <f t="shared" ca="1" si="4"/>
        <v>0.74391226904387842</v>
      </c>
      <c r="F84" s="1">
        <v>0.2</v>
      </c>
      <c r="G84" s="1">
        <f t="shared" ca="1" si="5"/>
        <v>0.20487018476489727</v>
      </c>
      <c r="H84" s="1">
        <f t="shared" ca="1" si="6"/>
        <v>0.59512981523510278</v>
      </c>
    </row>
    <row r="85" spans="1:8">
      <c r="A85" s="2">
        <f t="shared" ca="1" si="0"/>
        <v>0.75946467441230558</v>
      </c>
      <c r="B85" s="2">
        <f t="shared" ca="1" si="1"/>
        <v>7.6942224785945937E-2</v>
      </c>
      <c r="C85" s="2">
        <f t="shared" ca="1" si="2"/>
        <v>6.3434901695616858E-2</v>
      </c>
      <c r="D85" s="2">
        <f t="shared" ca="1" si="3"/>
        <v>0.64187564673936282</v>
      </c>
      <c r="E85" s="2">
        <f t="shared" ca="1" si="4"/>
        <v>0.35812435326063718</v>
      </c>
      <c r="F85" s="1">
        <v>0.2</v>
      </c>
      <c r="G85" s="1">
        <f t="shared" ca="1" si="5"/>
        <v>0.51350051739149027</v>
      </c>
      <c r="H85" s="1">
        <f t="shared" ca="1" si="6"/>
        <v>0.28649948260850977</v>
      </c>
    </row>
    <row r="86" spans="1:8">
      <c r="A86" s="2">
        <f t="shared" ca="1" si="0"/>
        <v>0.97623786306185989</v>
      </c>
      <c r="B86" s="2">
        <f t="shared" ca="1" si="1"/>
        <v>0.14293277229969714</v>
      </c>
      <c r="C86" s="2">
        <f t="shared" ca="1" si="2"/>
        <v>0.14453638419136375</v>
      </c>
      <c r="D86" s="2">
        <f t="shared" ca="1" si="3"/>
        <v>0.10831326189892276</v>
      </c>
      <c r="E86" s="2">
        <f t="shared" ca="1" si="4"/>
        <v>0.89168673810107724</v>
      </c>
      <c r="F86" s="1">
        <v>0.2</v>
      </c>
      <c r="G86" s="1">
        <f t="shared" ca="1" si="5"/>
        <v>8.6650609519138222E-2</v>
      </c>
      <c r="H86" s="1">
        <f t="shared" ca="1" si="6"/>
        <v>0.71334939048086188</v>
      </c>
    </row>
    <row r="87" spans="1:8">
      <c r="A87" s="2">
        <f t="shared" ca="1" si="0"/>
        <v>0.39132321970867201</v>
      </c>
      <c r="B87" s="2">
        <f t="shared" ca="1" si="1"/>
        <v>7.1931427321137706E-2</v>
      </c>
      <c r="C87" s="2">
        <f t="shared" ca="1" si="2"/>
        <v>3.3148437737547942E-2</v>
      </c>
      <c r="D87" s="2">
        <f t="shared" ca="1" si="3"/>
        <v>0.84112869909507937</v>
      </c>
      <c r="E87" s="2">
        <f t="shared" ca="1" si="4"/>
        <v>0.15887130090492063</v>
      </c>
      <c r="F87" s="1">
        <v>0.2</v>
      </c>
      <c r="G87" s="1">
        <f t="shared" ca="1" si="5"/>
        <v>0.67290295927606358</v>
      </c>
      <c r="H87" s="1">
        <f t="shared" ca="1" si="6"/>
        <v>0.12709704072393652</v>
      </c>
    </row>
    <row r="88" spans="1:8">
      <c r="A88" s="2">
        <f t="shared" ca="1" si="0"/>
        <v>0.35241925837611754</v>
      </c>
      <c r="B88" s="2">
        <f t="shared" ca="1" si="1"/>
        <v>7.2319011627796317E-2</v>
      </c>
      <c r="C88" s="2">
        <f t="shared" ca="1" si="2"/>
        <v>3.0486612444361801E-2</v>
      </c>
      <c r="D88" s="2">
        <f t="shared" ca="1" si="3"/>
        <v>0.85864070760288291</v>
      </c>
      <c r="E88" s="2">
        <f t="shared" ca="1" si="4"/>
        <v>0.14135929239711709</v>
      </c>
      <c r="F88" s="1">
        <v>0.2</v>
      </c>
      <c r="G88" s="1">
        <f t="shared" ca="1" si="5"/>
        <v>0.68691256608230633</v>
      </c>
      <c r="H88" s="1">
        <f t="shared" ca="1" si="6"/>
        <v>0.11308743391769367</v>
      </c>
    </row>
    <row r="89" spans="1:8">
      <c r="A89" s="2">
        <f t="shared" ca="1" si="0"/>
        <v>7.4998884061675708E-2</v>
      </c>
      <c r="B89" s="2">
        <f t="shared" ca="1" si="1"/>
        <v>7.9012408703962894E-2</v>
      </c>
      <c r="C89" s="2">
        <f t="shared" ca="1" si="2"/>
        <v>1.0925842479822249E-2</v>
      </c>
      <c r="D89" s="2">
        <f t="shared" ca="1" si="3"/>
        <v>0.98732998368537994</v>
      </c>
      <c r="E89" s="2">
        <f t="shared" ca="1" si="4"/>
        <v>1.2670016314620058E-2</v>
      </c>
      <c r="F89" s="1">
        <v>0.2</v>
      </c>
      <c r="G89" s="1">
        <f t="shared" ca="1" si="5"/>
        <v>0.78986398694830395</v>
      </c>
      <c r="H89" s="1">
        <f t="shared" ca="1" si="6"/>
        <v>1.0136013051696048E-2</v>
      </c>
    </row>
    <row r="90" spans="1:8">
      <c r="A90" s="2">
        <f t="shared" ca="1" si="0"/>
        <v>0.97620963732782906</v>
      </c>
      <c r="B90" s="2">
        <f t="shared" ca="1" si="1"/>
        <v>0.14227260585304685</v>
      </c>
      <c r="C90" s="2">
        <f t="shared" ca="1" si="2"/>
        <v>0.14388788896148805</v>
      </c>
      <c r="D90" s="2">
        <f t="shared" ca="1" si="3"/>
        <v>0.11257967788494727</v>
      </c>
      <c r="E90" s="2">
        <f t="shared" ca="1" si="4"/>
        <v>0.88742032211505273</v>
      </c>
      <c r="F90" s="1">
        <v>0.2</v>
      </c>
      <c r="G90" s="1">
        <f t="shared" ca="1" si="5"/>
        <v>9.0063742307957828E-2</v>
      </c>
      <c r="H90" s="1">
        <f t="shared" ca="1" si="6"/>
        <v>0.70993625769204227</v>
      </c>
    </row>
    <row r="91" spans="1:8">
      <c r="A91" s="2">
        <f t="shared" ca="1" si="0"/>
        <v>0.89475528659009618</v>
      </c>
      <c r="B91" s="2">
        <f t="shared" ca="1" si="1"/>
        <v>8.9499085055794569E-2</v>
      </c>
      <c r="C91" s="2">
        <f t="shared" ca="1" si="2"/>
        <v>8.5079779498648866E-2</v>
      </c>
      <c r="D91" s="2">
        <f t="shared" ca="1" si="3"/>
        <v>0.4994751348773101</v>
      </c>
      <c r="E91" s="2">
        <f t="shared" ca="1" si="4"/>
        <v>0.5005248651226899</v>
      </c>
      <c r="F91" s="1">
        <v>0.2</v>
      </c>
      <c r="G91" s="1">
        <f t="shared" ca="1" si="5"/>
        <v>0.39958010790184811</v>
      </c>
      <c r="H91" s="1">
        <f t="shared" ca="1" si="6"/>
        <v>0.40041989209815193</v>
      </c>
    </row>
    <row r="92" spans="1:8">
      <c r="A92" s="2">
        <f t="shared" ca="1" si="0"/>
        <v>0.89293383673970661</v>
      </c>
      <c r="B92" s="2">
        <f t="shared" ca="1" si="1"/>
        <v>8.9189188821482399E-2</v>
      </c>
      <c r="C92" s="2">
        <f t="shared" ca="1" si="2"/>
        <v>8.4640044570068435E-2</v>
      </c>
      <c r="D92" s="2">
        <f t="shared" ca="1" si="3"/>
        <v>0.50236812782849727</v>
      </c>
      <c r="E92" s="2">
        <f t="shared" ca="1" si="4"/>
        <v>0.49763187217150273</v>
      </c>
      <c r="F92" s="1">
        <v>0.2</v>
      </c>
      <c r="G92" s="1">
        <f t="shared" ca="1" si="5"/>
        <v>0.40189450226279783</v>
      </c>
      <c r="H92" s="1">
        <f t="shared" ca="1" si="6"/>
        <v>0.39810549773720222</v>
      </c>
    </row>
    <row r="93" spans="1:8">
      <c r="A93" s="2">
        <f t="shared" ca="1" si="0"/>
        <v>0.94993534941020286</v>
      </c>
      <c r="B93" s="2">
        <f t="shared" ca="1" si="1"/>
        <v>0.10523055838207934</v>
      </c>
      <c r="C93" s="2">
        <f t="shared" ca="1" si="2"/>
        <v>0.10496222724531129</v>
      </c>
      <c r="D93" s="2">
        <f t="shared" ca="1" si="3"/>
        <v>0.36866955759663633</v>
      </c>
      <c r="E93" s="2">
        <f t="shared" ca="1" si="4"/>
        <v>0.63133044240336367</v>
      </c>
      <c r="F93" s="1">
        <v>0.2</v>
      </c>
      <c r="G93" s="1">
        <f t="shared" ca="1" si="5"/>
        <v>0.2949356460773091</v>
      </c>
      <c r="H93" s="1">
        <f t="shared" ca="1" si="6"/>
        <v>0.505064353922691</v>
      </c>
    </row>
    <row r="94" spans="1:8">
      <c r="A94" s="2">
        <f t="shared" ca="1" si="0"/>
        <v>0.72429692167863824</v>
      </c>
      <c r="B94" s="2">
        <f t="shared" ca="1" si="1"/>
        <v>7.5406016780080784E-2</v>
      </c>
      <c r="C94" s="2">
        <f t="shared" ca="1" si="2"/>
        <v>5.9616345829860251E-2</v>
      </c>
      <c r="D94" s="2">
        <f t="shared" ca="1" si="3"/>
        <v>0.66699772480355102</v>
      </c>
      <c r="E94" s="2">
        <f t="shared" ca="1" si="4"/>
        <v>0.33300227519644898</v>
      </c>
      <c r="F94" s="1">
        <v>0.2</v>
      </c>
      <c r="G94" s="1">
        <f t="shared" ca="1" si="5"/>
        <v>0.53359817984284086</v>
      </c>
      <c r="H94" s="1">
        <f t="shared" ca="1" si="6"/>
        <v>0.26640182015715919</v>
      </c>
    </row>
    <row r="95" spans="1:8">
      <c r="A95" s="2">
        <f t="shared" ca="1" si="0"/>
        <v>0.84063312273147306</v>
      </c>
      <c r="B95" s="2">
        <f t="shared" ca="1" si="1"/>
        <v>8.2569343543903856E-2</v>
      </c>
      <c r="C95" s="2">
        <f t="shared" ca="1" si="2"/>
        <v>7.4410525105199701E-2</v>
      </c>
      <c r="D95" s="2">
        <f t="shared" ca="1" si="3"/>
        <v>0.56966759799210731</v>
      </c>
      <c r="E95" s="2">
        <f t="shared" ca="1" si="4"/>
        <v>0.43033240200789269</v>
      </c>
      <c r="F95" s="1">
        <v>0.2</v>
      </c>
      <c r="G95" s="1">
        <f t="shared" ca="1" si="5"/>
        <v>0.45573407839368585</v>
      </c>
      <c r="H95" s="1">
        <f t="shared" ca="1" si="6"/>
        <v>0.3442659216063142</v>
      </c>
    </row>
    <row r="96" spans="1:8">
      <c r="A96" s="2">
        <f t="shared" ca="1" si="0"/>
        <v>0.93914071127107079</v>
      </c>
      <c r="B96" s="2">
        <f t="shared" ca="1" si="1"/>
        <v>0.10057078994758391</v>
      </c>
      <c r="C96" s="2">
        <f t="shared" ca="1" si="2"/>
        <v>9.9450123204467417E-2</v>
      </c>
      <c r="D96" s="2">
        <f t="shared" ca="1" si="3"/>
        <v>0.40493339997060918</v>
      </c>
      <c r="E96" s="2">
        <f t="shared" ca="1" si="4"/>
        <v>0.59506660002939082</v>
      </c>
      <c r="F96" s="1">
        <v>0.2</v>
      </c>
      <c r="G96" s="1">
        <f t="shared" ca="1" si="5"/>
        <v>0.32394671997648739</v>
      </c>
      <c r="H96" s="1">
        <f t="shared" ca="1" si="6"/>
        <v>0.47605328002351266</v>
      </c>
    </row>
    <row r="97" spans="1:8">
      <c r="A97" s="2">
        <f t="shared" ca="1" si="0"/>
        <v>0.37607278144039297</v>
      </c>
      <c r="B97" s="2">
        <f t="shared" ca="1" si="1"/>
        <v>7.2067705831331264E-2</v>
      </c>
      <c r="C97" s="2">
        <f t="shared" ca="1" si="2"/>
        <v>3.2102702584016776E-2</v>
      </c>
      <c r="D97" s="2">
        <f t="shared" ca="1" si="3"/>
        <v>0.84800853563146861</v>
      </c>
      <c r="E97" s="2">
        <f t="shared" ca="1" si="4"/>
        <v>0.15199146436853139</v>
      </c>
      <c r="F97" s="1">
        <v>0.2</v>
      </c>
      <c r="G97" s="1">
        <f t="shared" ca="1" si="5"/>
        <v>0.67840682850517497</v>
      </c>
      <c r="H97" s="1">
        <f t="shared" ca="1" si="6"/>
        <v>0.12159317149482513</v>
      </c>
    </row>
    <row r="98" spans="1:8">
      <c r="A98" s="2">
        <f t="shared" ca="1" si="0"/>
        <v>0.97209574665601572</v>
      </c>
      <c r="B98" s="2">
        <f t="shared" ca="1" si="1"/>
        <v>0.12535128967111778</v>
      </c>
      <c r="C98" s="2">
        <f t="shared" ca="1" si="2"/>
        <v>0.12685345552713975</v>
      </c>
      <c r="D98" s="2">
        <f t="shared" ca="1" si="3"/>
        <v>0.22464831890039638</v>
      </c>
      <c r="E98" s="2">
        <f t="shared" ca="1" si="4"/>
        <v>0.77535168109960362</v>
      </c>
      <c r="F98" s="1">
        <v>0.2</v>
      </c>
      <c r="G98" s="1">
        <f t="shared" ca="1" si="5"/>
        <v>0.17971865512031712</v>
      </c>
      <c r="H98" s="1">
        <f t="shared" ca="1" si="6"/>
        <v>0.62028134487968289</v>
      </c>
    </row>
    <row r="99" spans="1:8">
      <c r="A99" s="2">
        <f t="shared" ca="1" si="0"/>
        <v>0.96958375098276406</v>
      </c>
      <c r="B99" s="2">
        <f t="shared" ca="1" si="1"/>
        <v>0.12110813681141055</v>
      </c>
      <c r="C99" s="2">
        <f t="shared" ca="1" si="2"/>
        <v>0.12242448156414122</v>
      </c>
      <c r="D99" s="2">
        <f t="shared" ca="1" si="3"/>
        <v>0.253786305499071</v>
      </c>
      <c r="E99" s="2">
        <f t="shared" ca="1" si="4"/>
        <v>0.746213694500929</v>
      </c>
      <c r="F99" s="1">
        <v>0.2</v>
      </c>
      <c r="G99" s="1">
        <f t="shared" ca="1" si="5"/>
        <v>0.20302904439925681</v>
      </c>
      <c r="H99" s="1">
        <f t="shared" ca="1" si="6"/>
        <v>0.5969709556007432</v>
      </c>
    </row>
    <row r="100" spans="1:8">
      <c r="A100" s="2">
        <f t="shared" ca="1" si="0"/>
        <v>0.18796383782304363</v>
      </c>
      <c r="B100" s="2">
        <f t="shared" ca="1" si="1"/>
        <v>7.5409505798486154E-2</v>
      </c>
      <c r="C100" s="2">
        <f t="shared" ca="1" si="2"/>
        <v>1.9174260118222521E-2</v>
      </c>
      <c r="D100" s="2">
        <f t="shared" ca="1" si="3"/>
        <v>0.9330640781695887</v>
      </c>
      <c r="E100" s="2">
        <f t="shared" ca="1" si="4"/>
        <v>6.6935921830411305E-2</v>
      </c>
      <c r="F100" s="1">
        <v>0.2</v>
      </c>
      <c r="G100" s="1">
        <f t="shared" ca="1" si="5"/>
        <v>0.74645126253567096</v>
      </c>
      <c r="H100" s="1">
        <f t="shared" ca="1" si="6"/>
        <v>5.3548737464329046E-2</v>
      </c>
    </row>
    <row r="101" spans="1:8">
      <c r="A101" s="2">
        <f t="shared" ca="1" si="0"/>
        <v>0.77604621979842636</v>
      </c>
      <c r="B101" s="2">
        <f t="shared" ca="1" si="1"/>
        <v>7.7817530296288781E-2</v>
      </c>
      <c r="C101" s="2">
        <f t="shared" ca="1" si="2"/>
        <v>6.5390000220484426E-2</v>
      </c>
      <c r="D101" s="2">
        <f t="shared" ca="1" si="3"/>
        <v>0.62901315644418143</v>
      </c>
      <c r="E101" s="2">
        <f t="shared" ca="1" si="4"/>
        <v>0.37098684355581857</v>
      </c>
      <c r="F101" s="1">
        <v>0.2</v>
      </c>
      <c r="G101" s="1">
        <f t="shared" ca="1" si="5"/>
        <v>0.50321052515534515</v>
      </c>
      <c r="H101" s="1">
        <f t="shared" ca="1" si="6"/>
        <v>0.29678947484465484</v>
      </c>
    </row>
    <row r="102" spans="1:8">
      <c r="A102" s="2">
        <f t="shared" ca="1" si="0"/>
        <v>0.90975697219747043</v>
      </c>
      <c r="B102" s="2">
        <f t="shared" ca="1" si="1"/>
        <v>9.2368568040727461E-2</v>
      </c>
      <c r="C102" s="2">
        <f t="shared" ca="1" si="2"/>
        <v>8.9032948786948257E-2</v>
      </c>
      <c r="D102" s="2">
        <f t="shared" ca="1" si="3"/>
        <v>0.47346744219112991</v>
      </c>
      <c r="E102" s="2">
        <f t="shared" ca="1" si="4"/>
        <v>0.52653255780887009</v>
      </c>
      <c r="F102" s="1">
        <v>0.2</v>
      </c>
      <c r="G102" s="1">
        <f t="shared" ca="1" si="5"/>
        <v>0.37877395375290396</v>
      </c>
      <c r="H102" s="1">
        <f t="shared" ca="1" si="6"/>
        <v>0.42122604624709609</v>
      </c>
    </row>
    <row r="103" spans="1:8">
      <c r="A103" s="2">
        <f t="shared" ca="1" si="0"/>
        <v>0.82541873071274596</v>
      </c>
      <c r="B103" s="2">
        <f t="shared" ca="1" si="1"/>
        <v>8.120791462170418E-2</v>
      </c>
      <c r="C103" s="2">
        <f t="shared" ca="1" si="2"/>
        <v>7.203053381087611E-2</v>
      </c>
      <c r="D103" s="2">
        <f t="shared" ca="1" si="3"/>
        <v>0.58532543545476245</v>
      </c>
      <c r="E103" s="2">
        <f t="shared" ca="1" si="4"/>
        <v>0.41467456454523755</v>
      </c>
      <c r="F103" s="1">
        <v>0.2</v>
      </c>
      <c r="G103" s="1">
        <f t="shared" ca="1" si="5"/>
        <v>0.46826034836380998</v>
      </c>
      <c r="H103" s="1">
        <f t="shared" ca="1" si="6"/>
        <v>0.33173965163619007</v>
      </c>
    </row>
    <row r="104" spans="1:8">
      <c r="A104" s="2">
        <f t="shared" ca="1" si="0"/>
        <v>0.61596868461246868</v>
      </c>
      <c r="B104" s="2">
        <f t="shared" ca="1" si="1"/>
        <v>7.2574376861405387E-2</v>
      </c>
      <c r="C104" s="2">
        <f t="shared" ca="1" si="2"/>
        <v>4.9703543451889459E-2</v>
      </c>
      <c r="D104" s="2">
        <f t="shared" ca="1" si="3"/>
        <v>0.7322135299217799</v>
      </c>
      <c r="E104" s="2">
        <f t="shared" ca="1" si="4"/>
        <v>0.2677864700782201</v>
      </c>
      <c r="F104" s="1">
        <v>0.2</v>
      </c>
      <c r="G104" s="1">
        <f t="shared" ca="1" si="5"/>
        <v>0.58577082393742397</v>
      </c>
      <c r="H104" s="1">
        <f t="shared" ca="1" si="6"/>
        <v>0.21422917606257608</v>
      </c>
    </row>
    <row r="105" spans="1:8">
      <c r="A105" s="2">
        <f t="shared" ca="1" si="0"/>
        <v>0.97405370554907644</v>
      </c>
      <c r="B105" s="2">
        <f t="shared" ca="1" si="1"/>
        <v>0.13008167856640243</v>
      </c>
      <c r="C105" s="2">
        <f t="shared" ca="1" si="2"/>
        <v>0.13170654103164817</v>
      </c>
      <c r="D105" s="2">
        <f t="shared" ca="1" si="3"/>
        <v>0.19272012479178846</v>
      </c>
      <c r="E105" s="2">
        <f t="shared" ca="1" si="4"/>
        <v>0.80727987520821154</v>
      </c>
      <c r="F105" s="1">
        <v>0.2</v>
      </c>
      <c r="G105" s="1">
        <f t="shared" ca="1" si="5"/>
        <v>0.15417609983343078</v>
      </c>
      <c r="H105" s="1">
        <f t="shared" ca="1" si="6"/>
        <v>0.64582390016656932</v>
      </c>
    </row>
    <row r="106" spans="1:8">
      <c r="A106" s="2">
        <f t="shared" ca="1" si="0"/>
        <v>0.9708833984425207</v>
      </c>
      <c r="B106" s="2">
        <f t="shared" ca="1" si="1"/>
        <v>0.12313397926272728</v>
      </c>
      <c r="C106" s="2">
        <f t="shared" ca="1" si="2"/>
        <v>0.12454873625034753</v>
      </c>
      <c r="D106" s="2">
        <f t="shared" ca="1" si="3"/>
        <v>0.23981094572139783</v>
      </c>
      <c r="E106" s="2">
        <f t="shared" ca="1" si="4"/>
        <v>0.76018905427860217</v>
      </c>
      <c r="F106" s="1">
        <v>0.2</v>
      </c>
      <c r="G106" s="1">
        <f t="shared" ca="1" si="5"/>
        <v>0.19184875657711828</v>
      </c>
      <c r="H106" s="1">
        <f t="shared" ca="1" si="6"/>
        <v>0.60815124342288174</v>
      </c>
    </row>
    <row r="107" spans="1:8">
      <c r="A107" s="2">
        <f t="shared" ca="1" si="0"/>
        <v>0.70459831699544606</v>
      </c>
      <c r="B107" s="2">
        <f t="shared" ca="1" si="1"/>
        <v>7.4703350659218765E-2</v>
      </c>
      <c r="C107" s="2">
        <f t="shared" ca="1" si="2"/>
        <v>5.7635855148406183E-2</v>
      </c>
      <c r="D107" s="2">
        <f t="shared" ca="1" si="3"/>
        <v>0.68002726876048569</v>
      </c>
      <c r="E107" s="2">
        <f t="shared" ca="1" si="4"/>
        <v>0.31997273123951431</v>
      </c>
      <c r="F107" s="1">
        <v>0.2</v>
      </c>
      <c r="G107" s="1">
        <f t="shared" ca="1" si="5"/>
        <v>0.54402181500838853</v>
      </c>
      <c r="H107" s="1">
        <f t="shared" ca="1" si="6"/>
        <v>0.25597818499161146</v>
      </c>
    </row>
    <row r="108" spans="1:8">
      <c r="A108" s="2">
        <f t="shared" ca="1" si="0"/>
        <v>0.56311270049221518</v>
      </c>
      <c r="B108" s="2">
        <f t="shared" ca="1" si="1"/>
        <v>7.1912817311341096E-2</v>
      </c>
      <c r="C108" s="2">
        <f t="shared" ca="1" si="2"/>
        <v>4.5495020756192606E-2</v>
      </c>
      <c r="D108" s="2">
        <f t="shared" ca="1" si="3"/>
        <v>0.75990117923557499</v>
      </c>
      <c r="E108" s="2">
        <f t="shared" ca="1" si="4"/>
        <v>0.24009882076442501</v>
      </c>
      <c r="F108" s="1">
        <v>0.2</v>
      </c>
      <c r="G108" s="1">
        <f t="shared" ca="1" si="5"/>
        <v>0.60792094338846003</v>
      </c>
      <c r="H108" s="1">
        <f t="shared" ca="1" si="6"/>
        <v>0.19207905661154001</v>
      </c>
    </row>
    <row r="109" spans="1:8">
      <c r="A109" s="2">
        <f t="shared" ca="1" si="0"/>
        <v>0.21958727171636538</v>
      </c>
      <c r="B109" s="2">
        <f t="shared" ca="1" si="1"/>
        <v>7.4628284642514281E-2</v>
      </c>
      <c r="C109" s="2">
        <f t="shared" ca="1" si="2"/>
        <v>2.1387421417522041E-2</v>
      </c>
      <c r="D109" s="2">
        <f t="shared" ca="1" si="3"/>
        <v>0.9185038064636708</v>
      </c>
      <c r="E109" s="2">
        <f t="shared" ca="1" si="4"/>
        <v>8.1496193536329198E-2</v>
      </c>
      <c r="F109" s="1">
        <v>0.2</v>
      </c>
      <c r="G109" s="1">
        <f t="shared" ca="1" si="5"/>
        <v>0.73480304517093664</v>
      </c>
      <c r="H109" s="1">
        <f t="shared" ca="1" si="6"/>
        <v>6.5196954829063361E-2</v>
      </c>
    </row>
    <row r="110" spans="1:8">
      <c r="A110" s="2">
        <f t="shared" ca="1" si="0"/>
        <v>0.96457697812047327</v>
      </c>
      <c r="B110" s="2">
        <f t="shared" ca="1" si="1"/>
        <v>0.11524336622051901</v>
      </c>
      <c r="C110" s="2">
        <f t="shared" ca="1" si="2"/>
        <v>0.11616109793741926</v>
      </c>
      <c r="D110" s="2">
        <f t="shared" ca="1" si="3"/>
        <v>0.29499277672750501</v>
      </c>
      <c r="E110" s="2">
        <f t="shared" ca="1" si="4"/>
        <v>0.70500722327249499</v>
      </c>
      <c r="F110" s="1">
        <v>0.2</v>
      </c>
      <c r="G110" s="1">
        <f t="shared" ca="1" si="5"/>
        <v>0.23599422138200402</v>
      </c>
      <c r="H110" s="1">
        <f t="shared" ca="1" si="6"/>
        <v>0.56400577861799606</v>
      </c>
    </row>
    <row r="111" spans="1:8">
      <c r="A111" s="2">
        <f t="shared" ca="1" si="0"/>
        <v>0.88102894596553949</v>
      </c>
      <c r="B111" s="2">
        <f t="shared" ca="1" si="1"/>
        <v>8.7329211519467986E-2</v>
      </c>
      <c r="C111" s="2">
        <f t="shared" ca="1" si="2"/>
        <v>8.1939563176998534E-2</v>
      </c>
      <c r="D111" s="2">
        <f t="shared" ca="1" si="3"/>
        <v>0.52013445278290449</v>
      </c>
      <c r="E111" s="2">
        <f t="shared" ca="1" si="4"/>
        <v>0.47986554721709551</v>
      </c>
      <c r="F111" s="1">
        <v>0.2</v>
      </c>
      <c r="G111" s="1">
        <f t="shared" ca="1" si="5"/>
        <v>0.41610756222632361</v>
      </c>
      <c r="H111" s="1">
        <f t="shared" ca="1" si="6"/>
        <v>0.38389243777367643</v>
      </c>
    </row>
    <row r="112" spans="1:8">
      <c r="A112" s="2">
        <f t="shared" ca="1" si="0"/>
        <v>0.4745329670758478</v>
      </c>
      <c r="B112" s="2">
        <f t="shared" ca="1" si="1"/>
        <v>7.1556085583702009E-2</v>
      </c>
      <c r="C112" s="2">
        <f t="shared" ca="1" si="2"/>
        <v>3.8955721604367409E-2</v>
      </c>
      <c r="D112" s="2">
        <f t="shared" ca="1" si="3"/>
        <v>0.80292288418179336</v>
      </c>
      <c r="E112" s="2">
        <f t="shared" ca="1" si="4"/>
        <v>0.19707711581820664</v>
      </c>
      <c r="F112" s="1">
        <v>0.2</v>
      </c>
      <c r="G112" s="1">
        <f t="shared" ca="1" si="5"/>
        <v>0.64233830734543473</v>
      </c>
      <c r="H112" s="1">
        <f t="shared" ca="1" si="6"/>
        <v>0.15766169265456531</v>
      </c>
    </row>
    <row r="113" spans="1:8">
      <c r="A113" s="2">
        <f t="shared" ca="1" si="0"/>
        <v>5.538798076913852E-2</v>
      </c>
      <c r="B113" s="2">
        <f t="shared" ca="1" si="1"/>
        <v>7.978074773259454E-2</v>
      </c>
      <c r="C113" s="2">
        <f t="shared" ca="1" si="2"/>
        <v>9.4188945211604383E-3</v>
      </c>
      <c r="D113" s="2">
        <f t="shared" ca="1" si="3"/>
        <v>0.99724411499236554</v>
      </c>
      <c r="E113" s="2">
        <f t="shared" ca="1" si="4"/>
        <v>2.7558850076344621E-3</v>
      </c>
      <c r="F113" s="1">
        <v>0.2</v>
      </c>
      <c r="G113" s="1">
        <f t="shared" ca="1" si="5"/>
        <v>0.79779529199389243</v>
      </c>
      <c r="H113" s="1">
        <f t="shared" ca="1" si="6"/>
        <v>2.2047080061075698E-3</v>
      </c>
    </row>
    <row r="114" spans="1:8">
      <c r="A114" s="2">
        <f t="shared" ca="1" si="0"/>
        <v>0.9538309250314293</v>
      </c>
      <c r="B114" s="2">
        <f t="shared" ca="1" si="1"/>
        <v>0.10732810086019831</v>
      </c>
      <c r="C114" s="2">
        <f t="shared" ca="1" si="2"/>
        <v>0.1073728617253495</v>
      </c>
      <c r="D114" s="2">
        <f t="shared" ca="1" si="3"/>
        <v>0.35281012022796387</v>
      </c>
      <c r="E114" s="2">
        <f t="shared" ca="1" si="4"/>
        <v>0.64718987977203613</v>
      </c>
      <c r="F114" s="1">
        <v>0.2</v>
      </c>
      <c r="G114" s="1">
        <f t="shared" ca="1" si="5"/>
        <v>0.28224809618237112</v>
      </c>
      <c r="H114" s="1">
        <f t="shared" ca="1" si="6"/>
        <v>0.51775190381762892</v>
      </c>
    </row>
    <row r="115" spans="1:8">
      <c r="A115" s="2">
        <f t="shared" ca="1" si="0"/>
        <v>6.0751259618880157E-2</v>
      </c>
      <c r="B115" s="2">
        <f t="shared" ca="1" si="1"/>
        <v>7.9566031475592172E-2</v>
      </c>
      <c r="C115" s="2">
        <f t="shared" ca="1" si="2"/>
        <v>9.8337366350176904E-3</v>
      </c>
      <c r="D115" s="2">
        <f t="shared" ca="1" si="3"/>
        <v>0.99451489055909414</v>
      </c>
      <c r="E115" s="2">
        <f t="shared" ca="1" si="4"/>
        <v>5.4851094409058554E-3</v>
      </c>
      <c r="F115" s="1">
        <v>0.2</v>
      </c>
      <c r="G115" s="1">
        <f t="shared" ca="1" si="5"/>
        <v>0.79561191244727536</v>
      </c>
      <c r="H115" s="1">
        <f t="shared" ca="1" si="6"/>
        <v>4.3880875527246843E-3</v>
      </c>
    </row>
    <row r="116" spans="1:8">
      <c r="A116" s="2">
        <f t="shared" ca="1" si="0"/>
        <v>0.91143019119838509</v>
      </c>
      <c r="B116" s="2">
        <f t="shared" ca="1" si="1"/>
        <v>9.2729389833867956E-2</v>
      </c>
      <c r="C116" s="2">
        <f t="shared" ca="1" si="2"/>
        <v>8.951636550599186E-2</v>
      </c>
      <c r="D116" s="2">
        <f t="shared" ca="1" si="3"/>
        <v>0.47028706903952733</v>
      </c>
      <c r="E116" s="2">
        <f t="shared" ca="1" si="4"/>
        <v>0.52971293096047267</v>
      </c>
      <c r="F116" s="1">
        <v>0.2</v>
      </c>
      <c r="G116" s="1">
        <f t="shared" ca="1" si="5"/>
        <v>0.37622965523162188</v>
      </c>
      <c r="H116" s="1">
        <f t="shared" ca="1" si="6"/>
        <v>0.42377034476837816</v>
      </c>
    </row>
    <row r="117" spans="1:8">
      <c r="A117" s="2">
        <f t="shared" ca="1" si="0"/>
        <v>0.86415609456433828</v>
      </c>
      <c r="B117" s="2">
        <f t="shared" ca="1" si="1"/>
        <v>8.5096806887505441E-2</v>
      </c>
      <c r="C117" s="2">
        <f t="shared" ca="1" si="2"/>
        <v>7.8536924299802385E-2</v>
      </c>
      <c r="D117" s="2">
        <f t="shared" ca="1" si="3"/>
        <v>0.54252023486972123</v>
      </c>
      <c r="E117" s="2">
        <f t="shared" ca="1" si="4"/>
        <v>0.45747976513027877</v>
      </c>
      <c r="F117" s="1">
        <v>0.2</v>
      </c>
      <c r="G117" s="1">
        <f t="shared" ca="1" si="5"/>
        <v>0.43401618789577701</v>
      </c>
      <c r="H117" s="1">
        <f t="shared" ca="1" si="6"/>
        <v>0.36598381210422304</v>
      </c>
    </row>
    <row r="118" spans="1:8">
      <c r="A118" s="2">
        <f t="shared" ca="1" si="0"/>
        <v>0.82197460138504908</v>
      </c>
      <c r="B118" s="2">
        <f t="shared" ca="1" si="1"/>
        <v>8.0924236401877389E-2</v>
      </c>
      <c r="C118" s="2">
        <f t="shared" ca="1" si="2"/>
        <v>7.1517666958822654E-2</v>
      </c>
      <c r="D118" s="2">
        <f t="shared" ca="1" si="3"/>
        <v>0.58869955948142993</v>
      </c>
      <c r="E118" s="2">
        <f t="shared" ca="1" si="4"/>
        <v>0.41130044051857007</v>
      </c>
      <c r="F118" s="1">
        <v>0.2</v>
      </c>
      <c r="G118" s="1">
        <f t="shared" ca="1" si="5"/>
        <v>0.47095964758514397</v>
      </c>
      <c r="H118" s="1">
        <f t="shared" ca="1" si="6"/>
        <v>0.32904035241485607</v>
      </c>
    </row>
    <row r="119" spans="1:8">
      <c r="A119" s="2">
        <f t="shared" ca="1" si="0"/>
        <v>8.4821760720235409E-2</v>
      </c>
      <c r="B119" s="2">
        <f t="shared" ca="1" si="1"/>
        <v>7.8644595101149531E-2</v>
      </c>
      <c r="C119" s="2">
        <f t="shared" ca="1" si="2"/>
        <v>1.1670773027609504E-2</v>
      </c>
      <c r="D119" s="2">
        <f t="shared" ca="1" si="3"/>
        <v>0.98242912481835853</v>
      </c>
      <c r="E119" s="2">
        <f t="shared" ca="1" si="4"/>
        <v>1.7570875181641465E-2</v>
      </c>
      <c r="F119" s="1">
        <v>0.2</v>
      </c>
      <c r="G119" s="1">
        <f t="shared" ca="1" si="5"/>
        <v>0.78594329985468692</v>
      </c>
      <c r="H119" s="1">
        <f t="shared" ca="1" si="6"/>
        <v>1.4056700145313173E-2</v>
      </c>
    </row>
    <row r="120" spans="1:8">
      <c r="A120" s="2">
        <f t="shared" ca="1" si="0"/>
        <v>0.76662319816509017</v>
      </c>
      <c r="B120" s="2">
        <f t="shared" ca="1" si="1"/>
        <v>7.7306787075925851E-2</v>
      </c>
      <c r="C120" s="2">
        <f t="shared" ca="1" si="2"/>
        <v>6.426517634801393E-2</v>
      </c>
      <c r="D120" s="2">
        <f t="shared" ca="1" si="3"/>
        <v>0.63641331349990837</v>
      </c>
      <c r="E120" s="2">
        <f t="shared" ca="1" si="4"/>
        <v>0.36358668650009163</v>
      </c>
      <c r="F120" s="1">
        <v>0.2</v>
      </c>
      <c r="G120" s="1">
        <f t="shared" ca="1" si="5"/>
        <v>0.5091306507999267</v>
      </c>
      <c r="H120" s="1">
        <f t="shared" ca="1" si="6"/>
        <v>0.29086934920007329</v>
      </c>
    </row>
    <row r="121" spans="1:8">
      <c r="A121" s="2">
        <f t="shared" ca="1" si="0"/>
        <v>0.87301295195843398</v>
      </c>
      <c r="B121" s="2">
        <f t="shared" ca="1" si="1"/>
        <v>8.6216719240634496E-2</v>
      </c>
      <c r="C121" s="2">
        <f t="shared" ca="1" si="2"/>
        <v>8.0268312572437842E-2</v>
      </c>
      <c r="D121" s="2">
        <f t="shared" ca="1" si="3"/>
        <v>0.5311295225497511</v>
      </c>
      <c r="E121" s="2">
        <f t="shared" ca="1" si="4"/>
        <v>0.4688704774502489</v>
      </c>
      <c r="F121" s="1">
        <v>0.2</v>
      </c>
      <c r="G121" s="1">
        <f t="shared" ca="1" si="5"/>
        <v>0.42490361803980092</v>
      </c>
      <c r="H121" s="1">
        <f t="shared" ca="1" si="6"/>
        <v>0.37509638196019912</v>
      </c>
    </row>
    <row r="122" spans="1:8">
      <c r="A122" s="2">
        <f t="shared" ca="1" si="0"/>
        <v>0.94821293985429922</v>
      </c>
      <c r="B122" s="2">
        <f t="shared" ca="1" si="1"/>
        <v>0.10438631951466601</v>
      </c>
      <c r="C122" s="2">
        <f t="shared" ca="1" si="2"/>
        <v>0.10398045890757167</v>
      </c>
      <c r="D122" s="2">
        <f t="shared" ca="1" si="3"/>
        <v>0.37512855981860749</v>
      </c>
      <c r="E122" s="2">
        <f t="shared" ca="1" si="4"/>
        <v>0.62487144018139251</v>
      </c>
      <c r="F122" s="1">
        <v>0.2</v>
      </c>
      <c r="G122" s="1">
        <f t="shared" ca="1" si="5"/>
        <v>0.300102847854886</v>
      </c>
      <c r="H122" s="1">
        <f t="shared" ca="1" si="6"/>
        <v>0.49989715214511404</v>
      </c>
    </row>
    <row r="123" spans="1:8">
      <c r="A123" s="2">
        <f t="shared" ca="1" si="0"/>
        <v>0.20604908053368681</v>
      </c>
      <c r="B123" s="2">
        <f t="shared" ca="1" si="1"/>
        <v>7.4951350305755352E-2</v>
      </c>
      <c r="C123" s="2">
        <f t="shared" ca="1" si="2"/>
        <v>2.0443656815259156E-2</v>
      </c>
      <c r="D123" s="2">
        <f t="shared" ca="1" si="3"/>
        <v>0.92471278411013713</v>
      </c>
      <c r="E123" s="2">
        <f t="shared" ca="1" si="4"/>
        <v>7.5287215889862869E-2</v>
      </c>
      <c r="F123" s="1">
        <v>0.2</v>
      </c>
      <c r="G123" s="1">
        <f t="shared" ca="1" si="5"/>
        <v>0.73977022728810971</v>
      </c>
      <c r="H123" s="1">
        <f t="shared" ca="1" si="6"/>
        <v>6.0229772711890298E-2</v>
      </c>
    </row>
    <row r="124" spans="1:8">
      <c r="A124" s="2">
        <f t="shared" ca="1" si="0"/>
        <v>0.37659694761658374</v>
      </c>
      <c r="B124" s="2">
        <f t="shared" ca="1" si="1"/>
        <v>7.206268540739949E-2</v>
      </c>
      <c r="C124" s="2">
        <f t="shared" ca="1" si="2"/>
        <v>3.2138587361480779E-2</v>
      </c>
      <c r="D124" s="2">
        <f t="shared" ca="1" si="3"/>
        <v>0.84777245156920544</v>
      </c>
      <c r="E124" s="2">
        <f t="shared" ca="1" si="4"/>
        <v>0.15222754843079456</v>
      </c>
      <c r="F124" s="1">
        <v>0.2</v>
      </c>
      <c r="G124" s="1">
        <f t="shared" ca="1" si="5"/>
        <v>0.67821796125536438</v>
      </c>
      <c r="H124" s="1">
        <f t="shared" ca="1" si="6"/>
        <v>0.12178203874463565</v>
      </c>
    </row>
    <row r="125" spans="1:8">
      <c r="A125" s="2">
        <f t="shared" ca="1" si="0"/>
        <v>0.6291194408056302</v>
      </c>
      <c r="B125" s="2">
        <f t="shared" ca="1" si="1"/>
        <v>7.280124623119956E-2</v>
      </c>
      <c r="C125" s="2">
        <f t="shared" ca="1" si="2"/>
        <v>5.0800679318925256E-2</v>
      </c>
      <c r="D125" s="2">
        <f t="shared" ca="1" si="3"/>
        <v>0.72499553079654444</v>
      </c>
      <c r="E125" s="2">
        <f t="shared" ca="1" si="4"/>
        <v>0.27500446920345556</v>
      </c>
      <c r="F125" s="1">
        <v>0.2</v>
      </c>
      <c r="G125" s="1">
        <f t="shared" ca="1" si="5"/>
        <v>0.57999642463723555</v>
      </c>
      <c r="H125" s="1">
        <f t="shared" ca="1" si="6"/>
        <v>0.22000357536276446</v>
      </c>
    </row>
    <row r="126" spans="1:8">
      <c r="A126" s="2">
        <f t="shared" ca="1" si="0"/>
        <v>0.61150324313378301</v>
      </c>
      <c r="B126" s="2">
        <f t="shared" ca="1" si="1"/>
        <v>7.2503366698731739E-2</v>
      </c>
      <c r="C126" s="2">
        <f t="shared" ca="1" si="2"/>
        <v>4.9336043874392381E-2</v>
      </c>
      <c r="D126" s="2">
        <f t="shared" ca="1" si="3"/>
        <v>0.73463129030005014</v>
      </c>
      <c r="E126" s="2">
        <f t="shared" ca="1" si="4"/>
        <v>0.26536870969994986</v>
      </c>
      <c r="F126" s="1">
        <v>0.2</v>
      </c>
      <c r="G126" s="1">
        <f t="shared" ca="1" si="5"/>
        <v>0.58770503224004011</v>
      </c>
      <c r="H126" s="1">
        <f t="shared" ca="1" si="6"/>
        <v>0.2122949677599599</v>
      </c>
    </row>
    <row r="127" spans="1:8">
      <c r="A127" s="2">
        <f t="shared" ca="1" si="0"/>
        <v>0.79813363129009618</v>
      </c>
      <c r="B127" s="2">
        <f t="shared" ca="1" si="1"/>
        <v>7.9169809162145624E-2</v>
      </c>
      <c r="C127" s="2">
        <f t="shared" ca="1" si="2"/>
        <v>6.8188087275127221E-2</v>
      </c>
      <c r="D127" s="2">
        <f t="shared" ca="1" si="3"/>
        <v>0.61060468897942621</v>
      </c>
      <c r="E127" s="2">
        <f t="shared" ca="1" si="4"/>
        <v>0.38939531102057379</v>
      </c>
      <c r="F127" s="1">
        <v>0.2</v>
      </c>
      <c r="G127" s="1">
        <f t="shared" ca="1" si="5"/>
        <v>0.48848375118354098</v>
      </c>
      <c r="H127" s="1">
        <f t="shared" ca="1" si="6"/>
        <v>0.31151624881645906</v>
      </c>
    </row>
    <row r="128" spans="1:8">
      <c r="A128" s="2">
        <f t="shared" ca="1" si="0"/>
        <v>0.94392212433451239</v>
      </c>
      <c r="B128" s="2">
        <f t="shared" ca="1" si="1"/>
        <v>0.10246375598093434</v>
      </c>
      <c r="C128" s="2">
        <f t="shared" ca="1" si="2"/>
        <v>0.10171780621281665</v>
      </c>
      <c r="D128" s="2">
        <f t="shared" ca="1" si="3"/>
        <v>0.39001443281041681</v>
      </c>
      <c r="E128" s="2">
        <f t="shared" ca="1" si="4"/>
        <v>0.60998556718958319</v>
      </c>
      <c r="F128" s="1">
        <v>0.2</v>
      </c>
      <c r="G128" s="1">
        <f t="shared" ca="1" si="5"/>
        <v>0.31201154624833349</v>
      </c>
      <c r="H128" s="1">
        <f t="shared" ca="1" si="6"/>
        <v>0.48798845375166655</v>
      </c>
    </row>
    <row r="129" spans="1:8">
      <c r="A129" s="2">
        <f t="shared" ca="1" si="0"/>
        <v>0.46261800845875362</v>
      </c>
      <c r="B129" s="2">
        <f t="shared" ca="1" si="1"/>
        <v>7.1570286485691956E-2</v>
      </c>
      <c r="C129" s="2">
        <f t="shared" ca="1" si="2"/>
        <v>3.810970339883326E-2</v>
      </c>
      <c r="D129" s="2">
        <f t="shared" ca="1" si="3"/>
        <v>0.80848879342872859</v>
      </c>
      <c r="E129" s="2">
        <f t="shared" ca="1" si="4"/>
        <v>0.19151120657127141</v>
      </c>
      <c r="F129" s="1">
        <v>0.2</v>
      </c>
      <c r="G129" s="1">
        <f t="shared" ca="1" si="5"/>
        <v>0.64679103474298294</v>
      </c>
      <c r="H129" s="1">
        <f t="shared" ca="1" si="6"/>
        <v>0.15320896525701713</v>
      </c>
    </row>
    <row r="130" spans="1:8">
      <c r="A130" s="2">
        <f t="shared" ca="1" si="0"/>
        <v>0.74286129198318784</v>
      </c>
      <c r="B130" s="2">
        <f t="shared" ca="1" si="1"/>
        <v>7.616752277754274E-2</v>
      </c>
      <c r="C130" s="2">
        <f t="shared" ca="1" si="2"/>
        <v>6.1581904377684286E-2</v>
      </c>
      <c r="D130" s="2">
        <f t="shared" ca="1" si="3"/>
        <v>0.65406641856786663</v>
      </c>
      <c r="E130" s="2">
        <f t="shared" ca="1" si="4"/>
        <v>0.34593358143213337</v>
      </c>
      <c r="F130" s="1">
        <v>0.2</v>
      </c>
      <c r="G130" s="1">
        <f t="shared" ca="1" si="5"/>
        <v>0.52325313485429337</v>
      </c>
      <c r="H130" s="1">
        <f t="shared" ca="1" si="6"/>
        <v>0.27674686514570673</v>
      </c>
    </row>
    <row r="131" spans="1:8">
      <c r="A131" s="2">
        <f t="shared" ca="1" si="0"/>
        <v>0.97271372081720109</v>
      </c>
      <c r="B131" s="2">
        <f t="shared" ca="1" si="1"/>
        <v>0.12665079090744077</v>
      </c>
      <c r="C131" s="2">
        <f t="shared" ca="1" si="2"/>
        <v>0.12819496206801806</v>
      </c>
      <c r="D131" s="2">
        <f t="shared" ca="1" si="3"/>
        <v>0.2158226179735655</v>
      </c>
      <c r="E131" s="2">
        <f t="shared" ca="1" si="4"/>
        <v>0.7841773820264345</v>
      </c>
      <c r="F131" s="1">
        <v>0.2</v>
      </c>
      <c r="G131" s="1">
        <f t="shared" ca="1" si="5"/>
        <v>0.17265809437885241</v>
      </c>
      <c r="H131" s="1">
        <f t="shared" ca="1" si="6"/>
        <v>0.62734190562114767</v>
      </c>
    </row>
    <row r="132" spans="1:8">
      <c r="A132" s="2">
        <f t="shared" ca="1" si="0"/>
        <v>0.97403282298790927</v>
      </c>
      <c r="B132" s="2">
        <f t="shared" ca="1" si="1"/>
        <v>0.13001929097003398</v>
      </c>
      <c r="C132" s="2">
        <f t="shared" ca="1" si="2"/>
        <v>0.13164305702642859</v>
      </c>
      <c r="D132" s="2">
        <f t="shared" ca="1" si="3"/>
        <v>0.19313778272086457</v>
      </c>
      <c r="E132" s="2">
        <f t="shared" ca="1" si="4"/>
        <v>0.80686221727913543</v>
      </c>
      <c r="F132" s="1">
        <v>0.2</v>
      </c>
      <c r="G132" s="1">
        <f t="shared" ca="1" si="5"/>
        <v>0.15451022617669166</v>
      </c>
      <c r="H132" s="1">
        <f t="shared" ca="1" si="6"/>
        <v>0.64548977382330841</v>
      </c>
    </row>
    <row r="133" spans="1:8">
      <c r="A133" s="2">
        <f t="shared" ca="1" si="0"/>
        <v>0.91420252772470534</v>
      </c>
      <c r="B133" s="2">
        <f t="shared" ca="1" si="1"/>
        <v>9.3348489266845011E-2</v>
      </c>
      <c r="C133" s="2">
        <f t="shared" ca="1" si="2"/>
        <v>9.0339424847032238E-2</v>
      </c>
      <c r="D133" s="2">
        <f t="shared" ca="1" si="3"/>
        <v>0.46487220495373538</v>
      </c>
      <c r="E133" s="2">
        <f t="shared" ca="1" si="4"/>
        <v>0.53512779504626462</v>
      </c>
      <c r="F133" s="1">
        <v>0.2</v>
      </c>
      <c r="G133" s="1">
        <f t="shared" ca="1" si="5"/>
        <v>0.37189776396298835</v>
      </c>
      <c r="H133" s="1">
        <f t="shared" ca="1" si="6"/>
        <v>0.4281022360370117</v>
      </c>
    </row>
    <row r="134" spans="1:8">
      <c r="A134" s="2">
        <f t="shared" ca="1" si="0"/>
        <v>0.39352072062179111</v>
      </c>
      <c r="B134" s="2">
        <f t="shared" ca="1" si="1"/>
        <v>7.191346789102461E-2</v>
      </c>
      <c r="C134" s="2">
        <f t="shared" ca="1" si="2"/>
        <v>3.3299439706888041E-2</v>
      </c>
      <c r="D134" s="2">
        <f t="shared" ca="1" si="3"/>
        <v>0.84013526508626291</v>
      </c>
      <c r="E134" s="2">
        <f t="shared" ca="1" si="4"/>
        <v>0.15986473491373709</v>
      </c>
      <c r="F134" s="1">
        <v>0.2</v>
      </c>
      <c r="G134" s="1">
        <f t="shared" ca="1" si="5"/>
        <v>0.67210821206901039</v>
      </c>
      <c r="H134" s="1">
        <f t="shared" ca="1" si="6"/>
        <v>0.12789178793098968</v>
      </c>
    </row>
    <row r="135" spans="1:8">
      <c r="A135" s="2">
        <f t="shared" ca="1" si="0"/>
        <v>0.82878068149196427</v>
      </c>
      <c r="B135" s="2">
        <f t="shared" ca="1" si="1"/>
        <v>8.1493114853938356E-2</v>
      </c>
      <c r="C135" s="2">
        <f t="shared" ca="1" si="2"/>
        <v>7.2539919265549951E-2</v>
      </c>
      <c r="D135" s="2">
        <f t="shared" ca="1" si="3"/>
        <v>0.58197421535822402</v>
      </c>
      <c r="E135" s="2">
        <f t="shared" ca="1" si="4"/>
        <v>0.41802578464177598</v>
      </c>
      <c r="F135" s="1">
        <v>0.2</v>
      </c>
      <c r="G135" s="1">
        <f t="shared" ca="1" si="5"/>
        <v>0.46557937228657925</v>
      </c>
      <c r="H135" s="1">
        <f t="shared" ca="1" si="6"/>
        <v>0.33442062771342079</v>
      </c>
    </row>
    <row r="136" spans="1:8">
      <c r="A136" s="2">
        <f t="shared" ca="1" si="0"/>
        <v>0.93554012764532912</v>
      </c>
      <c r="B136" s="2">
        <f t="shared" ca="1" si="1"/>
        <v>9.9285707237100881E-2</v>
      </c>
      <c r="C136" s="2">
        <f t="shared" ca="1" si="2"/>
        <v>9.7885763221954136E-2</v>
      </c>
      <c r="D136" s="2">
        <f t="shared" ca="1" si="3"/>
        <v>0.41522524196082811</v>
      </c>
      <c r="E136" s="2">
        <f t="shared" ca="1" si="4"/>
        <v>0.58477475803917189</v>
      </c>
      <c r="F136" s="1">
        <v>0.2</v>
      </c>
      <c r="G136" s="1">
        <f t="shared" ca="1" si="5"/>
        <v>0.33218019356866252</v>
      </c>
      <c r="H136" s="1">
        <f t="shared" ca="1" si="6"/>
        <v>0.46781980643133753</v>
      </c>
    </row>
    <row r="137" spans="1:8">
      <c r="A137" s="2">
        <f t="shared" ca="1" si="0"/>
        <v>0.97241760081404938</v>
      </c>
      <c r="B137" s="2">
        <f t="shared" ca="1" si="1"/>
        <v>0.12601101466411507</v>
      </c>
      <c r="C137" s="2">
        <f t="shared" ca="1" si="2"/>
        <v>0.12753532855582278</v>
      </c>
      <c r="D137" s="2">
        <f t="shared" ca="1" si="3"/>
        <v>0.22016231213274495</v>
      </c>
      <c r="E137" s="2">
        <f t="shared" ca="1" si="4"/>
        <v>0.77983768786725505</v>
      </c>
      <c r="F137" s="1">
        <v>0.2</v>
      </c>
      <c r="G137" s="1">
        <f t="shared" ca="1" si="5"/>
        <v>0.17612984970619597</v>
      </c>
      <c r="H137" s="1">
        <f t="shared" ca="1" si="6"/>
        <v>0.6238701502938041</v>
      </c>
    </row>
    <row r="138" spans="1:8">
      <c r="A138" s="2">
        <f t="shared" ca="1" si="0"/>
        <v>0.245975129059506</v>
      </c>
      <c r="B138" s="2">
        <f t="shared" ca="1" si="1"/>
        <v>7.4046476186680255E-2</v>
      </c>
      <c r="C138" s="2">
        <f t="shared" ca="1" si="2"/>
        <v>2.3213591536420313E-2</v>
      </c>
      <c r="D138" s="2">
        <f t="shared" ca="1" si="3"/>
        <v>0.90648952936565586</v>
      </c>
      <c r="E138" s="2">
        <f t="shared" ca="1" si="4"/>
        <v>9.3510470634344145E-2</v>
      </c>
      <c r="F138" s="1">
        <v>0.2</v>
      </c>
      <c r="G138" s="1">
        <f t="shared" ca="1" si="5"/>
        <v>0.72519162349252475</v>
      </c>
      <c r="H138" s="1">
        <f t="shared" ca="1" si="6"/>
        <v>7.4808376507475322E-2</v>
      </c>
    </row>
    <row r="139" spans="1:8">
      <c r="A139" s="2">
        <f t="shared" ca="1" si="0"/>
        <v>0.85379674957376483</v>
      </c>
      <c r="B139" s="2">
        <f t="shared" ca="1" si="1"/>
        <v>8.3911592902273846E-2</v>
      </c>
      <c r="C139" s="2">
        <f t="shared" ca="1" si="2"/>
        <v>7.6643445271518409E-2</v>
      </c>
      <c r="D139" s="2">
        <f t="shared" ca="1" si="3"/>
        <v>0.55497733374001057</v>
      </c>
      <c r="E139" s="2">
        <f t="shared" ca="1" si="4"/>
        <v>0.44502266625998943</v>
      </c>
      <c r="F139" s="1">
        <v>0.2</v>
      </c>
      <c r="G139" s="1">
        <f t="shared" ca="1" si="5"/>
        <v>0.44398186699200848</v>
      </c>
      <c r="H139" s="1">
        <f t="shared" ca="1" si="6"/>
        <v>0.35601813300799157</v>
      </c>
    </row>
    <row r="140" spans="1:8">
      <c r="A140" s="2">
        <f t="shared" ca="1" si="0"/>
        <v>0.86607433285001123</v>
      </c>
      <c r="B140" s="2">
        <f t="shared" ca="1" si="1"/>
        <v>8.5330454103091868E-2</v>
      </c>
      <c r="C140" s="2">
        <f t="shared" ca="1" si="2"/>
        <v>7.8902516109123799E-2</v>
      </c>
      <c r="D140" s="2">
        <f t="shared" ca="1" si="3"/>
        <v>0.54011502559786984</v>
      </c>
      <c r="E140" s="2">
        <f t="shared" ca="1" si="4"/>
        <v>0.45988497440213016</v>
      </c>
      <c r="F140" s="1">
        <v>0.2</v>
      </c>
      <c r="G140" s="1">
        <f t="shared" ca="1" si="5"/>
        <v>0.43209202047829587</v>
      </c>
      <c r="H140" s="1">
        <f t="shared" ca="1" si="6"/>
        <v>0.36790797952170418</v>
      </c>
    </row>
    <row r="141" spans="1:8">
      <c r="A141" s="2">
        <f t="shared" ca="1" si="0"/>
        <v>0.97131991495862391</v>
      </c>
      <c r="B141" s="2">
        <f t="shared" ca="1" si="1"/>
        <v>0.12388943013582954</v>
      </c>
      <c r="C141" s="2">
        <f t="shared" ca="1" si="2"/>
        <v>0.12533627074380632</v>
      </c>
      <c r="D141" s="2">
        <f t="shared" ca="1" si="3"/>
        <v>0.23462979773811632</v>
      </c>
      <c r="E141" s="2">
        <f t="shared" ca="1" si="4"/>
        <v>0.76537020226188368</v>
      </c>
      <c r="F141" s="1">
        <v>0.2</v>
      </c>
      <c r="G141" s="1">
        <f t="shared" ca="1" si="5"/>
        <v>0.18770383819049308</v>
      </c>
      <c r="H141" s="1">
        <f t="shared" ca="1" si="6"/>
        <v>0.61229616180950697</v>
      </c>
    </row>
    <row r="142" spans="1:8">
      <c r="A142" s="2">
        <f t="shared" ca="1" si="0"/>
        <v>0.97384679447362821</v>
      </c>
      <c r="B142" s="2">
        <f t="shared" ca="1" si="1"/>
        <v>0.12947888565811977</v>
      </c>
      <c r="C142" s="2">
        <f t="shared" ca="1" si="2"/>
        <v>0.13109259775017737</v>
      </c>
      <c r="D142" s="2">
        <f t="shared" ca="1" si="3"/>
        <v>0.19675922532778067</v>
      </c>
      <c r="E142" s="2">
        <f t="shared" ca="1" si="4"/>
        <v>0.80324077467221933</v>
      </c>
      <c r="F142" s="1">
        <v>0.2</v>
      </c>
      <c r="G142" s="1">
        <f t="shared" ca="1" si="5"/>
        <v>0.15740738026222456</v>
      </c>
      <c r="H142" s="1">
        <f t="shared" ca="1" si="6"/>
        <v>0.64259261973777548</v>
      </c>
    </row>
    <row r="143" spans="1:8">
      <c r="A143" s="2">
        <f t="shared" ca="1" si="0"/>
        <v>0.72688505761334232</v>
      </c>
      <c r="B143" s="2">
        <f t="shared" ca="1" si="1"/>
        <v>7.550608961037622E-2</v>
      </c>
      <c r="C143" s="2">
        <f t="shared" ca="1" si="2"/>
        <v>5.9884248296596505E-2</v>
      </c>
      <c r="D143" s="2">
        <f t="shared" ca="1" si="3"/>
        <v>0.66523520857502305</v>
      </c>
      <c r="E143" s="2">
        <f t="shared" ca="1" si="4"/>
        <v>0.33476479142497695</v>
      </c>
      <c r="F143" s="1">
        <v>0.2</v>
      </c>
      <c r="G143" s="1">
        <f t="shared" ca="1" si="5"/>
        <v>0.53218816686001846</v>
      </c>
      <c r="H143" s="1">
        <f t="shared" ca="1" si="6"/>
        <v>0.26781183313998158</v>
      </c>
    </row>
    <row r="144" spans="1:8">
      <c r="A144" s="2">
        <f t="shared" ca="1" si="0"/>
        <v>0.97560398201496024</v>
      </c>
      <c r="B144" s="2">
        <f t="shared" ca="1" si="1"/>
        <v>0.13642215819045456</v>
      </c>
      <c r="C144" s="2">
        <f t="shared" ca="1" si="2"/>
        <v>0.13809400076568229</v>
      </c>
      <c r="D144" s="2">
        <f t="shared" ca="1" si="3"/>
        <v>0.15069736338366913</v>
      </c>
      <c r="E144" s="2">
        <f t="shared" ca="1" si="4"/>
        <v>0.84930263661633087</v>
      </c>
      <c r="F144" s="1">
        <v>0.2</v>
      </c>
      <c r="G144" s="1">
        <f t="shared" ca="1" si="5"/>
        <v>0.1205578907069353</v>
      </c>
      <c r="H144" s="1">
        <f t="shared" ca="1" si="6"/>
        <v>0.6794421092930647</v>
      </c>
    </row>
    <row r="145" spans="1:8">
      <c r="A145" s="2">
        <f t="shared" ca="1" si="0"/>
        <v>0.24088741066912608</v>
      </c>
      <c r="B145" s="2">
        <f t="shared" ca="1" si="1"/>
        <v>7.4153784370574988E-2</v>
      </c>
      <c r="C145" s="2">
        <f t="shared" ca="1" si="2"/>
        <v>2.2862713108344521E-2</v>
      </c>
      <c r="D145" s="2">
        <f t="shared" ca="1" si="3"/>
        <v>0.9087979400766808</v>
      </c>
      <c r="E145" s="2">
        <f t="shared" ca="1" si="4"/>
        <v>9.1202059923319201E-2</v>
      </c>
      <c r="F145" s="1">
        <v>0.2</v>
      </c>
      <c r="G145" s="1">
        <f t="shared" ca="1" si="5"/>
        <v>0.72703835206134471</v>
      </c>
      <c r="H145" s="1">
        <f t="shared" ca="1" si="6"/>
        <v>7.2961647938655366E-2</v>
      </c>
    </row>
    <row r="146" spans="1:8">
      <c r="A146" s="2">
        <f t="shared" ca="1" si="0"/>
        <v>0.34984837967637683</v>
      </c>
      <c r="B146" s="2">
        <f t="shared" ca="1" si="1"/>
        <v>7.234923340846873E-2</v>
      </c>
      <c r="C146" s="2">
        <f t="shared" ca="1" si="2"/>
        <v>3.0311262078780776E-2</v>
      </c>
      <c r="D146" s="2">
        <f t="shared" ca="1" si="3"/>
        <v>0.85979432842907388</v>
      </c>
      <c r="E146" s="2">
        <f t="shared" ca="1" si="4"/>
        <v>0.14020567157092612</v>
      </c>
      <c r="F146" s="1">
        <v>0.2</v>
      </c>
      <c r="G146" s="1">
        <f t="shared" ca="1" si="5"/>
        <v>0.68783546274325913</v>
      </c>
      <c r="H146" s="1">
        <f t="shared" ca="1" si="6"/>
        <v>0.1121645372567409</v>
      </c>
    </row>
    <row r="147" spans="1:8">
      <c r="A147" s="2">
        <f t="shared" ca="1" si="0"/>
        <v>0.80217451230797299</v>
      </c>
      <c r="B147" s="2">
        <f t="shared" ca="1" si="1"/>
        <v>7.9443625946469712E-2</v>
      </c>
      <c r="C147" s="2">
        <f t="shared" ca="1" si="2"/>
        <v>6.8727651899586378E-2</v>
      </c>
      <c r="D147" s="2">
        <f t="shared" ca="1" si="3"/>
        <v>0.60705492171324749</v>
      </c>
      <c r="E147" s="2">
        <f t="shared" ca="1" si="4"/>
        <v>0.39294507828675251</v>
      </c>
      <c r="F147" s="1">
        <v>0.2</v>
      </c>
      <c r="G147" s="1">
        <f t="shared" ca="1" si="5"/>
        <v>0.48564393737059802</v>
      </c>
      <c r="H147" s="1">
        <f t="shared" ca="1" si="6"/>
        <v>0.31435606262940202</v>
      </c>
    </row>
    <row r="148" spans="1:8">
      <c r="A148" s="2">
        <f t="shared" ca="1" si="0"/>
        <v>0.63283472314145373</v>
      </c>
      <c r="B148" s="2">
        <f t="shared" ca="1" si="1"/>
        <v>7.2870296071771715E-2</v>
      </c>
      <c r="C148" s="2">
        <f t="shared" ca="1" si="2"/>
        <v>5.1114853639815411E-2</v>
      </c>
      <c r="D148" s="2">
        <f t="shared" ca="1" si="3"/>
        <v>0.72292859447489866</v>
      </c>
      <c r="E148" s="2">
        <f t="shared" ca="1" si="4"/>
        <v>0.27707140552510134</v>
      </c>
      <c r="F148" s="1">
        <v>0.2</v>
      </c>
      <c r="G148" s="1">
        <f t="shared" ca="1" si="5"/>
        <v>0.57834287557991892</v>
      </c>
      <c r="H148" s="1">
        <f t="shared" ca="1" si="6"/>
        <v>0.22165712442008109</v>
      </c>
    </row>
    <row r="149" spans="1:8">
      <c r="A149" s="2">
        <f t="shared" ca="1" si="0"/>
        <v>0.97112324052031473</v>
      </c>
      <c r="B149" s="2">
        <f t="shared" ca="1" si="1"/>
        <v>0.12354368301949459</v>
      </c>
      <c r="C149" s="2">
        <f t="shared" ca="1" si="2"/>
        <v>0.12497614179970618</v>
      </c>
      <c r="D149" s="2">
        <f t="shared" ca="1" si="3"/>
        <v>0.23699906710719632</v>
      </c>
      <c r="E149" s="2">
        <f t="shared" ca="1" si="4"/>
        <v>0.76300093289280368</v>
      </c>
      <c r="F149" s="1">
        <v>0.2</v>
      </c>
      <c r="G149" s="1">
        <f t="shared" ca="1" si="5"/>
        <v>0.18959925368575706</v>
      </c>
      <c r="H149" s="1">
        <f t="shared" ca="1" si="6"/>
        <v>0.61040074631424301</v>
      </c>
    </row>
    <row r="150" spans="1:8">
      <c r="A150" s="2">
        <f t="shared" ca="1" si="0"/>
        <v>0.97627208708825042</v>
      </c>
      <c r="B150" s="2">
        <f t="shared" ca="1" si="1"/>
        <v>0.14642712681431277</v>
      </c>
      <c r="C150" s="2">
        <f t="shared" ca="1" si="2"/>
        <v>0.14795271670134505</v>
      </c>
      <c r="D150" s="2">
        <f t="shared" ca="1" si="3"/>
        <v>8.5837390122730062E-2</v>
      </c>
      <c r="E150" s="2">
        <f t="shared" ca="1" si="4"/>
        <v>0.91416260987726994</v>
      </c>
      <c r="F150" s="1">
        <v>0.2</v>
      </c>
      <c r="G150" s="1">
        <f t="shared" ca="1" si="5"/>
        <v>6.8669912098184058E-2</v>
      </c>
      <c r="H150" s="1">
        <f t="shared" ca="1" si="6"/>
        <v>0.73133008790181597</v>
      </c>
    </row>
    <row r="151" spans="1:8">
      <c r="A151" s="2">
        <f t="shared" ca="1" si="0"/>
        <v>0.97544350120517742</v>
      </c>
      <c r="B151" s="2">
        <f t="shared" ca="1" si="1"/>
        <v>0.1569292374082161</v>
      </c>
      <c r="C151" s="2">
        <f t="shared" ca="1" si="2"/>
        <v>0.15807560477892882</v>
      </c>
      <c r="D151" s="2">
        <f t="shared" ca="1" si="3"/>
        <v>1.9239442243889515E-2</v>
      </c>
      <c r="E151" s="2">
        <f t="shared" ca="1" si="4"/>
        <v>0.98076055775611048</v>
      </c>
      <c r="F151" s="1">
        <v>0.2</v>
      </c>
      <c r="G151" s="1">
        <f t="shared" ca="1" si="5"/>
        <v>1.5391553795111612E-2</v>
      </c>
      <c r="H151" s="1">
        <f t="shared" ca="1" si="6"/>
        <v>0.78460844620488845</v>
      </c>
    </row>
    <row r="152" spans="1:8">
      <c r="A152" s="2">
        <f t="shared" ca="1" si="0"/>
        <v>0.3760918530553487</v>
      </c>
      <c r="B152" s="2">
        <f t="shared" ca="1" si="1"/>
        <v>7.2067522746269236E-2</v>
      </c>
      <c r="C152" s="2">
        <f t="shared" ca="1" si="2"/>
        <v>3.2104008174752889E-2</v>
      </c>
      <c r="D152" s="2">
        <f t="shared" ca="1" si="3"/>
        <v>0.84799994621873098</v>
      </c>
      <c r="E152" s="2">
        <f t="shared" ca="1" si="4"/>
        <v>0.15200005378126902</v>
      </c>
      <c r="F152" s="1">
        <v>0.2</v>
      </c>
      <c r="G152" s="1">
        <f t="shared" ca="1" si="5"/>
        <v>0.67839995697498479</v>
      </c>
      <c r="H152" s="1">
        <f t="shared" ca="1" si="6"/>
        <v>0.12160004302501522</v>
      </c>
    </row>
    <row r="153" spans="1:8">
      <c r="A153" s="2">
        <f t="shared" ca="1" si="0"/>
        <v>0.97381449747318494</v>
      </c>
      <c r="B153" s="2">
        <f t="shared" ca="1" si="1"/>
        <v>0.12938773531255815</v>
      </c>
      <c r="C153" s="2">
        <f t="shared" ca="1" si="2"/>
        <v>0.13099965244259229</v>
      </c>
      <c r="D153" s="2">
        <f t="shared" ca="1" si="3"/>
        <v>0.19737070761452447</v>
      </c>
      <c r="E153" s="2">
        <f t="shared" ca="1" si="4"/>
        <v>0.80262929238547553</v>
      </c>
      <c r="F153" s="1">
        <v>0.2</v>
      </c>
      <c r="G153" s="1">
        <f t="shared" ca="1" si="5"/>
        <v>0.15789656609161959</v>
      </c>
      <c r="H153" s="1">
        <f t="shared" ca="1" si="6"/>
        <v>0.64210343390838043</v>
      </c>
    </row>
    <row r="154" spans="1:8">
      <c r="A154" s="2">
        <f t="shared" ca="1" si="0"/>
        <v>0.36123209376094728</v>
      </c>
      <c r="B154" s="2">
        <f t="shared" ca="1" si="1"/>
        <v>7.2219731770219425E-2</v>
      </c>
      <c r="C154" s="2">
        <f t="shared" ca="1" si="2"/>
        <v>3.1088084918210367E-2</v>
      </c>
      <c r="D154" s="2">
        <f t="shared" ca="1" si="3"/>
        <v>0.85468365185387918</v>
      </c>
      <c r="E154" s="2">
        <f t="shared" ca="1" si="4"/>
        <v>0.14531634814612082</v>
      </c>
      <c r="F154" s="1">
        <v>0.2</v>
      </c>
      <c r="G154" s="1">
        <f t="shared" ca="1" si="5"/>
        <v>0.68374692148310334</v>
      </c>
      <c r="H154" s="1">
        <f t="shared" ca="1" si="6"/>
        <v>0.11625307851689666</v>
      </c>
    </row>
    <row r="155" spans="1:8">
      <c r="A155" s="2">
        <f t="shared" ca="1" si="0"/>
        <v>0.78221671763608425</v>
      </c>
      <c r="B155" s="2">
        <f t="shared" ca="1" si="1"/>
        <v>7.8172334532832802E-2</v>
      </c>
      <c r="C155" s="2">
        <f t="shared" ca="1" si="2"/>
        <v>6.6147706928222388E-2</v>
      </c>
      <c r="D155" s="2">
        <f t="shared" ca="1" si="3"/>
        <v>0.62402824389327383</v>
      </c>
      <c r="E155" s="2">
        <f t="shared" ca="1" si="4"/>
        <v>0.37597175610672617</v>
      </c>
      <c r="F155" s="1">
        <v>0.2</v>
      </c>
      <c r="G155" s="1">
        <f t="shared" ca="1" si="5"/>
        <v>0.49922259511461908</v>
      </c>
      <c r="H155" s="1">
        <f t="shared" ca="1" si="6"/>
        <v>0.30077740488538096</v>
      </c>
    </row>
    <row r="156" spans="1:8">
      <c r="A156" s="2">
        <f t="shared" ca="1" si="0"/>
        <v>0.49606621239076482</v>
      </c>
      <c r="B156" s="2">
        <f t="shared" ca="1" si="1"/>
        <v>7.1565915550464196E-2</v>
      </c>
      <c r="C156" s="2">
        <f t="shared" ca="1" si="2"/>
        <v>4.0501432663396106E-2</v>
      </c>
      <c r="D156" s="2">
        <f t="shared" ca="1" si="3"/>
        <v>0.79275373247765724</v>
      </c>
      <c r="E156" s="2">
        <f t="shared" ca="1" si="4"/>
        <v>0.20724626752234276</v>
      </c>
      <c r="F156" s="1">
        <v>0.2</v>
      </c>
      <c r="G156" s="1">
        <f t="shared" ca="1" si="5"/>
        <v>0.63420298598212588</v>
      </c>
      <c r="H156" s="1">
        <f t="shared" ca="1" si="6"/>
        <v>0.16579701401787422</v>
      </c>
    </row>
    <row r="157" spans="1:8">
      <c r="A157" s="2">
        <f t="shared" ca="1" si="0"/>
        <v>0.97536857202839788</v>
      </c>
      <c r="B157" s="2">
        <f t="shared" ca="1" si="1"/>
        <v>0.15748693956180579</v>
      </c>
      <c r="C157" s="2">
        <f t="shared" ca="1" si="2"/>
        <v>0.15860781135352112</v>
      </c>
      <c r="D157" s="2">
        <f t="shared" ca="1" si="3"/>
        <v>1.573808320051906E-2</v>
      </c>
      <c r="E157" s="2">
        <f t="shared" ca="1" si="4"/>
        <v>0.98426191679948094</v>
      </c>
      <c r="F157" s="1">
        <v>0.2</v>
      </c>
      <c r="G157" s="1">
        <f t="shared" ca="1" si="5"/>
        <v>1.2590466560415249E-2</v>
      </c>
      <c r="H157" s="1">
        <f t="shared" ca="1" si="6"/>
        <v>0.78740953343958475</v>
      </c>
    </row>
    <row r="158" spans="1:8">
      <c r="A158" s="2">
        <f t="shared" ca="1" si="0"/>
        <v>0.96994851338745669</v>
      </c>
      <c r="B158" s="2">
        <f t="shared" ca="1" si="1"/>
        <v>0.12164694472706539</v>
      </c>
      <c r="C158" s="2">
        <f t="shared" ca="1" si="2"/>
        <v>0.12299127319614318</v>
      </c>
      <c r="D158" s="2">
        <f t="shared" ca="1" si="3"/>
        <v>0.25005741318326868</v>
      </c>
      <c r="E158" s="2">
        <f t="shared" ca="1" si="4"/>
        <v>0.74994258681673132</v>
      </c>
      <c r="F158" s="1">
        <v>0.2</v>
      </c>
      <c r="G158" s="1">
        <f t="shared" ca="1" si="5"/>
        <v>0.20004593054661496</v>
      </c>
      <c r="H158" s="1">
        <f t="shared" ca="1" si="6"/>
        <v>0.59995406945338514</v>
      </c>
    </row>
    <row r="159" spans="1:8">
      <c r="A159" s="2">
        <f t="shared" ca="1" si="0"/>
        <v>0.94903057069548913</v>
      </c>
      <c r="B159" s="2">
        <f t="shared" ca="1" si="1"/>
        <v>0.10478136519174258</v>
      </c>
      <c r="C159" s="2">
        <f t="shared" ca="1" si="2"/>
        <v>0.10444071880617192</v>
      </c>
      <c r="D159" s="2">
        <f t="shared" ca="1" si="3"/>
        <v>0.37210053416992162</v>
      </c>
      <c r="E159" s="2">
        <f t="shared" ca="1" si="4"/>
        <v>0.62789946583007838</v>
      </c>
      <c r="F159" s="1">
        <v>0.2</v>
      </c>
      <c r="G159" s="1">
        <f t="shared" ca="1" si="5"/>
        <v>0.2976804273359373</v>
      </c>
      <c r="H159" s="1">
        <f t="shared" ca="1" si="6"/>
        <v>0.50231957266406269</v>
      </c>
    </row>
    <row r="160" spans="1:8">
      <c r="A160" s="2">
        <f t="shared" ca="1" si="0"/>
        <v>0.93887371296884714</v>
      </c>
      <c r="B160" s="2">
        <f t="shared" ca="1" si="1"/>
        <v>0.1004716786269539</v>
      </c>
      <c r="C160" s="2">
        <f t="shared" ca="1" si="2"/>
        <v>9.9330217960700976E-2</v>
      </c>
      <c r="D160" s="2">
        <f t="shared" ca="1" si="3"/>
        <v>0.40572225025854625</v>
      </c>
      <c r="E160" s="2">
        <f t="shared" ca="1" si="4"/>
        <v>0.59427774974145375</v>
      </c>
      <c r="F160" s="1">
        <v>0.2</v>
      </c>
      <c r="G160" s="1">
        <f t="shared" ca="1" si="5"/>
        <v>0.32457780020683702</v>
      </c>
      <c r="H160" s="1">
        <f t="shared" ca="1" si="6"/>
        <v>0.47542219979316303</v>
      </c>
    </row>
    <row r="161" spans="1:8">
      <c r="A161" s="2">
        <f t="shared" ca="1" si="0"/>
        <v>0.66424307764965362</v>
      </c>
      <c r="B161" s="2">
        <f t="shared" ca="1" si="1"/>
        <v>7.3548348153248455E-2</v>
      </c>
      <c r="C161" s="2">
        <f t="shared" ca="1" si="2"/>
        <v>5.3853981133361969E-2</v>
      </c>
      <c r="D161" s="2">
        <f t="shared" ca="1" si="3"/>
        <v>0.70490801885946075</v>
      </c>
      <c r="E161" s="2">
        <f t="shared" ca="1" si="4"/>
        <v>0.29509198114053925</v>
      </c>
      <c r="F161" s="1">
        <v>0.2</v>
      </c>
      <c r="G161" s="1">
        <f t="shared" ca="1" si="5"/>
        <v>0.56392641508756858</v>
      </c>
      <c r="H161" s="1">
        <f t="shared" ca="1" si="6"/>
        <v>0.23607358491243141</v>
      </c>
    </row>
    <row r="162" spans="1:8">
      <c r="A162" s="2">
        <f t="shared" ca="1" si="0"/>
        <v>0.97625169298733439</v>
      </c>
      <c r="B162" s="2">
        <f t="shared" ca="1" si="1"/>
        <v>0.14733636340655493</v>
      </c>
      <c r="C162" s="2">
        <f t="shared" ca="1" si="2"/>
        <v>0.14883737421424639</v>
      </c>
      <c r="D162" s="2">
        <f t="shared" ca="1" si="3"/>
        <v>8.0017274906273861E-2</v>
      </c>
      <c r="E162" s="2">
        <f t="shared" ca="1" si="4"/>
        <v>0.91998272509372614</v>
      </c>
      <c r="F162" s="1">
        <v>0.2</v>
      </c>
      <c r="G162" s="1">
        <f t="shared" ca="1" si="5"/>
        <v>6.4013819925019089E-2</v>
      </c>
      <c r="H162" s="1">
        <f t="shared" ca="1" si="6"/>
        <v>0.73598618007498096</v>
      </c>
    </row>
    <row r="163" spans="1:8">
      <c r="A163" s="2">
        <f t="shared" ca="1" si="0"/>
        <v>0.53064837245897312</v>
      </c>
      <c r="B163" s="2">
        <f t="shared" ca="1" si="1"/>
        <v>7.1682154498211484E-2</v>
      </c>
      <c r="C163" s="2">
        <f t="shared" ca="1" si="2"/>
        <v>4.3038018618828583E-2</v>
      </c>
      <c r="D163" s="2">
        <f t="shared" ca="1" si="3"/>
        <v>0.7760656669813909</v>
      </c>
      <c r="E163" s="2">
        <f t="shared" ca="1" si="4"/>
        <v>0.2239343330186091</v>
      </c>
      <c r="F163" s="1">
        <v>0.2</v>
      </c>
      <c r="G163" s="1">
        <f t="shared" ca="1" si="5"/>
        <v>0.62085253358511272</v>
      </c>
      <c r="H163" s="1">
        <f t="shared" ca="1" si="6"/>
        <v>0.1791474664148873</v>
      </c>
    </row>
    <row r="164" spans="1:8">
      <c r="A164" s="2">
        <f t="shared" ca="1" si="0"/>
        <v>0.32103878261863023</v>
      </c>
      <c r="B164" s="2">
        <f t="shared" ca="1" si="1"/>
        <v>7.2726716579195994E-2</v>
      </c>
      <c r="C164" s="2">
        <f t="shared" ca="1" si="2"/>
        <v>2.8348096554435234E-2</v>
      </c>
      <c r="D164" s="2">
        <f t="shared" ca="1" si="3"/>
        <v>0.87270989108924191</v>
      </c>
      <c r="E164" s="2">
        <f t="shared" ca="1" si="4"/>
        <v>0.12729010891075809</v>
      </c>
      <c r="F164" s="1">
        <v>0.2</v>
      </c>
      <c r="G164" s="1">
        <f t="shared" ca="1" si="5"/>
        <v>0.69816791287139357</v>
      </c>
      <c r="H164" s="1">
        <f t="shared" ca="1" si="6"/>
        <v>0.10183208712860647</v>
      </c>
    </row>
    <row r="165" spans="1:8">
      <c r="A165" s="2">
        <f t="shared" ca="1" si="0"/>
        <v>0.28103249475629005</v>
      </c>
      <c r="B165" s="2">
        <f t="shared" ca="1" si="1"/>
        <v>7.3369181279221582E-2</v>
      </c>
      <c r="C165" s="2">
        <f t="shared" ca="1" si="2"/>
        <v>2.5619124053126135E-2</v>
      </c>
      <c r="D165" s="2">
        <f t="shared" ca="1" si="3"/>
        <v>0.89066365754522281</v>
      </c>
      <c r="E165" s="2">
        <f t="shared" ca="1" si="4"/>
        <v>0.10933634245477719</v>
      </c>
      <c r="F165" s="1">
        <v>0.2</v>
      </c>
      <c r="G165" s="1">
        <f t="shared" ca="1" si="5"/>
        <v>0.71253092603617829</v>
      </c>
      <c r="H165" s="1">
        <f t="shared" ca="1" si="6"/>
        <v>8.7469073963821753E-2</v>
      </c>
    </row>
    <row r="166" spans="1:8">
      <c r="A166" s="2">
        <f t="shared" ca="1" si="0"/>
        <v>0.9759090111021963</v>
      </c>
      <c r="B166" s="2">
        <f t="shared" ca="1" si="1"/>
        <v>0.15282297167262709</v>
      </c>
      <c r="C166" s="2">
        <f t="shared" ca="1" si="2"/>
        <v>0.15414131515873247</v>
      </c>
      <c r="D166" s="2">
        <f t="shared" ca="1" si="3"/>
        <v>4.512292658728656E-2</v>
      </c>
      <c r="E166" s="2">
        <f t="shared" ca="1" si="4"/>
        <v>0.95487707341271344</v>
      </c>
      <c r="F166" s="1">
        <v>0.2</v>
      </c>
      <c r="G166" s="1">
        <f t="shared" ca="1" si="5"/>
        <v>3.6098341269829248E-2</v>
      </c>
      <c r="H166" s="1">
        <f t="shared" ca="1" si="6"/>
        <v>0.7639016587301708</v>
      </c>
    </row>
    <row r="167" spans="1:8">
      <c r="A167" s="2">
        <f t="shared" ca="1" si="0"/>
        <v>0.16939033108416301</v>
      </c>
      <c r="B167" s="2">
        <f t="shared" ca="1" si="1"/>
        <v>7.5912384490581075E-2</v>
      </c>
      <c r="C167" s="2">
        <f t="shared" ca="1" si="2"/>
        <v>1.785882394224781E-2</v>
      </c>
      <c r="D167" s="2">
        <f t="shared" ca="1" si="3"/>
        <v>0.94171826353784338</v>
      </c>
      <c r="E167" s="2">
        <f t="shared" ca="1" si="4"/>
        <v>5.8281736462156619E-2</v>
      </c>
      <c r="F167" s="1">
        <v>0.2</v>
      </c>
      <c r="G167" s="1">
        <f t="shared" ca="1" si="5"/>
        <v>0.75337461083027479</v>
      </c>
      <c r="H167" s="1">
        <f t="shared" ca="1" si="6"/>
        <v>4.66253891697253E-2</v>
      </c>
    </row>
    <row r="168" spans="1:8">
      <c r="A168" s="2">
        <f t="shared" ca="1" si="0"/>
        <v>0.50512487201164713</v>
      </c>
      <c r="B168" s="2">
        <f t="shared" ca="1" si="1"/>
        <v>7.1584111486650892E-2</v>
      </c>
      <c r="C168" s="2">
        <f t="shared" ca="1" si="2"/>
        <v>4.1158915152762009E-2</v>
      </c>
      <c r="D168" s="2">
        <f t="shared" ca="1" si="3"/>
        <v>0.7884281897844605</v>
      </c>
      <c r="E168" s="2">
        <f t="shared" ca="1" si="4"/>
        <v>0.2115718102155395</v>
      </c>
      <c r="F168" s="1">
        <v>0.2</v>
      </c>
      <c r="G168" s="1">
        <f t="shared" ca="1" si="5"/>
        <v>0.63074255182756844</v>
      </c>
      <c r="H168" s="1">
        <f t="shared" ca="1" si="6"/>
        <v>0.1692574481724316</v>
      </c>
    </row>
    <row r="169" spans="1:8">
      <c r="A169" s="2">
        <f t="shared" ca="1" si="0"/>
        <v>0.8914759386914044</v>
      </c>
      <c r="B169" s="2">
        <f t="shared" ca="1" si="1"/>
        <v>8.8946348311356838E-2</v>
      </c>
      <c r="C169" s="2">
        <f t="shared" ca="1" si="2"/>
        <v>8.4293529354039456E-2</v>
      </c>
      <c r="D169" s="2">
        <f t="shared" ca="1" si="3"/>
        <v>0.50464783319710893</v>
      </c>
      <c r="E169" s="2">
        <f t="shared" ca="1" si="4"/>
        <v>0.49535216680289107</v>
      </c>
      <c r="F169" s="1">
        <v>0.2</v>
      </c>
      <c r="G169" s="1">
        <f t="shared" ca="1" si="5"/>
        <v>0.40371826655768717</v>
      </c>
      <c r="H169" s="1">
        <f t="shared" ca="1" si="6"/>
        <v>0.39628173344231288</v>
      </c>
    </row>
    <row r="170" spans="1:8">
      <c r="A170" s="2">
        <f t="shared" ca="1" si="0"/>
        <v>0.8732125823103184</v>
      </c>
      <c r="B170" s="2">
        <f t="shared" ca="1" si="1"/>
        <v>8.6243222187631863E-2</v>
      </c>
      <c r="C170" s="2">
        <f t="shared" ca="1" si="2"/>
        <v>8.0308666753224567E-2</v>
      </c>
      <c r="D170" s="2">
        <f t="shared" ca="1" si="3"/>
        <v>0.53086403451825948</v>
      </c>
      <c r="E170" s="2">
        <f t="shared" ca="1" si="4"/>
        <v>0.46913596548174052</v>
      </c>
      <c r="F170" s="1">
        <v>0.2</v>
      </c>
      <c r="G170" s="1">
        <f t="shared" ca="1" si="5"/>
        <v>0.42469122761460759</v>
      </c>
      <c r="H170" s="1">
        <f t="shared" ca="1" si="6"/>
        <v>0.37530877238539245</v>
      </c>
    </row>
    <row r="171" spans="1:8">
      <c r="A171" s="2">
        <f t="shared" ca="1" si="0"/>
        <v>0.77493489674160054</v>
      </c>
      <c r="B171" s="2">
        <f t="shared" ca="1" si="1"/>
        <v>7.7755384721540949E-2</v>
      </c>
      <c r="C171" s="2">
        <f t="shared" ca="1" si="2"/>
        <v>6.5255361030290754E-2</v>
      </c>
      <c r="D171" s="2">
        <f t="shared" ca="1" si="3"/>
        <v>0.62989894059019247</v>
      </c>
      <c r="E171" s="2">
        <f t="shared" ca="1" si="4"/>
        <v>0.37010105940980753</v>
      </c>
      <c r="F171" s="1">
        <v>0.2</v>
      </c>
      <c r="G171" s="1">
        <f t="shared" ca="1" si="5"/>
        <v>0.50391915247215402</v>
      </c>
      <c r="H171" s="1">
        <f t="shared" ca="1" si="6"/>
        <v>0.29608084752784603</v>
      </c>
    </row>
    <row r="172" spans="1:8">
      <c r="A172" s="2">
        <f t="shared" ca="1" si="0"/>
        <v>0.82747496261615139</v>
      </c>
      <c r="B172" s="2">
        <f t="shared" ca="1" si="1"/>
        <v>8.138135329297394E-2</v>
      </c>
      <c r="C172" s="2">
        <f t="shared" ca="1" si="2"/>
        <v>7.2341032273755421E-2</v>
      </c>
      <c r="D172" s="2">
        <f t="shared" ca="1" si="3"/>
        <v>0.58328268240950387</v>
      </c>
      <c r="E172" s="2">
        <f t="shared" ca="1" si="4"/>
        <v>0.41671731759049613</v>
      </c>
      <c r="F172" s="1">
        <v>0.2</v>
      </c>
      <c r="G172" s="1">
        <f t="shared" ca="1" si="5"/>
        <v>0.4666261459276031</v>
      </c>
      <c r="H172" s="1">
        <f t="shared" ca="1" si="6"/>
        <v>0.33337385407239695</v>
      </c>
    </row>
    <row r="173" spans="1:8">
      <c r="A173" s="2">
        <f t="shared" ca="1" si="0"/>
        <v>0.82336988368172881</v>
      </c>
      <c r="B173" s="2">
        <f t="shared" ca="1" si="1"/>
        <v>8.103814697102267E-2</v>
      </c>
      <c r="C173" s="2">
        <f t="shared" ca="1" si="2"/>
        <v>7.1724369645313785E-2</v>
      </c>
      <c r="D173" s="2">
        <f t="shared" ca="1" si="3"/>
        <v>0.5873396733860935</v>
      </c>
      <c r="E173" s="2">
        <f t="shared" ca="1" si="4"/>
        <v>0.4126603266139065</v>
      </c>
      <c r="F173" s="1">
        <v>0.2</v>
      </c>
      <c r="G173" s="1">
        <f t="shared" ca="1" si="5"/>
        <v>0.46987173870887483</v>
      </c>
      <c r="H173" s="1">
        <f t="shared" ca="1" si="6"/>
        <v>0.33012826129112521</v>
      </c>
    </row>
    <row r="174" spans="1:8">
      <c r="A174" s="2">
        <f t="shared" ca="1" si="0"/>
        <v>0.25844746895445675</v>
      </c>
      <c r="B174" s="2">
        <f t="shared" ca="1" si="1"/>
        <v>7.3793136879739374E-2</v>
      </c>
      <c r="C174" s="2">
        <f t="shared" ca="1" si="2"/>
        <v>2.4071649452778419E-2</v>
      </c>
      <c r="D174" s="2">
        <f t="shared" ca="1" si="3"/>
        <v>0.90084441149487882</v>
      </c>
      <c r="E174" s="2">
        <f t="shared" ca="1" si="4"/>
        <v>9.9155588505121184E-2</v>
      </c>
      <c r="F174" s="1">
        <v>0.2</v>
      </c>
      <c r="G174" s="1">
        <f t="shared" ca="1" si="5"/>
        <v>0.72067552919590305</v>
      </c>
      <c r="H174" s="1">
        <f t="shared" ca="1" si="6"/>
        <v>7.932447080409695E-2</v>
      </c>
    </row>
    <row r="175" spans="1:8">
      <c r="A175" s="2">
        <f t="shared" ca="1" si="0"/>
        <v>0.90173881988188231</v>
      </c>
      <c r="B175" s="2">
        <f t="shared" ca="1" si="1"/>
        <v>9.0759543072074997E-2</v>
      </c>
      <c r="C175" s="2">
        <f t="shared" ca="1" si="2"/>
        <v>8.6841403262831782E-2</v>
      </c>
      <c r="D175" s="2">
        <f t="shared" ca="1" si="3"/>
        <v>0.48788550484979099</v>
      </c>
      <c r="E175" s="2">
        <f t="shared" ca="1" si="4"/>
        <v>0.51211449515020901</v>
      </c>
      <c r="F175" s="1">
        <v>0.2</v>
      </c>
      <c r="G175" s="1">
        <f t="shared" ca="1" si="5"/>
        <v>0.39030840387983279</v>
      </c>
      <c r="H175" s="1">
        <f t="shared" ca="1" si="6"/>
        <v>0.40969159612016726</v>
      </c>
    </row>
    <row r="176" spans="1:8">
      <c r="A176" s="2">
        <f t="shared" ca="1" si="0"/>
        <v>0.93237455361936106</v>
      </c>
      <c r="B176" s="2">
        <f t="shared" ca="1" si="1"/>
        <v>9.8239557306366659E-2</v>
      </c>
      <c r="C176" s="2">
        <f t="shared" ca="1" si="2"/>
        <v>9.6596063391287262E-2</v>
      </c>
      <c r="D176" s="2">
        <f t="shared" ca="1" si="3"/>
        <v>0.42371010926784702</v>
      </c>
      <c r="E176" s="2">
        <f t="shared" ca="1" si="4"/>
        <v>0.57628989073215298</v>
      </c>
      <c r="F176" s="1">
        <v>0.2</v>
      </c>
      <c r="G176" s="1">
        <f t="shared" ca="1" si="5"/>
        <v>0.33896808741427764</v>
      </c>
      <c r="H176" s="1">
        <f t="shared" ca="1" si="6"/>
        <v>0.4610319125857224</v>
      </c>
    </row>
    <row r="177" spans="1:8">
      <c r="A177" s="2">
        <f t="shared" ca="1" si="0"/>
        <v>0.97533044521562406</v>
      </c>
      <c r="B177" s="2">
        <f t="shared" ca="1" si="1"/>
        <v>0.13491704338075866</v>
      </c>
      <c r="C177" s="2">
        <f t="shared" ca="1" si="2"/>
        <v>0.13658869998773102</v>
      </c>
      <c r="D177" s="2">
        <f t="shared" ca="1" si="3"/>
        <v>0.16060065797545409</v>
      </c>
      <c r="E177" s="2">
        <f t="shared" ca="1" si="4"/>
        <v>0.83939934202454591</v>
      </c>
      <c r="F177" s="1">
        <v>0.2</v>
      </c>
      <c r="G177" s="1">
        <f t="shared" ca="1" si="5"/>
        <v>0.12848052638036328</v>
      </c>
      <c r="H177" s="1">
        <f t="shared" ca="1" si="6"/>
        <v>0.67151947361963682</v>
      </c>
    </row>
    <row r="178" spans="1:8">
      <c r="A178" s="2">
        <f t="shared" ca="1" si="0"/>
        <v>0.64252879474569136</v>
      </c>
      <c r="B178" s="2">
        <f t="shared" ca="1" si="1"/>
        <v>7.3061179081002528E-2</v>
      </c>
      <c r="C178" s="2">
        <f t="shared" ca="1" si="2"/>
        <v>5.1943911337615674E-2</v>
      </c>
      <c r="D178" s="2">
        <f t="shared" ca="1" si="3"/>
        <v>0.71747426751568644</v>
      </c>
      <c r="E178" s="2">
        <f t="shared" ca="1" si="4"/>
        <v>0.28252573248431356</v>
      </c>
      <c r="F178" s="1">
        <v>0.2</v>
      </c>
      <c r="G178" s="1">
        <f t="shared" ca="1" si="5"/>
        <v>0.57397941401254915</v>
      </c>
      <c r="H178" s="1">
        <f t="shared" ca="1" si="6"/>
        <v>0.22602058598745087</v>
      </c>
    </row>
    <row r="179" spans="1:8">
      <c r="A179" s="2">
        <f t="shared" ca="1" si="0"/>
        <v>0.27388991943511098</v>
      </c>
      <c r="B179" s="2">
        <f t="shared" ca="1" si="1"/>
        <v>7.3498441901316547E-2</v>
      </c>
      <c r="C179" s="2">
        <f t="shared" ca="1" si="2"/>
        <v>2.5130482330957774E-2</v>
      </c>
      <c r="D179" s="2">
        <f t="shared" ca="1" si="3"/>
        <v>0.89387840571738308</v>
      </c>
      <c r="E179" s="2">
        <f t="shared" ca="1" si="4"/>
        <v>0.10612159428261692</v>
      </c>
      <c r="F179" s="1">
        <v>0.2</v>
      </c>
      <c r="G179" s="1">
        <f t="shared" ca="1" si="5"/>
        <v>0.71510272457390656</v>
      </c>
      <c r="H179" s="1">
        <f t="shared" ca="1" si="6"/>
        <v>8.4897275426093544E-2</v>
      </c>
    </row>
    <row r="180" spans="1:8">
      <c r="A180" s="2">
        <f t="shared" ca="1" si="0"/>
        <v>0.8874695845723386</v>
      </c>
      <c r="B180" s="2">
        <f t="shared" ca="1" si="1"/>
        <v>8.8301625299219727E-2</v>
      </c>
      <c r="C180" s="2">
        <f t="shared" ca="1" si="2"/>
        <v>8.3365006721360838E-2</v>
      </c>
      <c r="D180" s="2">
        <f t="shared" ca="1" si="3"/>
        <v>0.51075653472788929</v>
      </c>
      <c r="E180" s="2">
        <f t="shared" ca="1" si="4"/>
        <v>0.48924346527211071</v>
      </c>
      <c r="F180" s="1">
        <v>0.2</v>
      </c>
      <c r="G180" s="1">
        <f t="shared" ca="1" si="5"/>
        <v>0.40860522778231145</v>
      </c>
      <c r="H180" s="1">
        <f t="shared" ca="1" si="6"/>
        <v>0.39139477221768859</v>
      </c>
    </row>
    <row r="181" spans="1:8">
      <c r="A181" s="2">
        <f t="shared" ca="1" si="0"/>
        <v>0.94903550438532058</v>
      </c>
      <c r="B181" s="2">
        <f t="shared" ca="1" si="1"/>
        <v>0.1047837797213272</v>
      </c>
      <c r="C181" s="2">
        <f t="shared" ca="1" si="2"/>
        <v>0.10444352723923009</v>
      </c>
      <c r="D181" s="2">
        <f t="shared" ca="1" si="3"/>
        <v>0.37208205763664426</v>
      </c>
      <c r="E181" s="2">
        <f t="shared" ca="1" si="4"/>
        <v>0.62791794236335574</v>
      </c>
      <c r="F181" s="1">
        <v>0.2</v>
      </c>
      <c r="G181" s="1">
        <f t="shared" ca="1" si="5"/>
        <v>0.2976656461093154</v>
      </c>
      <c r="H181" s="1">
        <f t="shared" ca="1" si="6"/>
        <v>0.50233435389068459</v>
      </c>
    </row>
    <row r="182" spans="1:8">
      <c r="A182" s="2">
        <f t="shared" ca="1" si="0"/>
        <v>0.97625595054078751</v>
      </c>
      <c r="B182" s="2">
        <f t="shared" ca="1" si="1"/>
        <v>0.14718203069336944</v>
      </c>
      <c r="C182" s="2">
        <f t="shared" ca="1" si="2"/>
        <v>0.14868733327707875</v>
      </c>
      <c r="D182" s="2">
        <f t="shared" ca="1" si="3"/>
        <v>8.1004386335008283E-2</v>
      </c>
      <c r="E182" s="2">
        <f t="shared" ca="1" si="4"/>
        <v>0.91899561366499172</v>
      </c>
      <c r="F182" s="1">
        <v>0.2</v>
      </c>
      <c r="G182" s="1">
        <f t="shared" ca="1" si="5"/>
        <v>6.4803509068006623E-2</v>
      </c>
      <c r="H182" s="1">
        <f t="shared" ca="1" si="6"/>
        <v>0.73519649093199346</v>
      </c>
    </row>
    <row r="183" spans="1:8">
      <c r="A183" s="2">
        <f t="shared" ca="1" si="0"/>
        <v>0.67716256398414454</v>
      </c>
      <c r="B183" s="2">
        <f t="shared" ca="1" si="1"/>
        <v>7.3880453503790355E-2</v>
      </c>
      <c r="C183" s="2">
        <f t="shared" ca="1" si="2"/>
        <v>5.5029077322938047E-2</v>
      </c>
      <c r="D183" s="2">
        <f t="shared" ca="1" si="3"/>
        <v>0.69717712287540767</v>
      </c>
      <c r="E183" s="2">
        <f t="shared" ca="1" si="4"/>
        <v>0.30282287712459233</v>
      </c>
      <c r="F183" s="1">
        <v>0.2</v>
      </c>
      <c r="G183" s="1">
        <f t="shared" ca="1" si="5"/>
        <v>0.55774169830032616</v>
      </c>
      <c r="H183" s="1">
        <f t="shared" ca="1" si="6"/>
        <v>0.24225830169967388</v>
      </c>
    </row>
    <row r="184" spans="1:8">
      <c r="A184" s="2">
        <f t="shared" ca="1" si="0"/>
        <v>0.97573702589104749</v>
      </c>
      <c r="B184" s="2">
        <f t="shared" ca="1" si="1"/>
        <v>0.13728317302548643</v>
      </c>
      <c r="C184" s="2">
        <f t="shared" ca="1" si="2"/>
        <v>0.13895227495277421</v>
      </c>
      <c r="D184" s="2">
        <f t="shared" ca="1" si="3"/>
        <v>0.14505082267911706</v>
      </c>
      <c r="E184" s="2">
        <f t="shared" ca="1" si="4"/>
        <v>0.85494917732088294</v>
      </c>
      <c r="F184" s="1">
        <v>0.2</v>
      </c>
      <c r="G184" s="1">
        <f t="shared" ca="1" si="5"/>
        <v>0.11604065814329366</v>
      </c>
      <c r="H184" s="1">
        <f t="shared" ca="1" si="6"/>
        <v>0.68395934185670637</v>
      </c>
    </row>
    <row r="185" spans="1:8">
      <c r="A185" s="2">
        <f t="shared" ca="1" si="0"/>
        <v>0.15399314846138035</v>
      </c>
      <c r="B185" s="2">
        <f t="shared" ca="1" si="1"/>
        <v>7.6354756068753138E-2</v>
      </c>
      <c r="C185" s="2">
        <f t="shared" ca="1" si="2"/>
        <v>1.6758109287027985E-2</v>
      </c>
      <c r="D185" s="2">
        <f t="shared" ca="1" si="3"/>
        <v>0.94895980732218432</v>
      </c>
      <c r="E185" s="2">
        <f t="shared" ca="1" si="4"/>
        <v>5.1040192677815677E-2</v>
      </c>
      <c r="F185" s="1">
        <v>0.2</v>
      </c>
      <c r="G185" s="1">
        <f t="shared" ca="1" si="5"/>
        <v>0.75916784585774755</v>
      </c>
      <c r="H185" s="1">
        <f t="shared" ca="1" si="6"/>
        <v>4.0832154142252546E-2</v>
      </c>
    </row>
    <row r="186" spans="1:8">
      <c r="A186" s="2">
        <f t="shared" ca="1" si="0"/>
        <v>0.97627629533024174</v>
      </c>
      <c r="B186" s="2">
        <f t="shared" ca="1" si="1"/>
        <v>0.14449737787593947</v>
      </c>
      <c r="C186" s="2">
        <f t="shared" ca="1" si="2"/>
        <v>0.14606936475765622</v>
      </c>
      <c r="D186" s="2">
        <f t="shared" ca="1" si="3"/>
        <v>9.8227863436472274E-2</v>
      </c>
      <c r="E186" s="2">
        <f t="shared" ca="1" si="4"/>
        <v>0.90177213656352773</v>
      </c>
      <c r="F186" s="1">
        <v>0.2</v>
      </c>
      <c r="G186" s="1">
        <f t="shared" ca="1" si="5"/>
        <v>7.858229074917783E-2</v>
      </c>
      <c r="H186" s="1">
        <f t="shared" ca="1" si="6"/>
        <v>0.72141770925082227</v>
      </c>
    </row>
    <row r="187" spans="1:8">
      <c r="A187" s="2">
        <f t="shared" ca="1" si="0"/>
        <v>0.976037256669262</v>
      </c>
      <c r="B187" s="2">
        <f t="shared" ca="1" si="1"/>
        <v>0.13981781548612612</v>
      </c>
      <c r="C187" s="2">
        <f t="shared" ca="1" si="2"/>
        <v>0.1414673970605676</v>
      </c>
      <c r="D187" s="2">
        <f t="shared" ca="1" si="3"/>
        <v>0.12850396670679221</v>
      </c>
      <c r="E187" s="2">
        <f t="shared" ca="1" si="4"/>
        <v>0.87149603329320779</v>
      </c>
      <c r="F187" s="1">
        <v>0.2</v>
      </c>
      <c r="G187" s="1">
        <f t="shared" ca="1" si="5"/>
        <v>0.10280317336543376</v>
      </c>
      <c r="H187" s="1">
        <f t="shared" ca="1" si="6"/>
        <v>0.69719682663456628</v>
      </c>
    </row>
    <row r="188" spans="1:8">
      <c r="A188" s="2">
        <f t="shared" ca="1" si="0"/>
        <v>0.94130763554722696</v>
      </c>
      <c r="B188" s="2">
        <f t="shared" ca="1" si="1"/>
        <v>0.10139986469705564</v>
      </c>
      <c r="C188" s="2">
        <f t="shared" ca="1" si="2"/>
        <v>0.10044846688279419</v>
      </c>
      <c r="D188" s="2">
        <f t="shared" ca="1" si="3"/>
        <v>0.39836534945530144</v>
      </c>
      <c r="E188" s="2">
        <f t="shared" ca="1" si="4"/>
        <v>0.60163465054469856</v>
      </c>
      <c r="F188" s="1">
        <v>0.2</v>
      </c>
      <c r="G188" s="1">
        <f t="shared" ca="1" si="5"/>
        <v>0.31869227956424118</v>
      </c>
      <c r="H188" s="1">
        <f t="shared" ca="1" si="6"/>
        <v>0.48130772043575887</v>
      </c>
    </row>
    <row r="189" spans="1:8">
      <c r="A189" s="2">
        <f t="shared" ca="1" si="0"/>
        <v>0.86693002253398943</v>
      </c>
      <c r="B189" s="2">
        <f t="shared" ca="1" si="1"/>
        <v>8.5436213396707858E-2</v>
      </c>
      <c r="C189" s="2">
        <f t="shared" ca="1" si="2"/>
        <v>7.906721840522668E-2</v>
      </c>
      <c r="D189" s="2">
        <f t="shared" ca="1" si="3"/>
        <v>0.53903145786035078</v>
      </c>
      <c r="E189" s="2">
        <f t="shared" ca="1" si="4"/>
        <v>0.46096854213964922</v>
      </c>
      <c r="F189" s="1">
        <v>0.2</v>
      </c>
      <c r="G189" s="1">
        <f t="shared" ca="1" si="5"/>
        <v>0.43122516628828067</v>
      </c>
      <c r="H189" s="1">
        <f t="shared" ca="1" si="6"/>
        <v>0.36877483371171937</v>
      </c>
    </row>
    <row r="190" spans="1:8">
      <c r="A190" s="2">
        <f t="shared" ca="1" si="0"/>
        <v>0.96036617077435626</v>
      </c>
      <c r="B190" s="2">
        <f t="shared" ca="1" si="1"/>
        <v>0.11164306381824261</v>
      </c>
      <c r="C190" s="2">
        <f t="shared" ca="1" si="2"/>
        <v>0.11221822169264274</v>
      </c>
      <c r="D190" s="2">
        <f t="shared" ca="1" si="3"/>
        <v>0.32093275202208726</v>
      </c>
      <c r="E190" s="2">
        <f t="shared" ca="1" si="4"/>
        <v>0.67906724797791274</v>
      </c>
      <c r="F190" s="1">
        <v>0.2</v>
      </c>
      <c r="G190" s="1">
        <f t="shared" ca="1" si="5"/>
        <v>0.25674620161766981</v>
      </c>
      <c r="H190" s="1">
        <f t="shared" ca="1" si="6"/>
        <v>0.54325379838233023</v>
      </c>
    </row>
    <row r="191" spans="1:8">
      <c r="A191" s="2">
        <f t="shared" ca="1" si="0"/>
        <v>0.97622806883006275</v>
      </c>
      <c r="B191" s="2">
        <f t="shared" ca="1" si="1"/>
        <v>0.14804510211492039</v>
      </c>
      <c r="C191" s="2">
        <f t="shared" ca="1" si="2"/>
        <v>0.14952578413739817</v>
      </c>
      <c r="D191" s="2">
        <f t="shared" ca="1" si="3"/>
        <v>7.5488262253959437E-2</v>
      </c>
      <c r="E191" s="2">
        <f t="shared" ca="1" si="4"/>
        <v>0.92451173774604056</v>
      </c>
      <c r="F191" s="1">
        <v>0.2</v>
      </c>
      <c r="G191" s="1">
        <f t="shared" ca="1" si="5"/>
        <v>6.0390609803167551E-2</v>
      </c>
      <c r="H191" s="1">
        <f t="shared" ca="1" si="6"/>
        <v>0.73960939019683247</v>
      </c>
    </row>
    <row r="192" spans="1:8">
      <c r="A192" s="2">
        <f t="shared" ca="1" si="0"/>
        <v>0.96132220151204373</v>
      </c>
      <c r="B192" s="2">
        <f t="shared" ca="1" si="1"/>
        <v>0.11238903588982922</v>
      </c>
      <c r="C192" s="2">
        <f t="shared" ca="1" si="2"/>
        <v>0.11304207540742672</v>
      </c>
      <c r="D192" s="2">
        <f t="shared" ca="1" si="3"/>
        <v>0.31551266179324533</v>
      </c>
      <c r="E192" s="2">
        <f t="shared" ca="1" si="4"/>
        <v>0.68448733820675467</v>
      </c>
      <c r="F192" s="1">
        <v>0.2</v>
      </c>
      <c r="G192" s="1">
        <f t="shared" ca="1" si="5"/>
        <v>0.25241012943459629</v>
      </c>
      <c r="H192" s="1">
        <f t="shared" ca="1" si="6"/>
        <v>0.54758987056540376</v>
      </c>
    </row>
    <row r="193" spans="1:8">
      <c r="A193" s="2">
        <f t="shared" ca="1" si="0"/>
        <v>0.88241679119386451</v>
      </c>
      <c r="B193" s="2">
        <f t="shared" ca="1" si="1"/>
        <v>8.7532472904489386E-2</v>
      </c>
      <c r="C193" s="2">
        <f t="shared" ca="1" si="2"/>
        <v>8.2240123865643416E-2</v>
      </c>
      <c r="D193" s="2">
        <f t="shared" ca="1" si="3"/>
        <v>0.51815707983129333</v>
      </c>
      <c r="E193" s="2">
        <f t="shared" ca="1" si="4"/>
        <v>0.48184292016870667</v>
      </c>
      <c r="F193" s="1">
        <v>0.2</v>
      </c>
      <c r="G193" s="1">
        <f t="shared" ca="1" si="5"/>
        <v>0.4145256638650347</v>
      </c>
      <c r="H193" s="1">
        <f t="shared" ca="1" si="6"/>
        <v>0.38547433613496535</v>
      </c>
    </row>
    <row r="194" spans="1:8">
      <c r="A194" s="2">
        <f t="shared" ca="1" si="0"/>
        <v>0.90691153810115055</v>
      </c>
      <c r="B194" s="2">
        <f t="shared" ca="1" si="1"/>
        <v>9.1775718211272575E-2</v>
      </c>
      <c r="C194" s="2">
        <f t="shared" ca="1" si="2"/>
        <v>8.8232457763322988E-2</v>
      </c>
      <c r="D194" s="2">
        <f t="shared" ca="1" si="3"/>
        <v>0.47873383050445406</v>
      </c>
      <c r="E194" s="2">
        <f t="shared" ca="1" si="4"/>
        <v>0.52126616949554594</v>
      </c>
      <c r="F194" s="1">
        <v>0.2</v>
      </c>
      <c r="G194" s="1">
        <f t="shared" ca="1" si="5"/>
        <v>0.38298706440356328</v>
      </c>
      <c r="H194" s="1">
        <f t="shared" ca="1" si="6"/>
        <v>0.41701293559643676</v>
      </c>
    </row>
    <row r="195" spans="1:8">
      <c r="A195" s="2">
        <f t="shared" ca="1" si="0"/>
        <v>0.34421493742373183</v>
      </c>
      <c r="B195" s="2">
        <f t="shared" ca="1" si="1"/>
        <v>7.2417443565234649E-2</v>
      </c>
      <c r="C195" s="2">
        <f t="shared" ca="1" si="2"/>
        <v>2.9927165805193875E-2</v>
      </c>
      <c r="D195" s="2">
        <f t="shared" ca="1" si="3"/>
        <v>0.86232127759740873</v>
      </c>
      <c r="E195" s="2">
        <f t="shared" ca="1" si="4"/>
        <v>0.13767872240259127</v>
      </c>
      <c r="F195" s="1">
        <v>0.2</v>
      </c>
      <c r="G195" s="1">
        <f t="shared" ca="1" si="5"/>
        <v>0.68985702207792698</v>
      </c>
      <c r="H195" s="1">
        <f t="shared" ca="1" si="6"/>
        <v>0.11014297792207302</v>
      </c>
    </row>
    <row r="196" spans="1:8">
      <c r="A196" s="2">
        <f t="shared" ca="1" si="0"/>
        <v>0.97490178394635751</v>
      </c>
      <c r="B196" s="2">
        <f t="shared" ca="1" si="1"/>
        <v>0.13300296254407462</v>
      </c>
      <c r="C196" s="2">
        <f t="shared" ca="1" si="2"/>
        <v>0.13466482545436892</v>
      </c>
      <c r="D196" s="2">
        <f t="shared" ca="1" si="3"/>
        <v>0.17325772727388888</v>
      </c>
      <c r="E196" s="2">
        <f t="shared" ca="1" si="4"/>
        <v>0.82674227272611112</v>
      </c>
      <c r="F196" s="1">
        <v>0.2</v>
      </c>
      <c r="G196" s="1">
        <f t="shared" ca="1" si="5"/>
        <v>0.13860618181911111</v>
      </c>
      <c r="H196" s="1">
        <f t="shared" ca="1" si="6"/>
        <v>0.66139381818088894</v>
      </c>
    </row>
    <row r="197" spans="1:8">
      <c r="A197" s="2">
        <f t="shared" ca="1" si="0"/>
        <v>0.93315835345751608</v>
      </c>
      <c r="B197" s="2">
        <f t="shared" ca="1" si="1"/>
        <v>9.8491889474493555E-2</v>
      </c>
      <c r="C197" s="2">
        <f t="shared" ca="1" si="2"/>
        <v>9.6908529410938068E-2</v>
      </c>
      <c r="D197" s="2">
        <f t="shared" ca="1" si="3"/>
        <v>0.4216544117701444</v>
      </c>
      <c r="E197" s="2">
        <f t="shared" ca="1" si="4"/>
        <v>0.5783455882298556</v>
      </c>
      <c r="F197" s="1">
        <v>0.2</v>
      </c>
      <c r="G197" s="1">
        <f t="shared" ca="1" si="5"/>
        <v>0.33732352941611554</v>
      </c>
      <c r="H197" s="1">
        <f t="shared" ca="1" si="6"/>
        <v>0.4626764705838845</v>
      </c>
    </row>
    <row r="198" spans="1:8">
      <c r="A198" s="2">
        <f t="shared" ca="1" si="0"/>
        <v>0.88861322254646502</v>
      </c>
      <c r="B198" s="2">
        <f t="shared" ca="1" si="1"/>
        <v>8.8482385869142408E-2</v>
      </c>
      <c r="C198" s="2">
        <f t="shared" ca="1" si="2"/>
        <v>8.3626618045778436E-2</v>
      </c>
      <c r="D198" s="2">
        <f t="shared" ca="1" si="3"/>
        <v>0.50903540759356292</v>
      </c>
      <c r="E198" s="2">
        <f t="shared" ca="1" si="4"/>
        <v>0.49096459240643708</v>
      </c>
      <c r="F198" s="1">
        <v>0.2</v>
      </c>
      <c r="G198" s="1">
        <f t="shared" ca="1" si="5"/>
        <v>0.40722832607485038</v>
      </c>
      <c r="H198" s="1">
        <f t="shared" ca="1" si="6"/>
        <v>0.39277167392514967</v>
      </c>
    </row>
    <row r="199" spans="1:8">
      <c r="A199" s="2">
        <f t="shared" ca="1" si="0"/>
        <v>0.9490944868285367</v>
      </c>
      <c r="B199" s="2">
        <f t="shared" ca="1" si="1"/>
        <v>0.10481267461839795</v>
      </c>
      <c r="C199" s="2">
        <f t="shared" ca="1" si="2"/>
        <v>0.1044771316300748</v>
      </c>
      <c r="D199" s="2">
        <f t="shared" ca="1" si="3"/>
        <v>0.37186097611792901</v>
      </c>
      <c r="E199" s="2">
        <f t="shared" ca="1" si="4"/>
        <v>0.62813902388207099</v>
      </c>
      <c r="F199" s="1">
        <v>0.2</v>
      </c>
      <c r="G199" s="1">
        <f t="shared" ca="1" si="5"/>
        <v>0.29748878089434322</v>
      </c>
      <c r="H199" s="1">
        <f t="shared" ca="1" si="6"/>
        <v>0.50251121910565677</v>
      </c>
    </row>
    <row r="200" spans="1:8">
      <c r="A200" s="2">
        <f t="shared" ca="1" si="0"/>
        <v>0.87627624462588005</v>
      </c>
      <c r="B200" s="2">
        <f t="shared" ca="1" si="1"/>
        <v>8.6657435112564879E-2</v>
      </c>
      <c r="C200" s="2">
        <f t="shared" ca="1" si="2"/>
        <v>8.093585180934923E-2</v>
      </c>
      <c r="D200" s="2">
        <f t="shared" ca="1" si="3"/>
        <v>0.52673781704375511</v>
      </c>
      <c r="E200" s="2">
        <f t="shared" ca="1" si="4"/>
        <v>0.47326218295624489</v>
      </c>
      <c r="F200" s="1">
        <v>0.2</v>
      </c>
      <c r="G200" s="1">
        <f t="shared" ca="1" si="5"/>
        <v>0.4213902536350041</v>
      </c>
      <c r="H200" s="1">
        <f t="shared" ca="1" si="6"/>
        <v>0.37860974636499595</v>
      </c>
    </row>
    <row r="201" spans="1:8">
      <c r="A201" s="2">
        <f t="shared" ca="1" si="0"/>
        <v>0.97137354174874502</v>
      </c>
      <c r="B201" s="2">
        <f t="shared" ca="1" si="1"/>
        <v>0.12398531208039858</v>
      </c>
      <c r="C201" s="2">
        <f t="shared" ca="1" si="2"/>
        <v>0.12543605172036024</v>
      </c>
      <c r="D201" s="2">
        <f t="shared" ca="1" si="3"/>
        <v>0.23397334394499836</v>
      </c>
      <c r="E201" s="2">
        <f t="shared" ca="1" si="4"/>
        <v>0.76602665605500164</v>
      </c>
      <c r="F201" s="1">
        <v>0.2</v>
      </c>
      <c r="G201" s="1">
        <f t="shared" ca="1" si="5"/>
        <v>0.1871786751559987</v>
      </c>
      <c r="H201" s="1">
        <f t="shared" ca="1" si="6"/>
        <v>0.61282132484400131</v>
      </c>
    </row>
    <row r="202" spans="1:8">
      <c r="A202" s="2">
        <f t="shared" ca="1" si="0"/>
        <v>0.96821162043764053</v>
      </c>
      <c r="B202" s="2">
        <f t="shared" ca="1" si="1"/>
        <v>0.11924957808170591</v>
      </c>
      <c r="C202" s="2">
        <f t="shared" ca="1" si="2"/>
        <v>0.12045882723099342</v>
      </c>
      <c r="D202" s="2">
        <f t="shared" ca="1" si="3"/>
        <v>0.26671824190135918</v>
      </c>
      <c r="E202" s="2">
        <f t="shared" ca="1" si="4"/>
        <v>0.73328175809864082</v>
      </c>
      <c r="F202" s="1">
        <v>0.2</v>
      </c>
      <c r="G202" s="1">
        <f t="shared" ca="1" si="5"/>
        <v>0.21337459352108734</v>
      </c>
      <c r="H202" s="1">
        <f t="shared" ca="1" si="6"/>
        <v>0.5866254064789127</v>
      </c>
    </row>
    <row r="203" spans="1:8">
      <c r="A203" s="2">
        <f t="shared" ca="1" si="0"/>
        <v>0.96904477258655608</v>
      </c>
      <c r="B203" s="2">
        <f t="shared" ca="1" si="1"/>
        <v>0.12034849360565786</v>
      </c>
      <c r="C203" s="2">
        <f t="shared" ca="1" si="2"/>
        <v>0.12162307861722932</v>
      </c>
      <c r="D203" s="2">
        <f t="shared" ca="1" si="3"/>
        <v>0.25905869330770204</v>
      </c>
      <c r="E203" s="2">
        <f t="shared" ca="1" si="4"/>
        <v>0.74094130669229796</v>
      </c>
      <c r="F203" s="1">
        <v>0.2</v>
      </c>
      <c r="G203" s="1">
        <f t="shared" ca="1" si="5"/>
        <v>0.20724695464616164</v>
      </c>
      <c r="H203" s="1">
        <f t="shared" ca="1" si="6"/>
        <v>0.59275304535383844</v>
      </c>
    </row>
    <row r="204" spans="1:8">
      <c r="A204" s="2">
        <f t="shared" ca="1" si="0"/>
        <v>0.96155626861510524</v>
      </c>
      <c r="B204" s="2">
        <f t="shared" ca="1" si="1"/>
        <v>0.11257734573374738</v>
      </c>
      <c r="C204" s="2">
        <f t="shared" ca="1" si="2"/>
        <v>0.11324945249433477</v>
      </c>
      <c r="D204" s="2">
        <f t="shared" ca="1" si="3"/>
        <v>0.31414833885306082</v>
      </c>
      <c r="E204" s="2">
        <f t="shared" ca="1" si="4"/>
        <v>0.68585166114693918</v>
      </c>
      <c r="F204" s="1">
        <v>0.2</v>
      </c>
      <c r="G204" s="1">
        <f t="shared" ca="1" si="5"/>
        <v>0.25131867108244865</v>
      </c>
      <c r="H204" s="1">
        <f t="shared" ca="1" si="6"/>
        <v>0.54868132891755139</v>
      </c>
    </row>
    <row r="205" spans="1:8">
      <c r="A205" s="2">
        <f t="shared" ca="1" si="0"/>
        <v>0.47499170005705071</v>
      </c>
      <c r="B205" s="2">
        <f t="shared" ca="1" si="1"/>
        <v>7.1555814757208028E-2</v>
      </c>
      <c r="C205" s="2">
        <f t="shared" ca="1" si="2"/>
        <v>3.8988418100493638E-2</v>
      </c>
      <c r="D205" s="2">
        <f t="shared" ca="1" si="3"/>
        <v>0.80270777565464713</v>
      </c>
      <c r="E205" s="2">
        <f t="shared" ca="1" si="4"/>
        <v>0.19729222434535287</v>
      </c>
      <c r="F205" s="1">
        <v>0.2</v>
      </c>
      <c r="G205" s="1">
        <f t="shared" ca="1" si="5"/>
        <v>0.64216622052371775</v>
      </c>
      <c r="H205" s="1">
        <f t="shared" ca="1" si="6"/>
        <v>0.1578337794762823</v>
      </c>
    </row>
    <row r="206" spans="1:8">
      <c r="A206" s="2">
        <f t="shared" ca="1" si="0"/>
        <v>0.97627974998307598</v>
      </c>
      <c r="B206" s="2">
        <f t="shared" ca="1" si="1"/>
        <v>0.14575263120296572</v>
      </c>
      <c r="C206" s="2">
        <f t="shared" ca="1" si="2"/>
        <v>0.14729534235020686</v>
      </c>
      <c r="D206" s="2">
        <f t="shared" ca="1" si="3"/>
        <v>9.0162221380218011E-2</v>
      </c>
      <c r="E206" s="2">
        <f t="shared" ca="1" si="4"/>
        <v>0.90983777861978199</v>
      </c>
      <c r="F206" s="1">
        <v>0.2</v>
      </c>
      <c r="G206" s="1">
        <f t="shared" ca="1" si="5"/>
        <v>7.2129777104174411E-2</v>
      </c>
      <c r="H206" s="1">
        <f t="shared" ca="1" si="6"/>
        <v>0.72787022289582559</v>
      </c>
    </row>
    <row r="207" spans="1:8">
      <c r="A207" s="2">
        <f t="shared" ca="1" si="0"/>
        <v>0.7469748247020066</v>
      </c>
      <c r="B207" s="2">
        <f t="shared" ca="1" si="1"/>
        <v>7.6350722254833928E-2</v>
      </c>
      <c r="C207" s="2">
        <f t="shared" ca="1" si="2"/>
        <v>6.2032067372176168E-2</v>
      </c>
      <c r="D207" s="2">
        <f t="shared" ca="1" si="3"/>
        <v>0.65110481991989366</v>
      </c>
      <c r="E207" s="2">
        <f t="shared" ca="1" si="4"/>
        <v>0.34889518008010634</v>
      </c>
      <c r="F207" s="1">
        <v>0.2</v>
      </c>
      <c r="G207" s="1">
        <f t="shared" ca="1" si="5"/>
        <v>0.52088385593591491</v>
      </c>
      <c r="H207" s="1">
        <f t="shared" ca="1" si="6"/>
        <v>0.27911614406408508</v>
      </c>
    </row>
    <row r="208" spans="1:8">
      <c r="A208" s="2">
        <f t="shared" ca="1" si="0"/>
        <v>0.52153344689554826</v>
      </c>
      <c r="B208" s="2">
        <f t="shared" ca="1" si="1"/>
        <v>7.1639045812826083E-2</v>
      </c>
      <c r="C208" s="2">
        <f t="shared" ca="1" si="2"/>
        <v>4.236215849507128E-2</v>
      </c>
      <c r="D208" s="2">
        <f t="shared" ca="1" si="3"/>
        <v>0.78051211516400476</v>
      </c>
      <c r="E208" s="2">
        <f t="shared" ca="1" si="4"/>
        <v>0.21948788483599524</v>
      </c>
      <c r="F208" s="1">
        <v>0.2</v>
      </c>
      <c r="G208" s="1">
        <f t="shared" ca="1" si="5"/>
        <v>0.6244096921312039</v>
      </c>
      <c r="H208" s="1">
        <f t="shared" ca="1" si="6"/>
        <v>0.1755903078687962</v>
      </c>
    </row>
    <row r="209" spans="1:8">
      <c r="A209" s="2">
        <f t="shared" ca="1" si="0"/>
        <v>8.5498505020835919E-2</v>
      </c>
      <c r="B209" s="2">
        <f t="shared" ca="1" si="1"/>
        <v>7.8619663959956385E-2</v>
      </c>
      <c r="C209" s="2">
        <f t="shared" ca="1" si="2"/>
        <v>1.1721863733816763E-2</v>
      </c>
      <c r="D209" s="2">
        <f t="shared" ca="1" si="3"/>
        <v>0.98209300175120551</v>
      </c>
      <c r="E209" s="2">
        <f t="shared" ca="1" si="4"/>
        <v>1.7906998248794492E-2</v>
      </c>
      <c r="F209" s="1">
        <v>0.2</v>
      </c>
      <c r="G209" s="1">
        <f t="shared" ca="1" si="5"/>
        <v>0.78567440140096445</v>
      </c>
      <c r="H209" s="1">
        <f t="shared" ca="1" si="6"/>
        <v>1.4325598599035594E-2</v>
      </c>
    </row>
    <row r="210" spans="1:8">
      <c r="A210" s="2">
        <f t="shared" ca="1" si="0"/>
        <v>0.87281614833363363</v>
      </c>
      <c r="B210" s="2">
        <f t="shared" ca="1" si="1"/>
        <v>8.6190648745825882E-2</v>
      </c>
      <c r="C210" s="2">
        <f t="shared" ca="1" si="2"/>
        <v>8.0228590060708885E-2</v>
      </c>
      <c r="D210" s="2">
        <f t="shared" ca="1" si="3"/>
        <v>0.53139085486375748</v>
      </c>
      <c r="E210" s="2">
        <f t="shared" ca="1" si="4"/>
        <v>0.46860914513624252</v>
      </c>
      <c r="F210" s="1">
        <v>0.2</v>
      </c>
      <c r="G210" s="1">
        <f t="shared" ca="1" si="5"/>
        <v>0.42511268389100598</v>
      </c>
      <c r="H210" s="1">
        <f t="shared" ca="1" si="6"/>
        <v>0.37488731610899406</v>
      </c>
    </row>
    <row r="211" spans="1:8">
      <c r="A211" s="2">
        <f t="shared" ca="1" si="0"/>
        <v>0.97626444996308115</v>
      </c>
      <c r="B211" s="2">
        <f t="shared" ca="1" si="1"/>
        <v>0.14382000664943573</v>
      </c>
      <c r="C211" s="2">
        <f t="shared" ca="1" si="2"/>
        <v>0.14540635968529805</v>
      </c>
      <c r="D211" s="2">
        <f t="shared" ca="1" si="3"/>
        <v>0.102589738912513</v>
      </c>
      <c r="E211" s="2">
        <f t="shared" ca="1" si="4"/>
        <v>0.897410261087487</v>
      </c>
      <c r="F211" s="1">
        <v>0.2</v>
      </c>
      <c r="G211" s="1">
        <f t="shared" ca="1" si="5"/>
        <v>8.2071791130010396E-2</v>
      </c>
      <c r="H211" s="1">
        <f t="shared" ca="1" si="6"/>
        <v>0.71792820886998965</v>
      </c>
    </row>
    <row r="212" spans="1:8">
      <c r="A212" s="2">
        <f t="shared" ca="1" si="0"/>
        <v>0.92976588102927715</v>
      </c>
      <c r="B212" s="2">
        <f t="shared" ca="1" si="1"/>
        <v>9.7429125070903039E-2</v>
      </c>
      <c r="C212" s="2">
        <f t="shared" ca="1" si="2"/>
        <v>9.5586276309459803E-2</v>
      </c>
      <c r="D212" s="2">
        <f t="shared" ca="1" si="3"/>
        <v>0.43035344533250142</v>
      </c>
      <c r="E212" s="2">
        <f t="shared" ca="1" si="4"/>
        <v>0.56964655466749858</v>
      </c>
      <c r="F212" s="1">
        <v>0.2</v>
      </c>
      <c r="G212" s="1">
        <f t="shared" ca="1" si="5"/>
        <v>0.34428275626600113</v>
      </c>
      <c r="H212" s="1">
        <f t="shared" ca="1" si="6"/>
        <v>0.45571724373399891</v>
      </c>
    </row>
    <row r="213" spans="1:8">
      <c r="A213" s="2">
        <f t="shared" ca="1" si="0"/>
        <v>0.23765453722681942</v>
      </c>
      <c r="B213" s="2">
        <f t="shared" ca="1" si="1"/>
        <v>7.4223172160291687E-2</v>
      </c>
      <c r="C213" s="2">
        <f t="shared" ca="1" si="2"/>
        <v>2.2639473631260669E-2</v>
      </c>
      <c r="D213" s="2">
        <f t="shared" ca="1" si="3"/>
        <v>0.9102666208469693</v>
      </c>
      <c r="E213" s="2">
        <f t="shared" ca="1" si="4"/>
        <v>8.9733379153030701E-2</v>
      </c>
      <c r="F213" s="1">
        <v>0.2</v>
      </c>
      <c r="G213" s="1">
        <f t="shared" ca="1" si="5"/>
        <v>0.72821329667757551</v>
      </c>
      <c r="H213" s="1">
        <f t="shared" ca="1" si="6"/>
        <v>7.1786703322424567E-2</v>
      </c>
    </row>
    <row r="214" spans="1:8">
      <c r="A214" s="2">
        <f t="shared" ca="1" si="0"/>
        <v>0.22941243401824085</v>
      </c>
      <c r="B214" s="2">
        <f t="shared" ca="1" si="1"/>
        <v>7.4404319501229652E-2</v>
      </c>
      <c r="C214" s="2">
        <f t="shared" ca="1" si="2"/>
        <v>2.2069276038247959E-2</v>
      </c>
      <c r="D214" s="2">
        <f t="shared" ca="1" si="3"/>
        <v>0.91401792080100031</v>
      </c>
      <c r="E214" s="2">
        <f t="shared" ca="1" si="4"/>
        <v>8.5982079198999695E-2</v>
      </c>
      <c r="F214" s="1">
        <v>0.2</v>
      </c>
      <c r="G214" s="1">
        <f t="shared" ca="1" si="5"/>
        <v>0.73121433664080027</v>
      </c>
      <c r="H214" s="1">
        <f t="shared" ca="1" si="6"/>
        <v>6.8785663359199764E-2</v>
      </c>
    </row>
    <row r="215" spans="1:8">
      <c r="A215" s="2">
        <f t="shared" ca="1" si="0"/>
        <v>0.20304432552299939</v>
      </c>
      <c r="B215" s="2">
        <f t="shared" ca="1" si="1"/>
        <v>7.5025349503954814E-2</v>
      </c>
      <c r="C215" s="2">
        <f t="shared" ca="1" si="2"/>
        <v>2.0233471487157803E-2</v>
      </c>
      <c r="D215" s="2">
        <f t="shared" ca="1" si="3"/>
        <v>0.92609558232133027</v>
      </c>
      <c r="E215" s="2">
        <f t="shared" ca="1" si="4"/>
        <v>7.3904417678669732E-2</v>
      </c>
      <c r="F215" s="1">
        <v>0.2</v>
      </c>
      <c r="G215" s="1">
        <f t="shared" ca="1" si="5"/>
        <v>0.74087646585706424</v>
      </c>
      <c r="H215" s="1">
        <f t="shared" ca="1" si="6"/>
        <v>5.9123534142935787E-2</v>
      </c>
    </row>
    <row r="216" spans="1:8">
      <c r="A216" s="2">
        <f t="shared" ca="1" si="0"/>
        <v>0.18882154275694363</v>
      </c>
      <c r="B216" s="2">
        <f t="shared" ca="1" si="1"/>
        <v>7.5387081636493505E-2</v>
      </c>
      <c r="C216" s="2">
        <f t="shared" ca="1" si="2"/>
        <v>1.923470505854636E-2</v>
      </c>
      <c r="D216" s="2">
        <f t="shared" ca="1" si="3"/>
        <v>0.93266641408851081</v>
      </c>
      <c r="E216" s="2">
        <f t="shared" ca="1" si="4"/>
        <v>6.7333585911489191E-2</v>
      </c>
      <c r="F216" s="1">
        <v>0.2</v>
      </c>
      <c r="G216" s="1">
        <f t="shared" ca="1" si="5"/>
        <v>0.74613313127080871</v>
      </c>
      <c r="H216" s="1">
        <f t="shared" ca="1" si="6"/>
        <v>5.3866868729191358E-2</v>
      </c>
    </row>
    <row r="217" spans="1:8">
      <c r="A217" s="2">
        <f t="shared" ca="1" si="0"/>
        <v>0.97152664919422471</v>
      </c>
      <c r="B217" s="2">
        <f t="shared" ca="1" si="1"/>
        <v>0.12426301631671044</v>
      </c>
      <c r="C217" s="2">
        <f t="shared" ca="1" si="2"/>
        <v>0.12572483186094097</v>
      </c>
      <c r="D217" s="2">
        <f t="shared" ca="1" si="3"/>
        <v>0.23207347459907268</v>
      </c>
      <c r="E217" s="2">
        <f t="shared" ca="1" si="4"/>
        <v>0.76792652540092732</v>
      </c>
      <c r="F217" s="1">
        <v>0.2</v>
      </c>
      <c r="G217" s="1">
        <f t="shared" ca="1" si="5"/>
        <v>0.18565877967925815</v>
      </c>
      <c r="H217" s="1">
        <f t="shared" ca="1" si="6"/>
        <v>0.6143412203207419</v>
      </c>
    </row>
    <row r="218" spans="1:8">
      <c r="A218" s="2">
        <f t="shared" ca="1" si="0"/>
        <v>0.9704993350585791</v>
      </c>
      <c r="B218" s="2">
        <f t="shared" ca="1" si="1"/>
        <v>0.12250311394058423</v>
      </c>
      <c r="C218" s="2">
        <f t="shared" ca="1" si="2"/>
        <v>0.12388919062194235</v>
      </c>
      <c r="D218" s="2">
        <f t="shared" ca="1" si="3"/>
        <v>0.24415006169774778</v>
      </c>
      <c r="E218" s="2">
        <f t="shared" ca="1" si="4"/>
        <v>0.75584993830225222</v>
      </c>
      <c r="F218" s="1">
        <v>0.2</v>
      </c>
      <c r="G218" s="1">
        <f t="shared" ca="1" si="5"/>
        <v>0.19532004935819824</v>
      </c>
      <c r="H218" s="1">
        <f t="shared" ca="1" si="6"/>
        <v>0.6046799506418018</v>
      </c>
    </row>
    <row r="219" spans="1:8">
      <c r="A219" s="2">
        <f t="shared" ca="1" si="0"/>
        <v>0.81732974715930551</v>
      </c>
      <c r="B219" s="2">
        <f t="shared" ca="1" si="1"/>
        <v>8.0554652944922547E-2</v>
      </c>
      <c r="C219" s="2">
        <f t="shared" ca="1" si="2"/>
        <v>7.0839714123979158E-2</v>
      </c>
      <c r="D219" s="2">
        <f t="shared" ca="1" si="3"/>
        <v>0.59315977550013721</v>
      </c>
      <c r="E219" s="2">
        <f t="shared" ca="1" si="4"/>
        <v>0.40684022449986279</v>
      </c>
      <c r="F219" s="1">
        <v>0.2</v>
      </c>
      <c r="G219" s="1">
        <f t="shared" ca="1" si="5"/>
        <v>0.47452782040010977</v>
      </c>
      <c r="H219" s="1">
        <f t="shared" ca="1" si="6"/>
        <v>0.32547217959989028</v>
      </c>
    </row>
    <row r="220" spans="1:8">
      <c r="A220" s="2">
        <f t="shared" ca="1" si="0"/>
        <v>0.96938325670367076</v>
      </c>
      <c r="B220" s="2">
        <f t="shared" ca="1" si="1"/>
        <v>0.12082069244489822</v>
      </c>
      <c r="C220" s="2">
        <f t="shared" ca="1" si="2"/>
        <v>0.12212155631942803</v>
      </c>
      <c r="D220" s="2">
        <f t="shared" ca="1" si="3"/>
        <v>0.25577923474060515</v>
      </c>
      <c r="E220" s="2">
        <f t="shared" ca="1" si="4"/>
        <v>0.74422076525939485</v>
      </c>
      <c r="F220" s="1">
        <v>0.2</v>
      </c>
      <c r="G220" s="1">
        <f t="shared" ca="1" si="5"/>
        <v>0.20462338779248412</v>
      </c>
      <c r="H220" s="1">
        <f t="shared" ca="1" si="6"/>
        <v>0.59537661220751592</v>
      </c>
    </row>
    <row r="221" spans="1:8">
      <c r="A221" s="2">
        <f t="shared" ca="1" si="0"/>
        <v>0.76070775762245224</v>
      </c>
      <c r="B221" s="2">
        <f t="shared" ca="1" si="1"/>
        <v>7.7004143597132965E-2</v>
      </c>
      <c r="C221" s="2">
        <f t="shared" ca="1" si="2"/>
        <v>6.3577649403412331E-2</v>
      </c>
      <c r="D221" s="2">
        <f t="shared" ca="1" si="3"/>
        <v>0.64093651708281363</v>
      </c>
      <c r="E221" s="2">
        <f t="shared" ca="1" si="4"/>
        <v>0.35906348291718637</v>
      </c>
      <c r="F221" s="1">
        <v>0.2</v>
      </c>
      <c r="G221" s="1">
        <f t="shared" ca="1" si="5"/>
        <v>0.51274921366625092</v>
      </c>
      <c r="H221" s="1">
        <f t="shared" ca="1" si="6"/>
        <v>0.28725078633374912</v>
      </c>
    </row>
    <row r="222" spans="1:8">
      <c r="A222" s="2">
        <f t="shared" ca="1" si="0"/>
        <v>0.97627761419849013</v>
      </c>
      <c r="B222" s="2">
        <f t="shared" ca="1" si="1"/>
        <v>0.14461383939656525</v>
      </c>
      <c r="C222" s="2">
        <f t="shared" ca="1" si="2"/>
        <v>0.14618325410616234</v>
      </c>
      <c r="D222" s="2">
        <f t="shared" ca="1" si="3"/>
        <v>9.7478591406826798E-2</v>
      </c>
      <c r="E222" s="2">
        <f t="shared" ca="1" si="4"/>
        <v>0.9025214085931732</v>
      </c>
      <c r="F222" s="1">
        <v>0.2</v>
      </c>
      <c r="G222" s="1">
        <f t="shared" ca="1" si="5"/>
        <v>7.7982873125461441E-2</v>
      </c>
      <c r="H222" s="1">
        <f t="shared" ca="1" si="6"/>
        <v>0.72201712687453856</v>
      </c>
    </row>
    <row r="223" spans="1:8">
      <c r="A223" s="2">
        <f t="shared" ca="1" si="0"/>
        <v>0.8032251764979722</v>
      </c>
      <c r="B223" s="2">
        <f t="shared" ca="1" si="1"/>
        <v>7.9516287898647342E-2</v>
      </c>
      <c r="C223" s="2">
        <f t="shared" ca="1" si="2"/>
        <v>6.8869484381854584E-2</v>
      </c>
      <c r="D223" s="2">
        <f t="shared" ca="1" si="3"/>
        <v>0.60612181327727255</v>
      </c>
      <c r="E223" s="2">
        <f t="shared" ca="1" si="4"/>
        <v>0.39387818672272745</v>
      </c>
      <c r="F223" s="1">
        <v>0.2</v>
      </c>
      <c r="G223" s="1">
        <f t="shared" ca="1" si="5"/>
        <v>0.48489745062181805</v>
      </c>
      <c r="H223" s="1">
        <f t="shared" ca="1" si="6"/>
        <v>0.315102549378182</v>
      </c>
    </row>
    <row r="224" spans="1:8">
      <c r="A224" s="2">
        <f t="shared" ca="1" si="0"/>
        <v>0.97606469830365927</v>
      </c>
      <c r="B224" s="2">
        <f t="shared" ca="1" si="1"/>
        <v>0.14012253629826912</v>
      </c>
      <c r="C224" s="2">
        <f t="shared" ca="1" si="2"/>
        <v>0.1417686611175136</v>
      </c>
      <c r="D224" s="2">
        <f t="shared" ca="1" si="3"/>
        <v>0.12652196633214752</v>
      </c>
      <c r="E224" s="2">
        <f t="shared" ca="1" si="4"/>
        <v>0.87347803366785248</v>
      </c>
      <c r="F224" s="1">
        <v>0.2</v>
      </c>
      <c r="G224" s="1">
        <f t="shared" ca="1" si="5"/>
        <v>0.10121757306571802</v>
      </c>
      <c r="H224" s="1">
        <f t="shared" ca="1" si="6"/>
        <v>0.69878242693428205</v>
      </c>
    </row>
    <row r="225" spans="1:8">
      <c r="A225" s="2">
        <f t="shared" ca="1" si="0"/>
        <v>0.91640081807019436</v>
      </c>
      <c r="B225" s="2">
        <f t="shared" ca="1" si="1"/>
        <v>9.3859461725614463E-2</v>
      </c>
      <c r="C225" s="2">
        <f t="shared" ca="1" si="2"/>
        <v>9.1012887508981191E-2</v>
      </c>
      <c r="D225" s="2">
        <f t="shared" ca="1" si="3"/>
        <v>0.46044152954617645</v>
      </c>
      <c r="E225" s="2">
        <f t="shared" ca="1" si="4"/>
        <v>0.53955847045382355</v>
      </c>
      <c r="F225" s="1">
        <v>0.2</v>
      </c>
      <c r="G225" s="1">
        <f t="shared" ca="1" si="5"/>
        <v>0.36835322363694117</v>
      </c>
      <c r="H225" s="1">
        <f t="shared" ca="1" si="6"/>
        <v>0.43164677636305887</v>
      </c>
    </row>
    <row r="226" spans="1:8">
      <c r="A226" s="2">
        <f t="shared" ca="1" si="0"/>
        <v>0.94899888217889172</v>
      </c>
      <c r="B226" s="2">
        <f t="shared" ca="1" si="1"/>
        <v>0.10476586589113468</v>
      </c>
      <c r="C226" s="2">
        <f t="shared" ca="1" si="2"/>
        <v>0.1044226896211905</v>
      </c>
      <c r="D226" s="2">
        <f t="shared" ca="1" si="3"/>
        <v>0.37221914722900995</v>
      </c>
      <c r="E226" s="2">
        <f t="shared" ca="1" si="4"/>
        <v>0.62778085277099005</v>
      </c>
      <c r="F226" s="1">
        <v>0.2</v>
      </c>
      <c r="G226" s="1">
        <f t="shared" ca="1" si="5"/>
        <v>0.29777531778320798</v>
      </c>
      <c r="H226" s="1">
        <f t="shared" ca="1" si="6"/>
        <v>0.50222468221679206</v>
      </c>
    </row>
    <row r="227" spans="1:8">
      <c r="A227" s="2">
        <f t="shared" ca="1" si="0"/>
        <v>0.97624846049205594</v>
      </c>
      <c r="B227" s="2">
        <f t="shared" ca="1" si="1"/>
        <v>0.14323816701728148</v>
      </c>
      <c r="C227" s="2">
        <f t="shared" ca="1" si="2"/>
        <v>0.14483604003432504</v>
      </c>
      <c r="D227" s="2">
        <f t="shared" ca="1" si="3"/>
        <v>0.10634184187944062</v>
      </c>
      <c r="E227" s="2">
        <f t="shared" ca="1" si="4"/>
        <v>0.89365815812055938</v>
      </c>
      <c r="F227" s="1">
        <v>0.2</v>
      </c>
      <c r="G227" s="1">
        <f t="shared" ca="1" si="5"/>
        <v>8.5073473503552502E-2</v>
      </c>
      <c r="H227" s="1">
        <f t="shared" ca="1" si="6"/>
        <v>0.7149265264964475</v>
      </c>
    </row>
    <row r="228" spans="1:8">
      <c r="A228" s="2">
        <f t="shared" ca="1" si="0"/>
        <v>0.97462677393242003</v>
      </c>
      <c r="B228" s="2">
        <f t="shared" ca="1" si="1"/>
        <v>0.13195838319040976</v>
      </c>
      <c r="C228" s="2">
        <f t="shared" ca="1" si="2"/>
        <v>0.13361017330220715</v>
      </c>
      <c r="D228" s="2">
        <f t="shared" ca="1" si="3"/>
        <v>0.18019622827495307</v>
      </c>
      <c r="E228" s="2">
        <f t="shared" ca="1" si="4"/>
        <v>0.81980377172504693</v>
      </c>
      <c r="F228" s="1">
        <v>0.2</v>
      </c>
      <c r="G228" s="1">
        <f t="shared" ca="1" si="5"/>
        <v>0.14415698261996246</v>
      </c>
      <c r="H228" s="1">
        <f t="shared" ca="1" si="6"/>
        <v>0.65584301738003759</v>
      </c>
    </row>
    <row r="229" spans="1:8">
      <c r="A229" s="2">
        <f t="shared" ca="1" si="0"/>
        <v>0.97622985478520607</v>
      </c>
      <c r="B229" s="2">
        <f t="shared" ca="1" si="1"/>
        <v>0.14799770243044916</v>
      </c>
      <c r="C229" s="2">
        <f t="shared" ca="1" si="2"/>
        <v>0.14947977555222153</v>
      </c>
      <c r="D229" s="2">
        <f t="shared" ca="1" si="3"/>
        <v>7.579095031433225E-2</v>
      </c>
      <c r="E229" s="2">
        <f t="shared" ca="1" si="4"/>
        <v>0.92420904968566775</v>
      </c>
      <c r="F229" s="1">
        <v>0.2</v>
      </c>
      <c r="G229" s="1">
        <f t="shared" ca="1" si="5"/>
        <v>6.06327602514658E-2</v>
      </c>
      <c r="H229" s="1">
        <f t="shared" ca="1" si="6"/>
        <v>0.73936723974853424</v>
      </c>
    </row>
    <row r="230" spans="1:8">
      <c r="A230" s="2">
        <f t="shared" ca="1" si="0"/>
        <v>0.27107260543840689</v>
      </c>
      <c r="B230" s="2">
        <f t="shared" ca="1" si="1"/>
        <v>7.3550649547606067E-2</v>
      </c>
      <c r="C230" s="2">
        <f t="shared" ca="1" si="2"/>
        <v>2.4937566204556762E-2</v>
      </c>
      <c r="D230" s="2">
        <f t="shared" ca="1" si="3"/>
        <v>0.89514759075949502</v>
      </c>
      <c r="E230" s="2">
        <f t="shared" ca="1" si="4"/>
        <v>0.10485240924050498</v>
      </c>
      <c r="F230" s="1">
        <v>0.2</v>
      </c>
      <c r="G230" s="1">
        <f t="shared" ca="1" si="5"/>
        <v>0.71611807260759608</v>
      </c>
      <c r="H230" s="1">
        <f t="shared" ca="1" si="6"/>
        <v>8.3881927392403993E-2</v>
      </c>
    </row>
    <row r="231" spans="1:8">
      <c r="A231" s="2">
        <f t="shared" ca="1" si="0"/>
        <v>0.97625417506855905</v>
      </c>
      <c r="B231" s="2">
        <f t="shared" ca="1" si="1"/>
        <v>0.14342446568170283</v>
      </c>
      <c r="C231" s="2">
        <f t="shared" ca="1" si="2"/>
        <v>0.14501873342873967</v>
      </c>
      <c r="D231" s="2">
        <f t="shared" ca="1" si="3"/>
        <v>0.10513991165302861</v>
      </c>
      <c r="E231" s="2">
        <f t="shared" ca="1" si="4"/>
        <v>0.89486008834697139</v>
      </c>
      <c r="F231" s="1">
        <v>0.2</v>
      </c>
      <c r="G231" s="1">
        <f t="shared" ca="1" si="5"/>
        <v>8.4111929322422896E-2</v>
      </c>
      <c r="H231" s="1">
        <f t="shared" ca="1" si="6"/>
        <v>0.7158880706775772</v>
      </c>
    </row>
    <row r="232" spans="1:8">
      <c r="A232" s="2">
        <f t="shared" ca="1" si="0"/>
        <v>7.5433644363768815E-2</v>
      </c>
      <c r="B232" s="2">
        <f t="shared" ca="1" si="1"/>
        <v>7.8995892418749838E-2</v>
      </c>
      <c r="C232" s="2">
        <f t="shared" ca="1" si="2"/>
        <v>1.0958948054914517E-2</v>
      </c>
      <c r="D232" s="2">
        <f t="shared" ca="1" si="3"/>
        <v>0.98711218384924659</v>
      </c>
      <c r="E232" s="2">
        <f t="shared" ca="1" si="4"/>
        <v>1.2887816150753406E-2</v>
      </c>
      <c r="F232" s="1">
        <v>0.2</v>
      </c>
      <c r="G232" s="1">
        <f t="shared" ca="1" si="5"/>
        <v>0.78968974707939732</v>
      </c>
      <c r="H232" s="1">
        <f t="shared" ca="1" si="6"/>
        <v>1.0310252920602725E-2</v>
      </c>
    </row>
    <row r="233" spans="1:8">
      <c r="A233" s="2">
        <f t="shared" ca="1" si="0"/>
        <v>0.97604800403925362</v>
      </c>
      <c r="B233" s="2">
        <f t="shared" ca="1" si="1"/>
        <v>0.13993482232396637</v>
      </c>
      <c r="C233" s="2">
        <f t="shared" ca="1" si="2"/>
        <v>0.14158310402489496</v>
      </c>
      <c r="D233" s="2">
        <f t="shared" ca="1" si="3"/>
        <v>0.1277427366783227</v>
      </c>
      <c r="E233" s="2">
        <f t="shared" ca="1" si="4"/>
        <v>0.8722572633216773</v>
      </c>
      <c r="F233" s="1">
        <v>0.2</v>
      </c>
      <c r="G233" s="1">
        <f t="shared" ca="1" si="5"/>
        <v>0.10219418934265817</v>
      </c>
      <c r="H233" s="1">
        <f t="shared" ca="1" si="6"/>
        <v>0.69780581065734193</v>
      </c>
    </row>
    <row r="234" spans="1:8">
      <c r="A234" s="2">
        <f t="shared" ca="1" si="0"/>
        <v>0.85381167825184601</v>
      </c>
      <c r="B234" s="2">
        <f t="shared" ca="1" si="1"/>
        <v>8.3913213764914965E-2</v>
      </c>
      <c r="C234" s="2">
        <f t="shared" ca="1" si="2"/>
        <v>7.6646081872127958E-2</v>
      </c>
      <c r="D234" s="2">
        <f t="shared" ca="1" si="3"/>
        <v>0.55495998768336874</v>
      </c>
      <c r="E234" s="2">
        <f t="shared" ca="1" si="4"/>
        <v>0.44504001231663126</v>
      </c>
      <c r="F234" s="1">
        <v>0.2</v>
      </c>
      <c r="G234" s="1">
        <f t="shared" ca="1" si="5"/>
        <v>0.44396799014669502</v>
      </c>
      <c r="H234" s="1">
        <f t="shared" ca="1" si="6"/>
        <v>0.35603200985330502</v>
      </c>
    </row>
    <row r="235" spans="1:8">
      <c r="A235" s="2">
        <f t="shared" ca="1" si="0"/>
        <v>0.97448654935258205</v>
      </c>
      <c r="B235" s="2">
        <f t="shared" ca="1" si="1"/>
        <v>0.1314661911903563</v>
      </c>
      <c r="C235" s="2">
        <f t="shared" ca="1" si="2"/>
        <v>0.13311203500961713</v>
      </c>
      <c r="D235" s="2">
        <f t="shared" ca="1" si="3"/>
        <v>0.18347345388409797</v>
      </c>
      <c r="E235" s="2">
        <f t="shared" ca="1" si="4"/>
        <v>0.81652654611590203</v>
      </c>
      <c r="F235" s="1">
        <v>0.2</v>
      </c>
      <c r="G235" s="1">
        <f t="shared" ca="1" si="5"/>
        <v>0.14677876310727839</v>
      </c>
      <c r="H235" s="1">
        <f t="shared" ca="1" si="6"/>
        <v>0.65322123689272171</v>
      </c>
    </row>
    <row r="236" spans="1:8">
      <c r="A236" s="2">
        <f t="shared" ca="1" si="0"/>
        <v>0.61489844839482077</v>
      </c>
      <c r="B236" s="2">
        <f t="shared" ca="1" si="1"/>
        <v>7.2557085283299266E-2</v>
      </c>
      <c r="C236" s="2">
        <f t="shared" ca="1" si="2"/>
        <v>4.9615239160751404E-2</v>
      </c>
      <c r="D236" s="2">
        <f t="shared" ca="1" si="3"/>
        <v>0.73279447920558294</v>
      </c>
      <c r="E236" s="2">
        <f t="shared" ca="1" si="4"/>
        <v>0.26720552079441706</v>
      </c>
      <c r="F236" s="1">
        <v>0.2</v>
      </c>
      <c r="G236" s="1">
        <f t="shared" ca="1" si="5"/>
        <v>0.58623558336446635</v>
      </c>
      <c r="H236" s="1">
        <f t="shared" ca="1" si="6"/>
        <v>0.21376441663553367</v>
      </c>
    </row>
    <row r="237" spans="1:8">
      <c r="A237" s="2">
        <f t="shared" ca="1" si="0"/>
        <v>0.97625960589161143</v>
      </c>
      <c r="B237" s="2">
        <f t="shared" ca="1" si="1"/>
        <v>0.14703910968442274</v>
      </c>
      <c r="C237" s="2">
        <f t="shared" ca="1" si="2"/>
        <v>0.14854834327116798</v>
      </c>
      <c r="D237" s="2">
        <f t="shared" ca="1" si="3"/>
        <v>8.19187942686318E-2</v>
      </c>
      <c r="E237" s="2">
        <f t="shared" ca="1" si="4"/>
        <v>0.9180812057313682</v>
      </c>
      <c r="F237" s="1">
        <v>0.2</v>
      </c>
      <c r="G237" s="1">
        <f t="shared" ca="1" si="5"/>
        <v>6.5535035414905449E-2</v>
      </c>
      <c r="H237" s="1">
        <f t="shared" ca="1" si="6"/>
        <v>0.73446496458509458</v>
      </c>
    </row>
    <row r="238" spans="1:8">
      <c r="A238" s="2">
        <f t="shared" ca="1" si="0"/>
        <v>0.6378037499879694</v>
      </c>
      <c r="B238" s="2">
        <f t="shared" ca="1" si="1"/>
        <v>7.296617730700207E-2</v>
      </c>
      <c r="C238" s="2">
        <f t="shared" ca="1" si="2"/>
        <v>5.1538101508692993E-2</v>
      </c>
      <c r="D238" s="2">
        <f t="shared" ca="1" si="3"/>
        <v>0.72014406902175665</v>
      </c>
      <c r="E238" s="2">
        <f t="shared" ca="1" si="4"/>
        <v>0.27985593097824335</v>
      </c>
      <c r="F238" s="1">
        <v>0.2</v>
      </c>
      <c r="G238" s="1">
        <f t="shared" ca="1" si="5"/>
        <v>0.57611525521740536</v>
      </c>
      <c r="H238" s="1">
        <f t="shared" ca="1" si="6"/>
        <v>0.22388474478259468</v>
      </c>
    </row>
    <row r="239" spans="1:8">
      <c r="A239" s="2">
        <f t="shared" ca="1" si="0"/>
        <v>0.23310889647080935</v>
      </c>
      <c r="B239" s="2">
        <f t="shared" ca="1" si="1"/>
        <v>7.4322321434415306E-2</v>
      </c>
      <c r="C239" s="2">
        <f t="shared" ca="1" si="2"/>
        <v>2.2325194332725333E-2</v>
      </c>
      <c r="D239" s="2">
        <f t="shared" ca="1" si="3"/>
        <v>0.91233424781101757</v>
      </c>
      <c r="E239" s="2">
        <f t="shared" ca="1" si="4"/>
        <v>8.7665752188982426E-2</v>
      </c>
      <c r="F239" s="1">
        <v>0.2</v>
      </c>
      <c r="G239" s="1">
        <f t="shared" ca="1" si="5"/>
        <v>0.72986739824881408</v>
      </c>
      <c r="H239" s="1">
        <f t="shared" ca="1" si="6"/>
        <v>7.013260175118595E-2</v>
      </c>
    </row>
    <row r="240" spans="1:8">
      <c r="A240" s="2">
        <f t="shared" ca="1" si="0"/>
        <v>0.92516310056224882</v>
      </c>
      <c r="B240" s="2">
        <f t="shared" ca="1" si="1"/>
        <v>9.6098929295157967E-2</v>
      </c>
      <c r="C240" s="2">
        <f t="shared" ca="1" si="2"/>
        <v>9.390718338742067E-2</v>
      </c>
      <c r="D240" s="2">
        <f t="shared" ca="1" si="3"/>
        <v>0.44140010929328521</v>
      </c>
      <c r="E240" s="2">
        <f t="shared" ca="1" si="4"/>
        <v>0.55859989070671479</v>
      </c>
      <c r="F240" s="1">
        <v>0.2</v>
      </c>
      <c r="G240" s="1">
        <f t="shared" ca="1" si="5"/>
        <v>0.35312008743462819</v>
      </c>
      <c r="H240" s="1">
        <f t="shared" ca="1" si="6"/>
        <v>0.44687991256537185</v>
      </c>
    </row>
    <row r="241" spans="1:8">
      <c r="A241" s="2">
        <f t="shared" ca="1" si="0"/>
        <v>0.45695366880099381</v>
      </c>
      <c r="B241" s="2">
        <f t="shared" ca="1" si="1"/>
        <v>7.158182585855194E-2</v>
      </c>
      <c r="C241" s="2">
        <f t="shared" ca="1" si="2"/>
        <v>3.7709577945539155E-2</v>
      </c>
      <c r="D241" s="2">
        <f t="shared" ca="1" si="3"/>
        <v>0.81112119772671609</v>
      </c>
      <c r="E241" s="2">
        <f t="shared" ca="1" si="4"/>
        <v>0.18887880227328391</v>
      </c>
      <c r="F241" s="1">
        <v>0.2</v>
      </c>
      <c r="G241" s="1">
        <f t="shared" ca="1" si="5"/>
        <v>0.64889695818137294</v>
      </c>
      <c r="H241" s="1">
        <f t="shared" ca="1" si="6"/>
        <v>0.15110304181862713</v>
      </c>
    </row>
    <row r="242" spans="1:8">
      <c r="A242" s="2">
        <f t="shared" ca="1" si="0"/>
        <v>0.95197861890378699</v>
      </c>
      <c r="B242" s="2">
        <f t="shared" ca="1" si="1"/>
        <v>0.10629542424884417</v>
      </c>
      <c r="C242" s="2">
        <f t="shared" ca="1" si="2"/>
        <v>0.10619097117220679</v>
      </c>
      <c r="D242" s="2">
        <f t="shared" ca="1" si="3"/>
        <v>0.36058571597232381</v>
      </c>
      <c r="E242" s="2">
        <f t="shared" ca="1" si="4"/>
        <v>0.63941428402767619</v>
      </c>
      <c r="F242" s="1">
        <v>0.2</v>
      </c>
      <c r="G242" s="1">
        <f t="shared" ca="1" si="5"/>
        <v>0.28846857277785903</v>
      </c>
      <c r="H242" s="1">
        <f t="shared" ca="1" si="6"/>
        <v>0.51153142722214096</v>
      </c>
    </row>
    <row r="243" spans="1:8">
      <c r="A243" s="2">
        <f t="shared" ca="1" si="0"/>
        <v>0.8092612243562699</v>
      </c>
      <c r="B243" s="2">
        <f t="shared" ca="1" si="1"/>
        <v>7.9945942350236485E-2</v>
      </c>
      <c r="C243" s="2">
        <f t="shared" ca="1" si="2"/>
        <v>6.9697151188668149E-2</v>
      </c>
      <c r="D243" s="2">
        <f t="shared" ca="1" si="3"/>
        <v>0.60067663691665696</v>
      </c>
      <c r="E243" s="2">
        <f t="shared" ca="1" si="4"/>
        <v>0.39932336308334304</v>
      </c>
      <c r="F243" s="1">
        <v>0.2</v>
      </c>
      <c r="G243" s="1">
        <f t="shared" ca="1" si="5"/>
        <v>0.48054130953332558</v>
      </c>
      <c r="H243" s="1">
        <f t="shared" ca="1" si="6"/>
        <v>0.31945869046667447</v>
      </c>
    </row>
    <row r="244" spans="1:8">
      <c r="A244" s="2">
        <f t="shared" ca="1" si="0"/>
        <v>0.36301690575585066</v>
      </c>
      <c r="B244" s="2">
        <f t="shared" ca="1" si="1"/>
        <v>7.2200440627725834E-2</v>
      </c>
      <c r="C244" s="2">
        <f t="shared" ca="1" si="2"/>
        <v>3.120998055088604E-2</v>
      </c>
      <c r="D244" s="2">
        <f t="shared" ca="1" si="3"/>
        <v>0.85388170690206555</v>
      </c>
      <c r="E244" s="2">
        <f t="shared" ca="1" si="4"/>
        <v>0.14611829309793445</v>
      </c>
      <c r="F244" s="1">
        <v>0.2</v>
      </c>
      <c r="G244" s="1">
        <f t="shared" ca="1" si="5"/>
        <v>0.68310536552165246</v>
      </c>
      <c r="H244" s="1">
        <f t="shared" ca="1" si="6"/>
        <v>0.11689463447834757</v>
      </c>
    </row>
    <row r="245" spans="1:8">
      <c r="A245" s="2">
        <f t="shared" ca="1" si="0"/>
        <v>0.97592971414617868</v>
      </c>
      <c r="B245" s="2">
        <f t="shared" ca="1" si="1"/>
        <v>0.13877570864296354</v>
      </c>
      <c r="C245" s="2">
        <f t="shared" ca="1" si="2"/>
        <v>0.14043533766636079</v>
      </c>
      <c r="D245" s="2">
        <f t="shared" ca="1" si="3"/>
        <v>0.13529383114236337</v>
      </c>
      <c r="E245" s="2">
        <f t="shared" ca="1" si="4"/>
        <v>0.86470616885763663</v>
      </c>
      <c r="F245" s="1">
        <v>0.2</v>
      </c>
      <c r="G245" s="1">
        <f t="shared" ca="1" si="5"/>
        <v>0.10823506491389071</v>
      </c>
      <c r="H245" s="1">
        <f t="shared" ca="1" si="6"/>
        <v>0.69176493508610937</v>
      </c>
    </row>
    <row r="246" spans="1:8">
      <c r="A246" s="2">
        <f t="shared" ca="1" si="0"/>
        <v>0.75920386775351878</v>
      </c>
      <c r="B246" s="2">
        <f t="shared" ca="1" si="1"/>
        <v>7.6929306282223164E-2</v>
      </c>
      <c r="C246" s="2">
        <f t="shared" ca="1" si="2"/>
        <v>6.3405026873058892E-2</v>
      </c>
      <c r="D246" s="2">
        <f t="shared" ca="1" si="3"/>
        <v>0.6420721916246126</v>
      </c>
      <c r="E246" s="2">
        <f t="shared" ca="1" si="4"/>
        <v>0.3579278083753874</v>
      </c>
      <c r="F246" s="1">
        <v>0.2</v>
      </c>
      <c r="G246" s="1">
        <f t="shared" ca="1" si="5"/>
        <v>0.5136577532996901</v>
      </c>
      <c r="H246" s="1">
        <f t="shared" ca="1" si="6"/>
        <v>0.28634224670030994</v>
      </c>
    </row>
    <row r="247" spans="1:8">
      <c r="A247" s="2">
        <f t="shared" ca="1" si="0"/>
        <v>0.71733033312121874</v>
      </c>
      <c r="B247" s="2">
        <f t="shared" ca="1" si="1"/>
        <v>7.5145857608596919E-2</v>
      </c>
      <c r="C247" s="2">
        <f t="shared" ca="1" si="2"/>
        <v>5.8904403071054497E-2</v>
      </c>
      <c r="D247" s="2">
        <f t="shared" ca="1" si="3"/>
        <v>0.67168155874306257</v>
      </c>
      <c r="E247" s="2">
        <f t="shared" ca="1" si="4"/>
        <v>0.32831844125693743</v>
      </c>
      <c r="F247" s="1">
        <v>0.2</v>
      </c>
      <c r="G247" s="1">
        <f t="shared" ca="1" si="5"/>
        <v>0.53734524699445008</v>
      </c>
      <c r="H247" s="1">
        <f t="shared" ca="1" si="6"/>
        <v>0.26265475300554997</v>
      </c>
    </row>
    <row r="248" spans="1:8">
      <c r="A248" s="2">
        <f t="shared" ca="1" si="0"/>
        <v>0.96902150265971421</v>
      </c>
      <c r="B248" s="2">
        <f t="shared" ca="1" si="1"/>
        <v>0.12031660956999811</v>
      </c>
      <c r="C248" s="2">
        <f t="shared" ca="1" si="2"/>
        <v>0.12158938180044172</v>
      </c>
      <c r="D248" s="2">
        <f t="shared" ca="1" si="3"/>
        <v>0.25928038289183097</v>
      </c>
      <c r="E248" s="2">
        <f t="shared" ca="1" si="4"/>
        <v>0.74071961710816903</v>
      </c>
      <c r="F248" s="1">
        <v>0.2</v>
      </c>
      <c r="G248" s="1">
        <f t="shared" ca="1" si="5"/>
        <v>0.20742430631346478</v>
      </c>
      <c r="H248" s="1">
        <f t="shared" ca="1" si="6"/>
        <v>0.59257569368653529</v>
      </c>
    </row>
    <row r="249" spans="1:8">
      <c r="A249" s="2">
        <f t="shared" ca="1" si="0"/>
        <v>0.97358233379454839</v>
      </c>
      <c r="B249" s="2">
        <f t="shared" ca="1" si="1"/>
        <v>0.12875368857811403</v>
      </c>
      <c r="C249" s="2">
        <f t="shared" ca="1" si="2"/>
        <v>0.13035231661053676</v>
      </c>
      <c r="D249" s="2">
        <f t="shared" ca="1" si="3"/>
        <v>0.20162949598331092</v>
      </c>
      <c r="E249" s="2">
        <f t="shared" ca="1" si="4"/>
        <v>0.79837050401668908</v>
      </c>
      <c r="F249" s="1">
        <v>0.2</v>
      </c>
      <c r="G249" s="1">
        <f t="shared" ca="1" si="5"/>
        <v>0.16130359678664874</v>
      </c>
      <c r="H249" s="1">
        <f t="shared" ca="1" si="6"/>
        <v>0.6386964032133513</v>
      </c>
    </row>
    <row r="250" spans="1:8">
      <c r="A250" s="2">
        <f t="shared" ca="1" si="0"/>
        <v>0.92962648257184888</v>
      </c>
      <c r="B250" s="2">
        <f t="shared" ca="1" si="1"/>
        <v>9.7387033620750019E-2</v>
      </c>
      <c r="C250" s="2">
        <f t="shared" ca="1" si="2"/>
        <v>9.5533565512964227E-2</v>
      </c>
      <c r="D250" s="2">
        <f t="shared" ca="1" si="3"/>
        <v>0.43070022688839327</v>
      </c>
      <c r="E250" s="2">
        <f t="shared" ca="1" si="4"/>
        <v>0.56929977311160673</v>
      </c>
      <c r="F250" s="1">
        <v>0.2</v>
      </c>
      <c r="G250" s="1">
        <f t="shared" ca="1" si="5"/>
        <v>0.34456018151071466</v>
      </c>
      <c r="H250" s="1">
        <f t="shared" ca="1" si="6"/>
        <v>0.45543981848928539</v>
      </c>
    </row>
    <row r="251" spans="1:8">
      <c r="A251" s="2">
        <f t="shared" ca="1" si="0"/>
        <v>0.79466967802581645</v>
      </c>
      <c r="B251" s="2">
        <f t="shared" ca="1" si="1"/>
        <v>7.8942004533496007E-2</v>
      </c>
      <c r="C251" s="2">
        <f t="shared" ca="1" si="2"/>
        <v>6.773281732534582E-2</v>
      </c>
      <c r="D251" s="2">
        <f t="shared" ca="1" si="3"/>
        <v>0.61359988601746174</v>
      </c>
      <c r="E251" s="2">
        <f t="shared" ca="1" si="4"/>
        <v>0.38640011398253826</v>
      </c>
      <c r="F251" s="1">
        <v>0.2</v>
      </c>
      <c r="G251" s="1">
        <f t="shared" ca="1" si="5"/>
        <v>0.49087990881396942</v>
      </c>
      <c r="H251" s="1">
        <f t="shared" ca="1" si="6"/>
        <v>0.30912009118603062</v>
      </c>
    </row>
    <row r="252" spans="1:8">
      <c r="A252" s="2">
        <f t="shared" ca="1" si="0"/>
        <v>0.97535492601689211</v>
      </c>
      <c r="B252" s="2">
        <f t="shared" ca="1" si="1"/>
        <v>0.1350405437289797</v>
      </c>
      <c r="C252" s="2">
        <f t="shared" ca="1" si="2"/>
        <v>0.13671245953805988</v>
      </c>
      <c r="D252" s="2">
        <f t="shared" ca="1" si="3"/>
        <v>0.15978645040750095</v>
      </c>
      <c r="E252" s="2">
        <f t="shared" ca="1" si="4"/>
        <v>0.84021354959249905</v>
      </c>
      <c r="F252" s="1">
        <v>0.2</v>
      </c>
      <c r="G252" s="1">
        <f t="shared" ca="1" si="5"/>
        <v>0.12782916032600075</v>
      </c>
      <c r="H252" s="1">
        <f t="shared" ca="1" si="6"/>
        <v>0.67217083967399927</v>
      </c>
    </row>
    <row r="253" spans="1:8">
      <c r="A253" s="2">
        <f t="shared" ca="1" si="0"/>
        <v>0.97551093322066262</v>
      </c>
      <c r="B253" s="2">
        <f t="shared" ca="1" si="1"/>
        <v>0.15640965499705692</v>
      </c>
      <c r="C253" s="2">
        <f t="shared" ca="1" si="2"/>
        <v>0.15757932851090087</v>
      </c>
      <c r="D253" s="2">
        <f t="shared" ca="1" si="3"/>
        <v>2.2504417691441847E-2</v>
      </c>
      <c r="E253" s="2">
        <f t="shared" ca="1" si="4"/>
        <v>0.97749558230855815</v>
      </c>
      <c r="F253" s="1">
        <v>0.2</v>
      </c>
      <c r="G253" s="1">
        <f t="shared" ca="1" si="5"/>
        <v>1.8003534153153478E-2</v>
      </c>
      <c r="H253" s="1">
        <f t="shared" ca="1" si="6"/>
        <v>0.78199646584684657</v>
      </c>
    </row>
    <row r="254" spans="1:8">
      <c r="A254" s="2">
        <f t="shared" ca="1" si="0"/>
        <v>0.95125235822703347</v>
      </c>
      <c r="B254" s="2">
        <f t="shared" ca="1" si="1"/>
        <v>0.10590852236087943</v>
      </c>
      <c r="C254" s="2">
        <f t="shared" ca="1" si="2"/>
        <v>0.10574573165212707</v>
      </c>
      <c r="D254" s="2">
        <f t="shared" ca="1" si="3"/>
        <v>0.36351492334126934</v>
      </c>
      <c r="E254" s="2">
        <f t="shared" ca="1" si="4"/>
        <v>0.63648507665873066</v>
      </c>
      <c r="F254" s="1">
        <v>0.2</v>
      </c>
      <c r="G254" s="1">
        <f t="shared" ca="1" si="5"/>
        <v>0.29081193867301547</v>
      </c>
      <c r="H254" s="1">
        <f t="shared" ca="1" si="6"/>
        <v>0.50918806132698458</v>
      </c>
    </row>
    <row r="255" spans="1:8">
      <c r="A255" s="2">
        <f t="shared" ca="1" si="0"/>
        <v>0.9452970382338618</v>
      </c>
      <c r="B255" s="2">
        <f t="shared" ca="1" si="1"/>
        <v>0.10305418222530564</v>
      </c>
      <c r="C255" s="2">
        <f t="shared" ca="1" si="2"/>
        <v>0.10241681323519411</v>
      </c>
      <c r="D255" s="2">
        <f t="shared" ca="1" si="3"/>
        <v>0.38541570240003886</v>
      </c>
      <c r="E255" s="2">
        <f t="shared" ca="1" si="4"/>
        <v>0.61458429759996114</v>
      </c>
      <c r="F255" s="1">
        <v>0.2</v>
      </c>
      <c r="G255" s="1">
        <f t="shared" ca="1" si="5"/>
        <v>0.30833256192003111</v>
      </c>
      <c r="H255" s="1">
        <f t="shared" ca="1" si="6"/>
        <v>0.49166743807996893</v>
      </c>
    </row>
    <row r="256" spans="1:8">
      <c r="A256" s="2">
        <f t="shared" ca="1" si="0"/>
        <v>0.97611849557068586</v>
      </c>
      <c r="B256" s="2">
        <f t="shared" ca="1" si="1"/>
        <v>0.14078755610705715</v>
      </c>
      <c r="C256" s="2">
        <f t="shared" ca="1" si="2"/>
        <v>0.14242533746229416</v>
      </c>
      <c r="D256" s="2">
        <f t="shared" ca="1" si="3"/>
        <v>0.12220172722174916</v>
      </c>
      <c r="E256" s="2">
        <f t="shared" ca="1" si="4"/>
        <v>0.87779827277825084</v>
      </c>
      <c r="F256" s="1">
        <v>0.2</v>
      </c>
      <c r="G256" s="1">
        <f t="shared" ca="1" si="5"/>
        <v>9.7761381777399334E-2</v>
      </c>
      <c r="H256" s="1">
        <f t="shared" ca="1" si="6"/>
        <v>0.7022386182226007</v>
      </c>
    </row>
    <row r="257" spans="1:8">
      <c r="A257" s="2">
        <f t="shared" ca="1" si="0"/>
        <v>0.97506918916760532</v>
      </c>
      <c r="B257" s="2">
        <f t="shared" ca="1" si="1"/>
        <v>0.13370152842755634</v>
      </c>
      <c r="C257" s="2">
        <f t="shared" ca="1" si="2"/>
        <v>0.13536824091432689</v>
      </c>
      <c r="D257" s="2">
        <f t="shared" ca="1" si="3"/>
        <v>0.16862999398469158</v>
      </c>
      <c r="E257" s="2">
        <f t="shared" ca="1" si="4"/>
        <v>0.83137000601530842</v>
      </c>
      <c r="F257" s="1">
        <v>0.2</v>
      </c>
      <c r="G257" s="1">
        <f t="shared" ca="1" si="5"/>
        <v>0.13490399518775328</v>
      </c>
      <c r="H257" s="1">
        <f t="shared" ca="1" si="6"/>
        <v>0.66509600481224673</v>
      </c>
    </row>
    <row r="258" spans="1:8">
      <c r="A258" s="2">
        <f t="shared" ca="1" si="0"/>
        <v>0.96948259066277265</v>
      </c>
      <c r="B258" s="2">
        <f t="shared" ca="1" si="1"/>
        <v>0.12096236077639586</v>
      </c>
      <c r="C258" s="2">
        <f t="shared" ca="1" si="2"/>
        <v>0.12227090289818521</v>
      </c>
      <c r="D258" s="2">
        <f t="shared" ca="1" si="3"/>
        <v>0.25479669145930783</v>
      </c>
      <c r="E258" s="2">
        <f t="shared" ca="1" si="4"/>
        <v>0.74520330854069217</v>
      </c>
      <c r="F258" s="1">
        <v>0.2</v>
      </c>
      <c r="G258" s="1">
        <f t="shared" ca="1" si="5"/>
        <v>0.20383735316744628</v>
      </c>
      <c r="H258" s="1">
        <f t="shared" ca="1" si="6"/>
        <v>0.59616264683255371</v>
      </c>
    </row>
    <row r="259" spans="1:8">
      <c r="A259" s="2">
        <f t="shared" ca="1" si="0"/>
        <v>0.94684148703388615</v>
      </c>
      <c r="B259" s="2">
        <f t="shared" ca="1" si="1"/>
        <v>0.1037454761696756</v>
      </c>
      <c r="C259" s="2">
        <f t="shared" ca="1" si="2"/>
        <v>0.10323052092953425</v>
      </c>
      <c r="D259" s="2">
        <f t="shared" ca="1" si="3"/>
        <v>0.3800623623056959</v>
      </c>
      <c r="E259" s="2">
        <f t="shared" ca="1" si="4"/>
        <v>0.6199376376943041</v>
      </c>
      <c r="F259" s="1">
        <v>0.2</v>
      </c>
      <c r="G259" s="1">
        <f t="shared" ca="1" si="5"/>
        <v>0.30404988984455672</v>
      </c>
      <c r="H259" s="1">
        <f t="shared" ca="1" si="6"/>
        <v>0.49595011015544332</v>
      </c>
    </row>
    <row r="260" spans="1:8">
      <c r="A260" s="2">
        <f t="shared" ca="1" si="0"/>
        <v>0.4955589621457564</v>
      </c>
      <c r="B260" s="2">
        <f t="shared" ca="1" si="1"/>
        <v>7.1565146619496228E-2</v>
      </c>
      <c r="C260" s="2">
        <f t="shared" ca="1" si="2"/>
        <v>4.0464749784566434E-2</v>
      </c>
      <c r="D260" s="2">
        <f t="shared" ca="1" si="3"/>
        <v>0.7929950672067998</v>
      </c>
      <c r="E260" s="2">
        <f t="shared" ca="1" si="4"/>
        <v>0.2070049327932002</v>
      </c>
      <c r="F260" s="1">
        <v>0.2</v>
      </c>
      <c r="G260" s="1">
        <f t="shared" ca="1" si="5"/>
        <v>0.63439605376543984</v>
      </c>
      <c r="H260" s="1">
        <f t="shared" ca="1" si="6"/>
        <v>0.16560394623456018</v>
      </c>
    </row>
    <row r="261" spans="1:8">
      <c r="A261" s="2">
        <f t="shared" ca="1" si="0"/>
        <v>0.84609506858388994</v>
      </c>
      <c r="B261" s="2">
        <f t="shared" ca="1" si="1"/>
        <v>8.3105970121273853E-2</v>
      </c>
      <c r="C261" s="2">
        <f t="shared" ca="1" si="2"/>
        <v>7.5315551489489915E-2</v>
      </c>
      <c r="D261" s="2">
        <f t="shared" ca="1" si="3"/>
        <v>0.56371347704282959</v>
      </c>
      <c r="E261" s="2">
        <f t="shared" ca="1" si="4"/>
        <v>0.43628652295717041</v>
      </c>
      <c r="F261" s="1">
        <v>0.2</v>
      </c>
      <c r="G261" s="1">
        <f t="shared" ca="1" si="5"/>
        <v>0.45097078163426368</v>
      </c>
      <c r="H261" s="1">
        <f t="shared" ca="1" si="6"/>
        <v>0.34902921836573636</v>
      </c>
    </row>
    <row r="262" spans="1:8">
      <c r="A262" s="2">
        <f t="shared" ca="1" si="0"/>
        <v>0.35030662167157089</v>
      </c>
      <c r="B262" s="2">
        <f t="shared" ca="1" si="1"/>
        <v>7.2343804945320833E-2</v>
      </c>
      <c r="C262" s="2">
        <f t="shared" ca="1" si="2"/>
        <v>3.0342513909262427E-2</v>
      </c>
      <c r="D262" s="2">
        <f t="shared" ca="1" si="3"/>
        <v>0.85958872428116828</v>
      </c>
      <c r="E262" s="2">
        <f t="shared" ca="1" si="4"/>
        <v>0.14041127571883172</v>
      </c>
      <c r="F262" s="1">
        <v>0.2</v>
      </c>
      <c r="G262" s="1">
        <f t="shared" ca="1" si="5"/>
        <v>0.68767097942493471</v>
      </c>
      <c r="H262" s="1">
        <f t="shared" ca="1" si="6"/>
        <v>0.11232902057506539</v>
      </c>
    </row>
    <row r="263" spans="1:8">
      <c r="A263" s="2">
        <f t="shared" ca="1" si="0"/>
        <v>0.76865474615947216</v>
      </c>
      <c r="B263" s="2">
        <f t="shared" ca="1" si="1"/>
        <v>7.7413853744891306E-2</v>
      </c>
      <c r="C263" s="2">
        <f t="shared" ca="1" si="2"/>
        <v>6.4504526099505924E-2</v>
      </c>
      <c r="D263" s="2">
        <f t="shared" ca="1" si="3"/>
        <v>0.63483864408219792</v>
      </c>
      <c r="E263" s="2">
        <f t="shared" ca="1" si="4"/>
        <v>0.36516135591780208</v>
      </c>
      <c r="F263" s="1">
        <v>0.2</v>
      </c>
      <c r="G263" s="1">
        <f t="shared" ca="1" si="5"/>
        <v>0.50787091526575834</v>
      </c>
      <c r="H263" s="1">
        <f t="shared" ca="1" si="6"/>
        <v>0.29212908473424165</v>
      </c>
    </row>
    <row r="264" spans="1:8">
      <c r="A264" s="2">
        <f t="shared" ca="1" si="0"/>
        <v>0.97620795410379324</v>
      </c>
      <c r="B264" s="2">
        <f t="shared" ca="1" si="1"/>
        <v>0.14223800359857397</v>
      </c>
      <c r="C264" s="2">
        <f t="shared" ca="1" si="2"/>
        <v>0.14385387048877188</v>
      </c>
      <c r="D264" s="2">
        <f t="shared" ca="1" si="3"/>
        <v>0.11280348362650083</v>
      </c>
      <c r="E264" s="2">
        <f t="shared" ca="1" si="4"/>
        <v>0.88719651637349917</v>
      </c>
      <c r="F264" s="1">
        <v>0.2</v>
      </c>
      <c r="G264" s="1">
        <f t="shared" ca="1" si="5"/>
        <v>9.0242786901200675E-2</v>
      </c>
      <c r="H264" s="1">
        <f t="shared" ca="1" si="6"/>
        <v>0.70975721309879936</v>
      </c>
    </row>
    <row r="265" spans="1:8">
      <c r="A265" s="2">
        <f t="shared" ca="1" si="0"/>
        <v>0.17769611625769988</v>
      </c>
      <c r="B265" s="2">
        <f t="shared" ca="1" si="1"/>
        <v>7.5683398325109438E-2</v>
      </c>
      <c r="C265" s="2">
        <f t="shared" ca="1" si="2"/>
        <v>1.8448645947556457E-2</v>
      </c>
      <c r="D265" s="2">
        <f t="shared" ca="1" si="3"/>
        <v>0.93783785560818123</v>
      </c>
      <c r="E265" s="2">
        <f t="shared" ca="1" si="4"/>
        <v>6.2162144391818774E-2</v>
      </c>
      <c r="F265" s="1">
        <v>0.2</v>
      </c>
      <c r="G265" s="1">
        <f t="shared" ca="1" si="5"/>
        <v>0.75027028448654498</v>
      </c>
      <c r="H265" s="1">
        <f t="shared" ca="1" si="6"/>
        <v>4.9729715513455022E-2</v>
      </c>
    </row>
    <row r="266" spans="1:8">
      <c r="A266" s="2">
        <f t="shared" ca="1" si="0"/>
        <v>9.9814501207919515E-2</v>
      </c>
      <c r="B266" s="2">
        <f t="shared" ca="1" si="1"/>
        <v>7.8104406218056907E-2</v>
      </c>
      <c r="C266" s="2">
        <f t="shared" ca="1" si="2"/>
        <v>1.2795952348796078E-2</v>
      </c>
      <c r="D266" s="2">
        <f t="shared" ca="1" si="3"/>
        <v>0.97502662928423633</v>
      </c>
      <c r="E266" s="2">
        <f t="shared" ca="1" si="4"/>
        <v>2.4973370715763665E-2</v>
      </c>
      <c r="F266" s="1">
        <v>0.2</v>
      </c>
      <c r="G266" s="1">
        <f t="shared" ca="1" si="5"/>
        <v>0.78002130342738907</v>
      </c>
      <c r="H266" s="1">
        <f t="shared" ca="1" si="6"/>
        <v>1.9978696572610935E-2</v>
      </c>
    </row>
    <row r="267" spans="1:8">
      <c r="A267" s="2">
        <f t="shared" ca="1" si="0"/>
        <v>0.38911367177258044</v>
      </c>
      <c r="B267" s="2">
        <f t="shared" ca="1" si="1"/>
        <v>7.1949912550092684E-2</v>
      </c>
      <c r="C267" s="2">
        <f t="shared" ca="1" si="2"/>
        <v>3.2996694656082633E-2</v>
      </c>
      <c r="D267" s="2">
        <f t="shared" ca="1" si="3"/>
        <v>0.84212700884156166</v>
      </c>
      <c r="E267" s="2">
        <f t="shared" ca="1" si="4"/>
        <v>0.15787299115843834</v>
      </c>
      <c r="F267" s="1">
        <v>0.2</v>
      </c>
      <c r="G267" s="1">
        <f t="shared" ca="1" si="5"/>
        <v>0.67370160707324933</v>
      </c>
      <c r="H267" s="1">
        <f t="shared" ca="1" si="6"/>
        <v>0.12629839292675069</v>
      </c>
    </row>
    <row r="268" spans="1:8">
      <c r="A268" s="2">
        <f t="shared" ca="1" si="0"/>
        <v>0.73975227920293085</v>
      </c>
      <c r="B268" s="2">
        <f t="shared" ca="1" si="1"/>
        <v>7.6032680495534966E-2</v>
      </c>
      <c r="C268" s="2">
        <f t="shared" ca="1" si="2"/>
        <v>6.1245348690480213E-2</v>
      </c>
      <c r="D268" s="2">
        <f t="shared" ca="1" si="3"/>
        <v>0.65628060072052496</v>
      </c>
      <c r="E268" s="2">
        <f t="shared" ca="1" si="4"/>
        <v>0.34371939927947504</v>
      </c>
      <c r="F268" s="1">
        <v>0.2</v>
      </c>
      <c r="G268" s="1">
        <f t="shared" ca="1" si="5"/>
        <v>0.52502448057642004</v>
      </c>
      <c r="H268" s="1">
        <f t="shared" ca="1" si="6"/>
        <v>0.27497551942358006</v>
      </c>
    </row>
    <row r="269" spans="1:8">
      <c r="A269" s="2">
        <f t="shared" ca="1" si="0"/>
        <v>0.38333687366167751</v>
      </c>
      <c r="B269" s="2">
        <f t="shared" ca="1" si="1"/>
        <v>7.2000261339313282E-2</v>
      </c>
      <c r="C269" s="2">
        <f t="shared" ca="1" si="2"/>
        <v>3.2600355084636101E-2</v>
      </c>
      <c r="D269" s="2">
        <f t="shared" ca="1" si="3"/>
        <v>0.84473450602213096</v>
      </c>
      <c r="E269" s="2">
        <f t="shared" ca="1" si="4"/>
        <v>0.15526549397786904</v>
      </c>
      <c r="F269" s="1">
        <v>0.2</v>
      </c>
      <c r="G269" s="1">
        <f t="shared" ca="1" si="5"/>
        <v>0.67578760481770483</v>
      </c>
      <c r="H269" s="1">
        <f t="shared" ca="1" si="6"/>
        <v>0.12421239518229524</v>
      </c>
    </row>
    <row r="270" spans="1:8">
      <c r="A270" s="2">
        <f t="shared" ca="1" si="0"/>
        <v>0.94099126929897292</v>
      </c>
      <c r="B270" s="2">
        <f t="shared" ca="1" si="1"/>
        <v>0.10127598637122638</v>
      </c>
      <c r="C270" s="2">
        <f t="shared" ca="1" si="2"/>
        <v>0.1002998189649658</v>
      </c>
      <c r="D270" s="2">
        <f t="shared" ca="1" si="3"/>
        <v>0.39934329628311982</v>
      </c>
      <c r="E270" s="2">
        <f t="shared" ca="1" si="4"/>
        <v>0.60065670371688018</v>
      </c>
      <c r="F270" s="1">
        <v>0.2</v>
      </c>
      <c r="G270" s="1">
        <f t="shared" ca="1" si="5"/>
        <v>0.31947463702649587</v>
      </c>
      <c r="H270" s="1">
        <f t="shared" ca="1" si="6"/>
        <v>0.48052536297350418</v>
      </c>
    </row>
    <row r="271" spans="1:8">
      <c r="A271" s="2">
        <f t="shared" ca="1" si="0"/>
        <v>0.97623405087912696</v>
      </c>
      <c r="B271" s="2">
        <f t="shared" ca="1" si="1"/>
        <v>0.14788312856939878</v>
      </c>
      <c r="C271" s="2">
        <f t="shared" ca="1" si="2"/>
        <v>0.14936854565998292</v>
      </c>
      <c r="D271" s="2">
        <f t="shared" ca="1" si="3"/>
        <v>7.6522725921165158E-2</v>
      </c>
      <c r="E271" s="2">
        <f t="shared" ca="1" si="4"/>
        <v>0.92347727407883484</v>
      </c>
      <c r="F271" s="1">
        <v>0.2</v>
      </c>
      <c r="G271" s="1">
        <f t="shared" ca="1" si="5"/>
        <v>6.121818073693213E-2</v>
      </c>
      <c r="H271" s="1">
        <f t="shared" ca="1" si="6"/>
        <v>0.73878181926306796</v>
      </c>
    </row>
    <row r="272" spans="1:8">
      <c r="A272" s="2">
        <f t="shared" ca="1" si="0"/>
        <v>0.52387208744438984</v>
      </c>
      <c r="B272" s="2">
        <f t="shared" ca="1" si="1"/>
        <v>7.1649234436486006E-2</v>
      </c>
      <c r="C272" s="2">
        <f t="shared" ca="1" si="2"/>
        <v>4.2535034008034385E-2</v>
      </c>
      <c r="D272" s="2">
        <f t="shared" ca="1" si="3"/>
        <v>0.77937477626293172</v>
      </c>
      <c r="E272" s="2">
        <f t="shared" ca="1" si="4"/>
        <v>0.22062522373706828</v>
      </c>
      <c r="F272" s="1">
        <v>0.2</v>
      </c>
      <c r="G272" s="1">
        <f t="shared" ca="1" si="5"/>
        <v>0.6234998210103454</v>
      </c>
      <c r="H272" s="1">
        <f t="shared" ca="1" si="6"/>
        <v>0.17650017898965464</v>
      </c>
    </row>
    <row r="273" spans="1:8">
      <c r="A273" s="2">
        <f t="shared" ca="1" si="0"/>
        <v>0.14409575011021933</v>
      </c>
      <c r="B273" s="2">
        <f t="shared" ca="1" si="1"/>
        <v>7.6651603020913395E-2</v>
      </c>
      <c r="C273" s="2">
        <f t="shared" ca="1" si="2"/>
        <v>1.604517023444927E-2</v>
      </c>
      <c r="D273" s="2">
        <f t="shared" ca="1" si="3"/>
        <v>0.95365019582599164</v>
      </c>
      <c r="E273" s="2">
        <f t="shared" ca="1" si="4"/>
        <v>4.6349804174008358E-2</v>
      </c>
      <c r="F273" s="1">
        <v>0.2</v>
      </c>
      <c r="G273" s="1">
        <f t="shared" ca="1" si="5"/>
        <v>0.76292015666079338</v>
      </c>
      <c r="H273" s="1">
        <f t="shared" ca="1" si="6"/>
        <v>3.7079843339206685E-2</v>
      </c>
    </row>
    <row r="274" spans="1:8">
      <c r="A274" s="2">
        <f t="shared" ca="1" si="0"/>
        <v>0.65352442892440088</v>
      </c>
      <c r="B274" s="2">
        <f t="shared" ca="1" si="1"/>
        <v>7.3297206508597487E-2</v>
      </c>
      <c r="C274" s="2">
        <f t="shared" ca="1" si="2"/>
        <v>5.2901515025285048E-2</v>
      </c>
      <c r="D274" s="2">
        <f t="shared" ca="1" si="3"/>
        <v>0.71117424325470369</v>
      </c>
      <c r="E274" s="2">
        <f t="shared" ca="1" si="4"/>
        <v>0.28882575674529631</v>
      </c>
      <c r="F274" s="1">
        <v>0.2</v>
      </c>
      <c r="G274" s="1">
        <f t="shared" ca="1" si="5"/>
        <v>0.56893939460376297</v>
      </c>
      <c r="H274" s="1">
        <f t="shared" ca="1" si="6"/>
        <v>0.23106060539623707</v>
      </c>
    </row>
    <row r="275" spans="1:8">
      <c r="A275" s="2">
        <f t="shared" ca="1" si="0"/>
        <v>0.70004170289628875</v>
      </c>
      <c r="B275" s="2">
        <f t="shared" ca="1" si="1"/>
        <v>7.4554781050315933E-2</v>
      </c>
      <c r="C275" s="2">
        <f t="shared" ca="1" si="2"/>
        <v>5.7191455885523122E-2</v>
      </c>
      <c r="D275" s="2">
        <f t="shared" ca="1" si="3"/>
        <v>0.68295094812155843</v>
      </c>
      <c r="E275" s="2">
        <f t="shared" ca="1" si="4"/>
        <v>0.31704905187844157</v>
      </c>
      <c r="F275" s="1">
        <v>0.2</v>
      </c>
      <c r="G275" s="1">
        <f t="shared" ca="1" si="5"/>
        <v>0.54636075849724675</v>
      </c>
      <c r="H275" s="1">
        <f t="shared" ca="1" si="6"/>
        <v>0.25363924150275324</v>
      </c>
    </row>
    <row r="276" spans="1:8">
      <c r="A276" s="2">
        <f t="shared" ca="1" si="0"/>
        <v>0.69289022169103121</v>
      </c>
      <c r="B276" s="2">
        <f t="shared" ca="1" si="1"/>
        <v>7.433147589349022E-2</v>
      </c>
      <c r="C276" s="2">
        <f t="shared" ca="1" si="2"/>
        <v>5.6503552810461981E-2</v>
      </c>
      <c r="D276" s="2">
        <f t="shared" ca="1" si="3"/>
        <v>0.68747662624696071</v>
      </c>
      <c r="E276" s="2">
        <f t="shared" ca="1" si="4"/>
        <v>0.31252337375303929</v>
      </c>
      <c r="F276" s="1">
        <v>0.2</v>
      </c>
      <c r="G276" s="1">
        <f t="shared" ca="1" si="5"/>
        <v>0.54998130099756859</v>
      </c>
      <c r="H276" s="1">
        <f t="shared" ca="1" si="6"/>
        <v>0.25001869900243145</v>
      </c>
    </row>
    <row r="277" spans="1:8">
      <c r="A277" s="2">
        <f t="shared" ca="1" si="0"/>
        <v>0.88798598720297528</v>
      </c>
      <c r="B277" s="2">
        <f t="shared" ca="1" si="1"/>
        <v>8.8382929985920428E-2</v>
      </c>
      <c r="C277" s="2">
        <f t="shared" ca="1" si="2"/>
        <v>8.3482803335439004E-2</v>
      </c>
      <c r="D277" s="2">
        <f t="shared" ca="1" si="3"/>
        <v>0.50998155700369086</v>
      </c>
      <c r="E277" s="2">
        <f t="shared" ca="1" si="4"/>
        <v>0.49001844299630914</v>
      </c>
      <c r="F277" s="1">
        <v>0.2</v>
      </c>
      <c r="G277" s="1">
        <f t="shared" ca="1" si="5"/>
        <v>0.40798524560295268</v>
      </c>
      <c r="H277" s="1">
        <f t="shared" ca="1" si="6"/>
        <v>0.39201475439704736</v>
      </c>
    </row>
    <row r="278" spans="1:8">
      <c r="A278" s="2">
        <f t="shared" ca="1" si="0"/>
        <v>0.97627117301324795</v>
      </c>
      <c r="B278" s="2">
        <f t="shared" ca="1" si="1"/>
        <v>0.1464824213788074</v>
      </c>
      <c r="C278" s="2">
        <f t="shared" ca="1" si="2"/>
        <v>0.14800656534530918</v>
      </c>
      <c r="D278" s="2">
        <f t="shared" ca="1" si="3"/>
        <v>8.5483122728229111E-2</v>
      </c>
      <c r="E278" s="2">
        <f t="shared" ca="1" si="4"/>
        <v>0.91451687727177089</v>
      </c>
      <c r="F278" s="1">
        <v>0.2</v>
      </c>
      <c r="G278" s="1">
        <f t="shared" ca="1" si="5"/>
        <v>6.8386498182583286E-2</v>
      </c>
      <c r="H278" s="1">
        <f t="shared" ca="1" si="6"/>
        <v>0.7316135018174168</v>
      </c>
    </row>
    <row r="279" spans="1:8">
      <c r="A279" s="2">
        <f t="shared" ca="1" si="0"/>
        <v>0.71502915647449139</v>
      </c>
      <c r="B279" s="2">
        <f t="shared" ca="1" si="1"/>
        <v>7.5062792420621291E-2</v>
      </c>
      <c r="C279" s="2">
        <f t="shared" ca="1" si="2"/>
        <v>5.8672085147136684E-2</v>
      </c>
      <c r="D279" s="2">
        <f t="shared" ca="1" si="3"/>
        <v>0.6732099661372587</v>
      </c>
      <c r="E279" s="2">
        <f t="shared" ca="1" si="4"/>
        <v>0.3267900338627413</v>
      </c>
      <c r="F279" s="1">
        <v>0.2</v>
      </c>
      <c r="G279" s="1">
        <f t="shared" ca="1" si="5"/>
        <v>0.53856797290980696</v>
      </c>
      <c r="H279" s="1">
        <f t="shared" ca="1" si="6"/>
        <v>0.26143202709019303</v>
      </c>
    </row>
    <row r="280" spans="1:8">
      <c r="A280" s="2">
        <f t="shared" ca="1" si="0"/>
        <v>0.75486354667342337</v>
      </c>
      <c r="B280" s="2">
        <f t="shared" ca="1" si="1"/>
        <v>7.6717946186859842E-2</v>
      </c>
      <c r="C280" s="2">
        <f t="shared" ca="1" si="2"/>
        <v>6.2911580952113855E-2</v>
      </c>
      <c r="D280" s="2">
        <f t="shared" ca="1" si="3"/>
        <v>0.64531854636767205</v>
      </c>
      <c r="E280" s="2">
        <f t="shared" ca="1" si="4"/>
        <v>0.35468145363232795</v>
      </c>
      <c r="F280" s="1">
        <v>0.2</v>
      </c>
      <c r="G280" s="1">
        <f t="shared" ca="1" si="5"/>
        <v>0.51625483709413766</v>
      </c>
      <c r="H280" s="1">
        <f t="shared" ca="1" si="6"/>
        <v>0.28374516290586238</v>
      </c>
    </row>
    <row r="281" spans="1:8">
      <c r="A281" s="2">
        <f t="shared" ca="1" si="0"/>
        <v>0.97539852542725469</v>
      </c>
      <c r="B281" s="2">
        <f t="shared" ca="1" si="1"/>
        <v>0.15726631187083523</v>
      </c>
      <c r="C281" s="2">
        <f t="shared" ca="1" si="2"/>
        <v>0.15839732869819545</v>
      </c>
      <c r="D281" s="2">
        <f t="shared" ca="1" si="3"/>
        <v>1.7122837511872158E-2</v>
      </c>
      <c r="E281" s="2">
        <f t="shared" ca="1" si="4"/>
        <v>0.98287716248812784</v>
      </c>
      <c r="F281" s="1">
        <v>0.2</v>
      </c>
      <c r="G281" s="1">
        <f t="shared" ca="1" si="5"/>
        <v>1.3698270009497727E-2</v>
      </c>
      <c r="H281" s="1">
        <f t="shared" ca="1" si="6"/>
        <v>0.7863017299905023</v>
      </c>
    </row>
    <row r="282" spans="1:8">
      <c r="A282" s="2">
        <f t="shared" ca="1" si="0"/>
        <v>0.97608602515443532</v>
      </c>
      <c r="B282" s="2">
        <f t="shared" ca="1" si="1"/>
        <v>0.14037413453057035</v>
      </c>
      <c r="C282" s="2">
        <f t="shared" ca="1" si="2"/>
        <v>0.14201723100843838</v>
      </c>
      <c r="D282" s="2">
        <f t="shared" ca="1" si="3"/>
        <v>0.12488663810237899</v>
      </c>
      <c r="E282" s="2">
        <f t="shared" ca="1" si="4"/>
        <v>0.87511336189762101</v>
      </c>
      <c r="F282" s="1">
        <v>0.2</v>
      </c>
      <c r="G282" s="1">
        <f t="shared" ca="1" si="5"/>
        <v>9.9909310481903199E-2</v>
      </c>
      <c r="H282" s="1">
        <f t="shared" ca="1" si="6"/>
        <v>0.70009068951809683</v>
      </c>
    </row>
    <row r="283" spans="1:8">
      <c r="A283" s="2">
        <f t="shared" ca="1" si="0"/>
        <v>0.5815031838743282</v>
      </c>
      <c r="B283" s="2">
        <f t="shared" ca="1" si="1"/>
        <v>7.2100360418303908E-2</v>
      </c>
      <c r="C283" s="2">
        <f t="shared" ca="1" si="2"/>
        <v>4.6926589141730313E-2</v>
      </c>
      <c r="D283" s="2">
        <f t="shared" ca="1" si="3"/>
        <v>0.75048296617282695</v>
      </c>
      <c r="E283" s="2">
        <f t="shared" ca="1" si="4"/>
        <v>0.24951703382717305</v>
      </c>
      <c r="F283" s="1">
        <v>0.2</v>
      </c>
      <c r="G283" s="1">
        <f t="shared" ca="1" si="5"/>
        <v>0.60038637293826158</v>
      </c>
      <c r="H283" s="1">
        <f t="shared" ca="1" si="6"/>
        <v>0.19961362706173846</v>
      </c>
    </row>
    <row r="284" spans="1:8">
      <c r="A284" s="2">
        <f t="shared" ca="1" si="0"/>
        <v>0.97364164408022646</v>
      </c>
      <c r="B284" s="2">
        <f t="shared" ca="1" si="1"/>
        <v>0.12891227383041051</v>
      </c>
      <c r="C284" s="2">
        <f t="shared" ca="1" si="2"/>
        <v>0.13051435823436125</v>
      </c>
      <c r="D284" s="2">
        <f t="shared" ca="1" si="3"/>
        <v>0.20056343266867616</v>
      </c>
      <c r="E284" s="2">
        <f t="shared" ca="1" si="4"/>
        <v>0.79943656733132384</v>
      </c>
      <c r="F284" s="1">
        <v>0.2</v>
      </c>
      <c r="G284" s="1">
        <f t="shared" ca="1" si="5"/>
        <v>0.16045074613494092</v>
      </c>
      <c r="H284" s="1">
        <f t="shared" ca="1" si="6"/>
        <v>0.63954925386505912</v>
      </c>
    </row>
    <row r="285" spans="1:8">
      <c r="A285" s="2">
        <f t="shared" ca="1" si="0"/>
        <v>0.97594006508714226</v>
      </c>
      <c r="B285" s="2">
        <f t="shared" ca="1" si="1"/>
        <v>0.13886758672405491</v>
      </c>
      <c r="C285" s="2">
        <f t="shared" ca="1" si="2"/>
        <v>0.14052644162596853</v>
      </c>
      <c r="D285" s="2">
        <f t="shared" ca="1" si="3"/>
        <v>0.13469446298704912</v>
      </c>
      <c r="E285" s="2">
        <f t="shared" ca="1" si="4"/>
        <v>0.86530553701295088</v>
      </c>
      <c r="F285" s="1">
        <v>0.2</v>
      </c>
      <c r="G285" s="1">
        <f t="shared" ca="1" si="5"/>
        <v>0.1077555703896393</v>
      </c>
      <c r="H285" s="1">
        <f t="shared" ca="1" si="6"/>
        <v>0.6922444296103607</v>
      </c>
    </row>
    <row r="286" spans="1:8">
      <c r="A286" s="2">
        <f t="shared" ca="1" si="0"/>
        <v>0.91800590676837046</v>
      </c>
      <c r="B286" s="2">
        <f t="shared" ca="1" si="1"/>
        <v>9.4244496936302727E-2</v>
      </c>
      <c r="C286" s="2">
        <f t="shared" ca="1" si="2"/>
        <v>9.1517004867939497E-2</v>
      </c>
      <c r="D286" s="2">
        <f t="shared" ca="1" si="3"/>
        <v>0.45712496797408231</v>
      </c>
      <c r="E286" s="2">
        <f t="shared" ca="1" si="4"/>
        <v>0.54287503202591769</v>
      </c>
      <c r="F286" s="1">
        <v>0.2</v>
      </c>
      <c r="G286" s="1">
        <f t="shared" ca="1" si="5"/>
        <v>0.36569997437926588</v>
      </c>
      <c r="H286" s="1">
        <f t="shared" ca="1" si="6"/>
        <v>0.43430002562073416</v>
      </c>
    </row>
    <row r="287" spans="1:8">
      <c r="A287" s="2">
        <f t="shared" ca="1" si="0"/>
        <v>0.93925700666302303</v>
      </c>
      <c r="B287" s="2">
        <f t="shared" ca="1" si="1"/>
        <v>0.10061416155726112</v>
      </c>
      <c r="C287" s="2">
        <f t="shared" ca="1" si="2"/>
        <v>9.9502556212182888E-2</v>
      </c>
      <c r="D287" s="2">
        <f t="shared" ca="1" si="3"/>
        <v>0.404588445972481</v>
      </c>
      <c r="E287" s="2">
        <f t="shared" ca="1" si="4"/>
        <v>0.595411554027519</v>
      </c>
      <c r="F287" s="1">
        <v>0.2</v>
      </c>
      <c r="G287" s="1">
        <f t="shared" ca="1" si="5"/>
        <v>0.32367075677798485</v>
      </c>
      <c r="H287" s="1">
        <f t="shared" ca="1" si="6"/>
        <v>0.4763292432220152</v>
      </c>
    </row>
    <row r="288" spans="1:8">
      <c r="A288" s="2">
        <f t="shared" ca="1" si="0"/>
        <v>0.63101900358362184</v>
      </c>
      <c r="B288" s="2">
        <f t="shared" ca="1" si="1"/>
        <v>7.2836271140447537E-2</v>
      </c>
      <c r="C288" s="2">
        <f t="shared" ca="1" si="2"/>
        <v>5.0961071239791711E-2</v>
      </c>
      <c r="D288" s="2">
        <f t="shared" ca="1" si="3"/>
        <v>0.72394032079084403</v>
      </c>
      <c r="E288" s="2">
        <f t="shared" ca="1" si="4"/>
        <v>0.27605967920915597</v>
      </c>
      <c r="F288" s="1">
        <v>0.2</v>
      </c>
      <c r="G288" s="1">
        <f t="shared" ca="1" si="5"/>
        <v>0.57915225663267522</v>
      </c>
      <c r="H288" s="1">
        <f t="shared" ca="1" si="6"/>
        <v>0.22084774336732479</v>
      </c>
    </row>
    <row r="289" spans="1:8">
      <c r="A289" s="2">
        <f t="shared" ca="1" si="0"/>
        <v>0.95797472411810713</v>
      </c>
      <c r="B289" s="2">
        <f t="shared" ca="1" si="1"/>
        <v>0.10992153223841739</v>
      </c>
      <c r="C289" s="2">
        <f t="shared" ca="1" si="2"/>
        <v>0.11030204952073752</v>
      </c>
      <c r="D289" s="2">
        <f t="shared" ca="1" si="3"/>
        <v>0.33353914788988481</v>
      </c>
      <c r="E289" s="2">
        <f t="shared" ca="1" si="4"/>
        <v>0.66646085211011519</v>
      </c>
      <c r="F289" s="1">
        <v>0.2</v>
      </c>
      <c r="G289" s="1">
        <f t="shared" ca="1" si="5"/>
        <v>0.26683131831190787</v>
      </c>
      <c r="H289" s="1">
        <f t="shared" ca="1" si="6"/>
        <v>0.53316868168809217</v>
      </c>
    </row>
    <row r="290" spans="1:8">
      <c r="A290" s="2">
        <f t="shared" ca="1" si="0"/>
        <v>0.35462378095595742</v>
      </c>
      <c r="B290" s="2">
        <f t="shared" ca="1" si="1"/>
        <v>7.2293549418616057E-2</v>
      </c>
      <c r="C290" s="2">
        <f t="shared" ca="1" si="2"/>
        <v>3.0637011833555983E-2</v>
      </c>
      <c r="D290" s="2">
        <f t="shared" ca="1" si="3"/>
        <v>0.85765123793713172</v>
      </c>
      <c r="E290" s="2">
        <f t="shared" ca="1" si="4"/>
        <v>0.14234876206286828</v>
      </c>
      <c r="F290" s="1">
        <v>0.2</v>
      </c>
      <c r="G290" s="1">
        <f t="shared" ca="1" si="5"/>
        <v>0.68612099034970542</v>
      </c>
      <c r="H290" s="1">
        <f t="shared" ca="1" si="6"/>
        <v>0.11387900965029463</v>
      </c>
    </row>
    <row r="291" spans="1:8">
      <c r="A291" s="2">
        <f t="shared" ca="1" si="0"/>
        <v>0.97393225058433064</v>
      </c>
      <c r="B291" s="2">
        <f t="shared" ca="1" si="1"/>
        <v>0.1297237932876058</v>
      </c>
      <c r="C291" s="2">
        <f t="shared" ca="1" si="2"/>
        <v>0.13134218595093441</v>
      </c>
      <c r="D291" s="2">
        <f t="shared" ca="1" si="3"/>
        <v>0.19511719769122104</v>
      </c>
      <c r="E291" s="2">
        <f t="shared" ca="1" si="4"/>
        <v>0.80488280230877896</v>
      </c>
      <c r="F291" s="1">
        <v>0.2</v>
      </c>
      <c r="G291" s="1">
        <f t="shared" ca="1" si="5"/>
        <v>0.15609375815297685</v>
      </c>
      <c r="H291" s="1">
        <f t="shared" ca="1" si="6"/>
        <v>0.64390624184702316</v>
      </c>
    </row>
    <row r="292" spans="1:8">
      <c r="A292" s="2">
        <f t="shared" ca="1" si="0"/>
        <v>0.92583770109363461</v>
      </c>
      <c r="B292" s="2">
        <f t="shared" ca="1" si="1"/>
        <v>9.6286540942080598E-2</v>
      </c>
      <c r="C292" s="2">
        <f t="shared" ca="1" si="2"/>
        <v>9.4145709712074033E-2</v>
      </c>
      <c r="D292" s="2">
        <f t="shared" ca="1" si="3"/>
        <v>0.43983085715740777</v>
      </c>
      <c r="E292" s="2">
        <f t="shared" ca="1" si="4"/>
        <v>0.56016914284259223</v>
      </c>
      <c r="F292" s="1">
        <v>0.2</v>
      </c>
      <c r="G292" s="1">
        <f t="shared" ca="1" si="5"/>
        <v>0.35186468572592622</v>
      </c>
      <c r="H292" s="1">
        <f t="shared" ca="1" si="6"/>
        <v>0.44813531427407383</v>
      </c>
    </row>
    <row r="293" spans="1:8">
      <c r="A293" s="2">
        <f t="shared" ca="1" si="0"/>
        <v>0.87113878487723262</v>
      </c>
      <c r="B293" s="2">
        <f t="shared" ca="1" si="1"/>
        <v>8.5970724830592885E-2</v>
      </c>
      <c r="C293" s="2">
        <f t="shared" ca="1" si="2"/>
        <v>7.9892432763937621E-2</v>
      </c>
      <c r="D293" s="2">
        <f t="shared" ca="1" si="3"/>
        <v>0.5336024160267262</v>
      </c>
      <c r="E293" s="2">
        <f t="shared" ca="1" si="4"/>
        <v>0.4663975839732738</v>
      </c>
      <c r="F293" s="1">
        <v>0.2</v>
      </c>
      <c r="G293" s="1">
        <f t="shared" ca="1" si="5"/>
        <v>0.42688193282138098</v>
      </c>
      <c r="H293" s="1">
        <f t="shared" ca="1" si="6"/>
        <v>0.37311806717861906</v>
      </c>
    </row>
    <row r="294" spans="1:8">
      <c r="A294" s="2">
        <f t="shared" ca="1" si="0"/>
        <v>0.96503049586890521</v>
      </c>
      <c r="B294" s="2">
        <f t="shared" ca="1" si="1"/>
        <v>0.11568770728252482</v>
      </c>
      <c r="C294" s="2">
        <f t="shared" ca="1" si="2"/>
        <v>0.11664216552479169</v>
      </c>
      <c r="D294" s="2">
        <f t="shared" ca="1" si="3"/>
        <v>0.29182785838952841</v>
      </c>
      <c r="E294" s="2">
        <f t="shared" ca="1" si="4"/>
        <v>0.70817214161047159</v>
      </c>
      <c r="F294" s="1">
        <v>0.2</v>
      </c>
      <c r="G294" s="1">
        <f t="shared" ca="1" si="5"/>
        <v>0.23346228671162272</v>
      </c>
      <c r="H294" s="1">
        <f t="shared" ca="1" si="6"/>
        <v>0.56653771328837732</v>
      </c>
    </row>
    <row r="295" spans="1:8">
      <c r="A295" s="2">
        <f t="shared" ca="1" si="0"/>
        <v>0.97193716311009226</v>
      </c>
      <c r="B295" s="2">
        <f t="shared" ca="1" si="1"/>
        <v>0.12503856897477977</v>
      </c>
      <c r="C295" s="2">
        <f t="shared" ca="1" si="2"/>
        <v>0.12652963200869305</v>
      </c>
      <c r="D295" s="2">
        <f t="shared" ca="1" si="3"/>
        <v>0.22677873678491434</v>
      </c>
      <c r="E295" s="2">
        <f t="shared" ca="1" si="4"/>
        <v>0.77322126321508566</v>
      </c>
      <c r="F295" s="1">
        <v>0.2</v>
      </c>
      <c r="G295" s="1">
        <f t="shared" ca="1" si="5"/>
        <v>0.18142298942793147</v>
      </c>
      <c r="H295" s="1">
        <f t="shared" ca="1" si="6"/>
        <v>0.6185770105720686</v>
      </c>
    </row>
    <row r="296" spans="1:8">
      <c r="A296" s="2">
        <f t="shared" ca="1" si="0"/>
        <v>0.97598831515285545</v>
      </c>
      <c r="B296" s="2">
        <f t="shared" ca="1" si="1"/>
        <v>0.13931759760124018</v>
      </c>
      <c r="C296" s="2">
        <f t="shared" ca="1" si="2"/>
        <v>0.1409723473539779</v>
      </c>
      <c r="D296" s="2">
        <f t="shared" ca="1" si="3"/>
        <v>0.13176087267119807</v>
      </c>
      <c r="E296" s="2">
        <f t="shared" ca="1" si="4"/>
        <v>0.86823912732880193</v>
      </c>
      <c r="F296" s="1">
        <v>0.2</v>
      </c>
      <c r="G296" s="1">
        <f t="shared" ca="1" si="5"/>
        <v>0.10540869813695847</v>
      </c>
      <c r="H296" s="1">
        <f t="shared" ca="1" si="6"/>
        <v>0.69459130186304163</v>
      </c>
    </row>
    <row r="297" spans="1:8">
      <c r="A297" s="2">
        <f t="shared" ca="1" si="0"/>
        <v>0.87425197240421149</v>
      </c>
      <c r="B297" s="2">
        <f t="shared" ca="1" si="1"/>
        <v>8.6382163620023739E-2</v>
      </c>
      <c r="C297" s="2">
        <f t="shared" ca="1" si="2"/>
        <v>8.0519776925349076E-2</v>
      </c>
      <c r="D297" s="2">
        <f t="shared" ca="1" si="3"/>
        <v>0.52947515180691407</v>
      </c>
      <c r="E297" s="2">
        <f t="shared" ca="1" si="4"/>
        <v>0.47052484819308593</v>
      </c>
      <c r="F297" s="1">
        <v>0.2</v>
      </c>
      <c r="G297" s="1">
        <f t="shared" ca="1" si="5"/>
        <v>0.42358012144553125</v>
      </c>
      <c r="H297" s="1">
        <f t="shared" ca="1" si="6"/>
        <v>0.37641987855446879</v>
      </c>
    </row>
    <row r="298" spans="1:8">
      <c r="A298" s="2">
        <f t="shared" ca="1" si="0"/>
        <v>0.97512420301346248</v>
      </c>
      <c r="B298" s="2">
        <f t="shared" ca="1" si="1"/>
        <v>0.15918950108566546</v>
      </c>
      <c r="C298" s="2">
        <f t="shared" ca="1" si="2"/>
        <v>0.16022953537427026</v>
      </c>
      <c r="D298" s="2">
        <f t="shared" ca="1" si="3"/>
        <v>5.0688462219062869E-3</v>
      </c>
      <c r="E298" s="2">
        <f t="shared" ca="1" si="4"/>
        <v>0.99493115377809371</v>
      </c>
      <c r="F298" s="1">
        <v>0.2</v>
      </c>
      <c r="G298" s="1">
        <f t="shared" ca="1" si="5"/>
        <v>4.05507697752503E-3</v>
      </c>
      <c r="H298" s="1">
        <f t="shared" ca="1" si="6"/>
        <v>0.79594492302247499</v>
      </c>
    </row>
    <row r="299" spans="1:8">
      <c r="A299" s="2">
        <f t="shared" ca="1" si="0"/>
        <v>0.97576624705137949</v>
      </c>
      <c r="B299" s="2">
        <f t="shared" ca="1" si="1"/>
        <v>0.1542416202186522</v>
      </c>
      <c r="C299" s="2">
        <f t="shared" ca="1" si="2"/>
        <v>0.15550376689987844</v>
      </c>
      <c r="D299" s="2">
        <f t="shared" ca="1" si="3"/>
        <v>3.6159428290273521E-2</v>
      </c>
      <c r="E299" s="2">
        <f t="shared" ca="1" si="4"/>
        <v>0.96384057170972648</v>
      </c>
      <c r="F299" s="1">
        <v>0.2</v>
      </c>
      <c r="G299" s="1">
        <f t="shared" ca="1" si="5"/>
        <v>2.8927542632218819E-2</v>
      </c>
      <c r="H299" s="1">
        <f t="shared" ca="1" si="6"/>
        <v>0.77107245736778118</v>
      </c>
    </row>
    <row r="300" spans="1:8">
      <c r="A300" s="2">
        <f t="shared" ca="1" si="0"/>
        <v>0.97623197570799791</v>
      </c>
      <c r="B300" s="2">
        <f t="shared" ca="1" si="1"/>
        <v>0.14794037559168691</v>
      </c>
      <c r="C300" s="2">
        <f t="shared" ca="1" si="2"/>
        <v>0.14942412515085579</v>
      </c>
      <c r="D300" s="2">
        <f t="shared" ca="1" si="3"/>
        <v>7.6157071375948848E-2</v>
      </c>
      <c r="E300" s="2">
        <f t="shared" ca="1" si="4"/>
        <v>0.92384292862405115</v>
      </c>
      <c r="F300" s="1">
        <v>0.2</v>
      </c>
      <c r="G300" s="1">
        <f t="shared" ca="1" si="5"/>
        <v>6.0925657100759083E-2</v>
      </c>
      <c r="H300" s="1">
        <f t="shared" ca="1" si="6"/>
        <v>0.73907434289924101</v>
      </c>
    </row>
    <row r="301" spans="1:8">
      <c r="A301" s="2">
        <f t="shared" ca="1" si="0"/>
        <v>0.96719299424286032</v>
      </c>
      <c r="B301" s="2">
        <f t="shared" ca="1" si="1"/>
        <v>0.11801171143725278</v>
      </c>
      <c r="C301" s="2">
        <f t="shared" ca="1" si="2"/>
        <v>0.11914010054072093</v>
      </c>
      <c r="D301" s="2">
        <f t="shared" ca="1" si="3"/>
        <v>0.27539407538999405</v>
      </c>
      <c r="E301" s="2">
        <f t="shared" ca="1" si="4"/>
        <v>0.72460592461000595</v>
      </c>
      <c r="F301" s="1">
        <v>0.2</v>
      </c>
      <c r="G301" s="1">
        <f t="shared" ca="1" si="5"/>
        <v>0.22031526031199525</v>
      </c>
      <c r="H301" s="1">
        <f t="shared" ca="1" si="6"/>
        <v>0.57968473968800482</v>
      </c>
    </row>
    <row r="302" spans="1:8">
      <c r="A302" s="2">
        <f t="shared" ca="1" si="0"/>
        <v>0.40320539285454104</v>
      </c>
      <c r="B302" s="2">
        <f t="shared" ca="1" si="1"/>
        <v>7.1839387334639571E-2</v>
      </c>
      <c r="C302" s="2">
        <f t="shared" ca="1" si="2"/>
        <v>3.3966028392692887E-2</v>
      </c>
      <c r="D302" s="2">
        <f t="shared" ca="1" si="3"/>
        <v>0.83574981320596786</v>
      </c>
      <c r="E302" s="2">
        <f t="shared" ca="1" si="4"/>
        <v>0.16425018679403214</v>
      </c>
      <c r="F302" s="1">
        <v>0.2</v>
      </c>
      <c r="G302" s="1">
        <f t="shared" ca="1" si="5"/>
        <v>0.66859985056477433</v>
      </c>
      <c r="H302" s="1">
        <f t="shared" ca="1" si="6"/>
        <v>0.13140014943522571</v>
      </c>
    </row>
    <row r="303" spans="1:8">
      <c r="A303" s="2">
        <f t="shared" ca="1" si="0"/>
        <v>0.96863086911220553</v>
      </c>
      <c r="B303" s="2">
        <f t="shared" ca="1" si="1"/>
        <v>0.11979188941296948</v>
      </c>
      <c r="C303" s="2">
        <f t="shared" ca="1" si="2"/>
        <v>0.12103412195467785</v>
      </c>
      <c r="D303" s="2">
        <f t="shared" ca="1" si="3"/>
        <v>0.262933408192909</v>
      </c>
      <c r="E303" s="2">
        <f t="shared" ca="1" si="4"/>
        <v>0.737066591807091</v>
      </c>
      <c r="F303" s="1">
        <v>0.2</v>
      </c>
      <c r="G303" s="1">
        <f t="shared" ca="1" si="5"/>
        <v>0.21034672655432721</v>
      </c>
      <c r="H303" s="1">
        <f t="shared" ca="1" si="6"/>
        <v>0.58965327344567287</v>
      </c>
    </row>
    <row r="304" spans="1:8">
      <c r="A304" s="2">
        <f t="shared" ca="1" si="0"/>
        <v>0.97619081550027087</v>
      </c>
      <c r="B304" s="2">
        <f t="shared" ca="1" si="1"/>
        <v>0.14890199323435749</v>
      </c>
      <c r="C304" s="2">
        <f t="shared" ca="1" si="2"/>
        <v>0.15035675820506325</v>
      </c>
      <c r="D304" s="2">
        <f t="shared" ca="1" si="3"/>
        <v>7.0021327598268179E-2</v>
      </c>
      <c r="E304" s="2">
        <f t="shared" ca="1" si="4"/>
        <v>0.92997867240173182</v>
      </c>
      <c r="F304" s="1">
        <v>0.2</v>
      </c>
      <c r="G304" s="1">
        <f t="shared" ca="1" si="5"/>
        <v>5.6017062078614545E-2</v>
      </c>
      <c r="H304" s="1">
        <f t="shared" ca="1" si="6"/>
        <v>0.74398293792138548</v>
      </c>
    </row>
    <row r="305" spans="1:8">
      <c r="A305" s="2">
        <f t="shared" ca="1" si="0"/>
        <v>0.63280805025299058</v>
      </c>
      <c r="B305" s="2">
        <f t="shared" ca="1" si="1"/>
        <v>7.2869792361748412E-2</v>
      </c>
      <c r="C305" s="2">
        <f t="shared" ca="1" si="2"/>
        <v>5.1112591226778276E-2</v>
      </c>
      <c r="D305" s="2">
        <f t="shared" ca="1" si="3"/>
        <v>0.72294347877119558</v>
      </c>
      <c r="E305" s="2">
        <f t="shared" ca="1" si="4"/>
        <v>0.27705652122880442</v>
      </c>
      <c r="F305" s="1">
        <v>0.2</v>
      </c>
      <c r="G305" s="1">
        <f t="shared" ca="1" si="5"/>
        <v>0.57835478301695653</v>
      </c>
      <c r="H305" s="1">
        <f t="shared" ca="1" si="6"/>
        <v>0.22164521698304354</v>
      </c>
    </row>
    <row r="306" spans="1:8">
      <c r="A306" s="2">
        <f t="shared" ca="1" si="0"/>
        <v>0.97038327474861896</v>
      </c>
      <c r="B306" s="2">
        <f t="shared" ca="1" si="1"/>
        <v>0.12231816472774526</v>
      </c>
      <c r="C306" s="2">
        <f t="shared" ca="1" si="2"/>
        <v>0.12369550124975047</v>
      </c>
      <c r="D306" s="2">
        <f t="shared" ca="1" si="3"/>
        <v>0.24542433388322071</v>
      </c>
      <c r="E306" s="2">
        <f t="shared" ca="1" si="4"/>
        <v>0.75457566611677929</v>
      </c>
      <c r="F306" s="1">
        <v>0.2</v>
      </c>
      <c r="G306" s="1">
        <f t="shared" ca="1" si="5"/>
        <v>0.19633946710657657</v>
      </c>
      <c r="H306" s="1">
        <f t="shared" ca="1" si="6"/>
        <v>0.60366053289342347</v>
      </c>
    </row>
    <row r="307" spans="1:8">
      <c r="A307" s="2">
        <f t="shared" ca="1" si="0"/>
        <v>0.64041201007170578</v>
      </c>
      <c r="B307" s="2">
        <f t="shared" ca="1" si="1"/>
        <v>7.3018151858359748E-2</v>
      </c>
      <c r="C307" s="2">
        <f t="shared" ca="1" si="2"/>
        <v>5.1761701403333221E-2</v>
      </c>
      <c r="D307" s="2">
        <f t="shared" ca="1" si="3"/>
        <v>0.71867301708333409</v>
      </c>
      <c r="E307" s="2">
        <f t="shared" ca="1" si="4"/>
        <v>0.28132698291666591</v>
      </c>
      <c r="F307" s="1">
        <v>0.2</v>
      </c>
      <c r="G307" s="1">
        <f t="shared" ca="1" si="5"/>
        <v>0.57493841366666731</v>
      </c>
      <c r="H307" s="1">
        <f t="shared" ca="1" si="6"/>
        <v>0.22506158633333273</v>
      </c>
    </row>
    <row r="308" spans="1:8">
      <c r="A308" s="2">
        <f t="shared" ca="1" si="0"/>
        <v>0.97628096947497933</v>
      </c>
      <c r="B308" s="2">
        <f t="shared" ca="1" si="1"/>
        <v>0.14512714456871958</v>
      </c>
      <c r="C308" s="2">
        <f t="shared" ca="1" si="2"/>
        <v>0.14668486939668504</v>
      </c>
      <c r="D308" s="2">
        <f t="shared" ca="1" si="3"/>
        <v>9.4178490811282822E-2</v>
      </c>
      <c r="E308" s="2">
        <f t="shared" ca="1" si="4"/>
        <v>0.90582150918871718</v>
      </c>
      <c r="F308" s="1">
        <v>0.2</v>
      </c>
      <c r="G308" s="1">
        <f t="shared" ca="1" si="5"/>
        <v>7.5342792649026269E-2</v>
      </c>
      <c r="H308" s="1">
        <f t="shared" ca="1" si="6"/>
        <v>0.72465720735097383</v>
      </c>
    </row>
    <row r="309" spans="1:8">
      <c r="A309" s="2">
        <f t="shared" ca="1" si="0"/>
        <v>0.97558693009058151</v>
      </c>
      <c r="B309" s="2">
        <f t="shared" ca="1" si="1"/>
        <v>0.13631903581318264</v>
      </c>
      <c r="C309" s="2">
        <f t="shared" ca="1" si="2"/>
        <v>0.1379910696618909</v>
      </c>
      <c r="D309" s="2">
        <f t="shared" ca="1" si="3"/>
        <v>0.15137454169808617</v>
      </c>
      <c r="E309" s="2">
        <f t="shared" ca="1" si="4"/>
        <v>0.84862545830191383</v>
      </c>
      <c r="F309" s="1">
        <v>0.2</v>
      </c>
      <c r="G309" s="1">
        <f t="shared" ca="1" si="5"/>
        <v>0.12109963335846895</v>
      </c>
      <c r="H309" s="1">
        <f t="shared" ca="1" si="6"/>
        <v>0.67890036664153108</v>
      </c>
    </row>
    <row r="310" spans="1:8">
      <c r="A310" s="2">
        <f t="shared" ca="1" si="0"/>
        <v>0.78772398067685356</v>
      </c>
      <c r="B310" s="2">
        <f t="shared" ca="1" si="1"/>
        <v>7.850353401788436E-2</v>
      </c>
      <c r="C310" s="2">
        <f t="shared" ca="1" si="2"/>
        <v>6.6839116313768654E-2</v>
      </c>
      <c r="D310" s="2">
        <f t="shared" ca="1" si="3"/>
        <v>0.61947949793573254</v>
      </c>
      <c r="E310" s="2">
        <f t="shared" ca="1" si="4"/>
        <v>0.38052050206426746</v>
      </c>
      <c r="F310" s="1">
        <v>0.2</v>
      </c>
      <c r="G310" s="1">
        <f t="shared" ca="1" si="5"/>
        <v>0.49558359834858606</v>
      </c>
      <c r="H310" s="1">
        <f t="shared" ca="1" si="6"/>
        <v>0.30441640165141398</v>
      </c>
    </row>
    <row r="311" spans="1:8">
      <c r="A311" s="2">
        <f t="shared" ca="1" si="0"/>
        <v>0.96011557107833545</v>
      </c>
      <c r="B311" s="2">
        <f t="shared" ca="1" si="1"/>
        <v>0.11145337683049233</v>
      </c>
      <c r="C311" s="2">
        <f t="shared" ca="1" si="2"/>
        <v>0.11200812254421708</v>
      </c>
      <c r="D311" s="2">
        <f t="shared" ca="1" si="3"/>
        <v>0.3223149832617298</v>
      </c>
      <c r="E311" s="2">
        <f t="shared" ca="1" si="4"/>
        <v>0.6776850167382702</v>
      </c>
      <c r="F311" s="1">
        <v>0.2</v>
      </c>
      <c r="G311" s="1">
        <f t="shared" ca="1" si="5"/>
        <v>0.25785198660938385</v>
      </c>
      <c r="H311" s="1">
        <f t="shared" ca="1" si="6"/>
        <v>0.54214801339061613</v>
      </c>
    </row>
    <row r="312" spans="1:8">
      <c r="A312" s="2">
        <f t="shared" ca="1" si="0"/>
        <v>0.97468135051643867</v>
      </c>
      <c r="B312" s="2">
        <f t="shared" ca="1" si="1"/>
        <v>0.13215681266978055</v>
      </c>
      <c r="C312" s="2">
        <f t="shared" ca="1" si="2"/>
        <v>0.1338107806529297</v>
      </c>
      <c r="D312" s="2">
        <f t="shared" ca="1" si="3"/>
        <v>0.17887644307283102</v>
      </c>
      <c r="E312" s="2">
        <f t="shared" ca="1" si="4"/>
        <v>0.82112355692716898</v>
      </c>
      <c r="F312" s="1">
        <v>0.2</v>
      </c>
      <c r="G312" s="1">
        <f t="shared" ca="1" si="5"/>
        <v>0.14310115445826482</v>
      </c>
      <c r="H312" s="1">
        <f t="shared" ca="1" si="6"/>
        <v>0.65689884554173528</v>
      </c>
    </row>
    <row r="313" spans="1:8">
      <c r="A313" s="2">
        <f t="shared" ca="1" si="0"/>
        <v>0.70468020985267743</v>
      </c>
      <c r="B313" s="2">
        <f t="shared" ca="1" si="1"/>
        <v>7.4706066724366457E-2</v>
      </c>
      <c r="C313" s="2">
        <f t="shared" ca="1" si="2"/>
        <v>5.7643886776594676E-2</v>
      </c>
      <c r="D313" s="2">
        <f t="shared" ca="1" si="3"/>
        <v>0.67997442910135086</v>
      </c>
      <c r="E313" s="2">
        <f t="shared" ca="1" si="4"/>
        <v>0.32002557089864914</v>
      </c>
      <c r="F313" s="1">
        <v>0.2</v>
      </c>
      <c r="G313" s="1">
        <f t="shared" ca="1" si="5"/>
        <v>0.54397954328108067</v>
      </c>
      <c r="H313" s="1">
        <f t="shared" ca="1" si="6"/>
        <v>0.25602045671891932</v>
      </c>
    </row>
    <row r="314" spans="1:8">
      <c r="A314" s="2">
        <f t="shared" ca="1" si="0"/>
        <v>0.97492527701549025</v>
      </c>
      <c r="B314" s="2">
        <f t="shared" ca="1" si="1"/>
        <v>0.13309781843381982</v>
      </c>
      <c r="C314" s="2">
        <f t="shared" ca="1" si="2"/>
        <v>0.13476042750674921</v>
      </c>
      <c r="D314" s="2">
        <f t="shared" ca="1" si="3"/>
        <v>0.17262876640296576</v>
      </c>
      <c r="E314" s="2">
        <f t="shared" ca="1" si="4"/>
        <v>0.82737123359703424</v>
      </c>
      <c r="F314" s="1">
        <v>0.2</v>
      </c>
      <c r="G314" s="1">
        <f t="shared" ca="1" si="5"/>
        <v>0.13810301312237261</v>
      </c>
      <c r="H314" s="1">
        <f t="shared" ca="1" si="6"/>
        <v>0.66189698687762744</v>
      </c>
    </row>
    <row r="315" spans="1:8">
      <c r="A315" s="2">
        <f t="shared" ca="1" si="0"/>
        <v>0.9607600803999703</v>
      </c>
      <c r="B315" s="2">
        <f t="shared" ca="1" si="1"/>
        <v>0.11194604239174069</v>
      </c>
      <c r="C315" s="2">
        <f t="shared" ca="1" si="2"/>
        <v>0.11255328868874727</v>
      </c>
      <c r="D315" s="2">
        <f t="shared" ca="1" si="3"/>
        <v>0.31872836388982062</v>
      </c>
      <c r="E315" s="2">
        <f t="shared" ca="1" si="4"/>
        <v>0.68127163611017938</v>
      </c>
      <c r="F315" s="1">
        <v>0.2</v>
      </c>
      <c r="G315" s="1">
        <f t="shared" ca="1" si="5"/>
        <v>0.25498269111185651</v>
      </c>
      <c r="H315" s="1">
        <f t="shared" ca="1" si="6"/>
        <v>0.54501730888814348</v>
      </c>
    </row>
    <row r="316" spans="1:8">
      <c r="A316" s="2">
        <f t="shared" ca="1" si="0"/>
        <v>0.5109365832941396</v>
      </c>
      <c r="B316" s="2">
        <f t="shared" ca="1" si="1"/>
        <v>7.1600290908129111E-2</v>
      </c>
      <c r="C316" s="2">
        <f t="shared" ca="1" si="2"/>
        <v>4.1583207999465931E-2</v>
      </c>
      <c r="D316" s="2">
        <f t="shared" ca="1" si="3"/>
        <v>0.78563678947719784</v>
      </c>
      <c r="E316" s="2">
        <f t="shared" ca="1" si="4"/>
        <v>0.21436321052280216</v>
      </c>
      <c r="F316" s="1">
        <v>0.2</v>
      </c>
      <c r="G316" s="1">
        <f t="shared" ca="1" si="5"/>
        <v>0.62850943158175832</v>
      </c>
      <c r="H316" s="1">
        <f t="shared" ca="1" si="6"/>
        <v>0.17149056841824173</v>
      </c>
    </row>
    <row r="317" spans="1:8">
      <c r="A317" s="2">
        <f t="shared" ca="1" si="0"/>
        <v>0.97393010327397267</v>
      </c>
      <c r="B317" s="2">
        <f t="shared" ca="1" si="1"/>
        <v>0.12971757139607645</v>
      </c>
      <c r="C317" s="2">
        <f t="shared" ca="1" si="2"/>
        <v>0.13133584770622966</v>
      </c>
      <c r="D317" s="2">
        <f t="shared" ca="1" si="3"/>
        <v>0.19515889666954178</v>
      </c>
      <c r="E317" s="2">
        <f t="shared" ca="1" si="4"/>
        <v>0.80484110333045822</v>
      </c>
      <c r="F317" s="1">
        <v>0.2</v>
      </c>
      <c r="G317" s="1">
        <f t="shared" ca="1" si="5"/>
        <v>0.15612711733563345</v>
      </c>
      <c r="H317" s="1">
        <f t="shared" ca="1" si="6"/>
        <v>0.6438728826643666</v>
      </c>
    </row>
    <row r="318" spans="1:8">
      <c r="A318" s="2">
        <f t="shared" ca="1" si="0"/>
        <v>0.97538208772722357</v>
      </c>
      <c r="B318" s="2">
        <f t="shared" ca="1" si="1"/>
        <v>0.15738775569035274</v>
      </c>
      <c r="C318" s="2">
        <f t="shared" ca="1" si="2"/>
        <v>0.15851319772795847</v>
      </c>
      <c r="D318" s="2">
        <f t="shared" ca="1" si="3"/>
        <v>1.6360541263431339E-2</v>
      </c>
      <c r="E318" s="2">
        <f t="shared" ca="1" si="4"/>
        <v>0.98363945873656866</v>
      </c>
      <c r="F318" s="1">
        <v>0.2</v>
      </c>
      <c r="G318" s="1">
        <f t="shared" ca="1" si="5"/>
        <v>1.3088433010745072E-2</v>
      </c>
      <c r="H318" s="1">
        <f t="shared" ca="1" si="6"/>
        <v>0.78691156698925502</v>
      </c>
    </row>
    <row r="319" spans="1:8">
      <c r="A319" s="2">
        <f t="shared" ca="1" si="0"/>
        <v>0.90050346070596476</v>
      </c>
      <c r="B319" s="2">
        <f t="shared" ca="1" si="1"/>
        <v>9.0527727208641023E-2</v>
      </c>
      <c r="C319" s="2">
        <f t="shared" ca="1" si="2"/>
        <v>8.6520531641226778E-2</v>
      </c>
      <c r="D319" s="2">
        <f t="shared" ca="1" si="3"/>
        <v>0.48999650236035031</v>
      </c>
      <c r="E319" s="2">
        <f t="shared" ca="1" si="4"/>
        <v>0.51000349763964969</v>
      </c>
      <c r="F319" s="1">
        <v>0.2</v>
      </c>
      <c r="G319" s="1">
        <f t="shared" ca="1" si="5"/>
        <v>0.39199720188828024</v>
      </c>
      <c r="H319" s="1">
        <f t="shared" ca="1" si="6"/>
        <v>0.4080027981117198</v>
      </c>
    </row>
    <row r="320" spans="1:8">
      <c r="A320" s="2">
        <f t="shared" ca="1" si="0"/>
        <v>0.94654926399026029</v>
      </c>
      <c r="B320" s="2">
        <f t="shared" ca="1" si="1"/>
        <v>0.10361228686702253</v>
      </c>
      <c r="C320" s="2">
        <f t="shared" ca="1" si="2"/>
        <v>0.1030741338743279</v>
      </c>
      <c r="D320" s="2">
        <f t="shared" ca="1" si="3"/>
        <v>0.38109122451100075</v>
      </c>
      <c r="E320" s="2">
        <f t="shared" ca="1" si="4"/>
        <v>0.61890877548899925</v>
      </c>
      <c r="F320" s="1">
        <v>0.2</v>
      </c>
      <c r="G320" s="1">
        <f t="shared" ca="1" si="5"/>
        <v>0.30487297960880061</v>
      </c>
      <c r="H320" s="1">
        <f t="shared" ca="1" si="6"/>
        <v>0.49512702039119943</v>
      </c>
    </row>
    <row r="321" spans="1:8">
      <c r="A321" s="2">
        <f t="shared" ca="1" si="0"/>
        <v>0.88320677037382433</v>
      </c>
      <c r="B321" s="2">
        <f t="shared" ca="1" si="1"/>
        <v>8.7649668700687994E-2</v>
      </c>
      <c r="C321" s="2">
        <f t="shared" ca="1" si="2"/>
        <v>8.2412780817470319E-2</v>
      </c>
      <c r="D321" s="2">
        <f t="shared" ca="1" si="3"/>
        <v>0.51702117883243226</v>
      </c>
      <c r="E321" s="2">
        <f t="shared" ca="1" si="4"/>
        <v>0.48297882116756774</v>
      </c>
      <c r="F321" s="1">
        <v>0.2</v>
      </c>
      <c r="G321" s="1">
        <f t="shared" ca="1" si="5"/>
        <v>0.41361694306594582</v>
      </c>
      <c r="H321" s="1">
        <f t="shared" ca="1" si="6"/>
        <v>0.38638305693405423</v>
      </c>
    </row>
    <row r="322" spans="1:8">
      <c r="A322" s="2">
        <f t="shared" ca="1" si="0"/>
        <v>0.97620691745472288</v>
      </c>
      <c r="B322" s="2">
        <f t="shared" ca="1" si="1"/>
        <v>0.14221690028642209</v>
      </c>
      <c r="C322" s="2">
        <f t="shared" ca="1" si="2"/>
        <v>0.1438331218385738</v>
      </c>
      <c r="D322" s="2">
        <f t="shared" ca="1" si="3"/>
        <v>0.11293998790411974</v>
      </c>
      <c r="E322" s="2">
        <f t="shared" ca="1" si="4"/>
        <v>0.88706001209588026</v>
      </c>
      <c r="F322" s="1">
        <v>0.2</v>
      </c>
      <c r="G322" s="1">
        <f t="shared" ca="1" si="5"/>
        <v>9.03519903232958E-2</v>
      </c>
      <c r="H322" s="1">
        <f t="shared" ca="1" si="6"/>
        <v>0.70964800967670427</v>
      </c>
    </row>
    <row r="323" spans="1:8">
      <c r="A323" s="2">
        <f t="shared" ca="1" si="0"/>
        <v>0.97478963521365058</v>
      </c>
      <c r="B323" s="2">
        <f t="shared" ca="1" si="1"/>
        <v>0.13256302592578043</v>
      </c>
      <c r="C323" s="2">
        <f t="shared" ca="1" si="2"/>
        <v>0.13422106368500922</v>
      </c>
      <c r="D323" s="2">
        <f t="shared" ca="1" si="3"/>
        <v>0.17617721259862351</v>
      </c>
      <c r="E323" s="2">
        <f t="shared" ca="1" si="4"/>
        <v>0.82382278740137649</v>
      </c>
      <c r="F323" s="1">
        <v>0.2</v>
      </c>
      <c r="G323" s="1">
        <f t="shared" ca="1" si="5"/>
        <v>0.14094177007889883</v>
      </c>
      <c r="H323" s="1">
        <f t="shared" ca="1" si="6"/>
        <v>0.65905822992110119</v>
      </c>
    </row>
    <row r="324" spans="1:8">
      <c r="A324" s="2">
        <f t="shared" ca="1" si="0"/>
        <v>0.66267006407539397</v>
      </c>
      <c r="B324" s="2">
        <f t="shared" ca="1" si="1"/>
        <v>7.351014360024552E-2</v>
      </c>
      <c r="C324" s="2">
        <f t="shared" ca="1" si="2"/>
        <v>5.3712971569766108E-2</v>
      </c>
      <c r="D324" s="2">
        <f t="shared" ca="1" si="3"/>
        <v>0.70583571335680195</v>
      </c>
      <c r="E324" s="2">
        <f t="shared" ca="1" si="4"/>
        <v>0.29416428664319805</v>
      </c>
      <c r="F324" s="1">
        <v>0.2</v>
      </c>
      <c r="G324" s="1">
        <f t="shared" ca="1" si="5"/>
        <v>0.56466857068544163</v>
      </c>
      <c r="H324" s="1">
        <f t="shared" ca="1" si="6"/>
        <v>0.23533142931455844</v>
      </c>
    </row>
    <row r="325" spans="1:8">
      <c r="A325" s="2">
        <f t="shared" ca="1" si="0"/>
        <v>0.96113036087552495</v>
      </c>
      <c r="B325" s="2">
        <f t="shared" ca="1" si="1"/>
        <v>0.11223640710818658</v>
      </c>
      <c r="C325" s="2">
        <f t="shared" ca="1" si="2"/>
        <v>0.1128738184672637</v>
      </c>
      <c r="D325" s="2">
        <f t="shared" ca="1" si="3"/>
        <v>0.31661961534694938</v>
      </c>
      <c r="E325" s="2">
        <f t="shared" ca="1" si="4"/>
        <v>0.68338038465305062</v>
      </c>
      <c r="F325" s="1">
        <v>0.2</v>
      </c>
      <c r="G325" s="1">
        <f t="shared" ca="1" si="5"/>
        <v>0.25329569227755949</v>
      </c>
      <c r="H325" s="1">
        <f t="shared" ca="1" si="6"/>
        <v>0.5467043077224405</v>
      </c>
    </row>
    <row r="326" spans="1:8">
      <c r="A326" s="2">
        <f t="shared" ca="1" si="0"/>
        <v>0.36009673211059223</v>
      </c>
      <c r="B326" s="2">
        <f t="shared" ca="1" si="1"/>
        <v>7.2232146388743423E-2</v>
      </c>
      <c r="C326" s="2">
        <f t="shared" ca="1" si="2"/>
        <v>3.1010559867920423E-2</v>
      </c>
      <c r="D326" s="2">
        <f t="shared" ca="1" si="3"/>
        <v>0.85519368507947091</v>
      </c>
      <c r="E326" s="2">
        <f t="shared" ca="1" si="4"/>
        <v>0.14480631492052909</v>
      </c>
      <c r="F326" s="1">
        <v>0.2</v>
      </c>
      <c r="G326" s="1">
        <f t="shared" ca="1" si="5"/>
        <v>0.6841549480635768</v>
      </c>
      <c r="H326" s="1">
        <f t="shared" ca="1" si="6"/>
        <v>0.11584505193642328</v>
      </c>
    </row>
    <row r="327" spans="1:8">
      <c r="A327" s="2">
        <f t="shared" ca="1" si="0"/>
        <v>0.97610947887246735</v>
      </c>
      <c r="B327" s="2">
        <f t="shared" ca="1" si="1"/>
        <v>0.15031632807800824</v>
      </c>
      <c r="C327" s="2">
        <f t="shared" ca="1" si="2"/>
        <v>0.15172519266624745</v>
      </c>
      <c r="D327" s="2">
        <f t="shared" ca="1" si="3"/>
        <v>6.1018469301003853E-2</v>
      </c>
      <c r="E327" s="2">
        <f t="shared" ca="1" si="4"/>
        <v>0.93898153069899615</v>
      </c>
      <c r="F327" s="1">
        <v>0.2</v>
      </c>
      <c r="G327" s="1">
        <f t="shared" ca="1" si="5"/>
        <v>4.8814775440803086E-2</v>
      </c>
      <c r="H327" s="1">
        <f t="shared" ca="1" si="6"/>
        <v>0.75118522455919701</v>
      </c>
    </row>
    <row r="328" spans="1:8">
      <c r="A328" s="2">
        <f t="shared" ca="1" si="0"/>
        <v>0.28475610707738663</v>
      </c>
      <c r="B328" s="2">
        <f t="shared" ca="1" si="1"/>
        <v>7.3303552203730318E-2</v>
      </c>
      <c r="C328" s="2">
        <f t="shared" ca="1" si="2"/>
        <v>2.5873634160478234E-2</v>
      </c>
      <c r="D328" s="2">
        <f t="shared" ca="1" si="3"/>
        <v>0.88898924894422215</v>
      </c>
      <c r="E328" s="2">
        <f t="shared" ca="1" si="4"/>
        <v>0.11101075105577785</v>
      </c>
      <c r="F328" s="1">
        <v>0.2</v>
      </c>
      <c r="G328" s="1">
        <f t="shared" ca="1" si="5"/>
        <v>0.71119139915537777</v>
      </c>
      <c r="H328" s="1">
        <f t="shared" ca="1" si="6"/>
        <v>8.8808600844622276E-2</v>
      </c>
    </row>
    <row r="329" spans="1:8">
      <c r="A329" s="2">
        <f t="shared" ca="1" si="0"/>
        <v>0.92452168948360502</v>
      </c>
      <c r="B329" s="2">
        <f t="shared" ca="1" si="1"/>
        <v>9.5922747006927461E-2</v>
      </c>
      <c r="C329" s="2">
        <f t="shared" ca="1" si="2"/>
        <v>9.3682660122753003E-2</v>
      </c>
      <c r="D329" s="2">
        <f t="shared" ca="1" si="3"/>
        <v>0.44287723603451978</v>
      </c>
      <c r="E329" s="2">
        <f t="shared" ca="1" si="4"/>
        <v>0.55712276396548022</v>
      </c>
      <c r="F329" s="1">
        <v>0.2</v>
      </c>
      <c r="G329" s="1">
        <f t="shared" ca="1" si="5"/>
        <v>0.35430178882761587</v>
      </c>
      <c r="H329" s="1">
        <f t="shared" ca="1" si="6"/>
        <v>0.44569821117238417</v>
      </c>
    </row>
    <row r="330" spans="1:8">
      <c r="A330" s="2">
        <f t="shared" ca="1" si="0"/>
        <v>0.97401781616820382</v>
      </c>
      <c r="B330" s="2">
        <f t="shared" ca="1" si="1"/>
        <v>0.12997468064812417</v>
      </c>
      <c r="C330" s="2">
        <f t="shared" ca="1" si="2"/>
        <v>0.13159765460204562</v>
      </c>
      <c r="D330" s="2">
        <f t="shared" ca="1" si="3"/>
        <v>0.1934364828812789</v>
      </c>
      <c r="E330" s="2">
        <f t="shared" ca="1" si="4"/>
        <v>0.8065635171187211</v>
      </c>
      <c r="F330" s="1">
        <v>0.2</v>
      </c>
      <c r="G330" s="1">
        <f t="shared" ca="1" si="5"/>
        <v>0.15474918630502313</v>
      </c>
      <c r="H330" s="1">
        <f t="shared" ca="1" si="6"/>
        <v>0.64525081369497694</v>
      </c>
    </row>
    <row r="331" spans="1:8">
      <c r="A331" s="2">
        <f t="shared" ca="1" si="0"/>
        <v>0.37914360106392386</v>
      </c>
      <c r="B331" s="2">
        <f t="shared" ca="1" si="1"/>
        <v>7.2038633765416415E-2</v>
      </c>
      <c r="C331" s="2">
        <f t="shared" ca="1" si="2"/>
        <v>3.2312987021545156E-2</v>
      </c>
      <c r="D331" s="2">
        <f t="shared" ca="1" si="3"/>
        <v>0.84662508538457137</v>
      </c>
      <c r="E331" s="2">
        <f t="shared" ca="1" si="4"/>
        <v>0.15337491461542863</v>
      </c>
      <c r="F331" s="1">
        <v>0.2</v>
      </c>
      <c r="G331" s="1">
        <f t="shared" ca="1" si="5"/>
        <v>0.6773000683076571</v>
      </c>
      <c r="H331" s="1">
        <f t="shared" ca="1" si="6"/>
        <v>0.1226999316923429</v>
      </c>
    </row>
    <row r="332" spans="1:8">
      <c r="A332" s="2">
        <f t="shared" ca="1" si="0"/>
        <v>0.8058802634216653</v>
      </c>
      <c r="B332" s="2">
        <f t="shared" ca="1" si="1"/>
        <v>7.9702683139653382E-2</v>
      </c>
      <c r="C332" s="2">
        <f t="shared" ca="1" si="2"/>
        <v>6.9230819283997394E-2</v>
      </c>
      <c r="D332" s="2">
        <f t="shared" ca="1" si="3"/>
        <v>0.60374460997370138</v>
      </c>
      <c r="E332" s="2">
        <f t="shared" ca="1" si="4"/>
        <v>0.39625539002629862</v>
      </c>
      <c r="F332" s="1">
        <v>0.2</v>
      </c>
      <c r="G332" s="1">
        <f t="shared" ca="1" si="5"/>
        <v>0.48299568797896114</v>
      </c>
      <c r="H332" s="1">
        <f t="shared" ca="1" si="6"/>
        <v>0.3170043120210389</v>
      </c>
    </row>
    <row r="333" spans="1:8">
      <c r="A333" s="2">
        <f t="shared" ca="1" si="0"/>
        <v>0.97009165565467326</v>
      </c>
      <c r="B333" s="2">
        <f t="shared" ca="1" si="1"/>
        <v>0.12186430604788472</v>
      </c>
      <c r="C333" s="2">
        <f t="shared" ca="1" si="2"/>
        <v>0.1232195464192003</v>
      </c>
      <c r="D333" s="2">
        <f t="shared" ca="1" si="3"/>
        <v>0.24855561566315598</v>
      </c>
      <c r="E333" s="2">
        <f t="shared" ca="1" si="4"/>
        <v>0.75144438433684402</v>
      </c>
      <c r="F333" s="1">
        <v>0.2</v>
      </c>
      <c r="G333" s="1">
        <f t="shared" ca="1" si="5"/>
        <v>0.1988444925305248</v>
      </c>
      <c r="H333" s="1">
        <f t="shared" ca="1" si="6"/>
        <v>0.60115550746947521</v>
      </c>
    </row>
    <row r="334" spans="1:8">
      <c r="A334" s="2">
        <f t="shared" ca="1" si="0"/>
        <v>0.88599420525587591</v>
      </c>
      <c r="B334" s="2">
        <f t="shared" ca="1" si="1"/>
        <v>8.8072156656157127E-2</v>
      </c>
      <c r="C334" s="2">
        <f t="shared" ca="1" si="2"/>
        <v>8.3031420441742942E-2</v>
      </c>
      <c r="D334" s="2">
        <f t="shared" ca="1" si="3"/>
        <v>0.51295118130432282</v>
      </c>
      <c r="E334" s="2">
        <f t="shared" ca="1" si="4"/>
        <v>0.48704881869567718</v>
      </c>
      <c r="F334" s="1">
        <v>0.2</v>
      </c>
      <c r="G334" s="1">
        <f t="shared" ca="1" si="5"/>
        <v>0.41036094504345827</v>
      </c>
      <c r="H334" s="1">
        <f t="shared" ca="1" si="6"/>
        <v>0.38963905495654177</v>
      </c>
    </row>
    <row r="335" spans="1:8">
      <c r="A335" s="2">
        <f t="shared" ca="1" si="0"/>
        <v>0.36979075808719081</v>
      </c>
      <c r="B335" s="2">
        <f t="shared" ca="1" si="1"/>
        <v>7.2129730346941437E-2</v>
      </c>
      <c r="C335" s="2">
        <f t="shared" ca="1" si="2"/>
        <v>3.1672907665620129E-2</v>
      </c>
      <c r="D335" s="2">
        <f t="shared" ca="1" si="3"/>
        <v>0.85083613377881495</v>
      </c>
      <c r="E335" s="2">
        <f t="shared" ca="1" si="4"/>
        <v>0.14916386622118505</v>
      </c>
      <c r="F335" s="1">
        <v>0.2</v>
      </c>
      <c r="G335" s="1">
        <f t="shared" ca="1" si="5"/>
        <v>0.68066890702305205</v>
      </c>
      <c r="H335" s="1">
        <f t="shared" ca="1" si="6"/>
        <v>0.11933109297694805</v>
      </c>
    </row>
    <row r="336" spans="1:8">
      <c r="A336" s="2">
        <f t="shared" ca="1" si="0"/>
        <v>0.59760001577708277</v>
      </c>
      <c r="B336" s="2">
        <f t="shared" ca="1" si="1"/>
        <v>7.2300966488097515E-2</v>
      </c>
      <c r="C336" s="2">
        <f t="shared" ca="1" si="2"/>
        <v>4.8207058713985403E-2</v>
      </c>
      <c r="D336" s="2">
        <f t="shared" ca="1" si="3"/>
        <v>0.74205882425009606</v>
      </c>
      <c r="E336" s="2">
        <f t="shared" ca="1" si="4"/>
        <v>0.25794117574990394</v>
      </c>
      <c r="F336" s="1">
        <v>0.2</v>
      </c>
      <c r="G336" s="1">
        <f t="shared" ca="1" si="5"/>
        <v>0.59364705940007689</v>
      </c>
      <c r="H336" s="1">
        <f t="shared" ca="1" si="6"/>
        <v>0.20635294059992315</v>
      </c>
    </row>
    <row r="337" spans="1:8">
      <c r="A337" s="2">
        <f t="shared" ca="1" si="0"/>
        <v>0.9753123335495818</v>
      </c>
      <c r="B337" s="2">
        <f t="shared" ca="1" si="1"/>
        <v>0.13482686459530696</v>
      </c>
      <c r="C337" s="2">
        <f t="shared" ca="1" si="2"/>
        <v>0.13649830393362233</v>
      </c>
      <c r="D337" s="2">
        <f t="shared" ca="1" si="3"/>
        <v>0.1611953688577481</v>
      </c>
      <c r="E337" s="2">
        <f t="shared" ca="1" si="4"/>
        <v>0.8388046311422519</v>
      </c>
      <c r="F337" s="1">
        <v>0.2</v>
      </c>
      <c r="G337" s="1">
        <f t="shared" ca="1" si="5"/>
        <v>0.12895629508619849</v>
      </c>
      <c r="H337" s="1">
        <f t="shared" ca="1" si="6"/>
        <v>0.67104370491380161</v>
      </c>
    </row>
    <row r="338" spans="1:8">
      <c r="A338" s="2">
        <f t="shared" ca="1" si="0"/>
        <v>0.56585288045480886</v>
      </c>
      <c r="B338" s="2">
        <f t="shared" ca="1" si="1"/>
        <v>7.1938051368908962E-2</v>
      </c>
      <c r="C338" s="2">
        <f t="shared" ca="1" si="2"/>
        <v>4.5706353581403139E-2</v>
      </c>
      <c r="D338" s="2">
        <f t="shared" ca="1" si="3"/>
        <v>0.75851083170129519</v>
      </c>
      <c r="E338" s="2">
        <f t="shared" ca="1" si="4"/>
        <v>0.24148916829870481</v>
      </c>
      <c r="F338" s="1">
        <v>0.2</v>
      </c>
      <c r="G338" s="1">
        <f t="shared" ca="1" si="5"/>
        <v>0.60680866536103617</v>
      </c>
      <c r="H338" s="1">
        <f t="shared" ca="1" si="6"/>
        <v>0.19319133463896387</v>
      </c>
    </row>
    <row r="339" spans="1:8">
      <c r="A339" s="2">
        <f t="shared" ca="1" si="0"/>
        <v>0.97565867232529113</v>
      </c>
      <c r="B339" s="2">
        <f t="shared" ca="1" si="1"/>
        <v>0.136763289010809</v>
      </c>
      <c r="C339" s="2">
        <f t="shared" ca="1" si="2"/>
        <v>0.13843428897912599</v>
      </c>
      <c r="D339" s="2">
        <f t="shared" ca="1" si="3"/>
        <v>0.14845862513732899</v>
      </c>
      <c r="E339" s="2">
        <f t="shared" ca="1" si="4"/>
        <v>0.85154137486267101</v>
      </c>
      <c r="F339" s="1">
        <v>0.2</v>
      </c>
      <c r="G339" s="1">
        <f t="shared" ca="1" si="5"/>
        <v>0.1187669001098632</v>
      </c>
      <c r="H339" s="1">
        <f t="shared" ca="1" si="6"/>
        <v>0.68123309989013681</v>
      </c>
    </row>
    <row r="340" spans="1:8">
      <c r="A340" s="2">
        <f t="shared" ca="1" si="0"/>
        <v>0.31046771382549954</v>
      </c>
      <c r="B340" s="2">
        <f t="shared" ca="1" si="1"/>
        <v>7.288308511979745E-2</v>
      </c>
      <c r="C340" s="2">
        <f t="shared" ca="1" si="2"/>
        <v>2.7627844813692799E-2</v>
      </c>
      <c r="D340" s="2">
        <f t="shared" ca="1" si="3"/>
        <v>0.87744838938360004</v>
      </c>
      <c r="E340" s="2">
        <f t="shared" ca="1" si="4"/>
        <v>0.12255161061639996</v>
      </c>
      <c r="F340" s="1">
        <v>0.2</v>
      </c>
      <c r="G340" s="1">
        <f t="shared" ca="1" si="5"/>
        <v>0.70195871150688005</v>
      </c>
      <c r="H340" s="1">
        <f t="shared" ca="1" si="6"/>
        <v>9.804128849311998E-2</v>
      </c>
    </row>
    <row r="341" spans="1:8">
      <c r="A341" s="2">
        <f t="shared" ca="1" si="0"/>
        <v>0.56239609245070354</v>
      </c>
      <c r="B341" s="2">
        <f t="shared" ca="1" si="1"/>
        <v>7.1906371251404019E-2</v>
      </c>
      <c r="C341" s="2">
        <f t="shared" ca="1" si="2"/>
        <v>4.5439862214099222E-2</v>
      </c>
      <c r="D341" s="2">
        <f t="shared" ca="1" si="3"/>
        <v>0.7602640643809262</v>
      </c>
      <c r="E341" s="2">
        <f t="shared" ca="1" si="4"/>
        <v>0.2397359356190738</v>
      </c>
      <c r="F341" s="1">
        <v>0.2</v>
      </c>
      <c r="G341" s="1">
        <f t="shared" ca="1" si="5"/>
        <v>0.60821125150474098</v>
      </c>
      <c r="H341" s="1">
        <f t="shared" ca="1" si="6"/>
        <v>0.19178874849525906</v>
      </c>
    </row>
    <row r="342" spans="1:8">
      <c r="A342" s="2">
        <f t="shared" ca="1" si="0"/>
        <v>0.30705979698106245</v>
      </c>
      <c r="B342" s="2">
        <f t="shared" ca="1" si="1"/>
        <v>7.2935541301146684E-2</v>
      </c>
      <c r="C342" s="2">
        <f t="shared" ca="1" si="2"/>
        <v>2.7395572504633998E-2</v>
      </c>
      <c r="D342" s="2">
        <f t="shared" ca="1" si="3"/>
        <v>0.87897649668003952</v>
      </c>
      <c r="E342" s="2">
        <f t="shared" ca="1" si="4"/>
        <v>0.12102350331996048</v>
      </c>
      <c r="F342" s="1">
        <v>0.2</v>
      </c>
      <c r="G342" s="1">
        <f t="shared" ca="1" si="5"/>
        <v>0.70318119734403162</v>
      </c>
      <c r="H342" s="1">
        <f t="shared" ca="1" si="6"/>
        <v>9.6818802655968386E-2</v>
      </c>
    </row>
    <row r="343" spans="1:8">
      <c r="A343" s="2">
        <f t="shared" ca="1" si="0"/>
        <v>0.97523166426954955</v>
      </c>
      <c r="B343" s="2">
        <f t="shared" ca="1" si="1"/>
        <v>0.15846038682237251</v>
      </c>
      <c r="C343" s="2">
        <f t="shared" ca="1" si="2"/>
        <v>0.15953558676157895</v>
      </c>
      <c r="D343" s="2">
        <f t="shared" ca="1" si="3"/>
        <v>9.634297621191279E-3</v>
      </c>
      <c r="E343" s="2">
        <f t="shared" ca="1" si="4"/>
        <v>0.99036570237880872</v>
      </c>
      <c r="F343" s="1">
        <v>0.2</v>
      </c>
      <c r="G343" s="1">
        <f t="shared" ca="1" si="5"/>
        <v>7.7074380969530234E-3</v>
      </c>
      <c r="H343" s="1">
        <f t="shared" ca="1" si="6"/>
        <v>0.79229256190304698</v>
      </c>
    </row>
    <row r="344" spans="1:8">
      <c r="A344" s="2">
        <f t="shared" ca="1" si="0"/>
        <v>0.92656345801013074</v>
      </c>
      <c r="B344" s="2">
        <f t="shared" ca="1" si="1"/>
        <v>9.6491090632812318E-2</v>
      </c>
      <c r="C344" s="2">
        <f t="shared" ca="1" si="2"/>
        <v>9.4405118603907517E-2</v>
      </c>
      <c r="D344" s="2">
        <f t="shared" ca="1" si="3"/>
        <v>0.4381242197111348</v>
      </c>
      <c r="E344" s="2">
        <f t="shared" ca="1" si="4"/>
        <v>0.5618757802888652</v>
      </c>
      <c r="F344" s="1">
        <v>0.2</v>
      </c>
      <c r="G344" s="1">
        <f t="shared" ca="1" si="5"/>
        <v>0.35049937576890788</v>
      </c>
      <c r="H344" s="1">
        <f t="shared" ca="1" si="6"/>
        <v>0.44950062423109216</v>
      </c>
    </row>
    <row r="345" spans="1:8">
      <c r="A345" s="2">
        <f t="shared" ca="1" si="0"/>
        <v>0.68893246133763064</v>
      </c>
      <c r="B345" s="2">
        <f t="shared" ca="1" si="1"/>
        <v>7.4212909173271863E-2</v>
      </c>
      <c r="C345" s="2">
        <f t="shared" ca="1" si="2"/>
        <v>5.6127682179768205E-2</v>
      </c>
      <c r="D345" s="2">
        <f t="shared" ca="1" si="3"/>
        <v>0.68994945934363028</v>
      </c>
      <c r="E345" s="2">
        <f t="shared" ca="1" si="4"/>
        <v>0.31005054065636972</v>
      </c>
      <c r="F345" s="1">
        <v>0.2</v>
      </c>
      <c r="G345" s="1">
        <f t="shared" ca="1" si="5"/>
        <v>0.55195956747490427</v>
      </c>
      <c r="H345" s="1">
        <f t="shared" ca="1" si="6"/>
        <v>0.24804043252509578</v>
      </c>
    </row>
    <row r="346" spans="1:8">
      <c r="A346" s="2">
        <f t="shared" ca="1" si="0"/>
        <v>0.94361153141692644</v>
      </c>
      <c r="B346" s="2">
        <f t="shared" ca="1" si="1"/>
        <v>0.12791681352219986</v>
      </c>
      <c r="C346" s="2">
        <f t="shared" ca="1" si="2"/>
        <v>0.12570378030165641</v>
      </c>
      <c r="D346" s="2">
        <f t="shared" ca="1" si="3"/>
        <v>0.39103273525443993</v>
      </c>
      <c r="E346" s="2">
        <f t="shared" ca="1" si="4"/>
        <v>0.60896726474556007</v>
      </c>
      <c r="F346" s="1">
        <v>0</v>
      </c>
      <c r="G346" s="1">
        <f t="shared" ca="1" si="5"/>
        <v>0.39103273525443993</v>
      </c>
      <c r="H346" s="1">
        <f t="shared" ca="1" si="6"/>
        <v>0.60896726474556007</v>
      </c>
    </row>
    <row r="347" spans="1:8">
      <c r="A347" s="2">
        <f t="shared" ca="1" si="0"/>
        <v>0.51026986612948655</v>
      </c>
      <c r="B347" s="2">
        <f t="shared" ca="1" si="1"/>
        <v>8.9497817440666663E-2</v>
      </c>
      <c r="C347" s="2">
        <f t="shared" ca="1" si="2"/>
        <v>5.06680393243302E-2</v>
      </c>
      <c r="D347" s="2">
        <f t="shared" ca="1" si="3"/>
        <v>0.78595768776668318</v>
      </c>
      <c r="E347" s="2">
        <f t="shared" ca="1" si="4"/>
        <v>0.21404231223331682</v>
      </c>
      <c r="F347" s="1">
        <v>0</v>
      </c>
      <c r="G347" s="1">
        <f t="shared" ca="1" si="5"/>
        <v>0.78595768776668318</v>
      </c>
      <c r="H347" s="1">
        <f t="shared" ca="1" si="6"/>
        <v>0.21404231223331682</v>
      </c>
    </row>
    <row r="348" spans="1:8">
      <c r="A348" s="2">
        <f t="shared" ca="1" si="0"/>
        <v>0.42899949690843969</v>
      </c>
      <c r="B348" s="2">
        <f t="shared" ca="1" si="1"/>
        <v>8.9603579086323507E-2</v>
      </c>
      <c r="C348" s="2">
        <f t="shared" ca="1" si="2"/>
        <v>4.343989034922837E-2</v>
      </c>
      <c r="D348" s="2">
        <f t="shared" ca="1" si="3"/>
        <v>0.82400057710932439</v>
      </c>
      <c r="E348" s="2">
        <f t="shared" ca="1" si="4"/>
        <v>0.17599942289067561</v>
      </c>
      <c r="F348" s="1">
        <v>0</v>
      </c>
      <c r="G348" s="1">
        <f t="shared" ca="1" si="5"/>
        <v>0.82400057710932439</v>
      </c>
      <c r="H348" s="1">
        <f t="shared" ca="1" si="6"/>
        <v>0.17599942289067561</v>
      </c>
    </row>
    <row r="349" spans="1:8">
      <c r="A349" s="2">
        <f t="shared" ca="1" si="0"/>
        <v>0.92147191266695228</v>
      </c>
      <c r="B349" s="2">
        <f t="shared" ca="1" si="1"/>
        <v>0.11889120242654143</v>
      </c>
      <c r="C349" s="2">
        <f t="shared" ca="1" si="2"/>
        <v>0.11455490369925893</v>
      </c>
      <c r="D349" s="2">
        <f t="shared" ca="1" si="3"/>
        <v>0.44971103316179517</v>
      </c>
      <c r="E349" s="2">
        <f t="shared" ca="1" si="4"/>
        <v>0.55028896683820483</v>
      </c>
      <c r="F349" s="1">
        <v>0</v>
      </c>
      <c r="G349" s="1">
        <f t="shared" ca="1" si="5"/>
        <v>0.44971103316179517</v>
      </c>
      <c r="H349" s="1">
        <f t="shared" ca="1" si="6"/>
        <v>0.55028896683820483</v>
      </c>
    </row>
    <row r="350" spans="1:8">
      <c r="A350" s="2">
        <f t="shared" ca="1" si="0"/>
        <v>0.96276872371025846</v>
      </c>
      <c r="B350" s="2">
        <f t="shared" ca="1" si="1"/>
        <v>0.14198976201339239</v>
      </c>
      <c r="C350" s="2">
        <f t="shared" ca="1" si="2"/>
        <v>0.14170330195355713</v>
      </c>
      <c r="D350" s="2">
        <f t="shared" ca="1" si="3"/>
        <v>0.30682472656022575</v>
      </c>
      <c r="E350" s="2">
        <f t="shared" ca="1" si="4"/>
        <v>0.69317527343977425</v>
      </c>
      <c r="F350" s="1">
        <v>0</v>
      </c>
      <c r="G350" s="1">
        <f t="shared" ca="1" si="5"/>
        <v>0.30682472656022575</v>
      </c>
      <c r="H350" s="1">
        <f t="shared" ca="1" si="6"/>
        <v>0.69317527343977425</v>
      </c>
    </row>
    <row r="351" spans="1:8">
      <c r="A351" s="2">
        <f t="shared" ca="1" si="0"/>
        <v>0.88586963105754379</v>
      </c>
      <c r="B351" s="2">
        <f t="shared" ca="1" si="1"/>
        <v>0.11006621252026899</v>
      </c>
      <c r="C351" s="2">
        <f t="shared" ca="1" si="2"/>
        <v>0.1025043150772319</v>
      </c>
      <c r="D351" s="2">
        <f t="shared" ca="1" si="3"/>
        <v>0.51313518380404266</v>
      </c>
      <c r="E351" s="2">
        <f t="shared" ca="1" si="4"/>
        <v>0.48686481619595734</v>
      </c>
      <c r="F351" s="1">
        <v>0</v>
      </c>
      <c r="G351" s="1">
        <f t="shared" ca="1" si="5"/>
        <v>0.51313518380404266</v>
      </c>
      <c r="H351" s="1">
        <f t="shared" ca="1" si="6"/>
        <v>0.48686481619595734</v>
      </c>
    </row>
    <row r="352" spans="1:8">
      <c r="A352" s="2">
        <f t="shared" ca="1" si="0"/>
        <v>0.89765559416075902</v>
      </c>
      <c r="B352" s="2">
        <f t="shared" ca="1" si="1"/>
        <v>0.11251016684962917</v>
      </c>
      <c r="C352" s="2">
        <f t="shared" ca="1" si="2"/>
        <v>0.10599538067253</v>
      </c>
      <c r="D352" s="2">
        <f t="shared" ca="1" si="3"/>
        <v>0.49476115435510526</v>
      </c>
      <c r="E352" s="2">
        <f t="shared" ca="1" si="4"/>
        <v>0.50523884564489474</v>
      </c>
      <c r="F352" s="1">
        <v>0</v>
      </c>
      <c r="G352" s="1">
        <f t="shared" ca="1" si="5"/>
        <v>0.49476115435510526</v>
      </c>
      <c r="H352" s="1">
        <f t="shared" ca="1" si="6"/>
        <v>0.50523884564489474</v>
      </c>
    </row>
    <row r="353" spans="1:8">
      <c r="A353" s="2">
        <f t="shared" ca="1" si="0"/>
        <v>0.48320465397107382</v>
      </c>
      <c r="B353" s="2">
        <f t="shared" ca="1" si="1"/>
        <v>8.9443091522410006E-2</v>
      </c>
      <c r="C353" s="2">
        <f t="shared" ca="1" si="2"/>
        <v>4.8219318089189209E-2</v>
      </c>
      <c r="D353" s="2">
        <f t="shared" ca="1" si="3"/>
        <v>0.79884569426742524</v>
      </c>
      <c r="E353" s="2">
        <f t="shared" ca="1" si="4"/>
        <v>0.20115430573257476</v>
      </c>
      <c r="F353" s="1">
        <v>0</v>
      </c>
      <c r="G353" s="1">
        <f t="shared" ca="1" si="5"/>
        <v>0.79884569426742524</v>
      </c>
      <c r="H353" s="1">
        <f t="shared" ca="1" si="6"/>
        <v>0.20115430573257476</v>
      </c>
    </row>
    <row r="354" spans="1:8">
      <c r="A354" s="2">
        <f t="shared" ca="1" si="0"/>
        <v>0.97553564585446129</v>
      </c>
      <c r="B354" s="2">
        <f t="shared" ca="1" si="1"/>
        <v>0.19526823077041261</v>
      </c>
      <c r="C354" s="2">
        <f t="shared" ca="1" si="2"/>
        <v>0.19549111961947246</v>
      </c>
      <c r="D354" s="2">
        <f t="shared" ca="1" si="3"/>
        <v>2.3730949371197685E-2</v>
      </c>
      <c r="E354" s="2">
        <f t="shared" ca="1" si="4"/>
        <v>0.97626905062880232</v>
      </c>
      <c r="F354" s="1">
        <v>0</v>
      </c>
      <c r="G354" s="1">
        <f t="shared" ca="1" si="5"/>
        <v>2.3730949371197685E-2</v>
      </c>
      <c r="H354" s="1">
        <f t="shared" ca="1" si="6"/>
        <v>0.97626905062880232</v>
      </c>
    </row>
    <row r="355" spans="1:8">
      <c r="A355" s="2">
        <f t="shared" ca="1" si="0"/>
        <v>0.954413364541425</v>
      </c>
      <c r="B355" s="2">
        <f t="shared" ca="1" si="1"/>
        <v>0.13458438708602935</v>
      </c>
      <c r="C355" s="2">
        <f t="shared" ca="1" si="2"/>
        <v>0.13344913769352279</v>
      </c>
      <c r="D355" s="2">
        <f t="shared" ca="1" si="3"/>
        <v>0.35026769634988009</v>
      </c>
      <c r="E355" s="2">
        <f t="shared" ca="1" si="4"/>
        <v>0.64973230365011991</v>
      </c>
      <c r="F355" s="1">
        <v>0</v>
      </c>
      <c r="G355" s="1">
        <f t="shared" ca="1" si="5"/>
        <v>0.35026769634988009</v>
      </c>
      <c r="H355" s="1">
        <f t="shared" ca="1" si="6"/>
        <v>0.64973230365011991</v>
      </c>
    </row>
    <row r="356" spans="1:8">
      <c r="A356" s="2">
        <f t="shared" ca="1" si="0"/>
        <v>0.90642792620829782</v>
      </c>
      <c r="B356" s="2">
        <f t="shared" ca="1" si="1"/>
        <v>0.11459680381645543</v>
      </c>
      <c r="C356" s="2">
        <f t="shared" ca="1" si="2"/>
        <v>0.10887374323344885</v>
      </c>
      <c r="D356" s="2">
        <f t="shared" ca="1" si="3"/>
        <v>0.47961187771869029</v>
      </c>
      <c r="E356" s="2">
        <f t="shared" ca="1" si="4"/>
        <v>0.52038812228130971</v>
      </c>
      <c r="F356" s="1">
        <v>0</v>
      </c>
      <c r="G356" s="1">
        <f t="shared" ca="1" si="5"/>
        <v>0.47961187771869029</v>
      </c>
      <c r="H356" s="1">
        <f t="shared" ca="1" si="6"/>
        <v>0.52038812228130971</v>
      </c>
    </row>
    <row r="357" spans="1:8">
      <c r="A357" s="2">
        <f t="shared" ca="1" si="0"/>
        <v>0.29501186015593245</v>
      </c>
      <c r="B357" s="2">
        <f t="shared" ca="1" si="1"/>
        <v>9.1411251168824675E-2</v>
      </c>
      <c r="C357" s="2">
        <f t="shared" ca="1" si="2"/>
        <v>3.1967403246496121E-2</v>
      </c>
      <c r="D357" s="2">
        <f t="shared" ca="1" si="3"/>
        <v>0.88438208817633623</v>
      </c>
      <c r="E357" s="2">
        <f t="shared" ca="1" si="4"/>
        <v>0.11561791182366377</v>
      </c>
      <c r="F357" s="1">
        <v>0</v>
      </c>
      <c r="G357" s="1">
        <f t="shared" ca="1" si="5"/>
        <v>0.88438208817633623</v>
      </c>
      <c r="H357" s="1">
        <f t="shared" ca="1" si="6"/>
        <v>0.11561791182366377</v>
      </c>
    </row>
    <row r="358" spans="1:8">
      <c r="A358" s="2">
        <f t="shared" ca="1" si="0"/>
        <v>0.97557996162085225</v>
      </c>
      <c r="B358" s="2">
        <f t="shared" ca="1" si="1"/>
        <v>0.17034663903565547</v>
      </c>
      <c r="C358" s="2">
        <f t="shared" ca="1" si="2"/>
        <v>0.17118676757264595</v>
      </c>
      <c r="D358" s="2">
        <f t="shared" ca="1" si="3"/>
        <v>0.15164859172291612</v>
      </c>
      <c r="E358" s="2">
        <f t="shared" ca="1" si="4"/>
        <v>0.84835140827708388</v>
      </c>
      <c r="F358" s="1">
        <v>0</v>
      </c>
      <c r="G358" s="1">
        <f t="shared" ca="1" si="5"/>
        <v>0.15164859172291612</v>
      </c>
      <c r="H358" s="1">
        <f t="shared" ca="1" si="6"/>
        <v>0.84835140827708388</v>
      </c>
    </row>
    <row r="359" spans="1:8">
      <c r="A359" s="2">
        <f t="shared" ca="1" si="0"/>
        <v>0.20262455718853756</v>
      </c>
      <c r="B359" s="2">
        <f t="shared" ca="1" si="1"/>
        <v>9.3794692679894556E-2</v>
      </c>
      <c r="C359" s="2">
        <f t="shared" ca="1" si="2"/>
        <v>2.40051080708986E-2</v>
      </c>
      <c r="D359" s="2">
        <f t="shared" ca="1" si="3"/>
        <v>0.92628890489000737</v>
      </c>
      <c r="E359" s="2">
        <f t="shared" ca="1" si="4"/>
        <v>7.371109510999263E-2</v>
      </c>
      <c r="F359" s="1">
        <v>0</v>
      </c>
      <c r="G359" s="1">
        <f t="shared" ca="1" si="5"/>
        <v>0.92628890489000737</v>
      </c>
      <c r="H359" s="1">
        <f t="shared" ca="1" si="6"/>
        <v>7.371109510999263E-2</v>
      </c>
    </row>
    <row r="360" spans="1:8">
      <c r="A360" s="2">
        <f t="shared" ca="1" si="0"/>
        <v>0.79789935951070146</v>
      </c>
      <c r="B360" s="2">
        <f t="shared" ca="1" si="1"/>
        <v>9.8942755094357682E-2</v>
      </c>
      <c r="C360" s="2">
        <f t="shared" ca="1" si="2"/>
        <v>8.3946360918012192E-2</v>
      </c>
      <c r="D360" s="2">
        <f t="shared" ca="1" si="3"/>
        <v>0.6108086267473043</v>
      </c>
      <c r="E360" s="2">
        <f t="shared" ca="1" si="4"/>
        <v>0.3891913732526957</v>
      </c>
      <c r="F360" s="1">
        <v>0</v>
      </c>
      <c r="G360" s="1">
        <f t="shared" ca="1" si="5"/>
        <v>0.6108086267473043</v>
      </c>
      <c r="H360" s="1">
        <f t="shared" ca="1" si="6"/>
        <v>0.3891913732526957</v>
      </c>
    </row>
    <row r="361" spans="1:8">
      <c r="A361" s="2">
        <f t="shared" ca="1" si="0"/>
        <v>0.89791730509391299</v>
      </c>
      <c r="B361" s="2">
        <f t="shared" ca="1" si="1"/>
        <v>0.11256880780248371</v>
      </c>
      <c r="C361" s="2">
        <f t="shared" ca="1" si="2"/>
        <v>0.10607748053964082</v>
      </c>
      <c r="D361" s="2">
        <f t="shared" ca="1" si="3"/>
        <v>0.49432904979136416</v>
      </c>
      <c r="E361" s="2">
        <f t="shared" ca="1" si="4"/>
        <v>0.50567095020863584</v>
      </c>
      <c r="F361" s="1">
        <v>0</v>
      </c>
      <c r="G361" s="1">
        <f t="shared" ca="1" si="5"/>
        <v>0.49432904979136416</v>
      </c>
      <c r="H361" s="1">
        <f t="shared" ca="1" si="6"/>
        <v>0.50567095020863584</v>
      </c>
    </row>
    <row r="362" spans="1:8">
      <c r="A362" s="2">
        <f t="shared" ca="1" si="0"/>
        <v>0.28376322867807036</v>
      </c>
      <c r="B362" s="2">
        <f t="shared" ca="1" si="1"/>
        <v>9.1651167749707899E-2</v>
      </c>
      <c r="C362" s="2">
        <f t="shared" ca="1" si="2"/>
        <v>3.1007231272772551E-2</v>
      </c>
      <c r="D362" s="2">
        <f t="shared" ca="1" si="3"/>
        <v>0.88943562488014449</v>
      </c>
      <c r="E362" s="2">
        <f t="shared" ca="1" si="4"/>
        <v>0.11056437511985551</v>
      </c>
      <c r="F362" s="1">
        <v>0</v>
      </c>
      <c r="G362" s="1">
        <f t="shared" ca="1" si="5"/>
        <v>0.88943562488014449</v>
      </c>
      <c r="H362" s="1">
        <f t="shared" ca="1" si="6"/>
        <v>0.11056437511985551</v>
      </c>
    </row>
    <row r="363" spans="1:8">
      <c r="A363" s="2">
        <f t="shared" ca="1" si="0"/>
        <v>0.96540870645097143</v>
      </c>
      <c r="B363" s="2">
        <f t="shared" ca="1" si="1"/>
        <v>0.14508583242168574</v>
      </c>
      <c r="C363" s="2">
        <f t="shared" ca="1" si="2"/>
        <v>0.14506712580258205</v>
      </c>
      <c r="D363" s="2">
        <f t="shared" ca="1" si="3"/>
        <v>0.28912039051272609</v>
      </c>
      <c r="E363" s="2">
        <f t="shared" ca="1" si="4"/>
        <v>0.71087960948727391</v>
      </c>
      <c r="F363" s="1">
        <v>0</v>
      </c>
      <c r="G363" s="1">
        <f t="shared" ca="1" si="5"/>
        <v>0.28912039051272609</v>
      </c>
      <c r="H363" s="1">
        <f t="shared" ca="1" si="6"/>
        <v>0.71087960948727391</v>
      </c>
    </row>
    <row r="364" spans="1:8">
      <c r="A364" s="2">
        <f t="shared" ca="1" si="0"/>
        <v>0.43457254870477013</v>
      </c>
      <c r="B364" s="2">
        <f t="shared" ca="1" si="1"/>
        <v>8.9571186561057281E-2</v>
      </c>
      <c r="C364" s="2">
        <f t="shared" ca="1" si="2"/>
        <v>4.3925178834349113E-2</v>
      </c>
      <c r="D364" s="2">
        <f t="shared" ca="1" si="3"/>
        <v>0.82144642718763627</v>
      </c>
      <c r="E364" s="2">
        <f t="shared" ca="1" si="4"/>
        <v>0.17855357281236373</v>
      </c>
      <c r="F364" s="1">
        <v>0</v>
      </c>
      <c r="G364" s="1">
        <f t="shared" ca="1" si="5"/>
        <v>0.82144642718763627</v>
      </c>
      <c r="H364" s="1">
        <f t="shared" ca="1" si="6"/>
        <v>0.17855357281236373</v>
      </c>
    </row>
    <row r="365" spans="1:8">
      <c r="A365" s="2">
        <f t="shared" ca="1" si="0"/>
        <v>0.93565109420085224</v>
      </c>
      <c r="B365" s="2">
        <f t="shared" ca="1" si="1"/>
        <v>0.12415466114491155</v>
      </c>
      <c r="C365" s="2">
        <f t="shared" ca="1" si="2"/>
        <v>0.12116544455037254</v>
      </c>
      <c r="D365" s="2">
        <f t="shared" ca="1" si="3"/>
        <v>0.41491871289277615</v>
      </c>
      <c r="E365" s="2">
        <f t="shared" ca="1" si="4"/>
        <v>0.58508128710722385</v>
      </c>
      <c r="F365" s="1">
        <v>0</v>
      </c>
      <c r="G365" s="1">
        <f t="shared" ca="1" si="5"/>
        <v>0.41491871289277615</v>
      </c>
      <c r="H365" s="1">
        <f t="shared" ca="1" si="6"/>
        <v>0.58508128710722385</v>
      </c>
    </row>
    <row r="366" spans="1:8">
      <c r="A366" s="2">
        <f t="shared" ca="1" si="0"/>
        <v>0.53727840496578883</v>
      </c>
      <c r="B366" s="2">
        <f t="shared" ca="1" si="1"/>
        <v>8.964915689053575E-2</v>
      </c>
      <c r="C366" s="2">
        <f t="shared" ca="1" si="2"/>
        <v>5.3166556020674799E-2</v>
      </c>
      <c r="D366" s="2">
        <f t="shared" ca="1" si="3"/>
        <v>0.7728075998911853</v>
      </c>
      <c r="E366" s="2">
        <f t="shared" ca="1" si="4"/>
        <v>0.2271924001088147</v>
      </c>
      <c r="F366" s="1">
        <v>0</v>
      </c>
      <c r="G366" s="1">
        <f t="shared" ca="1" si="5"/>
        <v>0.7728075998911853</v>
      </c>
      <c r="H366" s="1">
        <f t="shared" ca="1" si="6"/>
        <v>0.2271924001088147</v>
      </c>
    </row>
    <row r="367" spans="1:8">
      <c r="A367" s="2">
        <f t="shared" ca="1" si="0"/>
        <v>0.549209173242449</v>
      </c>
      <c r="B367" s="2">
        <f t="shared" ca="1" si="1"/>
        <v>8.9748599210815974E-2</v>
      </c>
      <c r="C367" s="2">
        <f t="shared" ca="1" si="2"/>
        <v>5.4290753972240154E-2</v>
      </c>
      <c r="D367" s="2">
        <f t="shared" ca="1" si="3"/>
        <v>0.7668907685671571</v>
      </c>
      <c r="E367" s="2">
        <f t="shared" ca="1" si="4"/>
        <v>0.2331092314328429</v>
      </c>
      <c r="F367" s="1">
        <v>0</v>
      </c>
      <c r="G367" s="1">
        <f t="shared" ca="1" si="5"/>
        <v>0.7668907685671571</v>
      </c>
      <c r="H367" s="1">
        <f t="shared" ca="1" si="6"/>
        <v>0.2331092314328429</v>
      </c>
    </row>
    <row r="368" spans="1:8">
      <c r="A368" s="2">
        <f t="shared" ca="1" si="0"/>
        <v>0.57175400014846567</v>
      </c>
      <c r="B368" s="2">
        <f t="shared" ca="1" si="1"/>
        <v>8.9994474810332376E-2</v>
      </c>
      <c r="C368" s="2">
        <f t="shared" ca="1" si="2"/>
        <v>5.6454700964067864E-2</v>
      </c>
      <c r="D368" s="2">
        <f t="shared" ca="1" si="3"/>
        <v>0.75550157387332706</v>
      </c>
      <c r="E368" s="2">
        <f t="shared" ca="1" si="4"/>
        <v>0.24449842612667294</v>
      </c>
      <c r="F368" s="1">
        <v>0</v>
      </c>
      <c r="G368" s="1">
        <f t="shared" ca="1" si="5"/>
        <v>0.75550157387332706</v>
      </c>
      <c r="H368" s="1">
        <f t="shared" ca="1" si="6"/>
        <v>0.24449842612667294</v>
      </c>
    </row>
    <row r="369" spans="1:8">
      <c r="A369" s="2">
        <f t="shared" ca="1" si="0"/>
        <v>0.64497943185400197</v>
      </c>
      <c r="B369" s="2">
        <f t="shared" ca="1" si="1"/>
        <v>9.1389938366208387E-2</v>
      </c>
      <c r="C369" s="2">
        <f t="shared" ca="1" si="2"/>
        <v>6.3944630524609344E-2</v>
      </c>
      <c r="D369" s="2">
        <f t="shared" ca="1" si="3"/>
        <v>0.71608089197574032</v>
      </c>
      <c r="E369" s="2">
        <f t="shared" ca="1" si="4"/>
        <v>0.28391910802425968</v>
      </c>
      <c r="F369" s="1">
        <v>0</v>
      </c>
      <c r="G369" s="1">
        <f t="shared" ca="1" si="5"/>
        <v>0.71608089197574032</v>
      </c>
      <c r="H369" s="1">
        <f t="shared" ca="1" si="6"/>
        <v>0.28391910802425968</v>
      </c>
    </row>
    <row r="370" spans="1:8">
      <c r="A370" s="2">
        <f t="shared" ca="1" si="0"/>
        <v>0.87137874184916875</v>
      </c>
      <c r="B370" s="2">
        <f t="shared" ca="1" si="1"/>
        <v>0.10750242372863851</v>
      </c>
      <c r="C370" s="2">
        <f t="shared" ca="1" si="2"/>
        <v>9.8675326734397259E-2</v>
      </c>
      <c r="D370" s="2">
        <f t="shared" ca="1" si="3"/>
        <v>0.53328775402948814</v>
      </c>
      <c r="E370" s="2">
        <f t="shared" ca="1" si="4"/>
        <v>0.46671224597051186</v>
      </c>
      <c r="F370" s="1">
        <v>0</v>
      </c>
      <c r="G370" s="1">
        <f t="shared" ca="1" si="5"/>
        <v>0.53328775402948814</v>
      </c>
      <c r="H370" s="1">
        <f t="shared" ca="1" si="6"/>
        <v>0.46671224597051186</v>
      </c>
    </row>
    <row r="371" spans="1:8">
      <c r="A371" s="2">
        <f t="shared" ca="1" si="0"/>
        <v>0.97170317202016054</v>
      </c>
      <c r="B371" s="2">
        <f t="shared" ca="1" si="1"/>
        <v>0.15573846665212407</v>
      </c>
      <c r="C371" s="2">
        <f t="shared" ca="1" si="2"/>
        <v>0.15633156205142495</v>
      </c>
      <c r="D371" s="2">
        <f t="shared" ca="1" si="3"/>
        <v>0.22983388393986859</v>
      </c>
      <c r="E371" s="2">
        <f t="shared" ca="1" si="4"/>
        <v>0.77016611606013141</v>
      </c>
      <c r="F371" s="1">
        <v>0</v>
      </c>
      <c r="G371" s="1">
        <f t="shared" ca="1" si="5"/>
        <v>0.22983388393986859</v>
      </c>
      <c r="H371" s="1">
        <f t="shared" ca="1" si="6"/>
        <v>0.77016611606013141</v>
      </c>
    </row>
    <row r="372" spans="1:8">
      <c r="A372" s="2">
        <f t="shared" ca="1" si="0"/>
        <v>0.91529129421898847</v>
      </c>
      <c r="B372" s="2">
        <f t="shared" ca="1" si="1"/>
        <v>0.11699907719634974</v>
      </c>
      <c r="C372" s="2">
        <f t="shared" ca="1" si="2"/>
        <v>0.1120882367894743</v>
      </c>
      <c r="D372" s="2">
        <f t="shared" ca="1" si="3"/>
        <v>0.46269349058171427</v>
      </c>
      <c r="E372" s="2">
        <f t="shared" ca="1" si="4"/>
        <v>0.53730650941828573</v>
      </c>
      <c r="F372" s="1">
        <v>0</v>
      </c>
      <c r="G372" s="1">
        <f t="shared" ca="1" si="5"/>
        <v>0.46269349058171427</v>
      </c>
      <c r="H372" s="1">
        <f t="shared" ca="1" si="6"/>
        <v>0.53730650941828573</v>
      </c>
    </row>
    <row r="373" spans="1:8">
      <c r="A373" s="2">
        <f t="shared" ca="1" si="0"/>
        <v>0.97524458954620452</v>
      </c>
      <c r="B373" s="2">
        <f t="shared" ca="1" si="1"/>
        <v>0.19796343201279276</v>
      </c>
      <c r="C373" s="2">
        <f t="shared" ca="1" si="2"/>
        <v>0.19806276599847406</v>
      </c>
      <c r="D373" s="2">
        <f t="shared" ca="1" si="3"/>
        <v>1.0195968429083879E-2</v>
      </c>
      <c r="E373" s="2">
        <f t="shared" ca="1" si="4"/>
        <v>0.98980403157091612</v>
      </c>
      <c r="F373" s="1">
        <v>0</v>
      </c>
      <c r="G373" s="1">
        <f t="shared" ca="1" si="5"/>
        <v>1.0195968429083879E-2</v>
      </c>
      <c r="H373" s="1">
        <f t="shared" ca="1" si="6"/>
        <v>0.98980403157091612</v>
      </c>
    </row>
    <row r="374" spans="1:8">
      <c r="A374" s="2">
        <f t="shared" ca="1" si="0"/>
        <v>0.85160176416640254</v>
      </c>
      <c r="B374" s="2">
        <f t="shared" ca="1" si="1"/>
        <v>0.1045947988641367</v>
      </c>
      <c r="C374" s="2">
        <f t="shared" ca="1" si="2"/>
        <v>9.4073115235328852E-2</v>
      </c>
      <c r="D374" s="2">
        <f t="shared" ca="1" si="3"/>
        <v>0.55750991981405873</v>
      </c>
      <c r="E374" s="2">
        <f t="shared" ca="1" si="4"/>
        <v>0.44249008018594127</v>
      </c>
      <c r="F374" s="1">
        <v>0</v>
      </c>
      <c r="G374" s="1">
        <f t="shared" ca="1" si="5"/>
        <v>0.55750991981405873</v>
      </c>
      <c r="H374" s="1">
        <f t="shared" ca="1" si="6"/>
        <v>0.44249008018594127</v>
      </c>
    </row>
    <row r="375" spans="1:8">
      <c r="A375" s="2">
        <f t="shared" ca="1" si="0"/>
        <v>0.33343234737847505</v>
      </c>
      <c r="B375" s="2">
        <f t="shared" ca="1" si="1"/>
        <v>9.0694499192967334E-2</v>
      </c>
      <c r="C375" s="2">
        <f t="shared" ca="1" si="2"/>
        <v>3.5240479760226311E-2</v>
      </c>
      <c r="D375" s="2">
        <f t="shared" ca="1" si="3"/>
        <v>0.86715536968301943</v>
      </c>
      <c r="E375" s="2">
        <f t="shared" ca="1" si="4"/>
        <v>0.13284463031698057</v>
      </c>
      <c r="F375" s="1">
        <v>0</v>
      </c>
      <c r="G375" s="1">
        <f t="shared" ca="1" si="5"/>
        <v>0.86715536968301943</v>
      </c>
      <c r="H375" s="1">
        <f t="shared" ca="1" si="6"/>
        <v>0.13284463031698057</v>
      </c>
    </row>
    <row r="376" spans="1:8">
      <c r="A376" s="2">
        <f t="shared" ca="1" si="0"/>
        <v>0.24081833381090864</v>
      </c>
      <c r="B376" s="2">
        <f t="shared" ca="1" si="1"/>
        <v>9.2694071506971343E-2</v>
      </c>
      <c r="C376" s="2">
        <f t="shared" ca="1" si="2"/>
        <v>2.7322431854458061E-2</v>
      </c>
      <c r="D376" s="2">
        <f t="shared" ca="1" si="3"/>
        <v>0.90882930602916812</v>
      </c>
      <c r="E376" s="2">
        <f t="shared" ca="1" si="4"/>
        <v>9.1170693970831884E-2</v>
      </c>
      <c r="F376" s="1">
        <v>0</v>
      </c>
      <c r="G376" s="1">
        <f t="shared" ca="1" si="5"/>
        <v>0.90882930602916812</v>
      </c>
      <c r="H376" s="1">
        <f t="shared" ca="1" si="6"/>
        <v>9.1170693970831884E-2</v>
      </c>
    </row>
    <row r="377" spans="1:8">
      <c r="A377" s="2">
        <f t="shared" ca="1" si="0"/>
        <v>0.97574094497379804</v>
      </c>
      <c r="B377" s="2">
        <f t="shared" ca="1" si="1"/>
        <v>0.17163782185553106</v>
      </c>
      <c r="C377" s="2">
        <f t="shared" ca="1" si="2"/>
        <v>0.17247405049056028</v>
      </c>
      <c r="D377" s="2">
        <f t="shared" ca="1" si="3"/>
        <v>0.14487341847073532</v>
      </c>
      <c r="E377" s="2">
        <f t="shared" ca="1" si="4"/>
        <v>0.85512658152926468</v>
      </c>
      <c r="F377" s="1">
        <v>0</v>
      </c>
      <c r="G377" s="1">
        <f t="shared" ca="1" si="5"/>
        <v>0.14487341847073532</v>
      </c>
      <c r="H377" s="1">
        <f t="shared" ca="1" si="6"/>
        <v>0.85512658152926468</v>
      </c>
    </row>
    <row r="378" spans="1:8">
      <c r="A378" s="2">
        <f t="shared" ca="1" si="0"/>
        <v>0.90865191088812747</v>
      </c>
      <c r="B378" s="2">
        <f t="shared" ca="1" si="1"/>
        <v>0.11516912396325887</v>
      </c>
      <c r="C378" s="2">
        <f t="shared" ca="1" si="2"/>
        <v>0.10964864456452682</v>
      </c>
      <c r="D378" s="2">
        <f t="shared" ca="1" si="3"/>
        <v>0.47553344966038524</v>
      </c>
      <c r="E378" s="2">
        <f t="shared" ca="1" si="4"/>
        <v>0.52446655033961476</v>
      </c>
      <c r="F378" s="1">
        <v>0</v>
      </c>
      <c r="G378" s="1">
        <f t="shared" ca="1" si="5"/>
        <v>0.47553344966038524</v>
      </c>
      <c r="H378" s="1">
        <f t="shared" ca="1" si="6"/>
        <v>0.52446655033961476</v>
      </c>
    </row>
    <row r="379" spans="1:8">
      <c r="A379" s="2">
        <f t="shared" ca="1" si="0"/>
        <v>0.83312525936444504</v>
      </c>
      <c r="B379" s="2">
        <f t="shared" ca="1" si="1"/>
        <v>0.10234298036716943</v>
      </c>
      <c r="C379" s="2">
        <f t="shared" ca="1" si="2"/>
        <v>9.0264522062528343E-2</v>
      </c>
      <c r="D379" s="2">
        <f t="shared" ca="1" si="3"/>
        <v>0.57755514703932453</v>
      </c>
      <c r="E379" s="2">
        <f t="shared" ca="1" si="4"/>
        <v>0.42244485296067547</v>
      </c>
      <c r="F379" s="1">
        <v>0</v>
      </c>
      <c r="G379" s="1">
        <f t="shared" ca="1" si="5"/>
        <v>0.57755514703932453</v>
      </c>
      <c r="H379" s="1">
        <f t="shared" ca="1" si="6"/>
        <v>0.42244485296067547</v>
      </c>
    </row>
    <row r="380" spans="1:8">
      <c r="A380" s="2">
        <f t="shared" ca="1" si="0"/>
        <v>0.95468192274099017</v>
      </c>
      <c r="B380" s="2">
        <f t="shared" ca="1" si="1"/>
        <v>0.13478317311598614</v>
      </c>
      <c r="C380" s="2">
        <f t="shared" ca="1" si="2"/>
        <v>0.13367505886350139</v>
      </c>
      <c r="D380" s="2">
        <f t="shared" ca="1" si="3"/>
        <v>0.34907863756051893</v>
      </c>
      <c r="E380" s="2">
        <f t="shared" ca="1" si="4"/>
        <v>0.65092136243948107</v>
      </c>
      <c r="F380" s="1">
        <v>0</v>
      </c>
      <c r="G380" s="1">
        <f t="shared" ca="1" si="5"/>
        <v>0.34907863756051893</v>
      </c>
      <c r="H380" s="1">
        <f t="shared" ca="1" si="6"/>
        <v>0.65092136243948107</v>
      </c>
    </row>
    <row r="381" spans="1:8">
      <c r="A381" s="2">
        <f t="shared" ca="1" si="0"/>
        <v>0.87717142296132677</v>
      </c>
      <c r="B381" s="2">
        <f t="shared" ca="1" si="1"/>
        <v>0.10847648038200382</v>
      </c>
      <c r="C381" s="2">
        <f t="shared" ca="1" si="2"/>
        <v>0.10015246865451874</v>
      </c>
      <c r="D381" s="2">
        <f t="shared" ca="1" si="3"/>
        <v>0.52551332287095398</v>
      </c>
      <c r="E381" s="2">
        <f t="shared" ca="1" si="4"/>
        <v>0.47448667712904602</v>
      </c>
      <c r="F381" s="1">
        <v>0</v>
      </c>
      <c r="G381" s="1">
        <f t="shared" ca="1" si="5"/>
        <v>0.52551332287095398</v>
      </c>
      <c r="H381" s="1">
        <f t="shared" ca="1" si="6"/>
        <v>0.47448667712904602</v>
      </c>
    </row>
    <row r="382" spans="1:8">
      <c r="A382" s="2">
        <f t="shared" ca="1" si="0"/>
        <v>0.97571111164382829</v>
      </c>
      <c r="B382" s="2">
        <f t="shared" ca="1" si="1"/>
        <v>0.17138349230520156</v>
      </c>
      <c r="C382" s="2">
        <f t="shared" ca="1" si="2"/>
        <v>0.1722207777945097</v>
      </c>
      <c r="D382" s="2">
        <f t="shared" ca="1" si="3"/>
        <v>0.14620643266047528</v>
      </c>
      <c r="E382" s="2">
        <f t="shared" ca="1" si="4"/>
        <v>0.85379356733952472</v>
      </c>
      <c r="F382" s="1">
        <v>0</v>
      </c>
      <c r="G382" s="1">
        <f t="shared" ca="1" si="5"/>
        <v>0.14620643266047528</v>
      </c>
      <c r="H382" s="1">
        <f t="shared" ca="1" si="6"/>
        <v>0.85379356733952472</v>
      </c>
    </row>
    <row r="383" spans="1:8">
      <c r="A383" s="2">
        <f t="shared" ca="1" si="0"/>
        <v>0.27359382064917459</v>
      </c>
      <c r="B383" s="2">
        <f t="shared" ca="1" si="1"/>
        <v>9.1879870433426963E-2</v>
      </c>
      <c r="C383" s="2">
        <f t="shared" ca="1" si="2"/>
        <v>3.0137764792632415E-2</v>
      </c>
      <c r="D383" s="2">
        <f t="shared" ca="1" si="3"/>
        <v>0.89401176424930306</v>
      </c>
      <c r="E383" s="2">
        <f t="shared" ca="1" si="4"/>
        <v>0.10598823575069694</v>
      </c>
      <c r="F383" s="1">
        <v>0</v>
      </c>
      <c r="G383" s="1">
        <f t="shared" ca="1" si="5"/>
        <v>0.89401176424930306</v>
      </c>
      <c r="H383" s="1">
        <f t="shared" ca="1" si="6"/>
        <v>0.10598823575069694</v>
      </c>
    </row>
    <row r="384" spans="1:8">
      <c r="A384" s="2">
        <f t="shared" ca="1" si="0"/>
        <v>0.95325958940027122</v>
      </c>
      <c r="B384" s="2">
        <f t="shared" ca="1" si="1"/>
        <v>0.13375275689167751</v>
      </c>
      <c r="C384" s="2">
        <f t="shared" ca="1" si="2"/>
        <v>0.13250109811571481</v>
      </c>
      <c r="D384" s="2">
        <f t="shared" ca="1" si="3"/>
        <v>0.35525737833834303</v>
      </c>
      <c r="E384" s="2">
        <f t="shared" ca="1" si="4"/>
        <v>0.64474262166165697</v>
      </c>
      <c r="F384" s="1">
        <v>0</v>
      </c>
      <c r="G384" s="1">
        <f t="shared" ca="1" si="5"/>
        <v>0.35525737833834303</v>
      </c>
      <c r="H384" s="1">
        <f t="shared" ca="1" si="6"/>
        <v>0.64474262166165697</v>
      </c>
    </row>
    <row r="385" spans="1:8">
      <c r="A385" s="2">
        <f t="shared" ca="1" si="0"/>
        <v>0.94838366570911969</v>
      </c>
      <c r="B385" s="2">
        <f t="shared" ca="1" si="1"/>
        <v>0.13058497607631461</v>
      </c>
      <c r="C385" s="2">
        <f t="shared" ca="1" si="2"/>
        <v>0.12884465829779296</v>
      </c>
      <c r="D385" s="2">
        <f t="shared" ca="1" si="3"/>
        <v>0.37450179843266873</v>
      </c>
      <c r="E385" s="2">
        <f t="shared" ca="1" si="4"/>
        <v>0.62549820156733127</v>
      </c>
      <c r="F385" s="1">
        <v>0</v>
      </c>
      <c r="G385" s="1">
        <f t="shared" ca="1" si="5"/>
        <v>0.37450179843266873</v>
      </c>
      <c r="H385" s="1">
        <f t="shared" ca="1" si="6"/>
        <v>0.62549820156733127</v>
      </c>
    </row>
    <row r="386" spans="1:8">
      <c r="A386" s="2">
        <f t="shared" ca="1" si="0"/>
        <v>0.15319243667899063</v>
      </c>
      <c r="B386" s="2">
        <f t="shared" ca="1" si="1"/>
        <v>9.5473005954609988E-2</v>
      </c>
      <c r="C386" s="2">
        <f t="shared" ca="1" si="2"/>
        <v>1.9625742419254487E-2</v>
      </c>
      <c r="D386" s="2">
        <f t="shared" ca="1" si="3"/>
        <v>0.94933819779339745</v>
      </c>
      <c r="E386" s="2">
        <f t="shared" ca="1" si="4"/>
        <v>5.0661802206602546E-2</v>
      </c>
      <c r="F386" s="1">
        <v>0</v>
      </c>
      <c r="G386" s="1">
        <f t="shared" ca="1" si="5"/>
        <v>0.94933819779339745</v>
      </c>
      <c r="H386" s="1">
        <f t="shared" ca="1" si="6"/>
        <v>5.0661802206602546E-2</v>
      </c>
    </row>
    <row r="387" spans="1:8">
      <c r="A387" s="2">
        <f t="shared" ca="1" si="0"/>
        <v>0.21622543925981291</v>
      </c>
      <c r="B387" s="2">
        <f t="shared" ca="1" si="1"/>
        <v>9.3383671314727398E-2</v>
      </c>
      <c r="C387" s="2">
        <f t="shared" ca="1" si="2"/>
        <v>2.5191925349720923E-2</v>
      </c>
      <c r="D387" s="2">
        <f t="shared" ca="1" si="3"/>
        <v>0.92004249815936356</v>
      </c>
      <c r="E387" s="2">
        <f t="shared" ca="1" si="4"/>
        <v>7.9957501840636436E-2</v>
      </c>
      <c r="F387" s="1">
        <v>0</v>
      </c>
      <c r="G387" s="1">
        <f t="shared" ca="1" si="5"/>
        <v>0.92004249815936356</v>
      </c>
      <c r="H387" s="1">
        <f t="shared" ca="1" si="6"/>
        <v>7.9957501840636436E-2</v>
      </c>
    </row>
    <row r="388" spans="1:8">
      <c r="A388" s="2">
        <f t="shared" ca="1" si="0"/>
        <v>0.97609890843503899</v>
      </c>
      <c r="B388" s="2">
        <f t="shared" ca="1" si="1"/>
        <v>0.17566671977544907</v>
      </c>
      <c r="C388" s="2">
        <f t="shared" ca="1" si="2"/>
        <v>0.17646809342117972</v>
      </c>
      <c r="D388" s="2">
        <f t="shared" ca="1" si="3"/>
        <v>0.12385213988852783</v>
      </c>
      <c r="E388" s="2">
        <f t="shared" ca="1" si="4"/>
        <v>0.87614786011147217</v>
      </c>
      <c r="F388" s="1">
        <v>0</v>
      </c>
      <c r="G388" s="1">
        <f t="shared" ca="1" si="5"/>
        <v>0.12385213988852783</v>
      </c>
      <c r="H388" s="1">
        <f t="shared" ca="1" si="6"/>
        <v>0.87614786011147217</v>
      </c>
    </row>
    <row r="389" spans="1:8">
      <c r="A389" s="2">
        <f t="shared" ca="1" si="0"/>
        <v>0.97627422652453222</v>
      </c>
      <c r="B389" s="2">
        <f t="shared" ca="1" si="1"/>
        <v>0.18042886370487923</v>
      </c>
      <c r="C389" s="2">
        <f t="shared" ca="1" si="2"/>
        <v>0.18114804935618123</v>
      </c>
      <c r="D389" s="2">
        <f t="shared" ca="1" si="3"/>
        <v>9.9220792862204088E-2</v>
      </c>
      <c r="E389" s="2">
        <f t="shared" ca="1" si="4"/>
        <v>0.90077920713779591</v>
      </c>
      <c r="F389" s="1">
        <v>0</v>
      </c>
      <c r="G389" s="1">
        <f t="shared" ca="1" si="5"/>
        <v>9.9220792862204088E-2</v>
      </c>
      <c r="H389" s="1">
        <f t="shared" ca="1" si="6"/>
        <v>0.90077920713779591</v>
      </c>
    </row>
    <row r="390" spans="1:8">
      <c r="A390" s="2">
        <f t="shared" ca="1" si="0"/>
        <v>0.31853000345099952</v>
      </c>
      <c r="B390" s="2">
        <f t="shared" ca="1" si="1"/>
        <v>9.0953698319106463E-2</v>
      </c>
      <c r="C390" s="2">
        <f t="shared" ca="1" si="2"/>
        <v>3.3971481839466154E-2</v>
      </c>
      <c r="D390" s="2">
        <f t="shared" ca="1" si="3"/>
        <v>0.87383430610807289</v>
      </c>
      <c r="E390" s="2">
        <f t="shared" ca="1" si="4"/>
        <v>0.12616569389192711</v>
      </c>
      <c r="F390" s="1">
        <v>0</v>
      </c>
      <c r="G390" s="1">
        <f t="shared" ca="1" si="5"/>
        <v>0.87383430610807289</v>
      </c>
      <c r="H390" s="1">
        <f t="shared" ca="1" si="6"/>
        <v>0.12616569389192711</v>
      </c>
    </row>
    <row r="391" spans="1:8">
      <c r="A391" s="2">
        <f t="shared" ca="1" si="0"/>
        <v>0.92471965671620648</v>
      </c>
      <c r="B391" s="2">
        <f t="shared" ca="1" si="1"/>
        <v>0.11997112337673409</v>
      </c>
      <c r="C391" s="2">
        <f t="shared" ca="1" si="2"/>
        <v>0.1159396560247912</v>
      </c>
      <c r="D391" s="2">
        <f t="shared" ca="1" si="3"/>
        <v>0.44242286302741474</v>
      </c>
      <c r="E391" s="2">
        <f t="shared" ca="1" si="4"/>
        <v>0.55757713697258526</v>
      </c>
      <c r="F391" s="1">
        <v>0</v>
      </c>
      <c r="G391" s="1">
        <f t="shared" ca="1" si="5"/>
        <v>0.44242286302741474</v>
      </c>
      <c r="H391" s="1">
        <f t="shared" ca="1" si="6"/>
        <v>0.55757713697258526</v>
      </c>
    </row>
    <row r="392" spans="1:8">
      <c r="A392" s="2">
        <f t="shared" ca="1" si="0"/>
        <v>0.96873524850156167</v>
      </c>
      <c r="B392" s="2">
        <f t="shared" ca="1" si="1"/>
        <v>0.14991274506267838</v>
      </c>
      <c r="C392" s="2">
        <f t="shared" ca="1" si="2"/>
        <v>0.15022576034184501</v>
      </c>
      <c r="D392" s="2">
        <f t="shared" ca="1" si="3"/>
        <v>0.26196968241134211</v>
      </c>
      <c r="E392" s="2">
        <f t="shared" ca="1" si="4"/>
        <v>0.73803031758865789</v>
      </c>
      <c r="F392" s="1">
        <v>0</v>
      </c>
      <c r="G392" s="1">
        <f t="shared" ca="1" si="5"/>
        <v>0.26196968241134211</v>
      </c>
      <c r="H392" s="1">
        <f t="shared" ca="1" si="6"/>
        <v>0.73803031758865789</v>
      </c>
    </row>
    <row r="393" spans="1:8">
      <c r="A393" s="2">
        <f t="shared" ca="1" si="0"/>
        <v>0.63314191116511598</v>
      </c>
      <c r="B393" s="2">
        <f t="shared" ca="1" si="1"/>
        <v>9.109513200975998E-2</v>
      </c>
      <c r="C393" s="2">
        <f t="shared" ca="1" si="2"/>
        <v>6.2676145978497966E-2</v>
      </c>
      <c r="D393" s="2">
        <f t="shared" ca="1" si="3"/>
        <v>0.72275712642895806</v>
      </c>
      <c r="E393" s="2">
        <f t="shared" ca="1" si="4"/>
        <v>0.27724287357104194</v>
      </c>
      <c r="F393" s="1">
        <v>0</v>
      </c>
      <c r="G393" s="1">
        <f t="shared" ca="1" si="5"/>
        <v>0.72275712642895806</v>
      </c>
      <c r="H393" s="1">
        <f t="shared" ca="1" si="6"/>
        <v>0.27724287357104194</v>
      </c>
    </row>
    <row r="394" spans="1:8">
      <c r="A394" s="2">
        <f t="shared" ca="1" si="0"/>
        <v>0.8886931606631514</v>
      </c>
      <c r="B394" s="2">
        <f t="shared" ca="1" si="1"/>
        <v>0.11061889596229603</v>
      </c>
      <c r="C394" s="2">
        <f t="shared" ca="1" si="2"/>
        <v>0.10330625628180118</v>
      </c>
      <c r="D394" s="2">
        <f t="shared" ca="1" si="3"/>
        <v>0.50891444062209912</v>
      </c>
      <c r="E394" s="2">
        <f t="shared" ca="1" si="4"/>
        <v>0.49108555937790088</v>
      </c>
      <c r="F394" s="1">
        <v>0</v>
      </c>
      <c r="G394" s="1">
        <f t="shared" ca="1" si="5"/>
        <v>0.50891444062209912</v>
      </c>
      <c r="H394" s="1">
        <f t="shared" ca="1" si="6"/>
        <v>0.49108555937790088</v>
      </c>
    </row>
    <row r="395" spans="1:8">
      <c r="A395" s="2">
        <f t="shared" ca="1" si="0"/>
        <v>0.65928115135962917</v>
      </c>
      <c r="B395" s="2">
        <f t="shared" ca="1" si="1"/>
        <v>9.1786784505358834E-2</v>
      </c>
      <c r="C395" s="2">
        <f t="shared" ca="1" si="2"/>
        <v>6.551329696829114E-2</v>
      </c>
      <c r="D395" s="2">
        <f t="shared" ca="1" si="3"/>
        <v>0.70782475279846768</v>
      </c>
      <c r="E395" s="2">
        <f t="shared" ca="1" si="4"/>
        <v>0.29217524720153232</v>
      </c>
      <c r="F395" s="1">
        <v>0</v>
      </c>
      <c r="G395" s="1">
        <f t="shared" ca="1" si="5"/>
        <v>0.70782475279846768</v>
      </c>
      <c r="H395" s="1">
        <f t="shared" ca="1" si="6"/>
        <v>0.29217524720153232</v>
      </c>
    </row>
    <row r="396" spans="1:8">
      <c r="A396" s="2">
        <f t="shared" ca="1" si="0"/>
        <v>0.92583962736745407</v>
      </c>
      <c r="B396" s="2">
        <f t="shared" ca="1" si="1"/>
        <v>0.12035885012596725</v>
      </c>
      <c r="C396" s="2">
        <f t="shared" ca="1" si="2"/>
        <v>0.11643299295100078</v>
      </c>
      <c r="D396" s="2">
        <f t="shared" ca="1" si="3"/>
        <v>0.43982635288946959</v>
      </c>
      <c r="E396" s="2">
        <f t="shared" ca="1" si="4"/>
        <v>0.56017364711053041</v>
      </c>
      <c r="F396" s="1">
        <v>0</v>
      </c>
      <c r="G396" s="1">
        <f t="shared" ca="1" si="5"/>
        <v>0.43982635288946959</v>
      </c>
      <c r="H396" s="1">
        <f t="shared" ca="1" si="6"/>
        <v>0.56017364711053041</v>
      </c>
    </row>
    <row r="397" spans="1:8">
      <c r="A397" s="2">
        <f t="shared" ca="1" si="0"/>
        <v>0.76920860553753834</v>
      </c>
      <c r="B397" s="2">
        <f t="shared" ca="1" si="1"/>
        <v>9.6804159775932944E-2</v>
      </c>
      <c r="C397" s="2">
        <f t="shared" ca="1" si="2"/>
        <v>7.9462592751478447E-2</v>
      </c>
      <c r="D397" s="2">
        <f t="shared" ca="1" si="3"/>
        <v>0.63440740657116612</v>
      </c>
      <c r="E397" s="2">
        <f t="shared" ca="1" si="4"/>
        <v>0.36559259342883388</v>
      </c>
      <c r="F397" s="1">
        <v>0</v>
      </c>
      <c r="G397" s="1">
        <f t="shared" ca="1" si="5"/>
        <v>0.63440740657116612</v>
      </c>
      <c r="H397" s="1">
        <f t="shared" ca="1" si="6"/>
        <v>0.36559259342883388</v>
      </c>
    </row>
    <row r="398" spans="1:8">
      <c r="A398" s="2">
        <f t="shared" ca="1" si="0"/>
        <v>0.97424089481536957</v>
      </c>
      <c r="B398" s="2">
        <f t="shared" ca="1" si="1"/>
        <v>0.16332241138157244</v>
      </c>
      <c r="C398" s="2">
        <f t="shared" ca="1" si="2"/>
        <v>0.16411537220778705</v>
      </c>
      <c r="D398" s="2">
        <f t="shared" ca="1" si="3"/>
        <v>0.18886646206427882</v>
      </c>
      <c r="E398" s="2">
        <f t="shared" ca="1" si="4"/>
        <v>0.81113353793572118</v>
      </c>
      <c r="F398" s="1">
        <v>0</v>
      </c>
      <c r="G398" s="1">
        <f t="shared" ca="1" si="5"/>
        <v>0.18886646206427882</v>
      </c>
      <c r="H398" s="1">
        <f t="shared" ca="1" si="6"/>
        <v>0.81113353793572118</v>
      </c>
    </row>
    <row r="399" spans="1:8">
      <c r="A399" s="2">
        <f t="shared" ca="1" si="0"/>
        <v>0.88622299722964581</v>
      </c>
      <c r="B399" s="2">
        <f t="shared" ca="1" si="1"/>
        <v>0.11013433819172573</v>
      </c>
      <c r="C399" s="2">
        <f t="shared" ca="1" si="2"/>
        <v>0.10260358329017463</v>
      </c>
      <c r="D399" s="2">
        <f t="shared" ca="1" si="3"/>
        <v>0.51261271952539667</v>
      </c>
      <c r="E399" s="2">
        <f t="shared" ca="1" si="4"/>
        <v>0.48738728047460333</v>
      </c>
      <c r="F399" s="1">
        <v>0</v>
      </c>
      <c r="G399" s="1">
        <f t="shared" ca="1" si="5"/>
        <v>0.51261271952539667</v>
      </c>
      <c r="H399" s="1">
        <f t="shared" ca="1" si="6"/>
        <v>0.48738728047460333</v>
      </c>
    </row>
    <row r="400" spans="1:8">
      <c r="A400" s="2">
        <f t="shared" ca="1" si="0"/>
        <v>0.90665528531067696</v>
      </c>
      <c r="B400" s="2">
        <f t="shared" ca="1" si="1"/>
        <v>0.11465444665785379</v>
      </c>
      <c r="C400" s="2">
        <f t="shared" ca="1" si="2"/>
        <v>0.10895206004671423</v>
      </c>
      <c r="D400" s="2">
        <f t="shared" ca="1" si="3"/>
        <v>0.47919968396466195</v>
      </c>
      <c r="E400" s="2">
        <f t="shared" ca="1" si="4"/>
        <v>0.52080031603533805</v>
      </c>
      <c r="F400" s="1">
        <v>0</v>
      </c>
      <c r="G400" s="1">
        <f t="shared" ca="1" si="5"/>
        <v>0.47919968396466195</v>
      </c>
      <c r="H400" s="1">
        <f t="shared" ca="1" si="6"/>
        <v>0.52080031603533805</v>
      </c>
    </row>
    <row r="401" spans="1:8">
      <c r="A401" s="2">
        <f t="shared" ca="1" si="0"/>
        <v>0.93070509450684236</v>
      </c>
      <c r="B401" s="2">
        <f t="shared" ca="1" si="1"/>
        <v>0.1221448329168895</v>
      </c>
      <c r="C401" s="2">
        <f t="shared" ca="1" si="2"/>
        <v>0.11868081826343611</v>
      </c>
      <c r="D401" s="2">
        <f t="shared" ca="1" si="3"/>
        <v>0.42799569335033627</v>
      </c>
      <c r="E401" s="2">
        <f t="shared" ca="1" si="4"/>
        <v>0.57200430664966373</v>
      </c>
      <c r="F401" s="1">
        <v>0</v>
      </c>
      <c r="G401" s="1">
        <f t="shared" ca="1" si="5"/>
        <v>0.42799569335033627</v>
      </c>
      <c r="H401" s="1">
        <f t="shared" ca="1" si="6"/>
        <v>0.57200430664966373</v>
      </c>
    </row>
    <row r="402" spans="1:8">
      <c r="A402" s="2">
        <f t="shared" ca="1" si="0"/>
        <v>0.89363987101147413</v>
      </c>
      <c r="B402" s="2">
        <f t="shared" ca="1" si="1"/>
        <v>0.11163555124362939</v>
      </c>
      <c r="C402" s="2">
        <f t="shared" ca="1" si="2"/>
        <v>0.10476197961365179</v>
      </c>
      <c r="D402" s="2">
        <f t="shared" ca="1" si="3"/>
        <v>0.50125273887551691</v>
      </c>
      <c r="E402" s="2">
        <f t="shared" ca="1" si="4"/>
        <v>0.49874726112448309</v>
      </c>
      <c r="F402" s="1">
        <v>0</v>
      </c>
      <c r="G402" s="1">
        <f t="shared" ca="1" si="5"/>
        <v>0.50125273887551691</v>
      </c>
      <c r="H402" s="1">
        <f t="shared" ca="1" si="6"/>
        <v>0.49874726112448309</v>
      </c>
    </row>
    <row r="403" spans="1:8">
      <c r="A403" s="2">
        <f t="shared" ca="1" si="0"/>
        <v>0.97408306929359401</v>
      </c>
      <c r="B403" s="2">
        <f t="shared" ca="1" si="1"/>
        <v>0.16271253102627872</v>
      </c>
      <c r="C403" s="2">
        <f t="shared" ca="1" si="2"/>
        <v>0.16349552163460673</v>
      </c>
      <c r="D403" s="2">
        <f t="shared" ca="1" si="3"/>
        <v>0.19212883350206988</v>
      </c>
      <c r="E403" s="2">
        <f t="shared" ca="1" si="4"/>
        <v>0.80787116649793012</v>
      </c>
      <c r="F403" s="1">
        <v>0</v>
      </c>
      <c r="G403" s="1">
        <f t="shared" ca="1" si="5"/>
        <v>0.19212883350206988</v>
      </c>
      <c r="H403" s="1">
        <f t="shared" ca="1" si="6"/>
        <v>0.80787116649793012</v>
      </c>
    </row>
    <row r="404" spans="1:8">
      <c r="A404" s="2">
        <f t="shared" ca="1" si="0"/>
        <v>0.89526080371525329</v>
      </c>
      <c r="B404" s="2">
        <f t="shared" ca="1" si="1"/>
        <v>0.11198301022077244</v>
      </c>
      <c r="C404" s="2">
        <f t="shared" ca="1" si="2"/>
        <v>0.10525399973270216</v>
      </c>
      <c r="D404" s="2">
        <f t="shared" ca="1" si="3"/>
        <v>0.49866315930156757</v>
      </c>
      <c r="E404" s="2">
        <f t="shared" ca="1" si="4"/>
        <v>0.50133684069843243</v>
      </c>
      <c r="F404" s="1">
        <v>0</v>
      </c>
      <c r="G404" s="1">
        <f t="shared" ca="1" si="5"/>
        <v>0.49866315930156757</v>
      </c>
      <c r="H404" s="1">
        <f t="shared" ca="1" si="6"/>
        <v>0.50133684069843243</v>
      </c>
    </row>
    <row r="405" spans="1:8">
      <c r="A405" s="2">
        <f t="shared" ca="1" si="0"/>
        <v>0.53332618353369854</v>
      </c>
      <c r="B405" s="2">
        <f t="shared" ca="1" si="1"/>
        <v>8.9620714450778877E-2</v>
      </c>
      <c r="C405" s="2">
        <f t="shared" ca="1" si="2"/>
        <v>5.2797073603597283E-2</v>
      </c>
      <c r="D405" s="2">
        <f t="shared" ca="1" si="3"/>
        <v>0.77475224419159328</v>
      </c>
      <c r="E405" s="2">
        <f t="shared" ca="1" si="4"/>
        <v>0.22524775580840672</v>
      </c>
      <c r="F405" s="1">
        <v>0</v>
      </c>
      <c r="G405" s="1">
        <f t="shared" ca="1" si="5"/>
        <v>0.77475224419159328</v>
      </c>
      <c r="H405" s="1">
        <f t="shared" ca="1" si="6"/>
        <v>0.22524775580840672</v>
      </c>
    </row>
    <row r="406" spans="1:8">
      <c r="A406" s="2">
        <f t="shared" ca="1" si="0"/>
        <v>0.2102110167875976</v>
      </c>
      <c r="B406" s="2">
        <f t="shared" ca="1" si="1"/>
        <v>9.356279449443107E-2</v>
      </c>
      <c r="C406" s="2">
        <f t="shared" ca="1" si="2"/>
        <v>2.4667930164163396E-2</v>
      </c>
      <c r="D406" s="2">
        <f t="shared" ca="1" si="3"/>
        <v>0.92280036755703476</v>
      </c>
      <c r="E406" s="2">
        <f t="shared" ca="1" si="4"/>
        <v>7.7199632442965238E-2</v>
      </c>
      <c r="F406" s="1">
        <v>0</v>
      </c>
      <c r="G406" s="1">
        <f t="shared" ca="1" si="5"/>
        <v>0.92280036755703476</v>
      </c>
      <c r="H406" s="1">
        <f t="shared" ca="1" si="6"/>
        <v>7.7199632442965238E-2</v>
      </c>
    </row>
    <row r="407" spans="1:8">
      <c r="A407" s="2">
        <f t="shared" ca="1" si="0"/>
        <v>0.51354655863344667</v>
      </c>
      <c r="B407" s="2">
        <f t="shared" ca="1" si="1"/>
        <v>8.9510898661011654E-2</v>
      </c>
      <c r="C407" s="2">
        <f t="shared" ca="1" si="2"/>
        <v>5.096801396754972E-2</v>
      </c>
      <c r="D407" s="2">
        <f t="shared" ca="1" si="3"/>
        <v>0.78437887385500149</v>
      </c>
      <c r="E407" s="2">
        <f t="shared" ca="1" si="4"/>
        <v>0.21562112614499851</v>
      </c>
      <c r="F407" s="1">
        <v>0</v>
      </c>
      <c r="G407" s="1">
        <f t="shared" ca="1" si="5"/>
        <v>0.78437887385500149</v>
      </c>
      <c r="H407" s="1">
        <f t="shared" ca="1" si="6"/>
        <v>0.21562112614499851</v>
      </c>
    </row>
    <row r="408" spans="1:8">
      <c r="A408" s="2">
        <f t="shared" ca="1" si="0"/>
        <v>0.95012400701542232</v>
      </c>
      <c r="B408" s="2">
        <f t="shared" ca="1" si="1"/>
        <v>0.13165734922315098</v>
      </c>
      <c r="C408" s="2">
        <f t="shared" ca="1" si="2"/>
        <v>0.130090808196929</v>
      </c>
      <c r="D408" s="2">
        <f t="shared" ca="1" si="3"/>
        <v>0.36794311475300534</v>
      </c>
      <c r="E408" s="2">
        <f t="shared" ca="1" si="4"/>
        <v>0.63205688524699466</v>
      </c>
      <c r="F408" s="1">
        <v>0</v>
      </c>
      <c r="G408" s="1">
        <f t="shared" ca="1" si="5"/>
        <v>0.36794311475300534</v>
      </c>
      <c r="H408" s="1">
        <f t="shared" ca="1" si="6"/>
        <v>0.63205688524699466</v>
      </c>
    </row>
    <row r="409" spans="1:8">
      <c r="A409" s="2">
        <f t="shared" ca="1" si="0"/>
        <v>0.80403128822525083</v>
      </c>
      <c r="B409" s="2">
        <f t="shared" ca="1" si="1"/>
        <v>9.9465570377956572E-2</v>
      </c>
      <c r="C409" s="2">
        <f t="shared" ca="1" si="2"/>
        <v>8.4973430685047771E-2</v>
      </c>
      <c r="D409" s="2">
        <f t="shared" ca="1" si="3"/>
        <v>0.60540299639448547</v>
      </c>
      <c r="E409" s="2">
        <f t="shared" ca="1" si="4"/>
        <v>0.39459700360551453</v>
      </c>
      <c r="F409" s="1">
        <v>0</v>
      </c>
      <c r="G409" s="1">
        <f t="shared" ca="1" si="5"/>
        <v>0.60540299639448547</v>
      </c>
      <c r="H409" s="1">
        <f t="shared" ca="1" si="6"/>
        <v>0.39459700360551453</v>
      </c>
    </row>
    <row r="410" spans="1:8">
      <c r="A410" s="2">
        <f t="shared" ca="1" si="0"/>
        <v>0.18960562386403709</v>
      </c>
      <c r="B410" s="2">
        <f t="shared" ca="1" si="1"/>
        <v>9.4208304238414114E-2</v>
      </c>
      <c r="C410" s="2">
        <f t="shared" ca="1" si="2"/>
        <v>2.2862424298297518E-2</v>
      </c>
      <c r="D410" s="2">
        <f t="shared" ca="1" si="3"/>
        <v>0.93230303000896042</v>
      </c>
      <c r="E410" s="2">
        <f t="shared" ca="1" si="4"/>
        <v>6.7696969991039579E-2</v>
      </c>
      <c r="F410" s="1">
        <v>0</v>
      </c>
      <c r="G410" s="1">
        <f t="shared" ca="1" si="5"/>
        <v>0.93230303000896042</v>
      </c>
      <c r="H410" s="1">
        <f t="shared" ca="1" si="6"/>
        <v>6.7696969991039579E-2</v>
      </c>
    </row>
    <row r="411" spans="1:8">
      <c r="A411" s="2">
        <f t="shared" ca="1" si="0"/>
        <v>0.37769438520939752</v>
      </c>
      <c r="B411" s="2">
        <f t="shared" ca="1" si="1"/>
        <v>9.0065314481953818E-2</v>
      </c>
      <c r="C411" s="2">
        <f t="shared" ca="1" si="2"/>
        <v>3.9017163581952591E-2</v>
      </c>
      <c r="D411" s="2">
        <f t="shared" ca="1" si="3"/>
        <v>0.84727808641077584</v>
      </c>
      <c r="E411" s="2">
        <f t="shared" ca="1" si="4"/>
        <v>0.15272191358922416</v>
      </c>
      <c r="F411" s="1">
        <v>0</v>
      </c>
      <c r="G411" s="1">
        <f t="shared" ca="1" si="5"/>
        <v>0.84727808641077584</v>
      </c>
      <c r="H411" s="1">
        <f t="shared" ca="1" si="6"/>
        <v>0.15272191358922416</v>
      </c>
    </row>
    <row r="412" spans="1:8">
      <c r="A412" s="2">
        <f t="shared" ca="1" si="0"/>
        <v>0.50743854363081464</v>
      </c>
      <c r="B412" s="2">
        <f t="shared" ca="1" si="1"/>
        <v>8.9487658570225434E-2</v>
      </c>
      <c r="C412" s="2">
        <f t="shared" ca="1" si="2"/>
        <v>5.0409487137806783E-2</v>
      </c>
      <c r="D412" s="2">
        <f t="shared" ca="1" si="3"/>
        <v>0.78731848874838539</v>
      </c>
      <c r="E412" s="2">
        <f t="shared" ca="1" si="4"/>
        <v>0.21268151125161461</v>
      </c>
      <c r="F412" s="1">
        <v>0</v>
      </c>
      <c r="G412" s="1">
        <f t="shared" ca="1" si="5"/>
        <v>0.78731848874838539</v>
      </c>
      <c r="H412" s="1">
        <f t="shared" ca="1" si="6"/>
        <v>0.21268151125161461</v>
      </c>
    </row>
    <row r="413" spans="1:8">
      <c r="A413" s="2">
        <f t="shared" ca="1" si="0"/>
        <v>0.9749423689553669</v>
      </c>
      <c r="B413" s="2">
        <f t="shared" ca="1" si="1"/>
        <v>0.16645931200821318</v>
      </c>
      <c r="C413" s="2">
        <f t="shared" ca="1" si="2"/>
        <v>0.16728823598396791</v>
      </c>
      <c r="D413" s="2">
        <f t="shared" ca="1" si="3"/>
        <v>0.17216717903174794</v>
      </c>
      <c r="E413" s="2">
        <f t="shared" ca="1" si="4"/>
        <v>0.82783282096825206</v>
      </c>
      <c r="F413" s="1">
        <v>0</v>
      </c>
      <c r="G413" s="1">
        <f t="shared" ca="1" si="5"/>
        <v>0.17216717903174794</v>
      </c>
      <c r="H413" s="1">
        <f t="shared" ca="1" si="6"/>
        <v>0.82783282096825206</v>
      </c>
    </row>
    <row r="414" spans="1:8">
      <c r="A414" s="2">
        <f t="shared" ca="1" si="0"/>
        <v>0.9698445500946532</v>
      </c>
      <c r="B414" s="2">
        <f t="shared" ca="1" si="1"/>
        <v>0.15186401597658286</v>
      </c>
      <c r="C414" s="2">
        <f t="shared" ca="1" si="2"/>
        <v>0.15228448825037624</v>
      </c>
      <c r="D414" s="2">
        <f t="shared" ca="1" si="3"/>
        <v>0.25113427236644081</v>
      </c>
      <c r="E414" s="2">
        <f t="shared" ca="1" si="4"/>
        <v>0.74886572763355919</v>
      </c>
      <c r="F414" s="1">
        <v>0</v>
      </c>
      <c r="G414" s="1">
        <f t="shared" ca="1" si="5"/>
        <v>0.25113427236644081</v>
      </c>
      <c r="H414" s="1">
        <f t="shared" ca="1" si="6"/>
        <v>0.74886572763355919</v>
      </c>
    </row>
    <row r="415" spans="1:8">
      <c r="A415" s="2">
        <f t="shared" ca="1" si="0"/>
        <v>0.36982424686258419</v>
      </c>
      <c r="B415" s="2">
        <f t="shared" ca="1" si="1"/>
        <v>9.0161738286830967E-2</v>
      </c>
      <c r="C415" s="2">
        <f t="shared" ca="1" si="2"/>
        <v>3.8343996957748684E-2</v>
      </c>
      <c r="D415" s="2">
        <f t="shared" ca="1" si="3"/>
        <v>0.85082106864342799</v>
      </c>
      <c r="E415" s="2">
        <f t="shared" ca="1" si="4"/>
        <v>0.14917893135657201</v>
      </c>
      <c r="F415" s="1">
        <v>0</v>
      </c>
      <c r="G415" s="1">
        <f t="shared" ca="1" si="5"/>
        <v>0.85082106864342799</v>
      </c>
      <c r="H415" s="1">
        <f t="shared" ca="1" si="6"/>
        <v>0.14917893135657201</v>
      </c>
    </row>
    <row r="416" spans="1:8">
      <c r="A416" s="2">
        <f t="shared" ca="1" si="0"/>
        <v>0.91020421734728463</v>
      </c>
      <c r="B416" s="2">
        <f t="shared" ca="1" si="1"/>
        <v>0.11558012874610157</v>
      </c>
      <c r="C416" s="2">
        <f t="shared" ca="1" si="2"/>
        <v>0.11020152062624378</v>
      </c>
      <c r="D416" s="2">
        <f t="shared" ca="1" si="3"/>
        <v>0.4726235756513486</v>
      </c>
      <c r="E416" s="2">
        <f t="shared" ca="1" si="4"/>
        <v>0.5273764243486514</v>
      </c>
      <c r="F416" s="1">
        <v>0</v>
      </c>
      <c r="G416" s="1">
        <f t="shared" ca="1" si="5"/>
        <v>0.4726235756513486</v>
      </c>
      <c r="H416" s="1">
        <f t="shared" ca="1" si="6"/>
        <v>0.5273764243486514</v>
      </c>
    </row>
    <row r="417" spans="1:8">
      <c r="A417" s="2">
        <f t="shared" ca="1" si="0"/>
        <v>0.97096218189837613</v>
      </c>
      <c r="B417" s="2">
        <f t="shared" ca="1" si="1"/>
        <v>0.15408395537796729</v>
      </c>
      <c r="C417" s="2">
        <f t="shared" ca="1" si="2"/>
        <v>0.15460969350932316</v>
      </c>
      <c r="D417" s="2">
        <f t="shared" ca="1" si="3"/>
        <v>0.2388963499509309</v>
      </c>
      <c r="E417" s="2">
        <f t="shared" ca="1" si="4"/>
        <v>0.7611036500490691</v>
      </c>
      <c r="F417" s="1">
        <v>0</v>
      </c>
      <c r="G417" s="1">
        <f t="shared" ca="1" si="5"/>
        <v>0.2388963499509309</v>
      </c>
      <c r="H417" s="1">
        <f t="shared" ca="1" si="6"/>
        <v>0.7611036500490691</v>
      </c>
    </row>
    <row r="418" spans="1:8">
      <c r="A418" s="2">
        <f t="shared" ca="1" si="0"/>
        <v>0.52228484936196906</v>
      </c>
      <c r="B418" s="2">
        <f t="shared" ca="1" si="1"/>
        <v>8.9552817849210778E-2</v>
      </c>
      <c r="C418" s="2">
        <f t="shared" ca="1" si="2"/>
        <v>5.1772079980314904E-2</v>
      </c>
      <c r="D418" s="2">
        <f t="shared" ca="1" si="3"/>
        <v>0.78014694747202684</v>
      </c>
      <c r="E418" s="2">
        <f t="shared" ca="1" si="4"/>
        <v>0.21985305252797316</v>
      </c>
      <c r="F418" s="1">
        <v>0</v>
      </c>
      <c r="G418" s="1">
        <f t="shared" ca="1" si="5"/>
        <v>0.78014694747202684</v>
      </c>
      <c r="H418" s="1">
        <f t="shared" ca="1" si="6"/>
        <v>0.21985305252797316</v>
      </c>
    </row>
    <row r="419" spans="1:8">
      <c r="A419" s="2">
        <f t="shared" ca="1" si="0"/>
        <v>0.37254689650396883</v>
      </c>
      <c r="B419" s="2">
        <f t="shared" ca="1" si="1"/>
        <v>9.0127620738393546E-2</v>
      </c>
      <c r="C419" s="2">
        <f t="shared" ca="1" si="2"/>
        <v>3.8576765395375252E-2</v>
      </c>
      <c r="D419" s="2">
        <f t="shared" ca="1" si="3"/>
        <v>0.84959597160328815</v>
      </c>
      <c r="E419" s="2">
        <f t="shared" ca="1" si="4"/>
        <v>0.15040402839671185</v>
      </c>
      <c r="F419" s="1">
        <v>0</v>
      </c>
      <c r="G419" s="1">
        <f t="shared" ca="1" si="5"/>
        <v>0.84959597160328815</v>
      </c>
      <c r="H419" s="1">
        <f t="shared" ca="1" si="6"/>
        <v>0.15040402839671185</v>
      </c>
    </row>
    <row r="420" spans="1:8">
      <c r="A420" s="2">
        <f t="shared" ca="1" si="0"/>
        <v>0.7871413970437886</v>
      </c>
      <c r="B420" s="2">
        <f t="shared" ca="1" si="1"/>
        <v>9.8084783126308514E-2</v>
      </c>
      <c r="C420" s="2">
        <f t="shared" ca="1" si="2"/>
        <v>8.2206593218779517E-2</v>
      </c>
      <c r="D420" s="2">
        <f t="shared" ca="1" si="3"/>
        <v>0.61996529884852891</v>
      </c>
      <c r="E420" s="2">
        <f t="shared" ca="1" si="4"/>
        <v>0.38003470115147109</v>
      </c>
      <c r="F420" s="1">
        <v>0</v>
      </c>
      <c r="G420" s="1">
        <f t="shared" ca="1" si="5"/>
        <v>0.61996529884852891</v>
      </c>
      <c r="H420" s="1">
        <f t="shared" ca="1" si="6"/>
        <v>0.38003470115147109</v>
      </c>
    </row>
    <row r="421" spans="1:8">
      <c r="A421" s="2">
        <f t="shared" ca="1" si="0"/>
        <v>0.9614210419103485</v>
      </c>
      <c r="B421" s="2">
        <f t="shared" ca="1" si="1"/>
        <v>0.14058533950064367</v>
      </c>
      <c r="C421" s="2">
        <f t="shared" ca="1" si="2"/>
        <v>0.14016170358002891</v>
      </c>
      <c r="D421" s="2">
        <f t="shared" ca="1" si="3"/>
        <v>0.31493840221037417</v>
      </c>
      <c r="E421" s="2">
        <f t="shared" ca="1" si="4"/>
        <v>0.68506159778962583</v>
      </c>
      <c r="F421" s="1">
        <v>0</v>
      </c>
      <c r="G421" s="1">
        <f t="shared" ca="1" si="5"/>
        <v>0.31493840221037417</v>
      </c>
      <c r="H421" s="1">
        <f t="shared" ca="1" si="6"/>
        <v>0.68506159778962583</v>
      </c>
    </row>
    <row r="422" spans="1:8">
      <c r="A422" s="2">
        <f t="shared" ca="1" si="0"/>
        <v>0.97552061756866959</v>
      </c>
      <c r="B422" s="2">
        <f t="shared" ca="1" si="1"/>
        <v>0.16991404589290668</v>
      </c>
      <c r="C422" s="2">
        <f t="shared" ca="1" si="2"/>
        <v>0.1707546549830396</v>
      </c>
      <c r="D422" s="2">
        <f t="shared" ca="1" si="3"/>
        <v>0.15392286851031789</v>
      </c>
      <c r="E422" s="2">
        <f t="shared" ca="1" si="4"/>
        <v>0.84607713148968211</v>
      </c>
      <c r="F422" s="1">
        <v>0</v>
      </c>
      <c r="G422" s="1">
        <f t="shared" ca="1" si="5"/>
        <v>0.15392286851031789</v>
      </c>
      <c r="H422" s="1">
        <f t="shared" ca="1" si="6"/>
        <v>0.84607713148968211</v>
      </c>
    </row>
    <row r="423" spans="1:8">
      <c r="A423" s="2">
        <f t="shared" ca="1" si="0"/>
        <v>0.83606355808697241</v>
      </c>
      <c r="B423" s="2">
        <f t="shared" ca="1" si="1"/>
        <v>0.10267593134645657</v>
      </c>
      <c r="C423" s="2">
        <f t="shared" ca="1" si="2"/>
        <v>9.0843604491412183E-2</v>
      </c>
      <c r="D423" s="2">
        <f t="shared" ca="1" si="3"/>
        <v>0.57450734478204113</v>
      </c>
      <c r="E423" s="2">
        <f t="shared" ca="1" si="4"/>
        <v>0.42549265521795887</v>
      </c>
      <c r="F423" s="1">
        <v>0</v>
      </c>
      <c r="G423" s="1">
        <f t="shared" ca="1" si="5"/>
        <v>0.57450734478204113</v>
      </c>
      <c r="H423" s="1">
        <f t="shared" ca="1" si="6"/>
        <v>0.42549265521795887</v>
      </c>
    </row>
    <row r="424" spans="1:8">
      <c r="A424" s="2">
        <f t="shared" ca="1" si="0"/>
        <v>0.19560489811786583</v>
      </c>
      <c r="B424" s="2">
        <f t="shared" ca="1" si="1"/>
        <v>9.4015233946678337E-2</v>
      </c>
      <c r="C424" s="2">
        <f t="shared" ca="1" si="2"/>
        <v>2.3389840257667337E-2</v>
      </c>
      <c r="D424" s="2">
        <f t="shared" ca="1" si="3"/>
        <v>0.92952715653859297</v>
      </c>
      <c r="E424" s="2">
        <f t="shared" ca="1" si="4"/>
        <v>7.0472843461407031E-2</v>
      </c>
      <c r="F424" s="1">
        <v>0</v>
      </c>
      <c r="G424" s="1">
        <f t="shared" ca="1" si="5"/>
        <v>0.92952715653859297</v>
      </c>
      <c r="H424" s="1">
        <f t="shared" ca="1" si="6"/>
        <v>7.0472843461407031E-2</v>
      </c>
    </row>
    <row r="425" spans="1:8">
      <c r="A425" s="2">
        <f t="shared" ca="1" si="0"/>
        <v>0.89159242690112328</v>
      </c>
      <c r="B425" s="2">
        <f t="shared" ca="1" si="1"/>
        <v>0.11120698184637209</v>
      </c>
      <c r="C425" s="2">
        <f t="shared" ca="1" si="2"/>
        <v>0.10415130283275606</v>
      </c>
      <c r="D425" s="2">
        <f t="shared" ca="1" si="3"/>
        <v>0.50446682719602076</v>
      </c>
      <c r="E425" s="2">
        <f t="shared" ca="1" si="4"/>
        <v>0.49553317280397924</v>
      </c>
      <c r="F425" s="1">
        <v>0</v>
      </c>
      <c r="G425" s="1">
        <f t="shared" ca="1" si="5"/>
        <v>0.50446682719602076</v>
      </c>
      <c r="H425" s="1">
        <f t="shared" ca="1" si="6"/>
        <v>0.49553317280397924</v>
      </c>
    </row>
    <row r="426" spans="1:8">
      <c r="A426" s="2">
        <f t="shared" ca="1" si="0"/>
        <v>0.97627413112262429</v>
      </c>
      <c r="B426" s="2">
        <f t="shared" ca="1" si="1"/>
        <v>0.18286579208681114</v>
      </c>
      <c r="C426" s="2">
        <f t="shared" ca="1" si="2"/>
        <v>0.18352714228160202</v>
      </c>
      <c r="D426" s="2">
        <f t="shared" ca="1" si="3"/>
        <v>8.6699251149463086E-2</v>
      </c>
      <c r="E426" s="2">
        <f t="shared" ca="1" si="4"/>
        <v>0.91330074885053691</v>
      </c>
      <c r="F426" s="1">
        <v>0</v>
      </c>
      <c r="G426" s="1">
        <f t="shared" ca="1" si="5"/>
        <v>8.6699251149463086E-2</v>
      </c>
      <c r="H426" s="1">
        <f t="shared" ca="1" si="6"/>
        <v>0.91330074885053691</v>
      </c>
    </row>
    <row r="427" spans="1:8">
      <c r="A427" s="2">
        <f t="shared" ca="1" si="0"/>
        <v>0.97550096666854946</v>
      </c>
      <c r="B427" s="2">
        <f t="shared" ca="1" si="1"/>
        <v>0.1956094922799983</v>
      </c>
      <c r="C427" s="2">
        <f t="shared" ca="1" si="2"/>
        <v>0.19581724880868251</v>
      </c>
      <c r="D427" s="2">
        <f t="shared" ca="1" si="3"/>
        <v>2.2014479954302613E-2</v>
      </c>
      <c r="E427" s="2">
        <f t="shared" ca="1" si="4"/>
        <v>0.97798552004569739</v>
      </c>
      <c r="F427" s="1">
        <v>0</v>
      </c>
      <c r="G427" s="1">
        <f t="shared" ca="1" si="5"/>
        <v>2.2014479954302613E-2</v>
      </c>
      <c r="H427" s="1">
        <f t="shared" ca="1" si="6"/>
        <v>0.97798552004569739</v>
      </c>
    </row>
    <row r="428" spans="1:8">
      <c r="A428" s="2">
        <f t="shared" ca="1" si="0"/>
        <v>0.11536326208586216</v>
      </c>
      <c r="B428" s="2">
        <f t="shared" ca="1" si="1"/>
        <v>9.6963109672890596E-2</v>
      </c>
      <c r="C428" s="2">
        <f t="shared" ca="1" si="2"/>
        <v>1.6185980633853875E-2</v>
      </c>
      <c r="D428" s="2">
        <f t="shared" ca="1" si="3"/>
        <v>0.96744220719024276</v>
      </c>
      <c r="E428" s="2">
        <f t="shared" ca="1" si="4"/>
        <v>3.2557792809757236E-2</v>
      </c>
      <c r="F428" s="1">
        <v>0</v>
      </c>
      <c r="G428" s="1">
        <f t="shared" ca="1" si="5"/>
        <v>0.96744220719024276</v>
      </c>
      <c r="H428" s="1">
        <f t="shared" ca="1" si="6"/>
        <v>3.2557792809757236E-2</v>
      </c>
    </row>
    <row r="429" spans="1:8">
      <c r="A429" s="2">
        <f t="shared" ca="1" si="0"/>
        <v>0.97115158141328894</v>
      </c>
      <c r="B429" s="2">
        <f t="shared" ca="1" si="1"/>
        <v>0.15449118365033046</v>
      </c>
      <c r="C429" s="2">
        <f t="shared" ca="1" si="2"/>
        <v>0.15503435731642928</v>
      </c>
      <c r="D429" s="2">
        <f t="shared" ca="1" si="3"/>
        <v>0.2366612772819513</v>
      </c>
      <c r="E429" s="2">
        <f t="shared" ca="1" si="4"/>
        <v>0.7633387227180487</v>
      </c>
      <c r="F429" s="1">
        <v>0</v>
      </c>
      <c r="G429" s="1">
        <f t="shared" ca="1" si="5"/>
        <v>0.2366612772819513</v>
      </c>
      <c r="H429" s="1">
        <f t="shared" ca="1" si="6"/>
        <v>0.7633387227180487</v>
      </c>
    </row>
    <row r="430" spans="1:8">
      <c r="A430" s="2">
        <f t="shared" ca="1" si="0"/>
        <v>0.95970048309101996</v>
      </c>
      <c r="B430" s="2">
        <f t="shared" ca="1" si="1"/>
        <v>0.13893029848313895</v>
      </c>
      <c r="C430" s="2">
        <f t="shared" ca="1" si="2"/>
        <v>0.13833147457024805</v>
      </c>
      <c r="D430" s="2">
        <f t="shared" ca="1" si="3"/>
        <v>0.3245711864723787</v>
      </c>
      <c r="E430" s="2">
        <f t="shared" ca="1" si="4"/>
        <v>0.6754288135276213</v>
      </c>
      <c r="F430" s="1">
        <v>0</v>
      </c>
      <c r="G430" s="1">
        <f t="shared" ca="1" si="5"/>
        <v>0.3245711864723787</v>
      </c>
      <c r="H430" s="1">
        <f t="shared" ca="1" si="6"/>
        <v>0.6754288135276213</v>
      </c>
    </row>
    <row r="431" spans="1:8">
      <c r="A431" s="2">
        <f t="shared" ca="1" si="0"/>
        <v>9.0635843225505233E-2</v>
      </c>
      <c r="B431" s="2">
        <f t="shared" ca="1" si="1"/>
        <v>9.8040132559567297E-2</v>
      </c>
      <c r="C431" s="2">
        <f t="shared" ca="1" si="2"/>
        <v>1.3885950084476694E-2</v>
      </c>
      <c r="D431" s="2">
        <f t="shared" ca="1" si="3"/>
        <v>0.97954763113433319</v>
      </c>
      <c r="E431" s="2">
        <f t="shared" ca="1" si="4"/>
        <v>2.0452368865666815E-2</v>
      </c>
      <c r="F431" s="1">
        <v>0</v>
      </c>
      <c r="G431" s="1">
        <f t="shared" ca="1" si="5"/>
        <v>0.97954763113433319</v>
      </c>
      <c r="H431" s="1">
        <f t="shared" ca="1" si="6"/>
        <v>2.0452368865666815E-2</v>
      </c>
    </row>
    <row r="432" spans="1:8">
      <c r="A432" s="2">
        <f t="shared" ca="1" si="0"/>
        <v>0.9426284679873822</v>
      </c>
      <c r="B432" s="2">
        <f t="shared" ca="1" si="1"/>
        <v>0.12741017472291091</v>
      </c>
      <c r="C432" s="2">
        <f t="shared" ca="1" si="2"/>
        <v>0.12510045780506221</v>
      </c>
      <c r="D432" s="2">
        <f t="shared" ca="1" si="3"/>
        <v>0.39420811681546208</v>
      </c>
      <c r="E432" s="2">
        <f t="shared" ca="1" si="4"/>
        <v>0.60579188318453792</v>
      </c>
      <c r="F432" s="1">
        <v>0</v>
      </c>
      <c r="G432" s="1">
        <f t="shared" ca="1" si="5"/>
        <v>0.39420811681546208</v>
      </c>
      <c r="H432" s="1">
        <f t="shared" ca="1" si="6"/>
        <v>0.60579188318453792</v>
      </c>
    </row>
    <row r="433" spans="1:8">
      <c r="A433" s="2">
        <f t="shared" ca="1" si="0"/>
        <v>0.96718204288045728</v>
      </c>
      <c r="B433" s="2">
        <f t="shared" ca="1" si="1"/>
        <v>0.14749870411332863</v>
      </c>
      <c r="C433" s="2">
        <f t="shared" ca="1" si="2"/>
        <v>0.1476580979665493</v>
      </c>
      <c r="D433" s="2">
        <f t="shared" ca="1" si="3"/>
        <v>0.27548369491289848</v>
      </c>
      <c r="E433" s="2">
        <f t="shared" ca="1" si="4"/>
        <v>0.72451630508710152</v>
      </c>
      <c r="F433" s="1">
        <v>0</v>
      </c>
      <c r="G433" s="1">
        <f t="shared" ca="1" si="5"/>
        <v>0.27548369491289848</v>
      </c>
      <c r="H433" s="1">
        <f t="shared" ca="1" si="6"/>
        <v>0.72451630508710152</v>
      </c>
    </row>
    <row r="434" spans="1:8">
      <c r="A434" s="2">
        <f t="shared" ca="1" si="0"/>
        <v>0.96017754216951756</v>
      </c>
      <c r="B434" s="2">
        <f t="shared" ca="1" si="1"/>
        <v>0.13937508427714076</v>
      </c>
      <c r="C434" s="2">
        <f t="shared" ca="1" si="2"/>
        <v>0.1388248258608944</v>
      </c>
      <c r="D434" s="2">
        <f t="shared" ca="1" si="3"/>
        <v>0.32197460073213491</v>
      </c>
      <c r="E434" s="2">
        <f t="shared" ca="1" si="4"/>
        <v>0.67802539926786509</v>
      </c>
      <c r="F434" s="1">
        <v>0</v>
      </c>
      <c r="G434" s="1">
        <f t="shared" ca="1" si="5"/>
        <v>0.32197460073213491</v>
      </c>
      <c r="H434" s="1">
        <f t="shared" ca="1" si="6"/>
        <v>0.67802539926786509</v>
      </c>
    </row>
    <row r="435" spans="1:8">
      <c r="A435" s="2">
        <f t="shared" ca="1" si="0"/>
        <v>0.87694975379476692</v>
      </c>
      <c r="B435" s="2">
        <f t="shared" ca="1" si="1"/>
        <v>0.10843802953662776</v>
      </c>
      <c r="C435" s="2">
        <f t="shared" ca="1" si="2"/>
        <v>0.10009470330413538</v>
      </c>
      <c r="D435" s="2">
        <f t="shared" ca="1" si="3"/>
        <v>0.52581735103086646</v>
      </c>
      <c r="E435" s="2">
        <f t="shared" ca="1" si="4"/>
        <v>0.47418264896913354</v>
      </c>
      <c r="F435" s="1">
        <v>0</v>
      </c>
      <c r="G435" s="1">
        <f t="shared" ca="1" si="5"/>
        <v>0.52581735103086646</v>
      </c>
      <c r="H435" s="1">
        <f t="shared" ca="1" si="6"/>
        <v>0.47418264896913354</v>
      </c>
    </row>
    <row r="436" spans="1:8">
      <c r="A436" s="2">
        <f t="shared" ca="1" si="0"/>
        <v>0.97503033901481662</v>
      </c>
      <c r="B436" s="2">
        <f t="shared" ca="1" si="1"/>
        <v>0.19975616961428563</v>
      </c>
      <c r="C436" s="2">
        <f t="shared" ca="1" si="2"/>
        <v>0.19976832577931813</v>
      </c>
      <c r="D436" s="2">
        <f t="shared" ca="1" si="3"/>
        <v>1.2193380035887547E-3</v>
      </c>
      <c r="E436" s="2">
        <f t="shared" ca="1" si="4"/>
        <v>0.99878066199641125</v>
      </c>
      <c r="F436" s="1">
        <v>0</v>
      </c>
      <c r="G436" s="1">
        <f t="shared" ca="1" si="5"/>
        <v>1.2193380035887547E-3</v>
      </c>
      <c r="H436" s="1">
        <f t="shared" ca="1" si="6"/>
        <v>0.99878066199641125</v>
      </c>
    </row>
    <row r="437" spans="1:8">
      <c r="A437" s="2">
        <f t="shared" ca="1" si="0"/>
        <v>0.81295961227234037</v>
      </c>
      <c r="B437" s="2">
        <f t="shared" ca="1" si="1"/>
        <v>0.10027486873473564</v>
      </c>
      <c r="C437" s="2">
        <f t="shared" ca="1" si="2"/>
        <v>8.6519418407250512E-2</v>
      </c>
      <c r="D437" s="2">
        <f t="shared" ca="1" si="3"/>
        <v>0.59726621890920784</v>
      </c>
      <c r="E437" s="2">
        <f t="shared" ca="1" si="4"/>
        <v>0.40273378109079216</v>
      </c>
      <c r="F437" s="1">
        <v>0</v>
      </c>
      <c r="G437" s="1">
        <f t="shared" ca="1" si="5"/>
        <v>0.59726621890920784</v>
      </c>
      <c r="H437" s="1">
        <f t="shared" ca="1" si="6"/>
        <v>0.40273378109079216</v>
      </c>
    </row>
    <row r="438" spans="1:8">
      <c r="A438" s="2">
        <f t="shared" ca="1" si="0"/>
        <v>0.50693678776744044</v>
      </c>
      <c r="B438" s="2">
        <f t="shared" ca="1" si="1"/>
        <v>8.9485968323580356E-2</v>
      </c>
      <c r="C438" s="2">
        <f t="shared" ca="1" si="2"/>
        <v>5.0363729332214752E-2</v>
      </c>
      <c r="D438" s="2">
        <f t="shared" ca="1" si="3"/>
        <v>0.78755931930413292</v>
      </c>
      <c r="E438" s="2">
        <f t="shared" ca="1" si="4"/>
        <v>0.21244068069586708</v>
      </c>
      <c r="F438" s="1">
        <v>0</v>
      </c>
      <c r="G438" s="1">
        <f t="shared" ca="1" si="5"/>
        <v>0.78755931930413292</v>
      </c>
      <c r="H438" s="1">
        <f t="shared" ca="1" si="6"/>
        <v>0.21244068069586708</v>
      </c>
    </row>
    <row r="439" spans="1:8">
      <c r="A439" s="2">
        <f t="shared" ca="1" si="0"/>
        <v>0.97454432131796809</v>
      </c>
      <c r="B439" s="2">
        <f t="shared" ca="1" si="1"/>
        <v>0.16458252734515627</v>
      </c>
      <c r="C439" s="2">
        <f t="shared" ca="1" si="2"/>
        <v>0.16539296741238124</v>
      </c>
      <c r="D439" s="2">
        <f t="shared" ca="1" si="3"/>
        <v>0.18214227677694095</v>
      </c>
      <c r="E439" s="2">
        <f t="shared" ca="1" si="4"/>
        <v>0.81785772322305905</v>
      </c>
      <c r="F439" s="1">
        <v>0</v>
      </c>
      <c r="G439" s="1">
        <f t="shared" ca="1" si="5"/>
        <v>0.18214227677694095</v>
      </c>
      <c r="H439" s="1">
        <f t="shared" ca="1" si="6"/>
        <v>0.81785772322305905</v>
      </c>
    </row>
    <row r="440" spans="1:8">
      <c r="A440" s="2">
        <f t="shared" ca="1" si="0"/>
        <v>0.81146410649935719</v>
      </c>
      <c r="B440" s="2">
        <f t="shared" ca="1" si="1"/>
        <v>0.10013513559041687</v>
      </c>
      <c r="C440" s="2">
        <f t="shared" ca="1" si="2"/>
        <v>8.6256068331069607E-2</v>
      </c>
      <c r="D440" s="2">
        <f t="shared" ca="1" si="3"/>
        <v>0.59865227194173898</v>
      </c>
      <c r="E440" s="2">
        <f t="shared" ca="1" si="4"/>
        <v>0.40134772805826102</v>
      </c>
      <c r="F440" s="1">
        <v>0</v>
      </c>
      <c r="G440" s="1">
        <f t="shared" ca="1" si="5"/>
        <v>0.59865227194173898</v>
      </c>
      <c r="H440" s="1">
        <f t="shared" ca="1" si="6"/>
        <v>0.40134772805826102</v>
      </c>
    </row>
    <row r="441" spans="1:8">
      <c r="A441" s="2">
        <f t="shared" ca="1" si="0"/>
        <v>0.90933378185610292</v>
      </c>
      <c r="B441" s="2">
        <f t="shared" ca="1" si="1"/>
        <v>0.11534846514372081</v>
      </c>
      <c r="C441" s="2">
        <f t="shared" ca="1" si="2"/>
        <v>0.10989025604043652</v>
      </c>
      <c r="D441" s="2">
        <f t="shared" ca="1" si="3"/>
        <v>0.47426181031349202</v>
      </c>
      <c r="E441" s="2">
        <f t="shared" ca="1" si="4"/>
        <v>0.52573818968650798</v>
      </c>
      <c r="F441" s="1">
        <v>0</v>
      </c>
      <c r="G441" s="1">
        <f t="shared" ca="1" si="5"/>
        <v>0.47426181031349202</v>
      </c>
      <c r="H441" s="1">
        <f t="shared" ca="1" si="6"/>
        <v>0.52573818968650798</v>
      </c>
    </row>
    <row r="442" spans="1:8">
      <c r="A442" s="2">
        <f t="shared" ca="1" si="0"/>
        <v>0.64444543014589306</v>
      </c>
      <c r="B442" s="2">
        <f t="shared" ca="1" si="1"/>
        <v>9.1375998981263834E-2</v>
      </c>
      <c r="C442" s="2">
        <f t="shared" ca="1" si="2"/>
        <v>6.3886844968491258E-2</v>
      </c>
      <c r="D442" s="2">
        <f t="shared" ca="1" si="3"/>
        <v>0.71638502648162494</v>
      </c>
      <c r="E442" s="2">
        <f t="shared" ca="1" si="4"/>
        <v>0.28361497351837506</v>
      </c>
      <c r="F442" s="1">
        <v>0</v>
      </c>
      <c r="G442" s="1">
        <f t="shared" ca="1" si="5"/>
        <v>0.71638502648162494</v>
      </c>
      <c r="H442" s="1">
        <f t="shared" ca="1" si="6"/>
        <v>0.28361497351837506</v>
      </c>
    </row>
    <row r="443" spans="1:8">
      <c r="A443" s="2">
        <f t="shared" ca="1" si="0"/>
        <v>0.97557711328137364</v>
      </c>
      <c r="B443" s="2">
        <f t="shared" ca="1" si="1"/>
        <v>0.19485141515284912</v>
      </c>
      <c r="C443" s="2">
        <f t="shared" ca="1" si="2"/>
        <v>0.19509258111360706</v>
      </c>
      <c r="D443" s="2">
        <f t="shared" ca="1" si="3"/>
        <v>2.5828520454699744E-2</v>
      </c>
      <c r="E443" s="2">
        <f t="shared" ca="1" si="4"/>
        <v>0.97417147954530026</v>
      </c>
      <c r="F443" s="1">
        <v>0</v>
      </c>
      <c r="G443" s="1">
        <f t="shared" ca="1" si="5"/>
        <v>2.5828520454699744E-2</v>
      </c>
      <c r="H443" s="1">
        <f t="shared" ca="1" si="6"/>
        <v>0.97417147954530026</v>
      </c>
    </row>
    <row r="444" spans="1:8">
      <c r="A444" s="2">
        <f t="shared" ca="1" si="0"/>
        <v>0.87877437507099376</v>
      </c>
      <c r="B444" s="2">
        <f t="shared" ca="1" si="1"/>
        <v>0.10875744393346666</v>
      </c>
      <c r="C444" s="2">
        <f t="shared" ca="1" si="2"/>
        <v>0.10057325482695081</v>
      </c>
      <c r="D444" s="2">
        <f t="shared" ca="1" si="3"/>
        <v>0.52329865880552207</v>
      </c>
      <c r="E444" s="2">
        <f t="shared" ca="1" si="4"/>
        <v>0.47670134119447793</v>
      </c>
      <c r="F444" s="1">
        <v>0</v>
      </c>
      <c r="G444" s="1">
        <f t="shared" ca="1" si="5"/>
        <v>0.52329865880552207</v>
      </c>
      <c r="H444" s="1">
        <f t="shared" ca="1" si="6"/>
        <v>0.47670134119447793</v>
      </c>
    </row>
    <row r="445" spans="1:8">
      <c r="A445" s="2">
        <f t="shared" ca="1" si="0"/>
        <v>0.15182982310077595</v>
      </c>
      <c r="B445" s="2">
        <f t="shared" ca="1" si="1"/>
        <v>9.5523495887657794E-2</v>
      </c>
      <c r="C445" s="2">
        <f t="shared" ca="1" si="2"/>
        <v>1.9503315482590784E-2</v>
      </c>
      <c r="D445" s="2">
        <f t="shared" ca="1" si="3"/>
        <v>0.94998255009162746</v>
      </c>
      <c r="E445" s="2">
        <f t="shared" ca="1" si="4"/>
        <v>5.0017449908372535E-2</v>
      </c>
      <c r="F445" s="1">
        <v>0</v>
      </c>
      <c r="G445" s="1">
        <f t="shared" ca="1" si="5"/>
        <v>0.94998255009162746</v>
      </c>
      <c r="H445" s="1">
        <f t="shared" ca="1" si="6"/>
        <v>5.0017449908372535E-2</v>
      </c>
    </row>
    <row r="446" spans="1:8">
      <c r="A446" s="2">
        <f t="shared" ca="1" si="0"/>
        <v>0.97590209067777745</v>
      </c>
      <c r="B446" s="2">
        <f t="shared" ca="1" si="1"/>
        <v>0.17317200554560663</v>
      </c>
      <c r="C446" s="2">
        <f t="shared" ca="1" si="2"/>
        <v>0.17399892225882119</v>
      </c>
      <c r="D446" s="2">
        <f t="shared" ca="1" si="3"/>
        <v>0.13684777758515176</v>
      </c>
      <c r="E446" s="2">
        <f t="shared" ca="1" si="4"/>
        <v>0.86315222241484824</v>
      </c>
      <c r="F446" s="1">
        <v>0</v>
      </c>
      <c r="G446" s="1">
        <f t="shared" ca="1" si="5"/>
        <v>0.13684777758515176</v>
      </c>
      <c r="H446" s="1">
        <f t="shared" ca="1" si="6"/>
        <v>0.86315222241484824</v>
      </c>
    </row>
    <row r="447" spans="1:8">
      <c r="A447" s="2">
        <f t="shared" ca="1" si="0"/>
        <v>0.48027603578830041</v>
      </c>
      <c r="B447" s="2">
        <f t="shared" ca="1" si="1"/>
        <v>8.9442733282318609E-2</v>
      </c>
      <c r="C447" s="2">
        <f t="shared" ca="1" si="2"/>
        <v>4.7957201370902258E-2</v>
      </c>
      <c r="D447" s="2">
        <f t="shared" ca="1" si="3"/>
        <v>0.80022525594261973</v>
      </c>
      <c r="E447" s="2">
        <f t="shared" ca="1" si="4"/>
        <v>0.19977474405738027</v>
      </c>
      <c r="F447" s="1">
        <v>0</v>
      </c>
      <c r="G447" s="1">
        <f t="shared" ca="1" si="5"/>
        <v>0.80022525594261973</v>
      </c>
      <c r="H447" s="1">
        <f t="shared" ca="1" si="6"/>
        <v>0.19977474405738027</v>
      </c>
    </row>
    <row r="448" spans="1:8">
      <c r="A448" s="2">
        <f t="shared" ca="1" si="0"/>
        <v>0.54235377342631663</v>
      </c>
      <c r="B448" s="2">
        <f t="shared" ca="1" si="1"/>
        <v>8.9688943818882913E-2</v>
      </c>
      <c r="C448" s="2">
        <f t="shared" ca="1" si="2"/>
        <v>5.3643137114792065E-2</v>
      </c>
      <c r="D448" s="2">
        <f t="shared" ca="1" si="3"/>
        <v>0.77029927834319967</v>
      </c>
      <c r="E448" s="2">
        <f t="shared" ca="1" si="4"/>
        <v>0.22970072165680033</v>
      </c>
      <c r="F448" s="1">
        <v>0</v>
      </c>
      <c r="G448" s="1">
        <f t="shared" ca="1" si="5"/>
        <v>0.77029927834319967</v>
      </c>
      <c r="H448" s="1">
        <f t="shared" ca="1" si="6"/>
        <v>0.22970072165680033</v>
      </c>
    </row>
    <row r="449" spans="1:8">
      <c r="A449" s="2">
        <f t="shared" ca="1" si="0"/>
        <v>0.89871466822663537</v>
      </c>
      <c r="B449" s="2">
        <f t="shared" ca="1" si="1"/>
        <v>0.11274875744248586</v>
      </c>
      <c r="C449" s="2">
        <f t="shared" ca="1" si="2"/>
        <v>0.10632896213788907</v>
      </c>
      <c r="D449" s="2">
        <f t="shared" ca="1" si="3"/>
        <v>0.49300546243216281</v>
      </c>
      <c r="E449" s="2">
        <f t="shared" ca="1" si="4"/>
        <v>0.50699453756783719</v>
      </c>
      <c r="F449" s="1">
        <v>0</v>
      </c>
      <c r="G449" s="1">
        <f t="shared" ca="1" si="5"/>
        <v>0.49300546243216281</v>
      </c>
      <c r="H449" s="1">
        <f t="shared" ca="1" si="6"/>
        <v>0.50699453756783719</v>
      </c>
    </row>
    <row r="450" spans="1:8">
      <c r="A450" s="2">
        <f t="shared" ca="1" si="0"/>
        <v>0.90955169006909209</v>
      </c>
      <c r="B450" s="2">
        <f t="shared" ca="1" si="1"/>
        <v>0.1154061713803862</v>
      </c>
      <c r="C450" s="2">
        <f t="shared" ca="1" si="2"/>
        <v>0.10996787822343355</v>
      </c>
      <c r="D450" s="2">
        <f t="shared" ca="1" si="3"/>
        <v>0.47385327250824449</v>
      </c>
      <c r="E450" s="2">
        <f t="shared" ca="1" si="4"/>
        <v>0.52614672749175551</v>
      </c>
      <c r="F450" s="1">
        <v>0</v>
      </c>
      <c r="G450" s="1">
        <f t="shared" ca="1" si="5"/>
        <v>0.47385327250824449</v>
      </c>
      <c r="H450" s="1">
        <f t="shared" ca="1" si="6"/>
        <v>0.52614672749175551</v>
      </c>
    </row>
    <row r="451" spans="1:8">
      <c r="A451" s="2">
        <f t="shared" ca="1" si="0"/>
        <v>0.97626832720409806</v>
      </c>
      <c r="B451" s="2">
        <f t="shared" ca="1" si="1"/>
        <v>0.18330043035253846</v>
      </c>
      <c r="C451" s="2">
        <f t="shared" ca="1" si="2"/>
        <v>0.18395040451606401</v>
      </c>
      <c r="D451" s="2">
        <f t="shared" ca="1" si="3"/>
        <v>8.4471555178610602E-2</v>
      </c>
      <c r="E451" s="2">
        <f t="shared" ca="1" si="4"/>
        <v>0.9155284448213894</v>
      </c>
      <c r="F451" s="1">
        <v>0</v>
      </c>
      <c r="G451" s="1">
        <f t="shared" ca="1" si="5"/>
        <v>8.4471555178610602E-2</v>
      </c>
      <c r="H451" s="1">
        <f t="shared" ca="1" si="6"/>
        <v>0.9155284448213894</v>
      </c>
    </row>
    <row r="452" spans="1:8">
      <c r="A452" s="2">
        <f t="shared" ca="1" si="0"/>
        <v>0.38397023964033333</v>
      </c>
      <c r="B452" s="2">
        <f t="shared" ca="1" si="1"/>
        <v>8.999324843433025E-2</v>
      </c>
      <c r="C452" s="2">
        <f t="shared" ca="1" si="2"/>
        <v>3.9554729167341839E-2</v>
      </c>
      <c r="D452" s="2">
        <f t="shared" ca="1" si="3"/>
        <v>0.84444879385609561</v>
      </c>
      <c r="E452" s="2">
        <f t="shared" ca="1" si="4"/>
        <v>0.15555120614390439</v>
      </c>
      <c r="F452" s="1">
        <v>0</v>
      </c>
      <c r="G452" s="1">
        <f t="shared" ca="1" si="5"/>
        <v>0.84444879385609561</v>
      </c>
      <c r="H452" s="1">
        <f t="shared" ca="1" si="6"/>
        <v>0.15555120614390439</v>
      </c>
    </row>
    <row r="453" spans="1:8">
      <c r="A453" s="2">
        <f t="shared" ca="1" si="0"/>
        <v>8.8661387020551902E-2</v>
      </c>
      <c r="B453" s="2">
        <f t="shared" ca="1" si="1"/>
        <v>9.8129795532210809E-2</v>
      </c>
      <c r="C453" s="2">
        <f t="shared" ca="1" si="2"/>
        <v>1.3700323779928969E-2</v>
      </c>
      <c r="D453" s="2">
        <f t="shared" ca="1" si="3"/>
        <v>0.98052461168458438</v>
      </c>
      <c r="E453" s="2">
        <f t="shared" ca="1" si="4"/>
        <v>1.947538831541562E-2</v>
      </c>
      <c r="F453" s="1">
        <v>0</v>
      </c>
      <c r="G453" s="1">
        <f t="shared" ca="1" si="5"/>
        <v>0.98052461168458438</v>
      </c>
      <c r="H453" s="1">
        <f t="shared" ca="1" si="6"/>
        <v>1.947538831541562E-2</v>
      </c>
    </row>
    <row r="454" spans="1:8">
      <c r="A454" s="2">
        <f t="shared" ca="1" si="0"/>
        <v>0.7102915725409561</v>
      </c>
      <c r="B454" s="2">
        <f t="shared" ca="1" si="1"/>
        <v>9.3620155091885593E-2</v>
      </c>
      <c r="C454" s="2">
        <f t="shared" ca="1" si="2"/>
        <v>7.1497607181743625E-2</v>
      </c>
      <c r="D454" s="2">
        <f t="shared" ca="1" si="3"/>
        <v>0.67632838325398092</v>
      </c>
      <c r="E454" s="2">
        <f t="shared" ca="1" si="4"/>
        <v>0.32367161674601908</v>
      </c>
      <c r="F454" s="1">
        <v>0</v>
      </c>
      <c r="G454" s="1">
        <f t="shared" ca="1" si="5"/>
        <v>0.67632838325398092</v>
      </c>
      <c r="H454" s="1">
        <f t="shared" ca="1" si="6"/>
        <v>0.32367161674601908</v>
      </c>
    </row>
    <row r="455" spans="1:8">
      <c r="A455" s="2">
        <f t="shared" ca="1" si="0"/>
        <v>0.83617499018894914</v>
      </c>
      <c r="B455" s="2">
        <f t="shared" ca="1" si="1"/>
        <v>0.10268873248379395</v>
      </c>
      <c r="C455" s="2">
        <f t="shared" ca="1" si="2"/>
        <v>9.0865749877152041E-2</v>
      </c>
      <c r="D455" s="2">
        <f t="shared" ca="1" si="3"/>
        <v>0.5743907901202524</v>
      </c>
      <c r="E455" s="2">
        <f t="shared" ca="1" si="4"/>
        <v>0.4256092098797476</v>
      </c>
      <c r="F455" s="1">
        <v>0</v>
      </c>
      <c r="G455" s="1">
        <f t="shared" ca="1" si="5"/>
        <v>0.5743907901202524</v>
      </c>
      <c r="H455" s="1">
        <f t="shared" ca="1" si="6"/>
        <v>0.4256092098797476</v>
      </c>
    </row>
    <row r="456" spans="1:8">
      <c r="A456" s="2">
        <f t="shared" ca="1" si="0"/>
        <v>0.61762993996603921</v>
      </c>
      <c r="B456" s="2">
        <f t="shared" ca="1" si="1"/>
        <v>9.0751950948390087E-2</v>
      </c>
      <c r="C456" s="2">
        <f t="shared" ca="1" si="2"/>
        <v>6.1051122016055101E-2</v>
      </c>
      <c r="D456" s="2">
        <f t="shared" ca="1" si="3"/>
        <v>0.73130988412602582</v>
      </c>
      <c r="E456" s="2">
        <f t="shared" ca="1" si="4"/>
        <v>0.26869011587397418</v>
      </c>
      <c r="F456" s="1">
        <v>0</v>
      </c>
      <c r="G456" s="1">
        <f t="shared" ca="1" si="5"/>
        <v>0.73130988412602582</v>
      </c>
      <c r="H456" s="1">
        <f t="shared" ca="1" si="6"/>
        <v>0.26869011587397418</v>
      </c>
    </row>
    <row r="457" spans="1:8">
      <c r="A457" s="2">
        <f t="shared" ca="1" si="0"/>
        <v>0.9749464284813274</v>
      </c>
      <c r="B457" s="2">
        <f t="shared" ca="1" si="1"/>
        <v>0.16648008236892339</v>
      </c>
      <c r="C457" s="2">
        <f t="shared" ca="1" si="2"/>
        <v>0.16730916171885907</v>
      </c>
      <c r="D457" s="2">
        <f t="shared" ca="1" si="3"/>
        <v>0.17205704358495233</v>
      </c>
      <c r="E457" s="2">
        <f t="shared" ca="1" si="4"/>
        <v>0.82794295641504767</v>
      </c>
      <c r="F457" s="1">
        <v>0</v>
      </c>
      <c r="G457" s="1">
        <f t="shared" ca="1" si="5"/>
        <v>0.17205704358495233</v>
      </c>
      <c r="H457" s="1">
        <f t="shared" ca="1" si="6"/>
        <v>0.82794295641504767</v>
      </c>
    </row>
    <row r="458" spans="1:8">
      <c r="A458" s="2">
        <f t="shared" ca="1" si="0"/>
        <v>0.96109415151174682</v>
      </c>
      <c r="B458" s="2">
        <f t="shared" ca="1" si="1"/>
        <v>0.14025971092669859</v>
      </c>
      <c r="C458" s="2">
        <f t="shared" ca="1" si="2"/>
        <v>0.13980278786437828</v>
      </c>
      <c r="D458" s="2">
        <f t="shared" ca="1" si="3"/>
        <v>0.3168274322927459</v>
      </c>
      <c r="E458" s="2">
        <f t="shared" ca="1" si="4"/>
        <v>0.6831725677072541</v>
      </c>
      <c r="F458" s="1">
        <v>0</v>
      </c>
      <c r="G458" s="1">
        <f t="shared" ca="1" si="5"/>
        <v>0.3168274322927459</v>
      </c>
      <c r="H458" s="1">
        <f t="shared" ca="1" si="6"/>
        <v>0.6831725677072541</v>
      </c>
    </row>
    <row r="459" spans="1:8">
      <c r="A459" s="2">
        <f t="shared" ca="1" si="0"/>
        <v>0.62263292508359303</v>
      </c>
      <c r="B459" s="2">
        <f t="shared" ca="1" si="1"/>
        <v>9.0857473301015138E-2</v>
      </c>
      <c r="C459" s="2">
        <f t="shared" ca="1" si="2"/>
        <v>6.1570854367115506E-2</v>
      </c>
      <c r="D459" s="2">
        <f t="shared" ca="1" si="3"/>
        <v>0.72857445069939208</v>
      </c>
      <c r="E459" s="2">
        <f t="shared" ca="1" si="4"/>
        <v>0.27142554930060792</v>
      </c>
      <c r="F459" s="1">
        <v>0</v>
      </c>
      <c r="G459" s="1">
        <f t="shared" ca="1" si="5"/>
        <v>0.72857445069939208</v>
      </c>
      <c r="H459" s="1">
        <f t="shared" ca="1" si="6"/>
        <v>0.27142554930060792</v>
      </c>
    </row>
    <row r="460" spans="1:8">
      <c r="A460" s="2">
        <f t="shared" ca="1" si="0"/>
        <v>9.6954374092001486E-2</v>
      </c>
      <c r="B460" s="2">
        <f t="shared" ca="1" si="1"/>
        <v>9.7756887322325681E-2</v>
      </c>
      <c r="C460" s="2">
        <f t="shared" ca="1" si="2"/>
        <v>1.4477957823518402E-2</v>
      </c>
      <c r="D460" s="2">
        <f t="shared" ca="1" si="3"/>
        <v>0.97643180092885051</v>
      </c>
      <c r="E460" s="2">
        <f t="shared" ca="1" si="4"/>
        <v>2.3568199071149487E-2</v>
      </c>
      <c r="F460" s="1">
        <v>0</v>
      </c>
      <c r="G460" s="1">
        <f t="shared" ca="1" si="5"/>
        <v>0.97643180092885051</v>
      </c>
      <c r="H460" s="1">
        <f t="shared" ca="1" si="6"/>
        <v>2.3568199071149487E-2</v>
      </c>
    </row>
    <row r="461" spans="1:8">
      <c r="A461" s="2">
        <f t="shared" ca="1" si="0"/>
        <v>6.6551986977118421E-2</v>
      </c>
      <c r="B461" s="2">
        <f t="shared" ca="1" si="1"/>
        <v>9.9172144481860874E-2</v>
      </c>
      <c r="C461" s="2">
        <f t="shared" ca="1" si="2"/>
        <v>1.1600103268049711E-2</v>
      </c>
      <c r="D461" s="2">
        <f t="shared" ca="1" si="3"/>
        <v>0.99157840385236995</v>
      </c>
      <c r="E461" s="2">
        <f t="shared" ca="1" si="4"/>
        <v>8.4215961476300505E-3</v>
      </c>
      <c r="F461" s="1">
        <v>0</v>
      </c>
      <c r="G461" s="1">
        <f t="shared" ca="1" si="5"/>
        <v>0.99157840385236995</v>
      </c>
      <c r="H461" s="1">
        <f t="shared" ca="1" si="6"/>
        <v>8.4215961476300505E-3</v>
      </c>
    </row>
    <row r="462" spans="1:8">
      <c r="A462" s="2">
        <f t="shared" ca="1" si="0"/>
        <v>0.27412096976313549</v>
      </c>
      <c r="B462" s="2">
        <f t="shared" ca="1" si="1"/>
        <v>9.1867738781129984E-2</v>
      </c>
      <c r="C462" s="2">
        <f t="shared" ca="1" si="2"/>
        <v>3.0182873644629765E-2</v>
      </c>
      <c r="D462" s="2">
        <f t="shared" ca="1" si="3"/>
        <v>0.89377434923879073</v>
      </c>
      <c r="E462" s="2">
        <f t="shared" ca="1" si="4"/>
        <v>0.10622565076120927</v>
      </c>
      <c r="F462" s="1">
        <v>0</v>
      </c>
      <c r="G462" s="1">
        <f t="shared" ca="1" si="5"/>
        <v>0.89377434923879073</v>
      </c>
      <c r="H462" s="1">
        <f t="shared" ca="1" si="6"/>
        <v>0.10622565076120927</v>
      </c>
    </row>
    <row r="463" spans="1:8">
      <c r="A463" s="2">
        <f t="shared" ca="1" si="0"/>
        <v>0.85712072712177567</v>
      </c>
      <c r="B463" s="2">
        <f t="shared" ca="1" si="1"/>
        <v>0.10534808588559846</v>
      </c>
      <c r="C463" s="2">
        <f t="shared" ca="1" si="2"/>
        <v>9.5296027975151437E-2</v>
      </c>
      <c r="D463" s="2">
        <f t="shared" ca="1" si="3"/>
        <v>0.55107353697288719</v>
      </c>
      <c r="E463" s="2">
        <f t="shared" ca="1" si="4"/>
        <v>0.44892646302711281</v>
      </c>
      <c r="F463" s="1">
        <v>0</v>
      </c>
      <c r="G463" s="1">
        <f t="shared" ca="1" si="5"/>
        <v>0.55107353697288719</v>
      </c>
      <c r="H463" s="1">
        <f t="shared" ca="1" si="6"/>
        <v>0.44892646302711281</v>
      </c>
    </row>
    <row r="464" spans="1:8">
      <c r="A464" s="2">
        <f t="shared" ca="1" si="0"/>
        <v>0.89708851795446076</v>
      </c>
      <c r="B464" s="2">
        <f t="shared" ca="1" si="1"/>
        <v>0.11238381042261102</v>
      </c>
      <c r="C464" s="2">
        <f t="shared" ca="1" si="2"/>
        <v>0.10581822593409521</v>
      </c>
      <c r="D464" s="2">
        <f t="shared" ca="1" si="3"/>
        <v>0.4956935477152884</v>
      </c>
      <c r="E464" s="2">
        <f t="shared" ca="1" si="4"/>
        <v>0.5043064522847116</v>
      </c>
      <c r="F464" s="1">
        <v>0</v>
      </c>
      <c r="G464" s="1">
        <f t="shared" ca="1" si="5"/>
        <v>0.4956935477152884</v>
      </c>
      <c r="H464" s="1">
        <f t="shared" ca="1" si="6"/>
        <v>0.5043064522847116</v>
      </c>
    </row>
    <row r="465" spans="1:8">
      <c r="A465" s="2">
        <f t="shared" ca="1" si="0"/>
        <v>0.97205461608136123</v>
      </c>
      <c r="B465" s="2">
        <f t="shared" ca="1" si="1"/>
        <v>0.15658679322730176</v>
      </c>
      <c r="C465" s="2">
        <f t="shared" ca="1" si="2"/>
        <v>0.15721091517397631</v>
      </c>
      <c r="D465" s="2">
        <f t="shared" ca="1" si="3"/>
        <v>0.22520570961065112</v>
      </c>
      <c r="E465" s="2">
        <f t="shared" ca="1" si="4"/>
        <v>0.77479429038934888</v>
      </c>
      <c r="F465" s="1">
        <v>0</v>
      </c>
      <c r="G465" s="1">
        <f t="shared" ca="1" si="5"/>
        <v>0.22520570961065112</v>
      </c>
      <c r="H465" s="1">
        <f t="shared" ca="1" si="6"/>
        <v>0.77479429038934888</v>
      </c>
    </row>
    <row r="466" spans="1:8">
      <c r="A466" s="2">
        <f t="shared" ca="1" si="0"/>
        <v>0.57816782740230444</v>
      </c>
      <c r="B466" s="2">
        <f t="shared" ca="1" si="1"/>
        <v>9.007890979953144E-2</v>
      </c>
      <c r="C466" s="2">
        <f t="shared" ca="1" si="2"/>
        <v>5.7080727573563243E-2</v>
      </c>
      <c r="D466" s="2">
        <f t="shared" ca="1" si="3"/>
        <v>0.75220669698124609</v>
      </c>
      <c r="E466" s="2">
        <f t="shared" ca="1" si="4"/>
        <v>0.24779330301875391</v>
      </c>
      <c r="F466" s="1">
        <v>0</v>
      </c>
      <c r="G466" s="1">
        <f t="shared" ca="1" si="5"/>
        <v>0.75220669698124609</v>
      </c>
      <c r="H466" s="1">
        <f t="shared" ca="1" si="6"/>
        <v>0.24779330301875391</v>
      </c>
    </row>
    <row r="467" spans="1:8">
      <c r="A467" s="2">
        <f t="shared" ca="1" si="0"/>
        <v>0.41712751603934534</v>
      </c>
      <c r="B467" s="2">
        <f t="shared" ca="1" si="1"/>
        <v>8.9684351194191533E-2</v>
      </c>
      <c r="C467" s="2">
        <f t="shared" ca="1" si="2"/>
        <v>4.2409810641233406E-2</v>
      </c>
      <c r="D467" s="2">
        <f t="shared" ca="1" si="3"/>
        <v>0.82942204925666629</v>
      </c>
      <c r="E467" s="2">
        <f t="shared" ca="1" si="4"/>
        <v>0.17057795074333371</v>
      </c>
      <c r="F467" s="1">
        <v>0</v>
      </c>
      <c r="G467" s="1">
        <f t="shared" ca="1" si="5"/>
        <v>0.82942204925666629</v>
      </c>
      <c r="H467" s="1">
        <f t="shared" ca="1" si="6"/>
        <v>0.17057795074333371</v>
      </c>
    </row>
    <row r="468" spans="1:8">
      <c r="A468" s="2">
        <f t="shared" ca="1" si="0"/>
        <v>0.97626514185601998</v>
      </c>
      <c r="B468" s="2">
        <f t="shared" ca="1" si="1"/>
        <v>0.17981332837189043</v>
      </c>
      <c r="C468" s="2">
        <f t="shared" ca="1" si="2"/>
        <v>0.18054548453058672</v>
      </c>
      <c r="D468" s="2">
        <f t="shared" ca="1" si="3"/>
        <v>0.10239218668112249</v>
      </c>
      <c r="E468" s="2">
        <f t="shared" ca="1" si="4"/>
        <v>0.89760781331887751</v>
      </c>
      <c r="F468" s="1">
        <v>0</v>
      </c>
      <c r="G468" s="1">
        <f t="shared" ca="1" si="5"/>
        <v>0.10239218668112249</v>
      </c>
      <c r="H468" s="1">
        <f t="shared" ca="1" si="6"/>
        <v>0.89760781331887751</v>
      </c>
    </row>
    <row r="469" spans="1:8">
      <c r="A469" s="2">
        <f t="shared" ca="1" si="0"/>
        <v>0.91475789897377136</v>
      </c>
      <c r="B469" s="2">
        <f t="shared" ca="1" si="1"/>
        <v>0.11684481374257127</v>
      </c>
      <c r="C469" s="2">
        <f t="shared" ca="1" si="2"/>
        <v>0.11188471632513615</v>
      </c>
      <c r="D469" s="2">
        <f t="shared" ca="1" si="3"/>
        <v>0.46376465092033603</v>
      </c>
      <c r="E469" s="2">
        <f t="shared" ca="1" si="4"/>
        <v>0.53623534907966397</v>
      </c>
      <c r="F469" s="1">
        <v>0</v>
      </c>
      <c r="G469" s="1">
        <f t="shared" ca="1" si="5"/>
        <v>0.46376465092033603</v>
      </c>
      <c r="H469" s="1">
        <f t="shared" ca="1" si="6"/>
        <v>0.53623534907966397</v>
      </c>
    </row>
    <row r="470" spans="1:8">
      <c r="A470" s="2">
        <f t="shared" ca="1" si="0"/>
        <v>0.75648515927139559</v>
      </c>
      <c r="B470" s="2">
        <f t="shared" ca="1" si="1"/>
        <v>9.5995149168681418E-2</v>
      </c>
      <c r="C470" s="2">
        <f t="shared" ca="1" si="2"/>
        <v>7.7618905708151345E-2</v>
      </c>
      <c r="D470" s="2">
        <f t="shared" ca="1" si="3"/>
        <v>0.64411102258867714</v>
      </c>
      <c r="E470" s="2">
        <f t="shared" ca="1" si="4"/>
        <v>0.35588897741132286</v>
      </c>
      <c r="F470" s="1">
        <v>0</v>
      </c>
      <c r="G470" s="1">
        <f t="shared" ca="1" si="5"/>
        <v>0.64411102258867714</v>
      </c>
      <c r="H470" s="1">
        <f t="shared" ca="1" si="6"/>
        <v>0.35588897741132286</v>
      </c>
    </row>
    <row r="471" spans="1:8">
      <c r="A471" s="2">
        <f t="shared" ca="1" si="0"/>
        <v>0.97623243158023665</v>
      </c>
      <c r="B471" s="2">
        <f t="shared" ca="1" si="1"/>
        <v>0.18490987532093531</v>
      </c>
      <c r="C471" s="2">
        <f t="shared" ca="1" si="2"/>
        <v>0.18551501720775507</v>
      </c>
      <c r="D471" s="2">
        <f t="shared" ca="1" si="3"/>
        <v>7.6236751538131253E-2</v>
      </c>
      <c r="E471" s="2">
        <f t="shared" ca="1" si="4"/>
        <v>0.92376324846186875</v>
      </c>
      <c r="F471" s="1">
        <v>0</v>
      </c>
      <c r="G471" s="1">
        <f t="shared" ca="1" si="5"/>
        <v>7.6236751538131253E-2</v>
      </c>
      <c r="H471" s="1">
        <f t="shared" ca="1" si="6"/>
        <v>0.92376324846186875</v>
      </c>
    </row>
    <row r="472" spans="1:8">
      <c r="A472" s="2">
        <f t="shared" ca="1" si="0"/>
        <v>0.82526365023218307</v>
      </c>
      <c r="B472" s="2">
        <f t="shared" ca="1" si="1"/>
        <v>0.10149369896905491</v>
      </c>
      <c r="C472" s="2">
        <f t="shared" ca="1" si="2"/>
        <v>8.8759060486768612E-2</v>
      </c>
      <c r="D472" s="2">
        <f t="shared" ca="1" si="3"/>
        <v>0.58547862901700731</v>
      </c>
      <c r="E472" s="2">
        <f t="shared" ca="1" si="4"/>
        <v>0.41452137098299269</v>
      </c>
      <c r="F472" s="1">
        <v>0</v>
      </c>
      <c r="G472" s="1">
        <f t="shared" ca="1" si="5"/>
        <v>0.58547862901700731</v>
      </c>
      <c r="H472" s="1">
        <f t="shared" ca="1" si="6"/>
        <v>0.41452137098299269</v>
      </c>
    </row>
    <row r="473" spans="1:8">
      <c r="A473" s="2">
        <f t="shared" ca="1" si="0"/>
        <v>0.80872044560597289</v>
      </c>
      <c r="B473" s="2">
        <f t="shared" ca="1" si="1"/>
        <v>9.9883224964273543E-2</v>
      </c>
      <c r="C473" s="2">
        <f t="shared" ca="1" si="2"/>
        <v>8.5777606201668938E-2</v>
      </c>
      <c r="D473" s="2">
        <f t="shared" ca="1" si="3"/>
        <v>0.60117049367542663</v>
      </c>
      <c r="E473" s="2">
        <f t="shared" ca="1" si="4"/>
        <v>0.39882950632457337</v>
      </c>
      <c r="F473" s="1">
        <v>0</v>
      </c>
      <c r="G473" s="1">
        <f t="shared" ca="1" si="5"/>
        <v>0.60117049367542663</v>
      </c>
      <c r="H473" s="1">
        <f t="shared" ca="1" si="6"/>
        <v>0.39882950632457337</v>
      </c>
    </row>
    <row r="474" spans="1:8">
      <c r="A474" s="2">
        <f t="shared" ca="1" si="0"/>
        <v>0.945200507138101</v>
      </c>
      <c r="B474" s="2">
        <f t="shared" ca="1" si="1"/>
        <v>0.12876498006957982</v>
      </c>
      <c r="C474" s="2">
        <f t="shared" ca="1" si="2"/>
        <v>0.12670872446339432</v>
      </c>
      <c r="D474" s="2">
        <f t="shared" ca="1" si="3"/>
        <v>0.3857435554558194</v>
      </c>
      <c r="E474" s="2">
        <f t="shared" ca="1" si="4"/>
        <v>0.6142564445441806</v>
      </c>
      <c r="F474" s="1">
        <v>0</v>
      </c>
      <c r="G474" s="1">
        <f t="shared" ca="1" si="5"/>
        <v>0.3857435554558194</v>
      </c>
      <c r="H474" s="1">
        <f t="shared" ca="1" si="6"/>
        <v>0.6142564445441806</v>
      </c>
    </row>
    <row r="475" spans="1:8">
      <c r="A475" s="2">
        <f t="shared" ca="1" si="0"/>
        <v>0.94759529581948365</v>
      </c>
      <c r="B475" s="2">
        <f t="shared" ca="1" si="1"/>
        <v>0.13011803535769467</v>
      </c>
      <c r="C475" s="2">
        <f t="shared" ca="1" si="2"/>
        <v>0.12829923820622471</v>
      </c>
      <c r="D475" s="2">
        <f t="shared" ca="1" si="3"/>
        <v>0.37737243049355418</v>
      </c>
      <c r="E475" s="2">
        <f t="shared" ca="1" si="4"/>
        <v>0.62262756950644582</v>
      </c>
      <c r="F475" s="1">
        <v>0</v>
      </c>
      <c r="G475" s="1">
        <f t="shared" ca="1" si="5"/>
        <v>0.37737243049355418</v>
      </c>
      <c r="H475" s="1">
        <f t="shared" ca="1" si="6"/>
        <v>0.62262756950644582</v>
      </c>
    </row>
    <row r="476" spans="1:8">
      <c r="A476" s="2">
        <f t="shared" ca="1" si="0"/>
        <v>0.71295445906436905</v>
      </c>
      <c r="B476" s="2">
        <f t="shared" ca="1" si="1"/>
        <v>9.3736365119473072E-2</v>
      </c>
      <c r="C476" s="2">
        <f t="shared" ca="1" si="2"/>
        <v>7.1829759488414122E-2</v>
      </c>
      <c r="D476" s="2">
        <f t="shared" ca="1" si="3"/>
        <v>0.67458021321887307</v>
      </c>
      <c r="E476" s="2">
        <f t="shared" ca="1" si="4"/>
        <v>0.32541978678112693</v>
      </c>
      <c r="F476" s="1">
        <v>0</v>
      </c>
      <c r="G476" s="1">
        <f t="shared" ca="1" si="5"/>
        <v>0.67458021321887307</v>
      </c>
      <c r="H476" s="1">
        <f t="shared" ca="1" si="6"/>
        <v>0.32541978678112693</v>
      </c>
    </row>
    <row r="477" spans="1:8">
      <c r="A477" s="2">
        <f t="shared" ca="1" si="0"/>
        <v>0.97596814515589447</v>
      </c>
      <c r="B477" s="2">
        <f t="shared" ca="1" si="1"/>
        <v>0.19020770987300664</v>
      </c>
      <c r="C477" s="2">
        <f t="shared" ca="1" si="2"/>
        <v>0.19063666579910882</v>
      </c>
      <c r="D477" s="2">
        <f t="shared" ca="1" si="3"/>
        <v>4.9280706320480094E-2</v>
      </c>
      <c r="E477" s="2">
        <f t="shared" ca="1" si="4"/>
        <v>0.95071929367951991</v>
      </c>
      <c r="F477" s="1">
        <v>0</v>
      </c>
      <c r="G477" s="1">
        <f t="shared" ca="1" si="5"/>
        <v>4.9280706320480094E-2</v>
      </c>
      <c r="H477" s="1">
        <f t="shared" ca="1" si="6"/>
        <v>0.95071929367951991</v>
      </c>
    </row>
    <row r="478" spans="1:8">
      <c r="A478" s="2">
        <f t="shared" ca="1" si="0"/>
        <v>0.97066409665785769</v>
      </c>
      <c r="B478" s="2">
        <f t="shared" ca="1" si="1"/>
        <v>0.15346264599823578</v>
      </c>
      <c r="C478" s="2">
        <f t="shared" ca="1" si="2"/>
        <v>0.15396068064860213</v>
      </c>
      <c r="D478" s="2">
        <f t="shared" ca="1" si="3"/>
        <v>0.24231220711262047</v>
      </c>
      <c r="E478" s="2">
        <f t="shared" ca="1" si="4"/>
        <v>0.75768779288737953</v>
      </c>
      <c r="F478" s="1">
        <v>0</v>
      </c>
      <c r="G478" s="1">
        <f t="shared" ca="1" si="5"/>
        <v>0.24231220711262047</v>
      </c>
      <c r="H478" s="1">
        <f t="shared" ca="1" si="6"/>
        <v>0.75768779288737953</v>
      </c>
    </row>
    <row r="479" spans="1:8">
      <c r="A479" s="2">
        <f t="shared" ca="1" si="0"/>
        <v>0.8585740997487481</v>
      </c>
      <c r="B479" s="2">
        <f t="shared" ca="1" si="1"/>
        <v>0.1055534363612656</v>
      </c>
      <c r="C479" s="2">
        <f t="shared" ca="1" si="2"/>
        <v>9.5625446599260394E-2</v>
      </c>
      <c r="D479" s="2">
        <f t="shared" ca="1" si="3"/>
        <v>0.54933975474073482</v>
      </c>
      <c r="E479" s="2">
        <f t="shared" ca="1" si="4"/>
        <v>0.45066024525926518</v>
      </c>
      <c r="F479" s="1">
        <v>0</v>
      </c>
      <c r="G479" s="1">
        <f t="shared" ca="1" si="5"/>
        <v>0.54933975474073482</v>
      </c>
      <c r="H479" s="1">
        <f t="shared" ca="1" si="6"/>
        <v>0.45066024525926518</v>
      </c>
    </row>
    <row r="480" spans="1:8">
      <c r="A480" s="2">
        <f t="shared" ca="1" si="0"/>
        <v>0.21534635246464887</v>
      </c>
      <c r="B480" s="2">
        <f t="shared" ca="1" si="1"/>
        <v>9.3409593233535579E-2</v>
      </c>
      <c r="C480" s="2">
        <f t="shared" ca="1" si="2"/>
        <v>2.5115415188048433E-2</v>
      </c>
      <c r="D480" s="2">
        <f t="shared" ca="1" si="3"/>
        <v>0.92044518322079771</v>
      </c>
      <c r="E480" s="2">
        <f t="shared" ca="1" si="4"/>
        <v>7.9554816779202286E-2</v>
      </c>
      <c r="F480" s="1">
        <v>0</v>
      </c>
      <c r="G480" s="1">
        <f t="shared" ca="1" si="5"/>
        <v>0.92044518322079771</v>
      </c>
      <c r="H480" s="1">
        <f t="shared" ca="1" si="6"/>
        <v>7.9554816779202286E-2</v>
      </c>
    </row>
    <row r="481" spans="1:8">
      <c r="A481" s="2">
        <f t="shared" ca="1" si="0"/>
        <v>0.7521057754753725</v>
      </c>
      <c r="B481" s="2">
        <f t="shared" ca="1" si="1"/>
        <v>9.5733919383444221E-2</v>
      </c>
      <c r="C481" s="2">
        <f t="shared" ca="1" si="2"/>
        <v>7.7002033677182113E-2</v>
      </c>
      <c r="D481" s="2">
        <f t="shared" ca="1" si="3"/>
        <v>0.64735771748851523</v>
      </c>
      <c r="E481" s="2">
        <f t="shared" ca="1" si="4"/>
        <v>0.35264228251148477</v>
      </c>
      <c r="F481" s="1">
        <v>0</v>
      </c>
      <c r="G481" s="1">
        <f t="shared" ca="1" si="5"/>
        <v>0.64735771748851523</v>
      </c>
      <c r="H481" s="1">
        <f t="shared" ca="1" si="6"/>
        <v>0.35264228251148477</v>
      </c>
    </row>
    <row r="482" spans="1:8">
      <c r="A482" s="2">
        <f t="shared" ca="1" si="0"/>
        <v>0.96158592352387706</v>
      </c>
      <c r="B482" s="2">
        <f t="shared" ca="1" si="1"/>
        <v>0.14075171228834238</v>
      </c>
      <c r="C482" s="2">
        <f t="shared" ca="1" si="2"/>
        <v>0.14034486524835274</v>
      </c>
      <c r="D482" s="2">
        <f t="shared" ca="1" si="3"/>
        <v>0.31397439342972244</v>
      </c>
      <c r="E482" s="2">
        <f t="shared" ca="1" si="4"/>
        <v>0.68602560657027756</v>
      </c>
      <c r="F482" s="1">
        <v>0</v>
      </c>
      <c r="G482" s="1">
        <f t="shared" ca="1" si="5"/>
        <v>0.31397439342972244</v>
      </c>
      <c r="H482" s="1">
        <f t="shared" ca="1" si="6"/>
        <v>0.68602560657027756</v>
      </c>
    </row>
    <row r="483" spans="1:8">
      <c r="A483" s="2">
        <f t="shared" ca="1" si="0"/>
        <v>0.86696029425788845</v>
      </c>
      <c r="B483" s="2">
        <f t="shared" ca="1" si="1"/>
        <v>0.10679996555549864</v>
      </c>
      <c r="C483" s="2">
        <f t="shared" ca="1" si="2"/>
        <v>9.7591329564727464E-2</v>
      </c>
      <c r="D483" s="2">
        <f t="shared" ca="1" si="3"/>
        <v>0.53899300229090807</v>
      </c>
      <c r="E483" s="2">
        <f t="shared" ca="1" si="4"/>
        <v>0.46100699770909193</v>
      </c>
      <c r="F483" s="1">
        <v>0</v>
      </c>
      <c r="G483" s="1">
        <f t="shared" ca="1" si="5"/>
        <v>0.53899300229090807</v>
      </c>
      <c r="H483" s="1">
        <f t="shared" ca="1" si="6"/>
        <v>0.46100699770909193</v>
      </c>
    </row>
    <row r="484" spans="1:8">
      <c r="A484" s="2">
        <f t="shared" ca="1" si="0"/>
        <v>0.2634626378503836</v>
      </c>
      <c r="B484" s="2">
        <f t="shared" ca="1" si="1"/>
        <v>9.211892272155571E-2</v>
      </c>
      <c r="C484" s="2">
        <f t="shared" ca="1" si="2"/>
        <v>2.9269894376156708E-2</v>
      </c>
      <c r="D484" s="2">
        <f t="shared" ca="1" si="3"/>
        <v>0.89857950328338576</v>
      </c>
      <c r="E484" s="2">
        <f t="shared" ca="1" si="4"/>
        <v>0.10142049671661424</v>
      </c>
      <c r="F484" s="1">
        <v>0</v>
      </c>
      <c r="G484" s="1">
        <f t="shared" ca="1" si="5"/>
        <v>0.89857950328338576</v>
      </c>
      <c r="H484" s="1">
        <f t="shared" ca="1" si="6"/>
        <v>0.10142049671661424</v>
      </c>
    </row>
    <row r="485" spans="1:8">
      <c r="A485" s="2">
        <f t="shared" ca="1" si="0"/>
        <v>0.31233117224915125</v>
      </c>
      <c r="B485" s="2">
        <f t="shared" ca="1" si="1"/>
        <v>9.1068529997078901E-2</v>
      </c>
      <c r="C485" s="2">
        <f t="shared" ca="1" si="2"/>
        <v>3.344354072899465E-2</v>
      </c>
      <c r="D485" s="2">
        <f t="shared" ca="1" si="3"/>
        <v>0.87661294353160713</v>
      </c>
      <c r="E485" s="2">
        <f t="shared" ca="1" si="4"/>
        <v>0.12338705646839287</v>
      </c>
      <c r="F485" s="1">
        <v>0</v>
      </c>
      <c r="G485" s="1">
        <f t="shared" ca="1" si="5"/>
        <v>0.87661294353160713</v>
      </c>
      <c r="H485" s="1">
        <f t="shared" ca="1" si="6"/>
        <v>0.12338705646839287</v>
      </c>
    </row>
    <row r="486" spans="1:8">
      <c r="A486" s="2">
        <f t="shared" ca="1" si="0"/>
        <v>0.70595290625149121</v>
      </c>
      <c r="B486" s="2">
        <f t="shared" ca="1" si="1"/>
        <v>9.3435610270227648E-2</v>
      </c>
      <c r="C486" s="2">
        <f t="shared" ca="1" si="2"/>
        <v>7.0961140617648896E-2</v>
      </c>
      <c r="D486" s="2">
        <f t="shared" ca="1" si="3"/>
        <v>0.67915189148605848</v>
      </c>
      <c r="E486" s="2">
        <f t="shared" ca="1" si="4"/>
        <v>0.32084810851394152</v>
      </c>
      <c r="F486" s="1">
        <v>0</v>
      </c>
      <c r="G486" s="1">
        <f t="shared" ca="1" si="5"/>
        <v>0.67915189148605848</v>
      </c>
      <c r="H486" s="1">
        <f t="shared" ca="1" si="6"/>
        <v>0.32084810851394152</v>
      </c>
    </row>
    <row r="487" spans="1:8">
      <c r="A487" s="2">
        <f t="shared" ca="1" si="0"/>
        <v>0.63865271029086867</v>
      </c>
      <c r="B487" s="2">
        <f t="shared" ca="1" si="1"/>
        <v>9.1228711106816573E-2</v>
      </c>
      <c r="C487" s="2">
        <f t="shared" ca="1" si="2"/>
        <v>6.3263463604711079E-2</v>
      </c>
      <c r="D487" s="2">
        <f t="shared" ca="1" si="3"/>
        <v>0.71966598102783641</v>
      </c>
      <c r="E487" s="2">
        <f t="shared" ca="1" si="4"/>
        <v>0.28033401897216359</v>
      </c>
      <c r="F487" s="1">
        <v>0</v>
      </c>
      <c r="G487" s="1">
        <f t="shared" ca="1" si="5"/>
        <v>0.71966598102783641</v>
      </c>
      <c r="H487" s="1">
        <f t="shared" ca="1" si="6"/>
        <v>0.28033401897216359</v>
      </c>
    </row>
    <row r="488" spans="1:8">
      <c r="A488" s="2">
        <f t="shared" ca="1" si="0"/>
        <v>0.97034926436228364</v>
      </c>
      <c r="B488" s="2">
        <f t="shared" ca="1" si="1"/>
        <v>0.15283055459133826</v>
      </c>
      <c r="C488" s="2">
        <f t="shared" ca="1" si="2"/>
        <v>0.15329901621978492</v>
      </c>
      <c r="D488" s="2">
        <f t="shared" ca="1" si="3"/>
        <v>0.24579465147481616</v>
      </c>
      <c r="E488" s="2">
        <f t="shared" ca="1" si="4"/>
        <v>0.75420534852518384</v>
      </c>
      <c r="F488" s="1">
        <v>0</v>
      </c>
      <c r="G488" s="1">
        <f t="shared" ca="1" si="5"/>
        <v>0.24579465147481616</v>
      </c>
      <c r="H488" s="1">
        <f t="shared" ca="1" si="6"/>
        <v>0.75420534852518384</v>
      </c>
    </row>
    <row r="489" spans="1:8">
      <c r="A489" s="2">
        <f t="shared" ca="1" si="0"/>
        <v>0.32649745720350104</v>
      </c>
      <c r="B489" s="2">
        <f t="shared" ca="1" si="1"/>
        <v>9.081215694304802E-2</v>
      </c>
      <c r="C489" s="2">
        <f t="shared" ca="1" si="2"/>
        <v>3.4649938325070441E-2</v>
      </c>
      <c r="D489" s="2">
        <f t="shared" ca="1" si="3"/>
        <v>0.87026348249962926</v>
      </c>
      <c r="E489" s="2">
        <f t="shared" ca="1" si="4"/>
        <v>0.12973651750037074</v>
      </c>
      <c r="F489" s="1">
        <v>0</v>
      </c>
      <c r="G489" s="1">
        <f t="shared" ca="1" si="5"/>
        <v>0.87026348249962926</v>
      </c>
      <c r="H489" s="1">
        <f t="shared" ca="1" si="6"/>
        <v>0.12973651750037074</v>
      </c>
    </row>
    <row r="490" spans="1:8">
      <c r="A490" s="2">
        <f t="shared" ca="1" si="0"/>
        <v>0.94799877443260427</v>
      </c>
      <c r="B490" s="2">
        <f t="shared" ca="1" si="1"/>
        <v>0.13035560526742046</v>
      </c>
      <c r="C490" s="2">
        <f t="shared" ca="1" si="2"/>
        <v>0.12857695403393493</v>
      </c>
      <c r="D490" s="2">
        <f t="shared" ca="1" si="3"/>
        <v>0.37591076824244785</v>
      </c>
      <c r="E490" s="2">
        <f t="shared" ca="1" si="4"/>
        <v>0.62408923175755215</v>
      </c>
      <c r="F490" s="1">
        <v>0</v>
      </c>
      <c r="G490" s="1">
        <f t="shared" ca="1" si="5"/>
        <v>0.37591076824244785</v>
      </c>
      <c r="H490" s="1">
        <f t="shared" ca="1" si="6"/>
        <v>0.62408923175755215</v>
      </c>
    </row>
    <row r="491" spans="1:8">
      <c r="A491" s="2">
        <f t="shared" ca="1" si="0"/>
        <v>0.11755276896884873</v>
      </c>
      <c r="B491" s="2">
        <f t="shared" ca="1" si="1"/>
        <v>9.687175894692171E-2</v>
      </c>
      <c r="C491" s="2">
        <f t="shared" ca="1" si="2"/>
        <v>1.6387543499093493E-2</v>
      </c>
      <c r="D491" s="2">
        <f t="shared" ca="1" si="3"/>
        <v>0.9663813500047711</v>
      </c>
      <c r="E491" s="2">
        <f t="shared" ca="1" si="4"/>
        <v>3.36186499952289E-2</v>
      </c>
      <c r="F491" s="1">
        <v>0</v>
      </c>
      <c r="G491" s="1">
        <f t="shared" ca="1" si="5"/>
        <v>0.9663813500047711</v>
      </c>
      <c r="H491" s="1">
        <f t="shared" ca="1" si="6"/>
        <v>3.36186499952289E-2</v>
      </c>
    </row>
    <row r="492" spans="1:8">
      <c r="A492" s="2">
        <f t="shared" ca="1" si="0"/>
        <v>0.88627534364043359</v>
      </c>
      <c r="B492" s="2">
        <f t="shared" ca="1" si="1"/>
        <v>0.11014445504636249</v>
      </c>
      <c r="C492" s="2">
        <f t="shared" ca="1" si="2"/>
        <v>0.1026183147463032</v>
      </c>
      <c r="D492" s="2">
        <f t="shared" ca="1" si="3"/>
        <v>0.51253518554577271</v>
      </c>
      <c r="E492" s="2">
        <f t="shared" ca="1" si="4"/>
        <v>0.48746481445422729</v>
      </c>
      <c r="F492" s="1">
        <v>0</v>
      </c>
      <c r="G492" s="1">
        <f t="shared" ca="1" si="5"/>
        <v>0.51253518554577271</v>
      </c>
      <c r="H492" s="1">
        <f t="shared" ca="1" si="6"/>
        <v>0.48746481445422729</v>
      </c>
    </row>
    <row r="493" spans="1:8">
      <c r="A493" s="2">
        <f t="shared" ca="1" si="0"/>
        <v>5.4495604998411253E-2</v>
      </c>
      <c r="B493" s="2">
        <f t="shared" ca="1" si="1"/>
        <v>9.9771017689430433E-2</v>
      </c>
      <c r="C493" s="2">
        <f t="shared" ca="1" si="2"/>
        <v>1.0437081970292703E-2</v>
      </c>
      <c r="D493" s="2">
        <f t="shared" ca="1" si="3"/>
        <v>0.99769956857740683</v>
      </c>
      <c r="E493" s="2">
        <f t="shared" ca="1" si="4"/>
        <v>2.3004314225931743E-3</v>
      </c>
      <c r="F493" s="1">
        <v>0</v>
      </c>
      <c r="G493" s="1">
        <f t="shared" ca="1" si="5"/>
        <v>0.99769956857740683</v>
      </c>
      <c r="H493" s="1">
        <f t="shared" ca="1" si="6"/>
        <v>2.3004314225931743E-3</v>
      </c>
    </row>
    <row r="494" spans="1:8">
      <c r="A494" s="2">
        <f t="shared" ca="1" si="0"/>
        <v>0.90204000199134227</v>
      </c>
      <c r="B494" s="2">
        <f t="shared" ca="1" si="1"/>
        <v>0.11352083784813258</v>
      </c>
      <c r="C494" s="2">
        <f t="shared" ca="1" si="2"/>
        <v>0.10740033679858836</v>
      </c>
      <c r="D494" s="2">
        <f t="shared" ca="1" si="3"/>
        <v>0.48736664842848232</v>
      </c>
      <c r="E494" s="2">
        <f t="shared" ca="1" si="4"/>
        <v>0.51263335157151768</v>
      </c>
      <c r="F494" s="1">
        <v>0</v>
      </c>
      <c r="G494" s="1">
        <f t="shared" ca="1" si="5"/>
        <v>0.48736664842848232</v>
      </c>
      <c r="H494" s="1">
        <f t="shared" ca="1" si="6"/>
        <v>0.51263335157151768</v>
      </c>
    </row>
    <row r="495" spans="1:8">
      <c r="A495" s="2">
        <f t="shared" ca="1" si="0"/>
        <v>0.97575594781031205</v>
      </c>
      <c r="B495" s="2">
        <f t="shared" ca="1" si="1"/>
        <v>0.19292111566216624</v>
      </c>
      <c r="C495" s="2">
        <f t="shared" ca="1" si="2"/>
        <v>0.19324392606555987</v>
      </c>
      <c r="D495" s="2">
        <f t="shared" ca="1" si="3"/>
        <v>3.5558283865474438E-2</v>
      </c>
      <c r="E495" s="2">
        <f t="shared" ca="1" si="4"/>
        <v>0.96444171613452556</v>
      </c>
      <c r="F495" s="1">
        <v>0</v>
      </c>
      <c r="G495" s="1">
        <f t="shared" ca="1" si="5"/>
        <v>3.5558283865474438E-2</v>
      </c>
      <c r="H495" s="1">
        <f t="shared" ca="1" si="6"/>
        <v>0.96444171613452556</v>
      </c>
    </row>
    <row r="496" spans="1:8">
      <c r="A496" s="2">
        <f t="shared" ca="1" si="0"/>
        <v>0.97524650470732277</v>
      </c>
      <c r="B496" s="2">
        <f t="shared" ca="1" si="1"/>
        <v>0.16813395248315949</v>
      </c>
      <c r="C496" s="2">
        <f t="shared" ca="1" si="2"/>
        <v>0.1689720494818284</v>
      </c>
      <c r="D496" s="2">
        <f t="shared" ca="1" si="3"/>
        <v>0.16330500272721893</v>
      </c>
      <c r="E496" s="2">
        <f t="shared" ca="1" si="4"/>
        <v>0.83669499727278107</v>
      </c>
      <c r="F496" s="1">
        <v>0</v>
      </c>
      <c r="G496" s="1">
        <f t="shared" ca="1" si="5"/>
        <v>0.16330500272721893</v>
      </c>
      <c r="H496" s="1">
        <f t="shared" ca="1" si="6"/>
        <v>0.83669499727278107</v>
      </c>
    </row>
    <row r="497" spans="1:8">
      <c r="A497" s="2">
        <f t="shared" ca="1" si="0"/>
        <v>0.41310433510113787</v>
      </c>
      <c r="B497" s="2">
        <f t="shared" ca="1" si="1"/>
        <v>8.9715326442853183E-2</v>
      </c>
      <c r="C497" s="2">
        <f t="shared" ca="1" si="2"/>
        <v>4.2061790278556395E-2</v>
      </c>
      <c r="D497" s="2">
        <f t="shared" ca="1" si="3"/>
        <v>0.83125373537601899</v>
      </c>
      <c r="E497" s="2">
        <f t="shared" ca="1" si="4"/>
        <v>0.16874626462398101</v>
      </c>
      <c r="F497" s="1">
        <v>0</v>
      </c>
      <c r="G497" s="1">
        <f t="shared" ca="1" si="5"/>
        <v>0.83125373537601899</v>
      </c>
      <c r="H497" s="1">
        <f t="shared" ca="1" si="6"/>
        <v>0.16874626462398101</v>
      </c>
    </row>
    <row r="498" spans="1:8">
      <c r="A498" s="2">
        <f t="shared" ca="1" si="0"/>
        <v>0.35857115853003702</v>
      </c>
      <c r="B498" s="2">
        <f t="shared" ca="1" si="1"/>
        <v>9.0311253561228905E-2</v>
      </c>
      <c r="C498" s="2">
        <f t="shared" ca="1" si="2"/>
        <v>3.7383010817749779E-2</v>
      </c>
      <c r="D498" s="2">
        <f t="shared" ca="1" si="3"/>
        <v>0.85587889043289589</v>
      </c>
      <c r="E498" s="2">
        <f t="shared" ca="1" si="4"/>
        <v>0.14412110956710411</v>
      </c>
      <c r="F498" s="1">
        <v>0</v>
      </c>
      <c r="G498" s="1">
        <f t="shared" ca="1" si="5"/>
        <v>0.85587889043289589</v>
      </c>
      <c r="H498" s="1">
        <f t="shared" ca="1" si="6"/>
        <v>0.14412110956710411</v>
      </c>
    </row>
    <row r="499" spans="1:8">
      <c r="A499" s="2">
        <f t="shared" ca="1" si="0"/>
        <v>0.89565548758344526</v>
      </c>
      <c r="B499" s="2">
        <f t="shared" ca="1" si="1"/>
        <v>0.11206873934755626</v>
      </c>
      <c r="C499" s="2">
        <f t="shared" ca="1" si="2"/>
        <v>0.10537498138319755</v>
      </c>
      <c r="D499" s="2">
        <f t="shared" ca="1" si="3"/>
        <v>0.49802641377264445</v>
      </c>
      <c r="E499" s="2">
        <f t="shared" ca="1" si="4"/>
        <v>0.50197358622735555</v>
      </c>
      <c r="F499" s="1">
        <v>0</v>
      </c>
      <c r="G499" s="1">
        <f t="shared" ca="1" si="5"/>
        <v>0.49802641377264445</v>
      </c>
      <c r="H499" s="1">
        <f t="shared" ca="1" si="6"/>
        <v>0.50197358622735555</v>
      </c>
    </row>
    <row r="500" spans="1:8">
      <c r="A500" s="2">
        <f t="shared" ca="1" si="0"/>
        <v>0.39990890568438786</v>
      </c>
      <c r="B500" s="2">
        <f t="shared" ca="1" si="1"/>
        <v>8.9829591502516321E-2</v>
      </c>
      <c r="C500" s="2">
        <f t="shared" ca="1" si="2"/>
        <v>4.0923653635846886E-2</v>
      </c>
      <c r="D500" s="2">
        <f t="shared" ca="1" si="3"/>
        <v>0.8372439282323848</v>
      </c>
      <c r="E500" s="2">
        <f t="shared" ca="1" si="4"/>
        <v>0.1627560717676152</v>
      </c>
      <c r="F500" s="1">
        <v>0</v>
      </c>
      <c r="G500" s="1">
        <f t="shared" ca="1" si="5"/>
        <v>0.8372439282323848</v>
      </c>
      <c r="H500" s="1">
        <f t="shared" ca="1" si="6"/>
        <v>0.1627560717676152</v>
      </c>
    </row>
    <row r="501" spans="1:8">
      <c r="A501" s="2">
        <f t="shared" ca="1" si="0"/>
        <v>0.95055866839799141</v>
      </c>
      <c r="B501" s="2">
        <f t="shared" ca="1" si="1"/>
        <v>0.13193468311929293</v>
      </c>
      <c r="C501" s="2">
        <f t="shared" ca="1" si="2"/>
        <v>0.13041165670138605</v>
      </c>
      <c r="D501" s="2">
        <f t="shared" ca="1" si="3"/>
        <v>0.3662544384137576</v>
      </c>
      <c r="E501" s="2">
        <f t="shared" ca="1" si="4"/>
        <v>0.6337455615862424</v>
      </c>
      <c r="F501" s="1">
        <v>0</v>
      </c>
      <c r="G501" s="1">
        <f t="shared" ca="1" si="5"/>
        <v>0.3662544384137576</v>
      </c>
      <c r="H501" s="1">
        <f t="shared" ca="1" si="6"/>
        <v>0.6337455615862424</v>
      </c>
    </row>
    <row r="502" spans="1:8">
      <c r="A502" s="2">
        <f t="shared" ca="1" si="0"/>
        <v>0.97573709465605418</v>
      </c>
      <c r="B502" s="2">
        <f t="shared" ca="1" si="1"/>
        <v>0.19313655386866033</v>
      </c>
      <c r="C502" s="2">
        <f t="shared" ca="1" si="2"/>
        <v>0.19345049994368912</v>
      </c>
      <c r="D502" s="2">
        <f t="shared" ca="1" si="3"/>
        <v>3.447105292795194E-2</v>
      </c>
      <c r="E502" s="2">
        <f t="shared" ca="1" si="4"/>
        <v>0.96552894707204806</v>
      </c>
      <c r="F502" s="1">
        <v>0</v>
      </c>
      <c r="G502" s="1">
        <f t="shared" ca="1" si="5"/>
        <v>3.447105292795194E-2</v>
      </c>
      <c r="H502" s="1">
        <f t="shared" ca="1" si="6"/>
        <v>0.96552894707204806</v>
      </c>
    </row>
    <row r="503" spans="1:8">
      <c r="A503" s="2">
        <f t="shared" ca="1" si="0"/>
        <v>0.95282824890979922</v>
      </c>
      <c r="B503" s="2">
        <f t="shared" ca="1" si="1"/>
        <v>0.13345076110547366</v>
      </c>
      <c r="C503" s="2">
        <f t="shared" ca="1" si="2"/>
        <v>0.13215565501980842</v>
      </c>
      <c r="D503" s="2">
        <f t="shared" ca="1" si="3"/>
        <v>0.35707549989574527</v>
      </c>
      <c r="E503" s="2">
        <f t="shared" ca="1" si="4"/>
        <v>0.64292450010425473</v>
      </c>
      <c r="F503" s="1">
        <v>0</v>
      </c>
      <c r="G503" s="1">
        <f t="shared" ca="1" si="5"/>
        <v>0.35707549989574527</v>
      </c>
      <c r="H503" s="1">
        <f t="shared" ca="1" si="6"/>
        <v>0.64292450010425473</v>
      </c>
    </row>
    <row r="504" spans="1:8">
      <c r="A504" s="2">
        <f t="shared" ca="1" si="0"/>
        <v>0.97622328488703114</v>
      </c>
      <c r="B504" s="2">
        <f t="shared" ca="1" si="1"/>
        <v>0.18521055571940592</v>
      </c>
      <c r="C504" s="2">
        <f t="shared" ca="1" si="2"/>
        <v>0.18580685710015096</v>
      </c>
      <c r="D504" s="2">
        <f t="shared" ca="1" si="3"/>
        <v>7.4700752104468804E-2</v>
      </c>
      <c r="E504" s="2">
        <f t="shared" ca="1" si="4"/>
        <v>0.9252992478955312</v>
      </c>
      <c r="F504" s="1">
        <v>0</v>
      </c>
      <c r="G504" s="1">
        <f t="shared" ca="1" si="5"/>
        <v>7.4700752104468804E-2</v>
      </c>
      <c r="H504" s="1">
        <f t="shared" ca="1" si="6"/>
        <v>0.9252992478955312</v>
      </c>
    </row>
    <row r="505" spans="1:8">
      <c r="A505" s="2">
        <f t="shared" ca="1" si="0"/>
        <v>0.78219886914499548</v>
      </c>
      <c r="B505" s="2">
        <f t="shared" ca="1" si="1"/>
        <v>9.7714104836216314E-2</v>
      </c>
      <c r="C505" s="2">
        <f t="shared" ca="1" si="2"/>
        <v>8.1431862302403943E-2</v>
      </c>
      <c r="D505" s="2">
        <f t="shared" ca="1" si="3"/>
        <v>0.62404282998734772</v>
      </c>
      <c r="E505" s="2">
        <f t="shared" ca="1" si="4"/>
        <v>0.37595717001265228</v>
      </c>
      <c r="F505" s="1">
        <v>0</v>
      </c>
      <c r="G505" s="1">
        <f t="shared" ca="1" si="5"/>
        <v>0.62404282998734772</v>
      </c>
      <c r="H505" s="1">
        <f t="shared" ca="1" si="6"/>
        <v>0.37595717001265228</v>
      </c>
    </row>
    <row r="506" spans="1:8">
      <c r="A506" s="2">
        <f t="shared" ca="1" si="0"/>
        <v>0.20682619337567917</v>
      </c>
      <c r="B506" s="2">
        <f t="shared" ca="1" si="1"/>
        <v>9.3665435629409655E-2</v>
      </c>
      <c r="C506" s="2">
        <f t="shared" ca="1" si="2"/>
        <v>2.4372465502105513E-2</v>
      </c>
      <c r="D506" s="2">
        <f t="shared" ca="1" si="3"/>
        <v>0.92435544472576048</v>
      </c>
      <c r="E506" s="2">
        <f t="shared" ca="1" si="4"/>
        <v>7.5644555274239522E-2</v>
      </c>
      <c r="F506" s="1">
        <v>0</v>
      </c>
      <c r="G506" s="1">
        <f t="shared" ca="1" si="5"/>
        <v>0.92435544472576048</v>
      </c>
      <c r="H506" s="1">
        <f t="shared" ca="1" si="6"/>
        <v>7.5644555274239522E-2</v>
      </c>
    </row>
    <row r="507" spans="1:8">
      <c r="A507" s="2">
        <f t="shared" ca="1" si="0"/>
        <v>0.97622545057337051</v>
      </c>
      <c r="B507" s="2">
        <f t="shared" ca="1" si="1"/>
        <v>0.17827632031510232</v>
      </c>
      <c r="C507" s="2">
        <f t="shared" ca="1" si="2"/>
        <v>0.1790378811261733</v>
      </c>
      <c r="D507" s="2">
        <f t="shared" ca="1" si="3"/>
        <v>0.11032694144119326</v>
      </c>
      <c r="E507" s="2">
        <f t="shared" ca="1" si="4"/>
        <v>0.88967305855880674</v>
      </c>
      <c r="F507" s="1">
        <v>0</v>
      </c>
      <c r="G507" s="1">
        <f t="shared" ca="1" si="5"/>
        <v>0.11032694144119326</v>
      </c>
      <c r="H507" s="1">
        <f t="shared" ca="1" si="6"/>
        <v>0.88967305855880674</v>
      </c>
    </row>
    <row r="508" spans="1:8">
      <c r="A508" s="2">
        <f t="shared" ca="1" si="0"/>
        <v>0.71901380950549942</v>
      </c>
      <c r="B508" s="2">
        <f t="shared" ca="1" si="1"/>
        <v>9.4009396501716677E-2</v>
      </c>
      <c r="C508" s="2">
        <f t="shared" ca="1" si="2"/>
        <v>7.2594054308012287E-2</v>
      </c>
      <c r="D508" s="2">
        <f t="shared" ca="1" si="3"/>
        <v>0.67055760890519844</v>
      </c>
      <c r="E508" s="2">
        <f t="shared" ca="1" si="4"/>
        <v>0.32944239109480156</v>
      </c>
      <c r="F508" s="1">
        <v>0</v>
      </c>
      <c r="G508" s="1">
        <f t="shared" ca="1" si="5"/>
        <v>0.67055760890519844</v>
      </c>
      <c r="H508" s="1">
        <f t="shared" ca="1" si="6"/>
        <v>0.32944239109480156</v>
      </c>
    </row>
    <row r="509" spans="1:8">
      <c r="A509" s="2">
        <f t="shared" ca="1" si="0"/>
        <v>0.85298864690085396</v>
      </c>
      <c r="B509" s="2">
        <f t="shared" ca="1" si="1"/>
        <v>0.10478026020665911</v>
      </c>
      <c r="C509" s="2">
        <f t="shared" ca="1" si="2"/>
        <v>9.4376372375597553E-2</v>
      </c>
      <c r="D509" s="2">
        <f t="shared" ca="1" si="3"/>
        <v>0.55591382960211821</v>
      </c>
      <c r="E509" s="2">
        <f t="shared" ca="1" si="4"/>
        <v>0.44408617039788179</v>
      </c>
      <c r="F509" s="1">
        <v>0</v>
      </c>
      <c r="G509" s="1">
        <f t="shared" ca="1" si="5"/>
        <v>0.55591382960211821</v>
      </c>
      <c r="H509" s="1">
        <f t="shared" ca="1" si="6"/>
        <v>0.44408617039788179</v>
      </c>
    </row>
    <row r="510" spans="1:8">
      <c r="A510" s="2">
        <f t="shared" ca="1" si="0"/>
        <v>0.96889503696690771</v>
      </c>
      <c r="B510" s="2">
        <f t="shared" ca="1" si="1"/>
        <v>0.1501807297527839</v>
      </c>
      <c r="C510" s="2">
        <f t="shared" ca="1" si="2"/>
        <v>0.15050936370554074</v>
      </c>
      <c r="D510" s="2">
        <f t="shared" ca="1" si="3"/>
        <v>0.26047703312873294</v>
      </c>
      <c r="E510" s="2">
        <f t="shared" ca="1" si="4"/>
        <v>0.73952296687126706</v>
      </c>
      <c r="F510" s="1">
        <v>0</v>
      </c>
      <c r="G510" s="1">
        <f t="shared" ca="1" si="5"/>
        <v>0.26047703312873294</v>
      </c>
      <c r="H510" s="1">
        <f t="shared" ca="1" si="6"/>
        <v>0.73952296687126706</v>
      </c>
    </row>
    <row r="511" spans="1:8">
      <c r="A511" s="2">
        <f t="shared" ca="1" si="0"/>
        <v>0.6394601124207171</v>
      </c>
      <c r="B511" s="2">
        <f t="shared" ca="1" si="1"/>
        <v>9.1248813436707751E-2</v>
      </c>
      <c r="C511" s="2">
        <f t="shared" ca="1" si="2"/>
        <v>6.3349976498494179E-2</v>
      </c>
      <c r="D511" s="2">
        <f t="shared" ca="1" si="3"/>
        <v>0.71921065000792539</v>
      </c>
      <c r="E511" s="2">
        <f t="shared" ca="1" si="4"/>
        <v>0.28078934999207461</v>
      </c>
      <c r="F511" s="1">
        <v>0</v>
      </c>
      <c r="G511" s="1">
        <f t="shared" ca="1" si="5"/>
        <v>0.71921065000792539</v>
      </c>
      <c r="H511" s="1">
        <f t="shared" ca="1" si="6"/>
        <v>0.28078934999207461</v>
      </c>
    </row>
    <row r="512" spans="1:8">
      <c r="A512" s="2">
        <f t="shared" ca="1" si="0"/>
        <v>0.97598713563309059</v>
      </c>
      <c r="B512" s="2">
        <f t="shared" ca="1" si="1"/>
        <v>0.17413266228600968</v>
      </c>
      <c r="C512" s="2">
        <f t="shared" ca="1" si="2"/>
        <v>0.17495123828468689</v>
      </c>
      <c r="D512" s="2">
        <f t="shared" ca="1" si="3"/>
        <v>0.13183558797533224</v>
      </c>
      <c r="E512" s="2">
        <f t="shared" ca="1" si="4"/>
        <v>0.86816441202466776</v>
      </c>
      <c r="F512" s="1">
        <v>0</v>
      </c>
      <c r="G512" s="1">
        <f t="shared" ca="1" si="5"/>
        <v>0.13183558797533224</v>
      </c>
      <c r="H512" s="1">
        <f t="shared" ca="1" si="6"/>
        <v>0.86816441202466776</v>
      </c>
    </row>
    <row r="513" spans="1:8">
      <c r="A513" s="2">
        <f t="shared" ca="1" si="0"/>
        <v>0.97239251044490227</v>
      </c>
      <c r="B513" s="2">
        <f t="shared" ca="1" si="1"/>
        <v>0.15744788490357756</v>
      </c>
      <c r="C513" s="2">
        <f t="shared" ca="1" si="2"/>
        <v>0.15810114406562981</v>
      </c>
      <c r="D513" s="2">
        <f t="shared" ca="1" si="3"/>
        <v>0.22052029439142207</v>
      </c>
      <c r="E513" s="2">
        <f t="shared" ca="1" si="4"/>
        <v>0.77947970560857793</v>
      </c>
      <c r="F513" s="1">
        <v>0</v>
      </c>
      <c r="G513" s="1">
        <f t="shared" ca="1" si="5"/>
        <v>0.22052029439142207</v>
      </c>
      <c r="H513" s="1">
        <f t="shared" ca="1" si="6"/>
        <v>0.77947970560857793</v>
      </c>
    </row>
    <row r="514" spans="1:8">
      <c r="A514" s="2">
        <f t="shared" ca="1" si="0"/>
        <v>0.36839907058380084</v>
      </c>
      <c r="B514" s="2">
        <f t="shared" ca="1" si="1"/>
        <v>9.0179917255144224E-2</v>
      </c>
      <c r="C514" s="2">
        <f t="shared" ca="1" si="2"/>
        <v>3.8222197702119196E-2</v>
      </c>
      <c r="D514" s="2">
        <f t="shared" ca="1" si="3"/>
        <v>0.8514621173572674</v>
      </c>
      <c r="E514" s="2">
        <f t="shared" ca="1" si="4"/>
        <v>0.1485378826427326</v>
      </c>
      <c r="F514" s="1">
        <v>0</v>
      </c>
      <c r="G514" s="1">
        <f t="shared" ca="1" si="5"/>
        <v>0.8514621173572674</v>
      </c>
      <c r="H514" s="1">
        <f t="shared" ca="1" si="6"/>
        <v>0.1485378826427326</v>
      </c>
    </row>
    <row r="515" spans="1:8">
      <c r="A515" s="2">
        <f t="shared" ca="1" si="0"/>
        <v>0.88207897767642951</v>
      </c>
      <c r="B515" s="2">
        <f t="shared" ca="1" si="1"/>
        <v>0.10935336371750645</v>
      </c>
      <c r="C515" s="2">
        <f t="shared" ca="1" si="2"/>
        <v>0.10145830327341686</v>
      </c>
      <c r="D515" s="2">
        <f t="shared" ca="1" si="3"/>
        <v>0.51864050908727977</v>
      </c>
      <c r="E515" s="2">
        <f t="shared" ca="1" si="4"/>
        <v>0.48135949091272023</v>
      </c>
      <c r="F515" s="1">
        <v>0</v>
      </c>
      <c r="G515" s="1">
        <f t="shared" ca="1" si="5"/>
        <v>0.51864050908727977</v>
      </c>
      <c r="H515" s="1">
        <f t="shared" ca="1" si="6"/>
        <v>0.48135949091272023</v>
      </c>
    </row>
    <row r="516" spans="1:8">
      <c r="A516" s="2">
        <f t="shared" ca="1" si="0"/>
        <v>0.97486978683088144</v>
      </c>
      <c r="B516" s="2">
        <f t="shared" ca="1" si="1"/>
        <v>0.16609414615373633</v>
      </c>
      <c r="C516" s="2">
        <f t="shared" ca="1" si="2"/>
        <v>0.1669201648547502</v>
      </c>
      <c r="D516" s="2">
        <f t="shared" ca="1" si="3"/>
        <v>0.17410439550131485</v>
      </c>
      <c r="E516" s="2">
        <f t="shared" ca="1" si="4"/>
        <v>0.82589560449868515</v>
      </c>
      <c r="F516" s="1">
        <v>0</v>
      </c>
      <c r="G516" s="1">
        <f t="shared" ca="1" si="5"/>
        <v>0.17410439550131485</v>
      </c>
      <c r="H516" s="1">
        <f t="shared" ca="1" si="6"/>
        <v>0.82589560449868515</v>
      </c>
    </row>
    <row r="517" spans="1:8">
      <c r="A517" s="2">
        <f t="shared" ca="1" si="0"/>
        <v>0.79386411601645668</v>
      </c>
      <c r="B517" s="2">
        <f t="shared" ca="1" si="1"/>
        <v>9.8612395562615293E-2</v>
      </c>
      <c r="C517" s="2">
        <f t="shared" ca="1" si="2"/>
        <v>8.3284842231580752E-2</v>
      </c>
      <c r="D517" s="2">
        <f t="shared" ca="1" si="3"/>
        <v>0.61429030404431184</v>
      </c>
      <c r="E517" s="2">
        <f t="shared" ca="1" si="4"/>
        <v>0.38570969595568816</v>
      </c>
      <c r="F517" s="1">
        <v>0</v>
      </c>
      <c r="G517" s="1">
        <f t="shared" ca="1" si="5"/>
        <v>0.61429030404431184</v>
      </c>
      <c r="H517" s="1">
        <f t="shared" ca="1" si="6"/>
        <v>0.38570969595568816</v>
      </c>
    </row>
    <row r="518" spans="1:8">
      <c r="A518" s="2">
        <f t="shared" ca="1" si="0"/>
        <v>0.18180874648686537</v>
      </c>
      <c r="B518" s="2">
        <f t="shared" ca="1" si="1"/>
        <v>9.4465602403883242E-2</v>
      </c>
      <c r="C518" s="2">
        <f t="shared" ca="1" si="2"/>
        <v>2.2174672759176631E-2</v>
      </c>
      <c r="D518" s="2">
        <f t="shared" ca="1" si="3"/>
        <v>0.93592277495170195</v>
      </c>
      <c r="E518" s="2">
        <f t="shared" ca="1" si="4"/>
        <v>6.4077225048298048E-2</v>
      </c>
      <c r="F518" s="1">
        <v>0</v>
      </c>
      <c r="G518" s="1">
        <f t="shared" ca="1" si="5"/>
        <v>0.93592277495170195</v>
      </c>
      <c r="H518" s="1">
        <f t="shared" ca="1" si="6"/>
        <v>6.4077225048298048E-2</v>
      </c>
    </row>
    <row r="519" spans="1:8">
      <c r="A519" s="2">
        <f t="shared" ca="1" si="0"/>
        <v>0.89332813245377229</v>
      </c>
      <c r="B519" s="2">
        <f t="shared" ca="1" si="1"/>
        <v>0.11156956573829768</v>
      </c>
      <c r="C519" s="2">
        <f t="shared" ca="1" si="2"/>
        <v>0.10466823179967186</v>
      </c>
      <c r="D519" s="2">
        <f t="shared" ca="1" si="3"/>
        <v>0.50174614842277976</v>
      </c>
      <c r="E519" s="2">
        <f t="shared" ca="1" si="4"/>
        <v>0.49825385157722024</v>
      </c>
      <c r="F519" s="1">
        <v>0</v>
      </c>
      <c r="G519" s="1">
        <f t="shared" ca="1" si="5"/>
        <v>0.50174614842277976</v>
      </c>
      <c r="H519" s="1">
        <f t="shared" ca="1" si="6"/>
        <v>0.49825385157722024</v>
      </c>
    </row>
    <row r="520" spans="1:8">
      <c r="A520" s="2">
        <f t="shared" ca="1" si="0"/>
        <v>0.54129151882771753</v>
      </c>
      <c r="B520" s="2">
        <f t="shared" ca="1" si="1"/>
        <v>8.9680310741336908E-2</v>
      </c>
      <c r="C520" s="2">
        <f t="shared" ca="1" si="2"/>
        <v>5.3543191610119924E-2</v>
      </c>
      <c r="D520" s="2">
        <f t="shared" ca="1" si="3"/>
        <v>0.7708253073151583</v>
      </c>
      <c r="E520" s="2">
        <f t="shared" ca="1" si="4"/>
        <v>0.2291746926848417</v>
      </c>
      <c r="F520" s="1">
        <v>0</v>
      </c>
      <c r="G520" s="1">
        <f t="shared" ca="1" si="5"/>
        <v>0.7708253073151583</v>
      </c>
      <c r="H520" s="1">
        <f t="shared" ca="1" si="6"/>
        <v>0.2291746926848417</v>
      </c>
    </row>
    <row r="521" spans="1:8">
      <c r="A521" s="2">
        <f t="shared" ca="1" si="0"/>
        <v>0.78083592296889559</v>
      </c>
      <c r="B521" s="2">
        <f t="shared" ca="1" si="1"/>
        <v>9.7614346435401178E-2</v>
      </c>
      <c r="C521" s="2">
        <f t="shared" ca="1" si="2"/>
        <v>8.122078829389201E-2</v>
      </c>
      <c r="D521" s="2">
        <f t="shared" ca="1" si="3"/>
        <v>0.62515374582162098</v>
      </c>
      <c r="E521" s="2">
        <f t="shared" ca="1" si="4"/>
        <v>0.37484625417837902</v>
      </c>
      <c r="F521" s="1">
        <v>0</v>
      </c>
      <c r="G521" s="1">
        <f t="shared" ca="1" si="5"/>
        <v>0.62515374582162098</v>
      </c>
      <c r="H521" s="1">
        <f t="shared" ca="1" si="6"/>
        <v>0.37484625417837902</v>
      </c>
    </row>
    <row r="522" spans="1:8">
      <c r="A522" s="2">
        <f t="shared" ca="1" si="0"/>
        <v>0.79667704321646715</v>
      </c>
      <c r="B522" s="2">
        <f t="shared" ca="1" si="1"/>
        <v>9.8841567898954638E-2</v>
      </c>
      <c r="C522" s="2">
        <f t="shared" ca="1" si="2"/>
        <v>8.3744808060618861E-2</v>
      </c>
      <c r="D522" s="2">
        <f t="shared" ca="1" si="3"/>
        <v>0.61186943125990079</v>
      </c>
      <c r="E522" s="2">
        <f t="shared" ca="1" si="4"/>
        <v>0.38813056874009921</v>
      </c>
      <c r="F522" s="1">
        <v>0</v>
      </c>
      <c r="G522" s="1">
        <f t="shared" ca="1" si="5"/>
        <v>0.61186943125990079</v>
      </c>
      <c r="H522" s="1">
        <f t="shared" ca="1" si="6"/>
        <v>0.38813056874009921</v>
      </c>
    </row>
    <row r="523" spans="1:8">
      <c r="A523" s="2">
        <f t="shared" ca="1" si="0"/>
        <v>0.47184667321387774</v>
      </c>
      <c r="B523" s="2">
        <f t="shared" ca="1" si="1"/>
        <v>8.9447605662386478E-2</v>
      </c>
      <c r="C523" s="2">
        <f t="shared" ca="1" si="2"/>
        <v>4.7205555158743868E-2</v>
      </c>
      <c r="D523" s="2">
        <f t="shared" ca="1" si="3"/>
        <v>0.80418128863819016</v>
      </c>
      <c r="E523" s="2">
        <f t="shared" ca="1" si="4"/>
        <v>0.19581871136180984</v>
      </c>
      <c r="F523" s="1">
        <v>0</v>
      </c>
      <c r="G523" s="1">
        <f t="shared" ca="1" si="5"/>
        <v>0.80418128863819016</v>
      </c>
      <c r="H523" s="1">
        <f t="shared" ca="1" si="6"/>
        <v>0.19581871136180984</v>
      </c>
    </row>
    <row r="524" spans="1:8">
      <c r="A524" s="2">
        <f t="shared" ca="1" si="0"/>
        <v>0.81804733835034327</v>
      </c>
      <c r="B524" s="2">
        <f t="shared" ca="1" si="1"/>
        <v>0.10076350549214359</v>
      </c>
      <c r="C524" s="2">
        <f t="shared" ca="1" si="2"/>
        <v>8.7429317470698265E-2</v>
      </c>
      <c r="D524" s="2">
        <f t="shared" ca="1" si="3"/>
        <v>0.59247727647000914</v>
      </c>
      <c r="E524" s="2">
        <f t="shared" ca="1" si="4"/>
        <v>0.40752272352999086</v>
      </c>
      <c r="F524" s="1">
        <v>0</v>
      </c>
      <c r="G524" s="1">
        <f t="shared" ca="1" si="5"/>
        <v>0.59247727647000914</v>
      </c>
      <c r="H524" s="1">
        <f t="shared" ca="1" si="6"/>
        <v>0.40752272352999086</v>
      </c>
    </row>
    <row r="525" spans="1:8">
      <c r="A525" s="2">
        <f t="shared" ca="1" si="0"/>
        <v>0.91216141486413027</v>
      </c>
      <c r="B525" s="2">
        <f t="shared" ca="1" si="1"/>
        <v>0.11611256238079321</v>
      </c>
      <c r="C525" s="2">
        <f t="shared" ca="1" si="2"/>
        <v>0.11091339918476392</v>
      </c>
      <c r="D525" s="2">
        <f t="shared" ca="1" si="3"/>
        <v>0.46887684639597937</v>
      </c>
      <c r="E525" s="2">
        <f t="shared" ca="1" si="4"/>
        <v>0.53112315360402063</v>
      </c>
      <c r="F525" s="1">
        <v>0</v>
      </c>
      <c r="G525" s="1">
        <f t="shared" ca="1" si="5"/>
        <v>0.46887684639597937</v>
      </c>
      <c r="H525" s="1">
        <f t="shared" ca="1" si="6"/>
        <v>0.53112315360402063</v>
      </c>
    </row>
    <row r="526" spans="1:8">
      <c r="A526" s="2">
        <f t="shared" ca="1" si="0"/>
        <v>0.88139774306590801</v>
      </c>
      <c r="B526" s="2">
        <f t="shared" ca="1" si="1"/>
        <v>0.10922862717634849</v>
      </c>
      <c r="C526" s="2">
        <f t="shared" ca="1" si="2"/>
        <v>0.10127386547142106</v>
      </c>
      <c r="D526" s="2">
        <f t="shared" ca="1" si="3"/>
        <v>0.51961123436094181</v>
      </c>
      <c r="E526" s="2">
        <f t="shared" ca="1" si="4"/>
        <v>0.48038876563905819</v>
      </c>
      <c r="F526" s="1">
        <v>0</v>
      </c>
      <c r="G526" s="1">
        <f t="shared" ca="1" si="5"/>
        <v>0.51961123436094181</v>
      </c>
      <c r="H526" s="1">
        <f t="shared" ca="1" si="6"/>
        <v>0.48038876563905819</v>
      </c>
    </row>
    <row r="527" spans="1:8">
      <c r="A527" s="2">
        <f t="shared" ca="1" si="0"/>
        <v>0.96190162478732577</v>
      </c>
      <c r="B527" s="2">
        <f t="shared" ca="1" si="1"/>
        <v>0.14107437006300078</v>
      </c>
      <c r="C527" s="2">
        <f t="shared" ca="1" si="2"/>
        <v>0.14069966577944892</v>
      </c>
      <c r="D527" s="2">
        <f t="shared" ca="1" si="3"/>
        <v>0.31210702221342668</v>
      </c>
      <c r="E527" s="2">
        <f t="shared" ca="1" si="4"/>
        <v>0.68789297778657332</v>
      </c>
      <c r="F527" s="1">
        <v>0</v>
      </c>
      <c r="G527" s="1">
        <f t="shared" ca="1" si="5"/>
        <v>0.31210702221342668</v>
      </c>
      <c r="H527" s="1">
        <f t="shared" ca="1" si="6"/>
        <v>0.68789297778657332</v>
      </c>
    </row>
    <row r="528" spans="1:8">
      <c r="A528" s="2">
        <f t="shared" ca="1" si="0"/>
        <v>0.35745694037778636</v>
      </c>
      <c r="B528" s="2">
        <f t="shared" ca="1" si="1"/>
        <v>9.0326801156110095E-2</v>
      </c>
      <c r="C528" s="2">
        <f t="shared" ca="1" si="2"/>
        <v>3.7287941975375806E-2</v>
      </c>
      <c r="D528" s="2">
        <f t="shared" ca="1" si="3"/>
        <v>0.85637925276117999</v>
      </c>
      <c r="E528" s="2">
        <f t="shared" ca="1" si="4"/>
        <v>0.14362074723882001</v>
      </c>
      <c r="F528" s="1">
        <v>0</v>
      </c>
      <c r="G528" s="1">
        <f t="shared" ca="1" si="5"/>
        <v>0.85637925276117999</v>
      </c>
      <c r="H528" s="1">
        <f t="shared" ca="1" si="6"/>
        <v>0.14362074723882001</v>
      </c>
    </row>
    <row r="529" spans="1:8">
      <c r="A529" s="2">
        <f t="shared" ca="1" si="0"/>
        <v>8.7582756441792517E-2</v>
      </c>
      <c r="B529" s="2">
        <f t="shared" ca="1" si="1"/>
        <v>9.8179011121198673E-2</v>
      </c>
      <c r="C529" s="2">
        <f t="shared" ca="1" si="2"/>
        <v>1.3598788418723981E-2</v>
      </c>
      <c r="D529" s="2">
        <f t="shared" ca="1" si="3"/>
        <v>0.98105900832250537</v>
      </c>
      <c r="E529" s="2">
        <f t="shared" ca="1" si="4"/>
        <v>1.8940991677494634E-2</v>
      </c>
      <c r="F529" s="1">
        <v>0</v>
      </c>
      <c r="G529" s="1">
        <f t="shared" ca="1" si="5"/>
        <v>0.98105900832250537</v>
      </c>
      <c r="H529" s="1">
        <f t="shared" ca="1" si="6"/>
        <v>1.8940991677494634E-2</v>
      </c>
    </row>
    <row r="530" spans="1:8">
      <c r="A530" s="2">
        <f t="shared" ca="1" si="0"/>
        <v>0.97607466382884944</v>
      </c>
      <c r="B530" s="2">
        <f t="shared" ca="1" si="1"/>
        <v>0.17529793767939533</v>
      </c>
      <c r="C530" s="2">
        <f t="shared" ca="1" si="2"/>
        <v>0.17610387559030641</v>
      </c>
      <c r="D530" s="2">
        <f t="shared" ca="1" si="3"/>
        <v>0.12576907584049268</v>
      </c>
      <c r="E530" s="2">
        <f t="shared" ca="1" si="4"/>
        <v>0.87423092415950732</v>
      </c>
      <c r="F530" s="1">
        <v>0</v>
      </c>
      <c r="G530" s="1">
        <f t="shared" ca="1" si="5"/>
        <v>0.12576907584049268</v>
      </c>
      <c r="H530" s="1">
        <f t="shared" ca="1" si="6"/>
        <v>0.87423092415950732</v>
      </c>
    </row>
    <row r="531" spans="1:8">
      <c r="A531" s="2">
        <f t="shared" ca="1" si="0"/>
        <v>0.97427832817918925</v>
      </c>
      <c r="B531" s="2">
        <f t="shared" ca="1" si="1"/>
        <v>0.16347132725467761</v>
      </c>
      <c r="C531" s="2">
        <f t="shared" ca="1" si="2"/>
        <v>0.16426657142292045</v>
      </c>
      <c r="D531" s="2">
        <f t="shared" ca="1" si="3"/>
        <v>0.18807067672147137</v>
      </c>
      <c r="E531" s="2">
        <f t="shared" ca="1" si="4"/>
        <v>0.81192932327852863</v>
      </c>
      <c r="F531" s="1">
        <v>0</v>
      </c>
      <c r="G531" s="1">
        <f t="shared" ca="1" si="5"/>
        <v>0.18807067672147137</v>
      </c>
      <c r="H531" s="1">
        <f t="shared" ca="1" si="6"/>
        <v>0.81192932327852863</v>
      </c>
    </row>
    <row r="532" spans="1:8">
      <c r="A532" s="2">
        <f t="shared" ca="1" si="0"/>
        <v>0.6187821894643849</v>
      </c>
      <c r="B532" s="2">
        <f t="shared" ca="1" si="1"/>
        <v>9.0775827816070867E-2</v>
      </c>
      <c r="C532" s="2">
        <f t="shared" ca="1" si="2"/>
        <v>6.1170465486470343E-2</v>
      </c>
      <c r="D532" s="2">
        <f t="shared" ca="1" si="3"/>
        <v>0.73068176059752454</v>
      </c>
      <c r="E532" s="2">
        <f t="shared" ca="1" si="4"/>
        <v>0.26931823940247546</v>
      </c>
      <c r="F532" s="1">
        <v>0</v>
      </c>
      <c r="G532" s="1">
        <f t="shared" ca="1" si="5"/>
        <v>0.73068176059752454</v>
      </c>
      <c r="H532" s="1">
        <f t="shared" ca="1" si="6"/>
        <v>0.26931823940247546</v>
      </c>
    </row>
    <row r="533" spans="1:8">
      <c r="A533" s="2">
        <f t="shared" ca="1" si="0"/>
        <v>0.85932697369311262</v>
      </c>
      <c r="B533" s="2">
        <f t="shared" ca="1" si="1"/>
        <v>0.10566100196509855</v>
      </c>
      <c r="C533" s="2">
        <f t="shared" ca="1" si="2"/>
        <v>9.5797349056050168E-2</v>
      </c>
      <c r="D533" s="2">
        <f t="shared" ca="1" si="3"/>
        <v>0.548435004968157</v>
      </c>
      <c r="E533" s="2">
        <f t="shared" ca="1" si="4"/>
        <v>0.451564995031843</v>
      </c>
      <c r="F533" s="1">
        <v>0</v>
      </c>
      <c r="G533" s="1">
        <f t="shared" ca="1" si="5"/>
        <v>0.548435004968157</v>
      </c>
      <c r="H533" s="1">
        <f t="shared" ca="1" si="6"/>
        <v>0.451564995031843</v>
      </c>
    </row>
    <row r="534" spans="1:8">
      <c r="A534" s="2">
        <f t="shared" ca="1" si="0"/>
        <v>0.76621930320910203</v>
      </c>
      <c r="B534" s="2">
        <f t="shared" ca="1" si="1"/>
        <v>9.660711844504774E-2</v>
      </c>
      <c r="C534" s="2">
        <f t="shared" ca="1" si="2"/>
        <v>7.902223898000367E-2</v>
      </c>
      <c r="D534" s="2">
        <f t="shared" ca="1" si="3"/>
        <v>0.63672505799998069</v>
      </c>
      <c r="E534" s="2">
        <f t="shared" ca="1" si="4"/>
        <v>0.36327494200001931</v>
      </c>
      <c r="F534" s="1">
        <v>0</v>
      </c>
      <c r="G534" s="1">
        <f t="shared" ca="1" si="5"/>
        <v>0.63672505799998069</v>
      </c>
      <c r="H534" s="1">
        <f t="shared" ca="1" si="6"/>
        <v>0.36327494200001931</v>
      </c>
    </row>
    <row r="535" spans="1:8">
      <c r="A535" s="2">
        <f t="shared" ca="1" si="0"/>
        <v>0.1257869757834976</v>
      </c>
      <c r="B535" s="2">
        <f t="shared" ca="1" si="1"/>
        <v>9.6533922771990452E-2</v>
      </c>
      <c r="C535" s="2">
        <f t="shared" ca="1" si="2"/>
        <v>1.7142710206006391E-2</v>
      </c>
      <c r="D535" s="2">
        <f t="shared" ca="1" si="3"/>
        <v>0.96240678838944005</v>
      </c>
      <c r="E535" s="2">
        <f t="shared" ca="1" si="4"/>
        <v>3.7593211610559951E-2</v>
      </c>
      <c r="F535" s="1">
        <v>0</v>
      </c>
      <c r="G535" s="1">
        <f t="shared" ca="1" si="5"/>
        <v>0.96240678838944005</v>
      </c>
      <c r="H535" s="1">
        <f t="shared" ca="1" si="6"/>
        <v>3.7593211610559951E-2</v>
      </c>
    </row>
    <row r="536" spans="1:8">
      <c r="A536" s="2">
        <f t="shared" ca="1" si="0"/>
        <v>0.49005843202942201</v>
      </c>
      <c r="B536" s="2">
        <f t="shared" ca="1" si="1"/>
        <v>8.944811473501979E-2</v>
      </c>
      <c r="C536" s="2">
        <f t="shared" ca="1" si="2"/>
        <v>4.8834802855031632E-2</v>
      </c>
      <c r="D536" s="2">
        <f t="shared" ca="1" si="3"/>
        <v>0.79560630076299144</v>
      </c>
      <c r="E536" s="2">
        <f t="shared" ca="1" si="4"/>
        <v>0.20439369923700856</v>
      </c>
      <c r="F536" s="1">
        <v>0</v>
      </c>
      <c r="G536" s="1">
        <f t="shared" ca="1" si="5"/>
        <v>0.79560630076299144</v>
      </c>
      <c r="H536" s="1">
        <f t="shared" ca="1" si="6"/>
        <v>0.20439369923700856</v>
      </c>
    </row>
    <row r="537" spans="1:8">
      <c r="A537" s="2">
        <f t="shared" ca="1" si="0"/>
        <v>0.33911256551378721</v>
      </c>
      <c r="B537" s="2">
        <f t="shared" ca="1" si="1"/>
        <v>9.0601969873987512E-2</v>
      </c>
      <c r="C537" s="2">
        <f t="shared" ca="1" si="2"/>
        <v>3.5724266444570767E-2</v>
      </c>
      <c r="D537" s="2">
        <f t="shared" ca="1" si="3"/>
        <v>0.86460912397594336</v>
      </c>
      <c r="E537" s="2">
        <f t="shared" ca="1" si="4"/>
        <v>0.13539087602405664</v>
      </c>
      <c r="F537" s="1">
        <v>0</v>
      </c>
      <c r="G537" s="1">
        <f t="shared" ca="1" si="5"/>
        <v>0.86460912397594336</v>
      </c>
      <c r="H537" s="1">
        <f t="shared" ca="1" si="6"/>
        <v>0.13539087602405664</v>
      </c>
    </row>
    <row r="538" spans="1:8">
      <c r="A538" s="2">
        <f t="shared" ca="1" si="0"/>
        <v>0.89469130323609869</v>
      </c>
      <c r="B538" s="2">
        <f t="shared" ca="1" si="1"/>
        <v>0.11186009231588701</v>
      </c>
      <c r="C538" s="2">
        <f t="shared" ca="1" si="2"/>
        <v>0.10508025177421126</v>
      </c>
      <c r="D538" s="2">
        <f t="shared" ca="1" si="3"/>
        <v>0.49957762224099334</v>
      </c>
      <c r="E538" s="2">
        <f t="shared" ca="1" si="4"/>
        <v>0.50042237775900666</v>
      </c>
      <c r="F538" s="1">
        <v>0</v>
      </c>
      <c r="G538" s="1">
        <f t="shared" ca="1" si="5"/>
        <v>0.49957762224099334</v>
      </c>
      <c r="H538" s="1">
        <f t="shared" ca="1" si="6"/>
        <v>0.50042237775900666</v>
      </c>
    </row>
    <row r="539" spans="1:8">
      <c r="A539" s="2">
        <f t="shared" ca="1" si="0"/>
        <v>0.97610949755794985</v>
      </c>
      <c r="B539" s="2">
        <f t="shared" ca="1" si="1"/>
        <v>0.1878950558574034</v>
      </c>
      <c r="C539" s="2">
        <f t="shared" ca="1" si="2"/>
        <v>0.18840614856659296</v>
      </c>
      <c r="D539" s="2">
        <f t="shared" ca="1" si="3"/>
        <v>6.1020270702142332E-2</v>
      </c>
      <c r="E539" s="2">
        <f t="shared" ca="1" si="4"/>
        <v>0.93897972929785767</v>
      </c>
      <c r="F539" s="1">
        <v>0</v>
      </c>
      <c r="G539" s="1">
        <f t="shared" ca="1" si="5"/>
        <v>6.1020270702142332E-2</v>
      </c>
      <c r="H539" s="1">
        <f t="shared" ca="1" si="6"/>
        <v>0.93897972929785767</v>
      </c>
    </row>
    <row r="540" spans="1:8">
      <c r="A540" s="2">
        <f t="shared" ca="1" si="0"/>
        <v>0.97521666623379999</v>
      </c>
      <c r="B540" s="2">
        <f t="shared" ca="1" si="1"/>
        <v>0.19820482096416414</v>
      </c>
      <c r="C540" s="2">
        <f t="shared" ca="1" si="2"/>
        <v>0.19829264473213934</v>
      </c>
      <c r="D540" s="2">
        <f t="shared" ca="1" si="3"/>
        <v>8.986080357161419E-3</v>
      </c>
      <c r="E540" s="2">
        <f t="shared" ca="1" si="4"/>
        <v>0.99101391964283858</v>
      </c>
      <c r="F540" s="1">
        <v>0</v>
      </c>
      <c r="G540" s="1">
        <f t="shared" ca="1" si="5"/>
        <v>8.986080357161419E-3</v>
      </c>
      <c r="H540" s="1">
        <f t="shared" ca="1" si="6"/>
        <v>0.99101391964283858</v>
      </c>
    </row>
    <row r="541" spans="1:8">
      <c r="A541" s="2">
        <f t="shared" ca="1" si="0"/>
        <v>5.2061347265112419E-2</v>
      </c>
      <c r="B541" s="2">
        <f t="shared" ca="1" si="1"/>
        <v>9.9894618838734003E-2</v>
      </c>
      <c r="C541" s="2">
        <f t="shared" ca="1" si="2"/>
        <v>1.0200648441279372E-2</v>
      </c>
      <c r="D541" s="2">
        <f t="shared" ca="1" si="3"/>
        <v>0.99894395557221383</v>
      </c>
      <c r="E541" s="2">
        <f t="shared" ca="1" si="4"/>
        <v>1.0560444277861736E-3</v>
      </c>
      <c r="F541" s="1">
        <v>0</v>
      </c>
      <c r="G541" s="1">
        <f t="shared" ca="1" si="5"/>
        <v>0.99894395557221383</v>
      </c>
      <c r="H541" s="1">
        <f t="shared" ca="1" si="6"/>
        <v>1.0560444277861736E-3</v>
      </c>
    </row>
    <row r="542" spans="1:8">
      <c r="A542" s="2">
        <f t="shared" ca="1" si="0"/>
        <v>0.89520847734473463</v>
      </c>
      <c r="B542" s="2">
        <f t="shared" ca="1" si="1"/>
        <v>0.11197167791613157</v>
      </c>
      <c r="C542" s="2">
        <f t="shared" ca="1" si="2"/>
        <v>0.10523799529303519</v>
      </c>
      <c r="D542" s="2">
        <f t="shared" ca="1" si="3"/>
        <v>0.49874739319455164</v>
      </c>
      <c r="E542" s="2">
        <f t="shared" ca="1" si="4"/>
        <v>0.50125260680544836</v>
      </c>
      <c r="F542" s="1">
        <v>0</v>
      </c>
      <c r="G542" s="1">
        <f t="shared" ca="1" si="5"/>
        <v>0.49874739319455164</v>
      </c>
      <c r="H542" s="1">
        <f t="shared" ca="1" si="6"/>
        <v>0.50125260680544836</v>
      </c>
    </row>
    <row r="543" spans="1:8">
      <c r="A543" s="2">
        <f t="shared" ca="1" si="0"/>
        <v>0.9762797608341296</v>
      </c>
      <c r="B543" s="2">
        <f t="shared" ca="1" si="1"/>
        <v>0.18108262665891542</v>
      </c>
      <c r="C543" s="2">
        <f t="shared" ca="1" si="2"/>
        <v>0.18178730344578192</v>
      </c>
      <c r="D543" s="2">
        <f t="shared" ca="1" si="3"/>
        <v>9.5856297653779454E-2</v>
      </c>
      <c r="E543" s="2">
        <f t="shared" ca="1" si="4"/>
        <v>0.90414370234622055</v>
      </c>
      <c r="F543" s="1">
        <v>0</v>
      </c>
      <c r="G543" s="1">
        <f t="shared" ca="1" si="5"/>
        <v>9.5856297653779454E-2</v>
      </c>
      <c r="H543" s="1">
        <f t="shared" ca="1" si="6"/>
        <v>0.90414370234622055</v>
      </c>
    </row>
    <row r="544" spans="1:8">
      <c r="A544" s="2">
        <f t="shared" ca="1" si="0"/>
        <v>0.88607282138331478</v>
      </c>
      <c r="B544" s="2">
        <f t="shared" ca="1" si="1"/>
        <v>0.11010534988954887</v>
      </c>
      <c r="C544" s="2">
        <f t="shared" ca="1" si="2"/>
        <v>0.10256135802602961</v>
      </c>
      <c r="D544" s="2">
        <f t="shared" ca="1" si="3"/>
        <v>0.51283495775773891</v>
      </c>
      <c r="E544" s="2">
        <f t="shared" ca="1" si="4"/>
        <v>0.48716504224226109</v>
      </c>
      <c r="F544" s="1">
        <v>0</v>
      </c>
      <c r="G544" s="1">
        <f t="shared" ca="1" si="5"/>
        <v>0.51283495775773891</v>
      </c>
      <c r="H544" s="1">
        <f t="shared" ca="1" si="6"/>
        <v>0.48716504224226109</v>
      </c>
    </row>
    <row r="545" spans="1:8">
      <c r="A545" s="2">
        <f t="shared" ca="1" si="0"/>
        <v>0.84205865664589907</v>
      </c>
      <c r="B545" s="2">
        <f t="shared" ca="1" si="1"/>
        <v>0.1033834676802399</v>
      </c>
      <c r="C545" s="2">
        <f t="shared" ca="1" si="2"/>
        <v>9.2054943914217535E-2</v>
      </c>
      <c r="D545" s="2">
        <f t="shared" ca="1" si="3"/>
        <v>0.56813187413569721</v>
      </c>
      <c r="E545" s="2">
        <f t="shared" ca="1" si="4"/>
        <v>0.43186812586430279</v>
      </c>
      <c r="F545" s="1">
        <v>0</v>
      </c>
      <c r="G545" s="1">
        <f t="shared" ca="1" si="5"/>
        <v>0.56813187413569721</v>
      </c>
      <c r="H545" s="1">
        <f t="shared" ca="1" si="6"/>
        <v>0.43186812586430279</v>
      </c>
    </row>
    <row r="546" spans="1:8">
      <c r="A546" s="2">
        <f t="shared" ca="1" si="0"/>
        <v>0.9036456207657757</v>
      </c>
      <c r="B546" s="2">
        <f t="shared" ca="1" si="1"/>
        <v>0.11390669972497747</v>
      </c>
      <c r="C546" s="2">
        <f t="shared" ca="1" si="2"/>
        <v>0.10793129038235807</v>
      </c>
      <c r="D546" s="2">
        <f t="shared" ca="1" si="3"/>
        <v>0.48457215588232594</v>
      </c>
      <c r="E546" s="2">
        <f t="shared" ca="1" si="4"/>
        <v>0.51542784411767406</v>
      </c>
      <c r="F546" s="1">
        <v>0</v>
      </c>
      <c r="G546" s="1">
        <f t="shared" ca="1" si="5"/>
        <v>0.48457215588232594</v>
      </c>
      <c r="H546" s="1">
        <f t="shared" ca="1" si="6"/>
        <v>0.51542784411767406</v>
      </c>
    </row>
    <row r="547" spans="1:8">
      <c r="A547" s="2">
        <f t="shared" ca="1" si="0"/>
        <v>0.9729322027552193</v>
      </c>
      <c r="B547" s="2">
        <f t="shared" ca="1" si="1"/>
        <v>0.15893181063792719</v>
      </c>
      <c r="C547" s="2">
        <f t="shared" ca="1" si="2"/>
        <v>0.15962987661183389</v>
      </c>
      <c r="D547" s="2">
        <f t="shared" ca="1" si="3"/>
        <v>0.21247433362192691</v>
      </c>
      <c r="E547" s="2">
        <f t="shared" ca="1" si="4"/>
        <v>0.78752566637807309</v>
      </c>
      <c r="F547" s="1">
        <v>0</v>
      </c>
      <c r="G547" s="1">
        <f t="shared" ca="1" si="5"/>
        <v>0.21247433362192691</v>
      </c>
      <c r="H547" s="1">
        <f t="shared" ca="1" si="6"/>
        <v>0.78752566637807309</v>
      </c>
    </row>
    <row r="548" spans="1:8">
      <c r="A548" s="2">
        <f t="shared" ca="1" si="0"/>
        <v>0.97625939789804583</v>
      </c>
      <c r="B548" s="2">
        <f t="shared" ca="1" si="1"/>
        <v>0.17951682950682701</v>
      </c>
      <c r="C548" s="2">
        <f t="shared" ca="1" si="2"/>
        <v>0.18025499188690108</v>
      </c>
      <c r="D548" s="2">
        <f t="shared" ca="1" si="3"/>
        <v>0.10392109533209959</v>
      </c>
      <c r="E548" s="2">
        <f t="shared" ca="1" si="4"/>
        <v>0.89607890466790041</v>
      </c>
      <c r="F548" s="1">
        <v>0</v>
      </c>
      <c r="G548" s="1">
        <f t="shared" ca="1" si="5"/>
        <v>0.10392109533209959</v>
      </c>
      <c r="H548" s="1">
        <f t="shared" ca="1" si="6"/>
        <v>0.89607890466790041</v>
      </c>
    </row>
    <row r="549" spans="1:8">
      <c r="A549" s="2">
        <f t="shared" ca="1" si="0"/>
        <v>0.86291241418072129</v>
      </c>
      <c r="B549" s="2">
        <f t="shared" ca="1" si="1"/>
        <v>0.10618475982807606</v>
      </c>
      <c r="C549" s="2">
        <f t="shared" ca="1" si="2"/>
        <v>9.662814745244519E-2</v>
      </c>
      <c r="D549" s="2">
        <f t="shared" ca="1" si="3"/>
        <v>0.54406238182923583</v>
      </c>
      <c r="E549" s="2">
        <f t="shared" ca="1" si="4"/>
        <v>0.45593761817076417</v>
      </c>
      <c r="F549" s="1">
        <v>0</v>
      </c>
      <c r="G549" s="1">
        <f t="shared" ca="1" si="5"/>
        <v>0.54406238182923583</v>
      </c>
      <c r="H549" s="1">
        <f t="shared" ca="1" si="6"/>
        <v>0.45593761817076417</v>
      </c>
    </row>
    <row r="550" spans="1:8">
      <c r="A550" s="2">
        <f t="shared" ca="1" si="0"/>
        <v>0.28167596585705418</v>
      </c>
      <c r="B550" s="2">
        <f t="shared" ca="1" si="1"/>
        <v>9.1697192547303644E-2</v>
      </c>
      <c r="C550" s="2">
        <f t="shared" ca="1" si="2"/>
        <v>3.0828895277142023E-2</v>
      </c>
      <c r="D550" s="2">
        <f t="shared" ca="1" si="3"/>
        <v>0.89037423538346305</v>
      </c>
      <c r="E550" s="2">
        <f t="shared" ca="1" si="4"/>
        <v>0.10962576461653695</v>
      </c>
      <c r="F550" s="1">
        <v>0</v>
      </c>
      <c r="G550" s="1">
        <f t="shared" ca="1" si="5"/>
        <v>0.89037423538346305</v>
      </c>
      <c r="H550" s="1">
        <f t="shared" ca="1" si="6"/>
        <v>0.10962576461653695</v>
      </c>
    </row>
    <row r="551" spans="1:8">
      <c r="A551" s="2">
        <f t="shared" ca="1" si="0"/>
        <v>0.94070141295480869</v>
      </c>
      <c r="B551" s="2">
        <f t="shared" ca="1" si="1"/>
        <v>0.12645420093314597</v>
      </c>
      <c r="C551" s="2">
        <f t="shared" ca="1" si="2"/>
        <v>0.12395564549188171</v>
      </c>
      <c r="D551" s="2">
        <f t="shared" ca="1" si="3"/>
        <v>0.40023344477957001</v>
      </c>
      <c r="E551" s="2">
        <f t="shared" ca="1" si="4"/>
        <v>0.59976655522042999</v>
      </c>
      <c r="F551" s="1">
        <v>0</v>
      </c>
      <c r="G551" s="1">
        <f t="shared" ca="1" si="5"/>
        <v>0.40023344477957001</v>
      </c>
      <c r="H551" s="1">
        <f t="shared" ca="1" si="6"/>
        <v>0.59976655522042999</v>
      </c>
    </row>
    <row r="552" spans="1:8">
      <c r="A552" s="2">
        <f t="shared" ca="1" si="0"/>
        <v>0.95738258315938818</v>
      </c>
      <c r="B552" s="2">
        <f t="shared" ca="1" si="1"/>
        <v>0.13690415741617906</v>
      </c>
      <c r="C552" s="2">
        <f t="shared" ca="1" si="2"/>
        <v>0.13606965587236103</v>
      </c>
      <c r="D552" s="2">
        <f t="shared" ca="1" si="3"/>
        <v>0.33647549540862609</v>
      </c>
      <c r="E552" s="2">
        <f t="shared" ca="1" si="4"/>
        <v>0.66352450459137391</v>
      </c>
      <c r="F552" s="1">
        <v>0</v>
      </c>
      <c r="G552" s="1">
        <f t="shared" ca="1" si="5"/>
        <v>0.33647549540862609</v>
      </c>
      <c r="H552" s="1">
        <f t="shared" ca="1" si="6"/>
        <v>0.66352450459137391</v>
      </c>
    </row>
    <row r="553" spans="1:8">
      <c r="A553" s="2">
        <f t="shared" ca="1" si="0"/>
        <v>0.94518107196391721</v>
      </c>
      <c r="B553" s="2">
        <f t="shared" ca="1" si="1"/>
        <v>0.12875437746095567</v>
      </c>
      <c r="C553" s="2">
        <f t="shared" ca="1" si="2"/>
        <v>0.1266962005085929</v>
      </c>
      <c r="D553" s="2">
        <f t="shared" ca="1" si="3"/>
        <v>0.38580947100740581</v>
      </c>
      <c r="E553" s="2">
        <f t="shared" ca="1" si="4"/>
        <v>0.61419052899259419</v>
      </c>
      <c r="F553" s="1">
        <v>0</v>
      </c>
      <c r="G553" s="1">
        <f t="shared" ca="1" si="5"/>
        <v>0.38580947100740581</v>
      </c>
      <c r="H553" s="1">
        <f t="shared" ca="1" si="6"/>
        <v>0.61419052899259419</v>
      </c>
    </row>
    <row r="554" spans="1:8">
      <c r="A554" s="2">
        <f t="shared" ca="1" si="0"/>
        <v>0.87217097103551333</v>
      </c>
      <c r="B554" s="2">
        <f t="shared" ca="1" si="1"/>
        <v>0.10763197252502996</v>
      </c>
      <c r="C554" s="2">
        <f t="shared" ca="1" si="2"/>
        <v>9.8873481991623074E-2</v>
      </c>
      <c r="D554" s="2">
        <f t="shared" ca="1" si="3"/>
        <v>0.53224483162303649</v>
      </c>
      <c r="E554" s="2">
        <f t="shared" ca="1" si="4"/>
        <v>0.46775516837696351</v>
      </c>
      <c r="F554" s="1">
        <v>0</v>
      </c>
      <c r="G554" s="1">
        <f t="shared" ca="1" si="5"/>
        <v>0.53224483162303649</v>
      </c>
      <c r="H554" s="1">
        <f t="shared" ca="1" si="6"/>
        <v>0.46775516837696351</v>
      </c>
    </row>
    <row r="555" spans="1:8">
      <c r="A555" s="2">
        <f t="shared" ca="1" si="0"/>
        <v>0.92683319404063891</v>
      </c>
      <c r="B555" s="2">
        <f t="shared" ca="1" si="1"/>
        <v>0.12070980537518201</v>
      </c>
      <c r="C555" s="2">
        <f t="shared" ca="1" si="2"/>
        <v>0.11687785446790383</v>
      </c>
      <c r="D555" s="2">
        <f t="shared" ca="1" si="3"/>
        <v>0.43748497648471674</v>
      </c>
      <c r="E555" s="2">
        <f t="shared" ca="1" si="4"/>
        <v>0.56251502351528326</v>
      </c>
      <c r="F555" s="1">
        <v>0</v>
      </c>
      <c r="G555" s="1">
        <f t="shared" ca="1" si="5"/>
        <v>0.43748497648471674</v>
      </c>
      <c r="H555" s="1">
        <f t="shared" ca="1" si="6"/>
        <v>0.56251502351528326</v>
      </c>
    </row>
    <row r="556" spans="1:8">
      <c r="A556" s="2">
        <f t="shared" ca="1" si="0"/>
        <v>0.2616864545583712</v>
      </c>
      <c r="B556" s="2">
        <f t="shared" ca="1" si="1"/>
        <v>9.2161990950093475E-2</v>
      </c>
      <c r="C556" s="2">
        <f t="shared" ca="1" si="2"/>
        <v>2.9117544656770654E-2</v>
      </c>
      <c r="D556" s="2">
        <f t="shared" ca="1" si="3"/>
        <v>0.89938134391173341</v>
      </c>
      <c r="E556" s="2">
        <f t="shared" ca="1" si="4"/>
        <v>0.10061865608826659</v>
      </c>
      <c r="F556" s="1">
        <v>0</v>
      </c>
      <c r="G556" s="1">
        <f t="shared" ca="1" si="5"/>
        <v>0.89938134391173341</v>
      </c>
      <c r="H556" s="1">
        <f t="shared" ca="1" si="6"/>
        <v>0.10061865608826659</v>
      </c>
    </row>
    <row r="557" spans="1:8">
      <c r="A557" s="2">
        <f t="shared" ca="1" si="0"/>
        <v>0.5736073250582322</v>
      </c>
      <c r="B557" s="2">
        <f t="shared" ca="1" si="1"/>
        <v>9.0018195186584965E-2</v>
      </c>
      <c r="C557" s="2">
        <f t="shared" ca="1" si="2"/>
        <v>5.6635096147546832E-2</v>
      </c>
      <c r="D557" s="2">
        <f t="shared" ca="1" si="3"/>
        <v>0.75455212553922724</v>
      </c>
      <c r="E557" s="2">
        <f t="shared" ca="1" si="4"/>
        <v>0.24544787446077276</v>
      </c>
      <c r="F557" s="1">
        <v>0</v>
      </c>
      <c r="G557" s="1">
        <f t="shared" ca="1" si="5"/>
        <v>0.75455212553922724</v>
      </c>
      <c r="H557" s="1">
        <f t="shared" ca="1" si="6"/>
        <v>0.24544787446077276</v>
      </c>
    </row>
    <row r="558" spans="1:8">
      <c r="A558" s="2">
        <f t="shared" ca="1" si="0"/>
        <v>0.20538319814749212</v>
      </c>
      <c r="B558" s="2">
        <f t="shared" ca="1" si="1"/>
        <v>9.3709596111020713E-2</v>
      </c>
      <c r="C558" s="2">
        <f t="shared" ca="1" si="2"/>
        <v>2.4246376546391224E-2</v>
      </c>
      <c r="D558" s="2">
        <f t="shared" ca="1" si="3"/>
        <v>0.92501907080846724</v>
      </c>
      <c r="E558" s="2">
        <f t="shared" ca="1" si="4"/>
        <v>7.4980929191532764E-2</v>
      </c>
      <c r="F558" s="1">
        <v>0</v>
      </c>
      <c r="G558" s="1">
        <f t="shared" ca="1" si="5"/>
        <v>0.92501907080846724</v>
      </c>
      <c r="H558" s="1">
        <f t="shared" ca="1" si="6"/>
        <v>7.4980929191532764E-2</v>
      </c>
    </row>
    <row r="559" spans="1:8">
      <c r="A559" s="2">
        <f t="shared" ca="1" si="0"/>
        <v>0.96752969563310598</v>
      </c>
      <c r="B559" s="2">
        <f t="shared" ca="1" si="1"/>
        <v>0.14801153857061256</v>
      </c>
      <c r="C559" s="2">
        <f t="shared" ca="1" si="2"/>
        <v>0.1482055588634125</v>
      </c>
      <c r="D559" s="2">
        <f t="shared" ca="1" si="3"/>
        <v>0.27260232177151311</v>
      </c>
      <c r="E559" s="2">
        <f t="shared" ca="1" si="4"/>
        <v>0.72739767822848689</v>
      </c>
      <c r="F559" s="1">
        <v>0</v>
      </c>
      <c r="G559" s="1">
        <f t="shared" ca="1" si="5"/>
        <v>0.27260232177151311</v>
      </c>
      <c r="H559" s="1">
        <f t="shared" ca="1" si="6"/>
        <v>0.72739767822848689</v>
      </c>
    </row>
    <row r="560" spans="1:8">
      <c r="A560" s="2">
        <f t="shared" ca="1" si="0"/>
        <v>0.97347604682090205</v>
      </c>
      <c r="B560" s="2">
        <f t="shared" ca="1" si="1"/>
        <v>0.16059368823815617</v>
      </c>
      <c r="C560" s="2">
        <f t="shared" ca="1" si="2"/>
        <v>0.16133410877046866</v>
      </c>
      <c r="D560" s="2">
        <f t="shared" ca="1" si="3"/>
        <v>0.20350469068174393</v>
      </c>
      <c r="E560" s="2">
        <f t="shared" ca="1" si="4"/>
        <v>0.79649530931825607</v>
      </c>
      <c r="F560" s="1">
        <v>0</v>
      </c>
      <c r="G560" s="1">
        <f t="shared" ca="1" si="5"/>
        <v>0.20350469068174393</v>
      </c>
      <c r="H560" s="1">
        <f t="shared" ca="1" si="6"/>
        <v>0.79649530931825607</v>
      </c>
    </row>
    <row r="561" spans="1:8">
      <c r="A561" s="2">
        <f t="shared" ca="1" si="0"/>
        <v>0.97130487690740663</v>
      </c>
      <c r="B561" s="2">
        <f t="shared" ca="1" si="1"/>
        <v>0.15482833613516717</v>
      </c>
      <c r="C561" s="2">
        <f t="shared" ca="1" si="2"/>
        <v>0.15538551797154712</v>
      </c>
      <c r="D561" s="2">
        <f t="shared" ca="1" si="3"/>
        <v>0.23481306330764673</v>
      </c>
      <c r="E561" s="2">
        <f t="shared" ca="1" si="4"/>
        <v>0.76518693669235327</v>
      </c>
      <c r="F561" s="1">
        <v>0</v>
      </c>
      <c r="G561" s="1">
        <f t="shared" ca="1" si="5"/>
        <v>0.23481306330764673</v>
      </c>
      <c r="H561" s="1">
        <f t="shared" ca="1" si="6"/>
        <v>0.76518693669235327</v>
      </c>
    </row>
    <row r="562" spans="1:8">
      <c r="A562" s="2">
        <f t="shared" ca="1" si="0"/>
        <v>0.79019252935765172</v>
      </c>
      <c r="B562" s="2">
        <f t="shared" ca="1" si="1"/>
        <v>9.8320806926920842E-2</v>
      </c>
      <c r="C562" s="2">
        <f t="shared" ca="1" si="2"/>
        <v>8.269236711406891E-2</v>
      </c>
      <c r="D562" s="2">
        <f t="shared" ca="1" si="3"/>
        <v>0.61740859413647942</v>
      </c>
      <c r="E562" s="2">
        <f t="shared" ca="1" si="4"/>
        <v>0.38259140586352058</v>
      </c>
      <c r="F562" s="1">
        <v>0</v>
      </c>
      <c r="G562" s="1">
        <f t="shared" ca="1" si="5"/>
        <v>0.61740859413647942</v>
      </c>
      <c r="H562" s="1">
        <f t="shared" ca="1" si="6"/>
        <v>0.38259140586352058</v>
      </c>
    </row>
    <row r="563" spans="1:8">
      <c r="A563" s="2">
        <f t="shared" ca="1" si="0"/>
        <v>0.97281542441205504</v>
      </c>
      <c r="B563" s="2">
        <f t="shared" ca="1" si="1"/>
        <v>0.15859815637389765</v>
      </c>
      <c r="C563" s="2">
        <f t="shared" ca="1" si="2"/>
        <v>0.15928673280384273</v>
      </c>
      <c r="D563" s="2">
        <f t="shared" ca="1" si="3"/>
        <v>0.21428035366398557</v>
      </c>
      <c r="E563" s="2">
        <f t="shared" ca="1" si="4"/>
        <v>0.78571964633601443</v>
      </c>
      <c r="F563" s="1">
        <v>0</v>
      </c>
      <c r="G563" s="1">
        <f t="shared" ca="1" si="5"/>
        <v>0.21428035366398557</v>
      </c>
      <c r="H563" s="1">
        <f t="shared" ca="1" si="6"/>
        <v>0.78571964633601443</v>
      </c>
    </row>
    <row r="564" spans="1:8">
      <c r="A564" s="2">
        <f t="shared" ca="1" si="0"/>
        <v>0.45512142339756229</v>
      </c>
      <c r="B564" s="2">
        <f t="shared" ca="1" si="1"/>
        <v>8.9482764591531719E-2</v>
      </c>
      <c r="C564" s="2">
        <f t="shared" ca="1" si="2"/>
        <v>4.5725523190446898E-2</v>
      </c>
      <c r="D564" s="2">
        <f t="shared" ca="1" si="3"/>
        <v>0.81197093057659531</v>
      </c>
      <c r="E564" s="2">
        <f t="shared" ca="1" si="4"/>
        <v>0.18802906942340469</v>
      </c>
      <c r="F564" s="1">
        <v>0</v>
      </c>
      <c r="G564" s="1">
        <f t="shared" ca="1" si="5"/>
        <v>0.81197093057659531</v>
      </c>
      <c r="H564" s="1">
        <f t="shared" ca="1" si="6"/>
        <v>0.18802906942340469</v>
      </c>
    </row>
    <row r="565" spans="1:8">
      <c r="A565" s="2">
        <f t="shared" ca="1" si="0"/>
        <v>0.97591065859129644</v>
      </c>
      <c r="B565" s="2">
        <f t="shared" ca="1" si="1"/>
        <v>0.17326299728059893</v>
      </c>
      <c r="C565" s="2">
        <f t="shared" ca="1" si="2"/>
        <v>0.17408920578561132</v>
      </c>
      <c r="D565" s="2">
        <f t="shared" ca="1" si="3"/>
        <v>0.13637260112836158</v>
      </c>
      <c r="E565" s="2">
        <f t="shared" ca="1" si="4"/>
        <v>0.86362739887163842</v>
      </c>
      <c r="F565" s="1">
        <v>0</v>
      </c>
      <c r="G565" s="1">
        <f t="shared" ca="1" si="5"/>
        <v>0.13637260112836158</v>
      </c>
      <c r="H565" s="1">
        <f t="shared" ca="1" si="6"/>
        <v>0.86362739887163842</v>
      </c>
    </row>
    <row r="566" spans="1:8">
      <c r="A566" s="2">
        <f t="shared" ca="1" si="0"/>
        <v>0.92126096918969214</v>
      </c>
      <c r="B566" s="2">
        <f t="shared" ca="1" si="1"/>
        <v>0.11882323205172203</v>
      </c>
      <c r="C566" s="2">
        <f t="shared" ca="1" si="2"/>
        <v>0.11446720592222114</v>
      </c>
      <c r="D566" s="2">
        <f t="shared" ca="1" si="3"/>
        <v>0.45017260040936247</v>
      </c>
      <c r="E566" s="2">
        <f t="shared" ca="1" si="4"/>
        <v>0.54982739959063753</v>
      </c>
      <c r="F566" s="1">
        <v>0</v>
      </c>
      <c r="G566" s="1">
        <f t="shared" ca="1" si="5"/>
        <v>0.45017260040936247</v>
      </c>
      <c r="H566" s="1">
        <f t="shared" ca="1" si="6"/>
        <v>0.54982739959063753</v>
      </c>
    </row>
    <row r="567" spans="1:8">
      <c r="A567" s="2">
        <f t="shared" ca="1" si="0"/>
        <v>0.78387900719032511</v>
      </c>
      <c r="B567" s="2">
        <f t="shared" ca="1" si="1"/>
        <v>9.7838527303894599E-2</v>
      </c>
      <c r="C567" s="2">
        <f t="shared" ca="1" si="2"/>
        <v>8.1693567647940418E-2</v>
      </c>
      <c r="D567" s="2">
        <f t="shared" ca="1" si="3"/>
        <v>0.62266543343189251</v>
      </c>
      <c r="E567" s="2">
        <f t="shared" ca="1" si="4"/>
        <v>0.37733456656810749</v>
      </c>
      <c r="F567" s="1">
        <v>0</v>
      </c>
      <c r="G567" s="1">
        <f t="shared" ca="1" si="5"/>
        <v>0.62266543343189251</v>
      </c>
      <c r="H567" s="1">
        <f t="shared" ca="1" si="6"/>
        <v>0.37733456656810749</v>
      </c>
    </row>
    <row r="568" spans="1:8">
      <c r="A568" s="2">
        <f t="shared" ca="1" si="0"/>
        <v>0.9762783749501307</v>
      </c>
      <c r="B568" s="2">
        <f t="shared" ca="1" si="1"/>
        <v>0.18086392862847669</v>
      </c>
      <c r="C568" s="2">
        <f t="shared" ca="1" si="2"/>
        <v>0.18157354232850564</v>
      </c>
      <c r="D568" s="2">
        <f t="shared" ca="1" si="3"/>
        <v>9.6981356165759869E-2</v>
      </c>
      <c r="E568" s="2">
        <f t="shared" ca="1" si="4"/>
        <v>0.90301864383424013</v>
      </c>
      <c r="F568" s="1">
        <v>0</v>
      </c>
      <c r="G568" s="1">
        <f t="shared" ca="1" si="5"/>
        <v>9.6981356165759869E-2</v>
      </c>
      <c r="H568" s="1">
        <f t="shared" ca="1" si="6"/>
        <v>0.90301864383424013</v>
      </c>
    </row>
    <row r="569" spans="1:8">
      <c r="A569" s="2">
        <f t="shared" ca="1" si="0"/>
        <v>0.75696530108311388</v>
      </c>
      <c r="B569" s="2">
        <f t="shared" ca="1" si="1"/>
        <v>9.602430778509051E-2</v>
      </c>
      <c r="C569" s="2">
        <f t="shared" ca="1" si="2"/>
        <v>7.7687069053838639E-2</v>
      </c>
      <c r="D569" s="2">
        <f t="shared" ca="1" si="3"/>
        <v>0.64375226813769137</v>
      </c>
      <c r="E569" s="2">
        <f t="shared" ca="1" si="4"/>
        <v>0.35624773186230863</v>
      </c>
      <c r="F569" s="1">
        <v>0</v>
      </c>
      <c r="G569" s="1">
        <f t="shared" ca="1" si="5"/>
        <v>0.64375226813769137</v>
      </c>
      <c r="H569" s="1">
        <f t="shared" ca="1" si="6"/>
        <v>0.35624773186230863</v>
      </c>
    </row>
    <row r="570" spans="1:8">
      <c r="A570" s="2">
        <f t="shared" ca="1" si="0"/>
        <v>0.46473031013095489</v>
      </c>
      <c r="B570" s="2">
        <f t="shared" ca="1" si="1"/>
        <v>8.9458460855494859E-2</v>
      </c>
      <c r="C570" s="2">
        <f t="shared" ca="1" si="2"/>
        <v>4.657405825721201E-2</v>
      </c>
      <c r="D570" s="2">
        <f t="shared" ca="1" si="3"/>
        <v>0.80750495654098942</v>
      </c>
      <c r="E570" s="2">
        <f t="shared" ca="1" si="4"/>
        <v>0.19249504345901058</v>
      </c>
      <c r="F570" s="1">
        <v>0</v>
      </c>
      <c r="G570" s="1">
        <f t="shared" ca="1" si="5"/>
        <v>0.80750495654098942</v>
      </c>
      <c r="H570" s="1">
        <f t="shared" ca="1" si="6"/>
        <v>0.19249504345901058</v>
      </c>
    </row>
    <row r="571" spans="1:8">
      <c r="A571" s="2">
        <f t="shared" ca="1" si="0"/>
        <v>0.94439083803225776</v>
      </c>
      <c r="B571" s="2">
        <f t="shared" ca="1" si="1"/>
        <v>0.12832813437605953</v>
      </c>
      <c r="C571" s="2">
        <f t="shared" ca="1" si="2"/>
        <v>0.12619191436652305</v>
      </c>
      <c r="D571" s="2">
        <f t="shared" ca="1" si="3"/>
        <v>0.38846360859724716</v>
      </c>
      <c r="E571" s="2">
        <f t="shared" ca="1" si="4"/>
        <v>0.61153639140275284</v>
      </c>
      <c r="F571" s="1">
        <v>0</v>
      </c>
      <c r="G571" s="1">
        <f t="shared" ca="1" si="5"/>
        <v>0.38846360859724716</v>
      </c>
      <c r="H571" s="1">
        <f t="shared" ca="1" si="6"/>
        <v>0.61153639140275284</v>
      </c>
    </row>
    <row r="572" spans="1:8">
      <c r="A572" s="2">
        <f t="shared" ca="1" si="0"/>
        <v>0.97593152311492093</v>
      </c>
      <c r="B572" s="2">
        <f t="shared" ca="1" si="1"/>
        <v>0.17348957096650267</v>
      </c>
      <c r="C572" s="2">
        <f t="shared" ca="1" si="2"/>
        <v>0.17431394123789312</v>
      </c>
      <c r="D572" s="2">
        <f t="shared" ca="1" si="3"/>
        <v>0.13518978295845718</v>
      </c>
      <c r="E572" s="2">
        <f t="shared" ca="1" si="4"/>
        <v>0.86481021704154282</v>
      </c>
      <c r="F572" s="1">
        <v>0</v>
      </c>
      <c r="G572" s="1">
        <f t="shared" ca="1" si="5"/>
        <v>0.13518978295845718</v>
      </c>
      <c r="H572" s="1">
        <f t="shared" ca="1" si="6"/>
        <v>0.86481021704154282</v>
      </c>
    </row>
    <row r="573" spans="1:8">
      <c r="A573" s="2">
        <f t="shared" ca="1" si="0"/>
        <v>0.9383740646084987</v>
      </c>
      <c r="B573" s="2">
        <f t="shared" ca="1" si="1"/>
        <v>0.12535989930981378</v>
      </c>
      <c r="C573" s="2">
        <f t="shared" ca="1" si="2"/>
        <v>0.12263447825426209</v>
      </c>
      <c r="D573" s="2">
        <f t="shared" ca="1" si="3"/>
        <v>0.40718695655651538</v>
      </c>
      <c r="E573" s="2">
        <f t="shared" ca="1" si="4"/>
        <v>0.59281304344348462</v>
      </c>
      <c r="F573" s="1">
        <v>0</v>
      </c>
      <c r="G573" s="1">
        <f t="shared" ca="1" si="5"/>
        <v>0.40718695655651538</v>
      </c>
      <c r="H573" s="1">
        <f t="shared" ca="1" si="6"/>
        <v>0.59281304344348462</v>
      </c>
    </row>
    <row r="574" spans="1:8">
      <c r="A574" s="2">
        <f t="shared" ca="1" si="0"/>
        <v>0.97268774219965892</v>
      </c>
      <c r="B574" s="2">
        <f t="shared" ca="1" si="1"/>
        <v>0.15824162625796792</v>
      </c>
      <c r="C574" s="2">
        <f t="shared" ca="1" si="2"/>
        <v>0.15891969016686508</v>
      </c>
      <c r="D574" s="2">
        <f t="shared" ca="1" si="3"/>
        <v>0.21621215701649965</v>
      </c>
      <c r="E574" s="2">
        <f t="shared" ca="1" si="4"/>
        <v>0.78378784298350035</v>
      </c>
      <c r="F574" s="1">
        <v>0</v>
      </c>
      <c r="G574" s="1">
        <f t="shared" ca="1" si="5"/>
        <v>0.21621215701649965</v>
      </c>
      <c r="H574" s="1">
        <f t="shared" ca="1" si="6"/>
        <v>0.78378784298350035</v>
      </c>
    </row>
    <row r="575" spans="1:8">
      <c r="A575" s="2">
        <f t="shared" ca="1" si="0"/>
        <v>0.97537900000292199</v>
      </c>
      <c r="B575" s="2">
        <f t="shared" ca="1" si="1"/>
        <v>0.16895482761663566</v>
      </c>
      <c r="C575" s="2">
        <f t="shared" ca="1" si="2"/>
        <v>0.16979499080638016</v>
      </c>
      <c r="D575" s="2">
        <f t="shared" ca="1" si="3"/>
        <v>0.15897373259799918</v>
      </c>
      <c r="E575" s="2">
        <f t="shared" ca="1" si="4"/>
        <v>0.84102626740200082</v>
      </c>
      <c r="F575" s="1">
        <v>0</v>
      </c>
      <c r="G575" s="1">
        <f t="shared" ca="1" si="5"/>
        <v>0.15897373259799918</v>
      </c>
      <c r="H575" s="1">
        <f t="shared" ca="1" si="6"/>
        <v>0.84102626740200082</v>
      </c>
    </row>
    <row r="576" spans="1:8">
      <c r="A576" s="2">
        <f t="shared" ca="1" si="0"/>
        <v>0.97579070606023455</v>
      </c>
      <c r="B576" s="2">
        <f t="shared" ca="1" si="1"/>
        <v>0.17208031865497653</v>
      </c>
      <c r="C576" s="2">
        <f t="shared" ca="1" si="2"/>
        <v>0.1729143756394097</v>
      </c>
      <c r="D576" s="2">
        <f t="shared" ca="1" si="3"/>
        <v>0.14255591768731746</v>
      </c>
      <c r="E576" s="2">
        <f t="shared" ca="1" si="4"/>
        <v>0.85744408231268254</v>
      </c>
      <c r="F576" s="1">
        <v>0</v>
      </c>
      <c r="G576" s="1">
        <f t="shared" ca="1" si="5"/>
        <v>0.14255591768731746</v>
      </c>
      <c r="H576" s="1">
        <f t="shared" ca="1" si="6"/>
        <v>0.85744408231268254</v>
      </c>
    </row>
    <row r="577" spans="1:8">
      <c r="A577" s="2">
        <f t="shared" ca="1" si="0"/>
        <v>0.97626056039706799</v>
      </c>
      <c r="B577" s="2">
        <f t="shared" ca="1" si="1"/>
        <v>0.17957326046093011</v>
      </c>
      <c r="C577" s="2">
        <f t="shared" ca="1" si="2"/>
        <v>0.18031029188991629</v>
      </c>
      <c r="D577" s="2">
        <f t="shared" ca="1" si="3"/>
        <v>0.10363004268465115</v>
      </c>
      <c r="E577" s="2">
        <f t="shared" ca="1" si="4"/>
        <v>0.89636995731534885</v>
      </c>
      <c r="F577" s="1">
        <v>0</v>
      </c>
      <c r="G577" s="1">
        <f t="shared" ca="1" si="5"/>
        <v>0.10363004268465115</v>
      </c>
      <c r="H577" s="1">
        <f t="shared" ca="1" si="6"/>
        <v>0.89636995731534885</v>
      </c>
    </row>
    <row r="578" spans="1:8">
      <c r="A578" s="2">
        <f t="shared" ca="1" si="0"/>
        <v>0.83663608597062256</v>
      </c>
      <c r="B578" s="2">
        <f t="shared" ca="1" si="1"/>
        <v>0.10274183991959697</v>
      </c>
      <c r="C578" s="2">
        <f t="shared" ca="1" si="2"/>
        <v>9.0957530815751877E-2</v>
      </c>
      <c r="D578" s="2">
        <f t="shared" ca="1" si="3"/>
        <v>0.57390773254867433</v>
      </c>
      <c r="E578" s="2">
        <f t="shared" ca="1" si="4"/>
        <v>0.42609226745132567</v>
      </c>
      <c r="F578" s="1">
        <v>0</v>
      </c>
      <c r="G578" s="1">
        <f t="shared" ca="1" si="5"/>
        <v>0.57390773254867433</v>
      </c>
      <c r="H578" s="1">
        <f t="shared" ca="1" si="6"/>
        <v>0.42609226745132567</v>
      </c>
    </row>
    <row r="579" spans="1:8">
      <c r="A579" s="2">
        <f t="shared" ca="1" si="0"/>
        <v>0.95617976942249616</v>
      </c>
      <c r="B579" s="2">
        <f t="shared" ca="1" si="1"/>
        <v>0.13593079569781061</v>
      </c>
      <c r="C579" s="2">
        <f t="shared" ca="1" si="2"/>
        <v>0.13497427688774899</v>
      </c>
      <c r="D579" s="2">
        <f t="shared" ca="1" si="3"/>
        <v>0.34224064795921594</v>
      </c>
      <c r="E579" s="2">
        <f t="shared" ca="1" si="4"/>
        <v>0.65775935204078406</v>
      </c>
      <c r="F579" s="1">
        <v>0</v>
      </c>
      <c r="G579" s="1">
        <f t="shared" ca="1" si="5"/>
        <v>0.34224064795921594</v>
      </c>
      <c r="H579" s="1">
        <f t="shared" ca="1" si="6"/>
        <v>0.65775935204078406</v>
      </c>
    </row>
    <row r="580" spans="1:8">
      <c r="A580" s="2">
        <f t="shared" ca="1" si="0"/>
        <v>0.97627975398709899</v>
      </c>
      <c r="B580" s="2">
        <f t="shared" ca="1" si="1"/>
        <v>0.18108133043562469</v>
      </c>
      <c r="C580" s="2">
        <f t="shared" ca="1" si="2"/>
        <v>0.18178603672934826</v>
      </c>
      <c r="D580" s="2">
        <f t="shared" ca="1" si="3"/>
        <v>9.5862964582377641E-2</v>
      </c>
      <c r="E580" s="2">
        <f t="shared" ca="1" si="4"/>
        <v>0.90413703541762236</v>
      </c>
      <c r="F580" s="1">
        <v>0</v>
      </c>
      <c r="G580" s="1">
        <f t="shared" ca="1" si="5"/>
        <v>9.5862964582377641E-2</v>
      </c>
      <c r="H580" s="1">
        <f t="shared" ca="1" si="6"/>
        <v>0.90413703541762236</v>
      </c>
    </row>
    <row r="581" spans="1:8">
      <c r="A581" s="2">
        <f t="shared" ca="1" si="0"/>
        <v>0.78225310800596182</v>
      </c>
      <c r="B581" s="2">
        <f t="shared" ca="1" si="1"/>
        <v>9.7718096405080959E-2</v>
      </c>
      <c r="C581" s="2">
        <f t="shared" ca="1" si="2"/>
        <v>8.144028462130079E-2</v>
      </c>
      <c r="D581" s="2">
        <f t="shared" ca="1" si="3"/>
        <v>0.62399850199315376</v>
      </c>
      <c r="E581" s="2">
        <f t="shared" ca="1" si="4"/>
        <v>0.37600149800684624</v>
      </c>
      <c r="F581" s="1">
        <v>0</v>
      </c>
      <c r="G581" s="1">
        <f t="shared" ca="1" si="5"/>
        <v>0.62399850199315376</v>
      </c>
      <c r="H581" s="1">
        <f t="shared" ca="1" si="6"/>
        <v>0.37600149800684624</v>
      </c>
    </row>
    <row r="582" spans="1:8">
      <c r="A582" s="2">
        <f t="shared" ca="1" si="0"/>
        <v>0.26112686545386055</v>
      </c>
      <c r="B582" s="2">
        <f t="shared" ca="1" si="1"/>
        <v>9.2175631421430926E-2</v>
      </c>
      <c r="C582" s="2">
        <f t="shared" ca="1" si="2"/>
        <v>2.9069533704308634E-2</v>
      </c>
      <c r="D582" s="2">
        <f t="shared" ca="1" si="3"/>
        <v>0.89963403313521773</v>
      </c>
      <c r="E582" s="2">
        <f t="shared" ca="1" si="4"/>
        <v>0.10036596686478227</v>
      </c>
      <c r="F582" s="1">
        <v>0</v>
      </c>
      <c r="G582" s="1">
        <f t="shared" ca="1" si="5"/>
        <v>0.89963403313521773</v>
      </c>
      <c r="H582" s="1">
        <f t="shared" ca="1" si="6"/>
        <v>0.10036596686478227</v>
      </c>
    </row>
    <row r="583" spans="1:8">
      <c r="A583" s="2">
        <f t="shared" ca="1" si="0"/>
        <v>0.53344023437396926</v>
      </c>
      <c r="B583" s="2">
        <f t="shared" ca="1" si="1"/>
        <v>8.9621504330592933E-2</v>
      </c>
      <c r="C583" s="2">
        <f t="shared" ca="1" si="2"/>
        <v>5.2807716275059188E-2</v>
      </c>
      <c r="D583" s="2">
        <f t="shared" ca="1" si="3"/>
        <v>0.77469623013126743</v>
      </c>
      <c r="E583" s="2">
        <f t="shared" ca="1" si="4"/>
        <v>0.22530376986873257</v>
      </c>
      <c r="F583" s="1">
        <v>0</v>
      </c>
      <c r="G583" s="1">
        <f t="shared" ca="1" si="5"/>
        <v>0.77469623013126743</v>
      </c>
      <c r="H583" s="1">
        <f t="shared" ca="1" si="6"/>
        <v>0.22530376986873257</v>
      </c>
    </row>
    <row r="584" spans="1:8">
      <c r="A584" s="2">
        <f t="shared" ca="1" si="0"/>
        <v>0.97521814688334374</v>
      </c>
      <c r="B584" s="2">
        <f t="shared" ca="1" si="1"/>
        <v>0.19819208462955179</v>
      </c>
      <c r="C584" s="2">
        <f t="shared" ca="1" si="2"/>
        <v>0.19828051749937833</v>
      </c>
      <c r="D584" s="2">
        <f t="shared" ca="1" si="3"/>
        <v>9.0499078980088576E-3</v>
      </c>
      <c r="E584" s="2">
        <f t="shared" ca="1" si="4"/>
        <v>0.99095009210199114</v>
      </c>
      <c r="F584" s="1">
        <v>0</v>
      </c>
      <c r="G584" s="1">
        <f t="shared" ca="1" si="5"/>
        <v>9.0499078980088576E-3</v>
      </c>
      <c r="H584" s="1">
        <f t="shared" ca="1" si="6"/>
        <v>0.99095009210199114</v>
      </c>
    </row>
    <row r="585" spans="1:8">
      <c r="A585" s="2">
        <f t="shared" ca="1" si="0"/>
        <v>0.97101457158855531</v>
      </c>
      <c r="B585" s="2">
        <f t="shared" ca="1" si="1"/>
        <v>0.15419559669826971</v>
      </c>
      <c r="C585" s="2">
        <f t="shared" ca="1" si="2"/>
        <v>0.15472617126881202</v>
      </c>
      <c r="D585" s="2">
        <f t="shared" ca="1" si="3"/>
        <v>0.23828330911151585</v>
      </c>
      <c r="E585" s="2">
        <f t="shared" ca="1" si="4"/>
        <v>0.76171669088848415</v>
      </c>
      <c r="F585" s="1">
        <v>0</v>
      </c>
      <c r="G585" s="1">
        <f t="shared" ca="1" si="5"/>
        <v>0.23828330911151585</v>
      </c>
      <c r="H585" s="1">
        <f t="shared" ca="1" si="6"/>
        <v>0.76171669088848415</v>
      </c>
    </row>
    <row r="586" spans="1:8">
      <c r="A586" s="2">
        <f t="shared" ca="1" si="0"/>
        <v>0.93843625493629146</v>
      </c>
      <c r="B586" s="2">
        <f t="shared" ca="1" si="1"/>
        <v>0.12538833906388169</v>
      </c>
      <c r="C586" s="2">
        <f t="shared" ca="1" si="2"/>
        <v>0.12266896332379104</v>
      </c>
      <c r="D586" s="2">
        <f t="shared" ca="1" si="3"/>
        <v>0.40700545619057349</v>
      </c>
      <c r="E586" s="2">
        <f t="shared" ca="1" si="4"/>
        <v>0.59299454380942651</v>
      </c>
      <c r="F586" s="1">
        <v>0</v>
      </c>
      <c r="G586" s="1">
        <f t="shared" ca="1" si="5"/>
        <v>0.40700545619057349</v>
      </c>
      <c r="H586" s="1">
        <f t="shared" ca="1" si="6"/>
        <v>0.59299454380942651</v>
      </c>
    </row>
    <row r="587" spans="1:8">
      <c r="A587" s="2">
        <f t="shared" ca="1" si="0"/>
        <v>0.97516012897737114</v>
      </c>
      <c r="B587" s="2">
        <f t="shared" ca="1" si="1"/>
        <v>0.19868604050788374</v>
      </c>
      <c r="C587" s="2">
        <f t="shared" ca="1" si="2"/>
        <v>0.1987507048876711</v>
      </c>
      <c r="D587" s="2">
        <f t="shared" ca="1" si="3"/>
        <v>6.5752374333100105E-3</v>
      </c>
      <c r="E587" s="2">
        <f t="shared" ca="1" si="4"/>
        <v>0.99342476256668999</v>
      </c>
      <c r="F587" s="1">
        <v>0</v>
      </c>
      <c r="G587" s="1">
        <f t="shared" ca="1" si="5"/>
        <v>6.5752374333100105E-3</v>
      </c>
      <c r="H587" s="1">
        <f t="shared" ca="1" si="6"/>
        <v>0.99342476256668999</v>
      </c>
    </row>
    <row r="588" spans="1:8">
      <c r="A588" s="2">
        <f t="shared" ca="1" si="0"/>
        <v>0.36945779069292461</v>
      </c>
      <c r="B588" s="2">
        <f t="shared" ca="1" si="1"/>
        <v>9.0166391656242559E-2</v>
      </c>
      <c r="C588" s="2">
        <f t="shared" ca="1" si="2"/>
        <v>3.8312675856068325E-2</v>
      </c>
      <c r="D588" s="2">
        <f t="shared" ca="1" si="3"/>
        <v>0.85098591654700884</v>
      </c>
      <c r="E588" s="2">
        <f t="shared" ca="1" si="4"/>
        <v>0.14901408345299116</v>
      </c>
      <c r="F588" s="1">
        <v>0</v>
      </c>
      <c r="G588" s="1">
        <f t="shared" ca="1" si="5"/>
        <v>0.85098591654700884</v>
      </c>
      <c r="H588" s="1">
        <f t="shared" ca="1" si="6"/>
        <v>0.14901408345299116</v>
      </c>
    </row>
    <row r="589" spans="1:8">
      <c r="A589" s="2">
        <f t="shared" ca="1" si="0"/>
        <v>0.9759423700353238</v>
      </c>
      <c r="B589" s="2">
        <f t="shared" ca="1" si="1"/>
        <v>0.19057333878325949</v>
      </c>
      <c r="C589" s="2">
        <f t="shared" ca="1" si="2"/>
        <v>0.19098859591767897</v>
      </c>
      <c r="D589" s="2">
        <f t="shared" ca="1" si="3"/>
        <v>4.7428442538531845E-2</v>
      </c>
      <c r="E589" s="2">
        <f t="shared" ca="1" si="4"/>
        <v>0.95257155746146815</v>
      </c>
      <c r="F589" s="1">
        <v>0</v>
      </c>
      <c r="G589" s="1">
        <f t="shared" ca="1" si="5"/>
        <v>4.7428442538531845E-2</v>
      </c>
      <c r="H589" s="1">
        <f t="shared" ca="1" si="6"/>
        <v>0.95257155746146815</v>
      </c>
    </row>
    <row r="590" spans="1:8">
      <c r="A590" s="2">
        <f t="shared" ca="1" si="0"/>
        <v>0.53508447890895738</v>
      </c>
      <c r="B590" s="2">
        <f t="shared" ca="1" si="1"/>
        <v>8.963309546237129E-2</v>
      </c>
      <c r="C590" s="2">
        <f t="shared" ca="1" si="2"/>
        <v>5.2961278178479773E-2</v>
      </c>
      <c r="D590" s="2">
        <f t="shared" ca="1" si="3"/>
        <v>0.77388800958694859</v>
      </c>
      <c r="E590" s="2">
        <f t="shared" ca="1" si="4"/>
        <v>0.22611199041305141</v>
      </c>
      <c r="F590" s="1">
        <v>0</v>
      </c>
      <c r="G590" s="1">
        <f t="shared" ca="1" si="5"/>
        <v>0.77388800958694859</v>
      </c>
      <c r="H590" s="1">
        <f t="shared" ca="1" si="6"/>
        <v>0.22611199041305141</v>
      </c>
    </row>
    <row r="591" spans="1:8">
      <c r="A591" s="2">
        <f t="shared" ca="1" si="0"/>
        <v>0.34909021376323723</v>
      </c>
      <c r="B591" s="2">
        <f t="shared" ca="1" si="1"/>
        <v>9.0447818129219787E-2</v>
      </c>
      <c r="C591" s="2">
        <f t="shared" ca="1" si="2"/>
        <v>3.6574448165147738E-2</v>
      </c>
      <c r="D591" s="2">
        <f t="shared" ca="1" si="3"/>
        <v>0.86013448334132769</v>
      </c>
      <c r="E591" s="2">
        <f t="shared" ca="1" si="4"/>
        <v>0.13986551665867231</v>
      </c>
      <c r="F591" s="1">
        <v>0</v>
      </c>
      <c r="G591" s="1">
        <f t="shared" ca="1" si="5"/>
        <v>0.86013448334132769</v>
      </c>
      <c r="H591" s="1">
        <f t="shared" ca="1" si="6"/>
        <v>0.13986551665867231</v>
      </c>
    </row>
    <row r="592" spans="1:8">
      <c r="A592" s="2">
        <f t="shared" ca="1" si="0"/>
        <v>0.95008125606610661</v>
      </c>
      <c r="B592" s="2">
        <f t="shared" ca="1" si="1"/>
        <v>0.13163028473338709</v>
      </c>
      <c r="C592" s="2">
        <f t="shared" ca="1" si="2"/>
        <v>0.13005946625583567</v>
      </c>
      <c r="D592" s="2">
        <f t="shared" ca="1" si="3"/>
        <v>0.36810807233770715</v>
      </c>
      <c r="E592" s="2">
        <f t="shared" ca="1" si="4"/>
        <v>0.63189192766229285</v>
      </c>
      <c r="F592" s="1">
        <v>0</v>
      </c>
      <c r="G592" s="1">
        <f t="shared" ca="1" si="5"/>
        <v>0.36810807233770715</v>
      </c>
      <c r="H592" s="1">
        <f t="shared" ca="1" si="6"/>
        <v>0.63189192766229285</v>
      </c>
    </row>
    <row r="593" spans="1:8">
      <c r="A593" s="2">
        <f t="shared" ca="1" si="0"/>
        <v>0.9507039265380165</v>
      </c>
      <c r="B593" s="2">
        <f t="shared" ca="1" si="1"/>
        <v>0.13202825377988328</v>
      </c>
      <c r="C593" s="2">
        <f t="shared" ca="1" si="2"/>
        <v>0.13051977928249275</v>
      </c>
      <c r="D593" s="2">
        <f t="shared" ca="1" si="3"/>
        <v>0.3656853721974066</v>
      </c>
      <c r="E593" s="2">
        <f t="shared" ca="1" si="4"/>
        <v>0.6343146278025934</v>
      </c>
      <c r="F593" s="1">
        <v>0</v>
      </c>
      <c r="G593" s="1">
        <f t="shared" ca="1" si="5"/>
        <v>0.3656853721974066</v>
      </c>
      <c r="H593" s="1">
        <f t="shared" ca="1" si="6"/>
        <v>0.6343146278025934</v>
      </c>
    </row>
    <row r="594" spans="1:8">
      <c r="A594" s="2">
        <f t="shared" ca="1" si="0"/>
        <v>0.97599884573648266</v>
      </c>
      <c r="B594" s="2">
        <f t="shared" ca="1" si="1"/>
        <v>0.17427640229285177</v>
      </c>
      <c r="C594" s="2">
        <f t="shared" ca="1" si="2"/>
        <v>0.17509356747693022</v>
      </c>
      <c r="D594" s="2">
        <f t="shared" ca="1" si="3"/>
        <v>0.13108648696352521</v>
      </c>
      <c r="E594" s="2">
        <f t="shared" ca="1" si="4"/>
        <v>0.86891351303647479</v>
      </c>
      <c r="F594" s="1">
        <v>0</v>
      </c>
      <c r="G594" s="1">
        <f t="shared" ca="1" si="5"/>
        <v>0.13108648696352521</v>
      </c>
      <c r="H594" s="1">
        <f t="shared" ca="1" si="6"/>
        <v>0.86891351303647479</v>
      </c>
    </row>
    <row r="595" spans="1:8">
      <c r="A595" s="2">
        <f t="shared" ca="1" si="0"/>
        <v>0.51611873024201405</v>
      </c>
      <c r="B595" s="2">
        <f t="shared" ca="1" si="1"/>
        <v>8.9522169960003922E-2</v>
      </c>
      <c r="C595" s="2">
        <f t="shared" ca="1" si="2"/>
        <v>5.120406868826699E-2</v>
      </c>
      <c r="D595" s="2">
        <f t="shared" ca="1" si="3"/>
        <v>0.78313648058806851</v>
      </c>
      <c r="E595" s="2">
        <f t="shared" ca="1" si="4"/>
        <v>0.21686351941193149</v>
      </c>
      <c r="F595" s="1">
        <v>0</v>
      </c>
      <c r="G595" s="1">
        <f t="shared" ca="1" si="5"/>
        <v>0.78313648058806851</v>
      </c>
      <c r="H595" s="1">
        <f t="shared" ca="1" si="6"/>
        <v>0.21686351941193149</v>
      </c>
    </row>
    <row r="596" spans="1:8">
      <c r="A596" s="2">
        <f t="shared" ca="1" si="0"/>
        <v>0.95663204259488888</v>
      </c>
      <c r="B596" s="2">
        <f t="shared" ca="1" si="1"/>
        <v>0.13629108560740016</v>
      </c>
      <c r="C596" s="2">
        <f t="shared" ca="1" si="2"/>
        <v>0.13538041961208208</v>
      </c>
      <c r="D596" s="2">
        <f t="shared" ca="1" si="3"/>
        <v>0.34010305467325219</v>
      </c>
      <c r="E596" s="2">
        <f t="shared" ca="1" si="4"/>
        <v>0.65989694532674781</v>
      </c>
      <c r="F596" s="1">
        <v>0</v>
      </c>
      <c r="G596" s="1">
        <f t="shared" ca="1" si="5"/>
        <v>0.34010305467325219</v>
      </c>
      <c r="H596" s="1">
        <f t="shared" ca="1" si="6"/>
        <v>0.65989694532674781</v>
      </c>
    </row>
    <row r="597" spans="1:8">
      <c r="A597" s="2">
        <f t="shared" ca="1" si="0"/>
        <v>0.90590210182038666</v>
      </c>
      <c r="B597" s="2">
        <f t="shared" ca="1" si="1"/>
        <v>0.11446422794277518</v>
      </c>
      <c r="C597" s="2">
        <f t="shared" ca="1" si="2"/>
        <v>0.10869338467660787</v>
      </c>
      <c r="D597" s="2">
        <f t="shared" ca="1" si="3"/>
        <v>0.48056113328101124</v>
      </c>
      <c r="E597" s="2">
        <f t="shared" ca="1" si="4"/>
        <v>0.51943886671898876</v>
      </c>
      <c r="F597" s="1">
        <v>0</v>
      </c>
      <c r="G597" s="1">
        <f t="shared" ca="1" si="5"/>
        <v>0.48056113328101124</v>
      </c>
      <c r="H597" s="1">
        <f t="shared" ca="1" si="6"/>
        <v>0.51943886671898876</v>
      </c>
    </row>
    <row r="598" spans="1:8">
      <c r="A598" s="2">
        <f t="shared" ca="1" si="0"/>
        <v>0.96868925557638696</v>
      </c>
      <c r="B598" s="2">
        <f t="shared" ca="1" si="1"/>
        <v>0.1498363584620879</v>
      </c>
      <c r="C598" s="2">
        <f t="shared" ca="1" si="2"/>
        <v>0.15014487053691661</v>
      </c>
      <c r="D598" s="2">
        <f t="shared" ca="1" si="3"/>
        <v>0.26239541822675472</v>
      </c>
      <c r="E598" s="2">
        <f t="shared" ca="1" si="4"/>
        <v>0.73760458177324528</v>
      </c>
      <c r="F598" s="1">
        <v>0</v>
      </c>
      <c r="G598" s="1">
        <f t="shared" ca="1" si="5"/>
        <v>0.26239541822675472</v>
      </c>
      <c r="H598" s="1">
        <f t="shared" ca="1" si="6"/>
        <v>0.73760458177324528</v>
      </c>
    </row>
    <row r="599" spans="1:8">
      <c r="A599" s="2">
        <f t="shared" ca="1" si="0"/>
        <v>0.66564911635839674</v>
      </c>
      <c r="B599" s="2">
        <f t="shared" ca="1" si="1"/>
        <v>9.1978623143352534E-2</v>
      </c>
      <c r="C599" s="2">
        <f t="shared" ca="1" si="2"/>
        <v>6.6225489219234587E-2</v>
      </c>
      <c r="D599" s="2">
        <f t="shared" ca="1" si="3"/>
        <v>0.70407637253034427</v>
      </c>
      <c r="E599" s="2">
        <f t="shared" ca="1" si="4"/>
        <v>0.29592362746965573</v>
      </c>
      <c r="F599" s="1">
        <v>0</v>
      </c>
      <c r="G599" s="1">
        <f t="shared" ca="1" si="5"/>
        <v>0.70407637253034427</v>
      </c>
      <c r="H599" s="1">
        <f t="shared" ca="1" si="6"/>
        <v>0.29592362746965573</v>
      </c>
    </row>
    <row r="600" spans="1:8">
      <c r="A600" s="2">
        <f t="shared" ca="1" si="0"/>
        <v>0.90576552890297957</v>
      </c>
      <c r="B600" s="2">
        <f t="shared" ca="1" si="1"/>
        <v>0.11442996106011641</v>
      </c>
      <c r="C600" s="2">
        <f t="shared" ca="1" si="2"/>
        <v>0.1086467142019637</v>
      </c>
      <c r="D600" s="2">
        <f t="shared" ca="1" si="3"/>
        <v>0.48080676735808581</v>
      </c>
      <c r="E600" s="2">
        <f t="shared" ca="1" si="4"/>
        <v>0.51919323264191419</v>
      </c>
      <c r="F600" s="1">
        <v>0</v>
      </c>
      <c r="G600" s="1">
        <f t="shared" ca="1" si="5"/>
        <v>0.48080676735808581</v>
      </c>
      <c r="H600" s="1">
        <f t="shared" ca="1" si="6"/>
        <v>0.51919323264191419</v>
      </c>
    </row>
    <row r="601" spans="1:8">
      <c r="A601" s="2">
        <f t="shared" ca="1" si="0"/>
        <v>0.52998642347843283</v>
      </c>
      <c r="B601" s="2">
        <f t="shared" ca="1" si="1"/>
        <v>8.9598392841639674E-2</v>
      </c>
      <c r="C601" s="2">
        <f t="shared" ca="1" si="2"/>
        <v>5.2485931771556228E-2</v>
      </c>
      <c r="D601" s="2">
        <f t="shared" ca="1" si="3"/>
        <v>0.77638983278128304</v>
      </c>
      <c r="E601" s="2">
        <f t="shared" ca="1" si="4"/>
        <v>0.22361016721871696</v>
      </c>
      <c r="F601" s="1">
        <v>0</v>
      </c>
      <c r="G601" s="1">
        <f t="shared" ca="1" si="5"/>
        <v>0.77638983278128304</v>
      </c>
      <c r="H601" s="1">
        <f t="shared" ca="1" si="6"/>
        <v>0.22361016721871696</v>
      </c>
    </row>
    <row r="602" spans="1:8">
      <c r="A602" s="2">
        <f t="shared" ca="1" si="0"/>
        <v>0.97575432719023047</v>
      </c>
      <c r="B602" s="2">
        <f t="shared" ca="1" si="1"/>
        <v>0.17175448257588541</v>
      </c>
      <c r="C602" s="2">
        <f t="shared" ca="1" si="2"/>
        <v>0.17259017958773923</v>
      </c>
      <c r="D602" s="2">
        <f t="shared" ca="1" si="3"/>
        <v>0.14426221269610939</v>
      </c>
      <c r="E602" s="2">
        <f t="shared" ca="1" si="4"/>
        <v>0.85573778730389061</v>
      </c>
      <c r="F602" s="1">
        <v>0</v>
      </c>
      <c r="G602" s="1">
        <f t="shared" ca="1" si="5"/>
        <v>0.14426221269610939</v>
      </c>
      <c r="H602" s="1">
        <f t="shared" ca="1" si="6"/>
        <v>0.85573778730389061</v>
      </c>
    </row>
    <row r="603" spans="1:8">
      <c r="A603" s="2">
        <f t="shared" ca="1" si="0"/>
        <v>0.97311709372972688</v>
      </c>
      <c r="B603" s="2">
        <f t="shared" ca="1" si="1"/>
        <v>0.15947586739600189</v>
      </c>
      <c r="C603" s="2">
        <f t="shared" ca="1" si="2"/>
        <v>0.16018869260042468</v>
      </c>
      <c r="D603" s="2">
        <f t="shared" ca="1" si="3"/>
        <v>0.20953319683987015</v>
      </c>
      <c r="E603" s="2">
        <f t="shared" ca="1" si="4"/>
        <v>0.79046680316012985</v>
      </c>
      <c r="F603" s="1">
        <v>0</v>
      </c>
      <c r="G603" s="1">
        <f t="shared" ca="1" si="5"/>
        <v>0.20953319683987015</v>
      </c>
      <c r="H603" s="1">
        <f t="shared" ca="1" si="6"/>
        <v>0.79046680316012985</v>
      </c>
    </row>
    <row r="604" spans="1:8">
      <c r="A604" s="2">
        <f t="shared" ca="1" si="0"/>
        <v>0.97627259114952458</v>
      </c>
      <c r="B604" s="2">
        <f t="shared" ca="1" si="1"/>
        <v>0.18029633639327353</v>
      </c>
      <c r="C604" s="2">
        <f t="shared" ca="1" si="2"/>
        <v>0.18101837150542749</v>
      </c>
      <c r="D604" s="2">
        <f t="shared" ca="1" si="3"/>
        <v>9.9903307866171298E-2</v>
      </c>
      <c r="E604" s="2">
        <f t="shared" ca="1" si="4"/>
        <v>0.9000966921338287</v>
      </c>
      <c r="F604" s="1">
        <v>0</v>
      </c>
      <c r="G604" s="1">
        <f t="shared" ca="1" si="5"/>
        <v>9.9903307866171298E-2</v>
      </c>
      <c r="H604" s="1">
        <f t="shared" ca="1" si="6"/>
        <v>0.9000966921338287</v>
      </c>
    </row>
    <row r="605" spans="1:8">
      <c r="A605" s="2">
        <f t="shared" ca="1" si="0"/>
        <v>8.1772908942609329E-2</v>
      </c>
      <c r="B605" s="2">
        <f t="shared" ca="1" si="1"/>
        <v>9.844695654442509E-2</v>
      </c>
      <c r="C605" s="2">
        <f t="shared" ca="1" si="2"/>
        <v>1.3050294013184291E-2</v>
      </c>
      <c r="D605" s="2">
        <f t="shared" ca="1" si="3"/>
        <v>0.98394582098324057</v>
      </c>
      <c r="E605" s="2">
        <f t="shared" ca="1" si="4"/>
        <v>1.6054179016759429E-2</v>
      </c>
      <c r="F605" s="1">
        <v>0</v>
      </c>
      <c r="G605" s="1">
        <f t="shared" ca="1" si="5"/>
        <v>0.98394582098324057</v>
      </c>
      <c r="H605" s="1">
        <f t="shared" ca="1" si="6"/>
        <v>1.6054179016759429E-2</v>
      </c>
    </row>
    <row r="606" spans="1:8">
      <c r="A606" s="2">
        <f t="shared" ca="1" si="0"/>
        <v>0.97599969651694729</v>
      </c>
      <c r="B606" s="2">
        <f t="shared" ca="1" si="1"/>
        <v>0.18974132942085234</v>
      </c>
      <c r="C606" s="2">
        <f t="shared" ca="1" si="2"/>
        <v>0.190187479931474</v>
      </c>
      <c r="D606" s="2">
        <f t="shared" ca="1" si="3"/>
        <v>5.1644842465926377E-2</v>
      </c>
      <c r="E606" s="2">
        <f t="shared" ca="1" si="4"/>
        <v>0.94835515753407362</v>
      </c>
      <c r="F606" s="1">
        <v>0</v>
      </c>
      <c r="G606" s="1">
        <f t="shared" ca="1" si="5"/>
        <v>5.1644842465926377E-2</v>
      </c>
      <c r="H606" s="1">
        <f t="shared" ca="1" si="6"/>
        <v>0.94835515753407362</v>
      </c>
    </row>
    <row r="607" spans="1:8">
      <c r="A607" s="2">
        <f t="shared" ca="1" si="0"/>
        <v>0.41345558863797066</v>
      </c>
      <c r="B607" s="2">
        <f t="shared" ca="1" si="1"/>
        <v>8.9712549817724779E-2</v>
      </c>
      <c r="C607" s="2">
        <f t="shared" ca="1" si="2"/>
        <v>4.2092155093100665E-2</v>
      </c>
      <c r="D607" s="2">
        <f t="shared" ca="1" si="3"/>
        <v>0.8310939205626281</v>
      </c>
      <c r="E607" s="2">
        <f t="shared" ca="1" si="4"/>
        <v>0.1689060794373719</v>
      </c>
      <c r="F607" s="1">
        <v>0</v>
      </c>
      <c r="G607" s="1">
        <f t="shared" ca="1" si="5"/>
        <v>0.8310939205626281</v>
      </c>
      <c r="H607" s="1">
        <f t="shared" ca="1" si="6"/>
        <v>0.1689060794373719</v>
      </c>
    </row>
    <row r="608" spans="1:8">
      <c r="A608" s="2">
        <f t="shared" ca="1" si="0"/>
        <v>0.11628278839876748</v>
      </c>
      <c r="B608" s="2">
        <f t="shared" ca="1" si="1"/>
        <v>9.6924666952603281E-2</v>
      </c>
      <c r="C608" s="2">
        <f t="shared" ca="1" si="2"/>
        <v>1.6270670537870579E-2</v>
      </c>
      <c r="D608" s="2">
        <f t="shared" ca="1" si="3"/>
        <v>0.96699647085331275</v>
      </c>
      <c r="E608" s="2">
        <f t="shared" ca="1" si="4"/>
        <v>3.3003529146687249E-2</v>
      </c>
      <c r="F608" s="1">
        <v>0</v>
      </c>
      <c r="G608" s="1">
        <f t="shared" ca="1" si="5"/>
        <v>0.96699647085331275</v>
      </c>
      <c r="H608" s="1">
        <f t="shared" ca="1" si="6"/>
        <v>3.3003529146687249E-2</v>
      </c>
    </row>
    <row r="609" spans="1:8">
      <c r="A609" s="2">
        <f t="shared" ca="1" si="0"/>
        <v>0.97603378806190533</v>
      </c>
      <c r="B609" s="2">
        <f t="shared" ca="1" si="1"/>
        <v>0.17472581659357556</v>
      </c>
      <c r="C609" s="2">
        <f t="shared" ca="1" si="2"/>
        <v>0.17553830064203726</v>
      </c>
      <c r="D609" s="2">
        <f t="shared" ca="1" si="3"/>
        <v>0.12874578609454079</v>
      </c>
      <c r="E609" s="2">
        <f t="shared" ca="1" si="4"/>
        <v>0.87125421390545921</v>
      </c>
      <c r="F609" s="1">
        <v>0</v>
      </c>
      <c r="G609" s="1">
        <f t="shared" ca="1" si="5"/>
        <v>0.12874578609454079</v>
      </c>
      <c r="H609" s="1">
        <f t="shared" ca="1" si="6"/>
        <v>0.87125421390545921</v>
      </c>
    </row>
    <row r="610" spans="1:8">
      <c r="A610" s="2">
        <f t="shared" ca="1" si="0"/>
        <v>0.97364050960032877</v>
      </c>
      <c r="B610" s="2">
        <f t="shared" ca="1" si="1"/>
        <v>0.16113652416230076</v>
      </c>
      <c r="C610" s="2">
        <f t="shared" ca="1" si="2"/>
        <v>0.1618890475006082</v>
      </c>
      <c r="D610" s="2">
        <f t="shared" ca="1" si="3"/>
        <v>0.20058396052311478</v>
      </c>
      <c r="E610" s="2">
        <f t="shared" ca="1" si="4"/>
        <v>0.79941603947688522</v>
      </c>
      <c r="F610" s="1">
        <v>0</v>
      </c>
      <c r="G610" s="1">
        <f t="shared" ca="1" si="5"/>
        <v>0.20058396052311478</v>
      </c>
      <c r="H610" s="1">
        <f t="shared" ca="1" si="6"/>
        <v>0.79941603947688522</v>
      </c>
    </row>
    <row r="611" spans="1:8">
      <c r="A611" s="2">
        <f t="shared" ca="1" si="0"/>
        <v>0.66547518172052222</v>
      </c>
      <c r="B611" s="2">
        <f t="shared" ca="1" si="1"/>
        <v>9.1973254768133589E-2</v>
      </c>
      <c r="C611" s="2">
        <f t="shared" ca="1" si="2"/>
        <v>6.6205918430251587E-2</v>
      </c>
      <c r="D611" s="2">
        <f t="shared" ca="1" si="3"/>
        <v>0.70417937668288644</v>
      </c>
      <c r="E611" s="2">
        <f t="shared" ca="1" si="4"/>
        <v>0.29582062331711356</v>
      </c>
      <c r="F611" s="1">
        <v>0</v>
      </c>
      <c r="G611" s="1">
        <f t="shared" ca="1" si="5"/>
        <v>0.70417937668288644</v>
      </c>
      <c r="H611" s="1">
        <f t="shared" ca="1" si="6"/>
        <v>0.29582062331711356</v>
      </c>
    </row>
    <row r="612" spans="1:8">
      <c r="A612" s="2">
        <f t="shared" ca="1" si="0"/>
        <v>0.97235845355663797</v>
      </c>
      <c r="B612" s="2">
        <f t="shared" ca="1" si="1"/>
        <v>0.1573589036764883</v>
      </c>
      <c r="C612" s="2">
        <f t="shared" ca="1" si="2"/>
        <v>0.15800926023223813</v>
      </c>
      <c r="D612" s="2">
        <f t="shared" ca="1" si="3"/>
        <v>0.22100389351453631</v>
      </c>
      <c r="E612" s="2">
        <f t="shared" ca="1" si="4"/>
        <v>0.77899610648546369</v>
      </c>
      <c r="F612" s="1">
        <v>0</v>
      </c>
      <c r="G612" s="1">
        <f t="shared" ca="1" si="5"/>
        <v>0.22100389351453631</v>
      </c>
      <c r="H612" s="1">
        <f t="shared" ca="1" si="6"/>
        <v>0.77899610648546369</v>
      </c>
    </row>
    <row r="613" spans="1:8">
      <c r="A613" s="2">
        <f t="shared" ca="1" si="0"/>
        <v>0.97627851848502378</v>
      </c>
      <c r="B613" s="2">
        <f t="shared" ca="1" si="1"/>
        <v>0.18088357729925808</v>
      </c>
      <c r="C613" s="2">
        <f t="shared" ca="1" si="2"/>
        <v>0.18159275086399096</v>
      </c>
      <c r="D613" s="2">
        <f t="shared" ca="1" si="3"/>
        <v>9.6880258610573922E-2</v>
      </c>
      <c r="E613" s="2">
        <f t="shared" ca="1" si="4"/>
        <v>0.90311974138942608</v>
      </c>
      <c r="F613" s="1">
        <v>0</v>
      </c>
      <c r="G613" s="1">
        <f t="shared" ca="1" si="5"/>
        <v>9.6880258610573922E-2</v>
      </c>
      <c r="H613" s="1">
        <f t="shared" ca="1" si="6"/>
        <v>0.90311974138942608</v>
      </c>
    </row>
    <row r="614" spans="1:8">
      <c r="A614" s="2">
        <f t="shared" ca="1" si="0"/>
        <v>0.38619418895373209</v>
      </c>
      <c r="B614" s="2">
        <f t="shared" ca="1" si="1"/>
        <v>8.9968741391826632E-2</v>
      </c>
      <c r="C614" s="2">
        <f t="shared" ca="1" si="2"/>
        <v>3.9745405113004548E-2</v>
      </c>
      <c r="D614" s="2">
        <f t="shared" ca="1" si="3"/>
        <v>0.84344523624734447</v>
      </c>
      <c r="E614" s="2">
        <f t="shared" ca="1" si="4"/>
        <v>0.15655476375265553</v>
      </c>
      <c r="F614" s="1">
        <v>0</v>
      </c>
      <c r="G614" s="1">
        <f t="shared" ca="1" si="5"/>
        <v>0.84344523624734447</v>
      </c>
      <c r="H614" s="1">
        <f t="shared" ca="1" si="6"/>
        <v>0.15655476375265553</v>
      </c>
    </row>
    <row r="615" spans="1:8">
      <c r="A615" s="2">
        <f t="shared" ca="1" si="0"/>
        <v>0.11916609853874484</v>
      </c>
      <c r="B615" s="2">
        <f t="shared" ca="1" si="1"/>
        <v>9.6804857557046084E-2</v>
      </c>
      <c r="C615" s="2">
        <f t="shared" ca="1" si="2"/>
        <v>1.6535857194672113E-2</v>
      </c>
      <c r="D615" s="2">
        <f t="shared" ca="1" si="3"/>
        <v>0.96560075160698888</v>
      </c>
      <c r="E615" s="2">
        <f t="shared" ca="1" si="4"/>
        <v>3.4399248393011117E-2</v>
      </c>
      <c r="F615" s="1">
        <v>0</v>
      </c>
      <c r="G615" s="1">
        <f t="shared" ca="1" si="5"/>
        <v>0.96560075160698888</v>
      </c>
      <c r="H615" s="1">
        <f t="shared" ca="1" si="6"/>
        <v>3.4399248393011117E-2</v>
      </c>
    </row>
    <row r="616" spans="1:8">
      <c r="A616" s="2">
        <f t="shared" ca="1" si="0"/>
        <v>0.9390254289588108</v>
      </c>
      <c r="B616" s="2">
        <f t="shared" ca="1" si="1"/>
        <v>0.12565989684307854</v>
      </c>
      <c r="C616" s="2">
        <f t="shared" ca="1" si="2"/>
        <v>0.12299783853599175</v>
      </c>
      <c r="D616" s="2">
        <f t="shared" ca="1" si="3"/>
        <v>0.40527453402109614</v>
      </c>
      <c r="E616" s="2">
        <f t="shared" ca="1" si="4"/>
        <v>0.59472546597890386</v>
      </c>
      <c r="F616" s="1">
        <v>0</v>
      </c>
      <c r="G616" s="1">
        <f t="shared" ca="1" si="5"/>
        <v>0.40527453402109614</v>
      </c>
      <c r="H616" s="1">
        <f t="shared" ca="1" si="6"/>
        <v>0.59472546597890386</v>
      </c>
    </row>
    <row r="617" spans="1:8">
      <c r="A617" s="2">
        <f t="shared" ca="1" si="0"/>
        <v>0.9757013180313806</v>
      </c>
      <c r="B617" s="2">
        <f t="shared" ca="1" si="1"/>
        <v>0.19353680513465815</v>
      </c>
      <c r="C617" s="2">
        <f t="shared" ca="1" si="2"/>
        <v>0.19383411585746843</v>
      </c>
      <c r="D617" s="2">
        <f t="shared" ca="1" si="3"/>
        <v>3.2452021802797826E-2</v>
      </c>
      <c r="E617" s="2">
        <f t="shared" ca="1" si="4"/>
        <v>0.96754797819720217</v>
      </c>
      <c r="F617" s="1">
        <v>0</v>
      </c>
      <c r="G617" s="1">
        <f t="shared" ca="1" si="5"/>
        <v>3.2452021802797826E-2</v>
      </c>
      <c r="H617" s="1">
        <f t="shared" ca="1" si="6"/>
        <v>0.96754797819720217</v>
      </c>
    </row>
    <row r="618" spans="1:8">
      <c r="A618" s="2">
        <f t="shared" ca="1" si="0"/>
        <v>0.89429351017987868</v>
      </c>
      <c r="B618" s="2">
        <f t="shared" ca="1" si="1"/>
        <v>0.11177477800790936</v>
      </c>
      <c r="C618" s="2">
        <f t="shared" ca="1" si="2"/>
        <v>0.10495945857426997</v>
      </c>
      <c r="D618" s="2">
        <f t="shared" ca="1" si="3"/>
        <v>0.5002133759248949</v>
      </c>
      <c r="E618" s="2">
        <f t="shared" ca="1" si="4"/>
        <v>0.4997866240751051</v>
      </c>
      <c r="F618" s="1">
        <v>0</v>
      </c>
      <c r="G618" s="1">
        <f t="shared" ca="1" si="5"/>
        <v>0.5002133759248949</v>
      </c>
      <c r="H618" s="1">
        <f t="shared" ca="1" si="6"/>
        <v>0.4997866240751051</v>
      </c>
    </row>
    <row r="619" spans="1:8">
      <c r="A619" s="2">
        <f t="shared" ca="1" si="0"/>
        <v>0.97608962665462673</v>
      </c>
      <c r="B619" s="2">
        <f t="shared" ca="1" si="1"/>
        <v>0.17552258062869083</v>
      </c>
      <c r="C619" s="2">
        <f t="shared" ca="1" si="2"/>
        <v>0.17632577019531545</v>
      </c>
      <c r="D619" s="2">
        <f t="shared" ca="1" si="3"/>
        <v>0.12460120949833975</v>
      </c>
      <c r="E619" s="2">
        <f t="shared" ca="1" si="4"/>
        <v>0.87539879050166025</v>
      </c>
      <c r="F619" s="1">
        <v>0</v>
      </c>
      <c r="G619" s="1">
        <f t="shared" ca="1" si="5"/>
        <v>0.12460120949833975</v>
      </c>
      <c r="H619" s="1">
        <f t="shared" ca="1" si="6"/>
        <v>0.87539879050166025</v>
      </c>
    </row>
    <row r="620" spans="1:8">
      <c r="A620" s="2">
        <f t="shared" ca="1" si="0"/>
        <v>0.10011543908958452</v>
      </c>
      <c r="B620" s="2">
        <f t="shared" ca="1" si="1"/>
        <v>9.7617276316804932E-2</v>
      </c>
      <c r="C620" s="2">
        <f t="shared" ca="1" si="2"/>
        <v>1.4772996481186226E-2</v>
      </c>
      <c r="D620" s="2">
        <f t="shared" ca="1" si="3"/>
        <v>0.97487896588849354</v>
      </c>
      <c r="E620" s="2">
        <f t="shared" ca="1" si="4"/>
        <v>2.5121034111506457E-2</v>
      </c>
      <c r="F620" s="1">
        <v>0</v>
      </c>
      <c r="G620" s="1">
        <f t="shared" ca="1" si="5"/>
        <v>0.97487896588849354</v>
      </c>
      <c r="H620" s="1">
        <f t="shared" ca="1" si="6"/>
        <v>2.5121034111506457E-2</v>
      </c>
    </row>
    <row r="621" spans="1:8">
      <c r="A621" s="2">
        <f t="shared" ca="1" si="0"/>
        <v>0.95249000552884666</v>
      </c>
      <c r="B621" s="2">
        <f t="shared" ca="1" si="1"/>
        <v>0.13321718279938485</v>
      </c>
      <c r="C621" s="2">
        <f t="shared" ca="1" si="2"/>
        <v>0.13188803518112346</v>
      </c>
      <c r="D621" s="2">
        <f t="shared" ca="1" si="3"/>
        <v>0.35848402536250812</v>
      </c>
      <c r="E621" s="2">
        <f t="shared" ca="1" si="4"/>
        <v>0.64151597463749188</v>
      </c>
      <c r="F621" s="1">
        <v>0</v>
      </c>
      <c r="G621" s="1">
        <f t="shared" ca="1" si="5"/>
        <v>0.35848402536250812</v>
      </c>
      <c r="H621" s="1">
        <f t="shared" ca="1" si="6"/>
        <v>0.64151597463749188</v>
      </c>
    </row>
    <row r="622" spans="1:8">
      <c r="A622" s="2">
        <f t="shared" ca="1" si="0"/>
        <v>0.96694180464210711</v>
      </c>
      <c r="B622" s="2">
        <f t="shared" ca="1" si="1"/>
        <v>0.14715260750396095</v>
      </c>
      <c r="C622" s="2">
        <f t="shared" ca="1" si="2"/>
        <v>0.14728800785767168</v>
      </c>
      <c r="D622" s="2">
        <f t="shared" ca="1" si="3"/>
        <v>0.27743153759120176</v>
      </c>
      <c r="E622" s="2">
        <f t="shared" ca="1" si="4"/>
        <v>0.72256846240879824</v>
      </c>
      <c r="F622" s="1">
        <v>0</v>
      </c>
      <c r="G622" s="1">
        <f t="shared" ca="1" si="5"/>
        <v>0.27743153759120176</v>
      </c>
      <c r="H622" s="1">
        <f t="shared" ca="1" si="6"/>
        <v>0.72256846240879824</v>
      </c>
    </row>
    <row r="623" spans="1:8">
      <c r="A623" s="2">
        <f t="shared" ca="1" si="0"/>
        <v>0.88075095269833392</v>
      </c>
      <c r="B623" s="2">
        <f t="shared" ca="1" si="1"/>
        <v>0.10911111707075799</v>
      </c>
      <c r="C623" s="2">
        <f t="shared" ca="1" si="2"/>
        <v>0.10109972031004955</v>
      </c>
      <c r="D623" s="2">
        <f t="shared" ca="1" si="3"/>
        <v>0.5205277878418445</v>
      </c>
      <c r="E623" s="2">
        <f t="shared" ca="1" si="4"/>
        <v>0.4794722121581555</v>
      </c>
      <c r="F623" s="1">
        <v>0</v>
      </c>
      <c r="G623" s="1">
        <f t="shared" ca="1" si="5"/>
        <v>0.5205277878418445</v>
      </c>
      <c r="H623" s="1">
        <f t="shared" ca="1" si="6"/>
        <v>0.4794722121581555</v>
      </c>
    </row>
    <row r="624" spans="1:8">
      <c r="A624" s="2">
        <f t="shared" ca="1" si="0"/>
        <v>0.73467923670515367</v>
      </c>
      <c r="B624" s="2">
        <f t="shared" ca="1" si="1"/>
        <v>9.4773921021864202E-2</v>
      </c>
      <c r="C624" s="2">
        <f t="shared" ca="1" si="2"/>
        <v>7.4628431955897717E-2</v>
      </c>
      <c r="D624" s="2">
        <f t="shared" ca="1" si="3"/>
        <v>0.65985035812685411</v>
      </c>
      <c r="E624" s="2">
        <f t="shared" ca="1" si="4"/>
        <v>0.34014964187314589</v>
      </c>
      <c r="F624" s="1">
        <v>0</v>
      </c>
      <c r="G624" s="1">
        <f t="shared" ca="1" si="5"/>
        <v>0.65985035812685411</v>
      </c>
      <c r="H624" s="1">
        <f t="shared" ca="1" si="6"/>
        <v>0.34014964187314589</v>
      </c>
    </row>
    <row r="625" spans="1:8">
      <c r="A625" s="2">
        <f t="shared" ca="1" si="0"/>
        <v>0.97605403423432702</v>
      </c>
      <c r="B625" s="2">
        <f t="shared" ca="1" si="1"/>
        <v>0.18887897490042233</v>
      </c>
      <c r="C625" s="2">
        <f t="shared" ca="1" si="2"/>
        <v>0.18935608543360141</v>
      </c>
      <c r="D625" s="2">
        <f t="shared" ca="1" si="3"/>
        <v>5.6020602981045386E-2</v>
      </c>
      <c r="E625" s="2">
        <f t="shared" ca="1" si="4"/>
        <v>0.94397939701895461</v>
      </c>
      <c r="F625" s="1">
        <v>0</v>
      </c>
      <c r="G625" s="1">
        <f t="shared" ca="1" si="5"/>
        <v>5.6020602981045386E-2</v>
      </c>
      <c r="H625" s="1">
        <f t="shared" ca="1" si="6"/>
        <v>0.94397939701895461</v>
      </c>
    </row>
    <row r="626" spans="1:8">
      <c r="A626" s="2">
        <f t="shared" ca="1" si="0"/>
        <v>0.97223902957426567</v>
      </c>
      <c r="B626" s="2">
        <f t="shared" ca="1" si="1"/>
        <v>0.15705085391718518</v>
      </c>
      <c r="C626" s="2">
        <f t="shared" ca="1" si="2"/>
        <v>0.15769096980625388</v>
      </c>
      <c r="D626" s="2">
        <f t="shared" ca="1" si="3"/>
        <v>0.22267910628287435</v>
      </c>
      <c r="E626" s="2">
        <f t="shared" ca="1" si="4"/>
        <v>0.77732089371712565</v>
      </c>
      <c r="F626" s="1">
        <v>0</v>
      </c>
      <c r="G626" s="1">
        <f t="shared" ca="1" si="5"/>
        <v>0.22267910628287435</v>
      </c>
      <c r="H626" s="1">
        <f t="shared" ca="1" si="6"/>
        <v>0.77732089371712565</v>
      </c>
    </row>
    <row r="627" spans="1:8">
      <c r="A627" s="2">
        <f t="shared" ca="1" si="0"/>
        <v>0.25246940635398901</v>
      </c>
      <c r="B627" s="2">
        <f t="shared" ca="1" si="1"/>
        <v>9.2391057388290981E-2</v>
      </c>
      <c r="C627" s="2">
        <f t="shared" ca="1" si="2"/>
        <v>2.8325915411239154E-2</v>
      </c>
      <c r="D627" s="2">
        <f t="shared" ca="1" si="3"/>
        <v>0.90354781362505709</v>
      </c>
      <c r="E627" s="2">
        <f t="shared" ca="1" si="4"/>
        <v>9.6452186374942905E-2</v>
      </c>
      <c r="F627" s="1">
        <v>0</v>
      </c>
      <c r="G627" s="1">
        <f t="shared" ca="1" si="5"/>
        <v>0.90354781362505709</v>
      </c>
      <c r="H627" s="1">
        <f t="shared" ca="1" si="6"/>
        <v>9.6452186374942905E-2</v>
      </c>
    </row>
    <row r="628" spans="1:8">
      <c r="A628" s="2">
        <f t="shared" ca="1" si="0"/>
        <v>0.47222902133872913</v>
      </c>
      <c r="B628" s="2">
        <f t="shared" ca="1" si="1"/>
        <v>8.9447196280559846E-2</v>
      </c>
      <c r="C628" s="2">
        <f t="shared" ca="1" si="2"/>
        <v>4.7239561961061986E-2</v>
      </c>
      <c r="D628" s="2">
        <f t="shared" ca="1" si="3"/>
        <v>0.80400230546809481</v>
      </c>
      <c r="E628" s="2">
        <f t="shared" ca="1" si="4"/>
        <v>0.19599769453190519</v>
      </c>
      <c r="F628" s="1">
        <v>0</v>
      </c>
      <c r="G628" s="1">
        <f t="shared" ca="1" si="5"/>
        <v>0.80400230546809481</v>
      </c>
      <c r="H628" s="1">
        <f t="shared" ca="1" si="6"/>
        <v>0.19599769453190519</v>
      </c>
    </row>
    <row r="629" spans="1:8">
      <c r="A629" s="2">
        <f t="shared" ca="1" si="0"/>
        <v>0.9712166069357927</v>
      </c>
      <c r="B629" s="2">
        <f t="shared" ca="1" si="1"/>
        <v>0.15463335180740737</v>
      </c>
      <c r="C629" s="2">
        <f t="shared" ca="1" si="2"/>
        <v>0.15518247926149892</v>
      </c>
      <c r="D629" s="2">
        <f t="shared" ca="1" si="3"/>
        <v>0.2358816880973742</v>
      </c>
      <c r="E629" s="2">
        <f t="shared" ca="1" si="4"/>
        <v>0.7641183119026258</v>
      </c>
      <c r="F629" s="1">
        <v>0</v>
      </c>
      <c r="G629" s="1">
        <f t="shared" ca="1" si="5"/>
        <v>0.2358816880973742</v>
      </c>
      <c r="H629" s="1">
        <f t="shared" ca="1" si="6"/>
        <v>0.7641183119026258</v>
      </c>
    </row>
    <row r="630" spans="1:8">
      <c r="A630" s="2">
        <f t="shared" ca="1" si="0"/>
        <v>0.9577280497443581</v>
      </c>
      <c r="B630" s="2">
        <f t="shared" ca="1" si="1"/>
        <v>0.13719300182947225</v>
      </c>
      <c r="C630" s="2">
        <f t="shared" ca="1" si="2"/>
        <v>0.13639358608071461</v>
      </c>
      <c r="D630" s="2">
        <f t="shared" ca="1" si="3"/>
        <v>0.3347705995751864</v>
      </c>
      <c r="E630" s="2">
        <f t="shared" ca="1" si="4"/>
        <v>0.6652294004248136</v>
      </c>
      <c r="F630" s="1">
        <v>0</v>
      </c>
      <c r="G630" s="1">
        <f t="shared" ca="1" si="5"/>
        <v>0.3347705995751864</v>
      </c>
      <c r="H630" s="1">
        <f t="shared" ca="1" si="6"/>
        <v>0.6652294004248136</v>
      </c>
    </row>
    <row r="631" spans="1:8">
      <c r="A631" s="2">
        <f t="shared" ca="1" si="0"/>
        <v>0.62674942827999724</v>
      </c>
      <c r="B631" s="2">
        <f t="shared" ca="1" si="1"/>
        <v>9.0947947743666643E-2</v>
      </c>
      <c r="C631" s="2">
        <f t="shared" ca="1" si="2"/>
        <v>6.2001574251582134E-2</v>
      </c>
      <c r="D631" s="2">
        <f t="shared" ca="1" si="3"/>
        <v>0.72630750393904142</v>
      </c>
      <c r="E631" s="2">
        <f t="shared" ca="1" si="4"/>
        <v>0.27369249606095858</v>
      </c>
      <c r="F631" s="1">
        <v>0</v>
      </c>
      <c r="G631" s="1">
        <f t="shared" ca="1" si="5"/>
        <v>0.72630750393904142</v>
      </c>
      <c r="H631" s="1">
        <f t="shared" ca="1" si="6"/>
        <v>0.27369249606095858</v>
      </c>
    </row>
    <row r="632" spans="1:8">
      <c r="A632" s="2">
        <f t="shared" ca="1" si="0"/>
        <v>0.97616845210594982</v>
      </c>
      <c r="B632" s="2">
        <f t="shared" ca="1" si="1"/>
        <v>0.17690225917716471</v>
      </c>
      <c r="C632" s="2">
        <f t="shared" ca="1" si="2"/>
        <v>0.17768640451501844</v>
      </c>
      <c r="D632" s="2">
        <f t="shared" ca="1" si="3"/>
        <v>0.11743997623674507</v>
      </c>
      <c r="E632" s="2">
        <f t="shared" ca="1" si="4"/>
        <v>0.88256002376325493</v>
      </c>
      <c r="F632" s="1">
        <v>0</v>
      </c>
      <c r="G632" s="1">
        <f t="shared" ca="1" si="5"/>
        <v>0.11743997623674507</v>
      </c>
      <c r="H632" s="1">
        <f t="shared" ca="1" si="6"/>
        <v>0.88256002376325493</v>
      </c>
    </row>
    <row r="633" spans="1:8">
      <c r="A633" s="2">
        <f t="shared" ca="1" si="0"/>
        <v>0.96937653754677278</v>
      </c>
      <c r="B633" s="2">
        <f t="shared" ca="1" si="1"/>
        <v>0.15101395208572793</v>
      </c>
      <c r="C633" s="2">
        <f t="shared" ca="1" si="2"/>
        <v>0.15138938199411719</v>
      </c>
      <c r="D633" s="2">
        <f t="shared" ca="1" si="3"/>
        <v>0.25584535792569907</v>
      </c>
      <c r="E633" s="2">
        <f t="shared" ca="1" si="4"/>
        <v>0.74415464207430093</v>
      </c>
      <c r="F633" s="1">
        <v>0</v>
      </c>
      <c r="G633" s="1">
        <f t="shared" ca="1" si="5"/>
        <v>0.25584535792569907</v>
      </c>
      <c r="H633" s="1">
        <f t="shared" ca="1" si="6"/>
        <v>0.74415464207430093</v>
      </c>
    </row>
    <row r="634" spans="1:8">
      <c r="A634" s="2">
        <f t="shared" ca="1" si="0"/>
        <v>0.93707804422955376</v>
      </c>
      <c r="B634" s="2">
        <f t="shared" ca="1" si="1"/>
        <v>0.12477670207926661</v>
      </c>
      <c r="C634" s="2">
        <f t="shared" ca="1" si="2"/>
        <v>0.12192550794985285</v>
      </c>
      <c r="D634" s="2">
        <f t="shared" ca="1" si="3"/>
        <v>0.41091837921130081</v>
      </c>
      <c r="E634" s="2">
        <f t="shared" ca="1" si="4"/>
        <v>0.58908162078869919</v>
      </c>
      <c r="F634" s="1">
        <v>0</v>
      </c>
      <c r="G634" s="1">
        <f t="shared" ca="1" si="5"/>
        <v>0.41091837921130081</v>
      </c>
      <c r="H634" s="1">
        <f t="shared" ca="1" si="6"/>
        <v>0.58908162078869919</v>
      </c>
    </row>
    <row r="635" spans="1:8">
      <c r="A635" s="2">
        <f t="shared" ca="1" si="0"/>
        <v>0.97502888655040121</v>
      </c>
      <c r="B635" s="2">
        <f t="shared" ca="1" si="1"/>
        <v>0.16691041894208297</v>
      </c>
      <c r="C635" s="2">
        <f t="shared" ca="1" si="2"/>
        <v>0.16774247993476016</v>
      </c>
      <c r="D635" s="2">
        <f t="shared" ca="1" si="3"/>
        <v>0.16977642139599936</v>
      </c>
      <c r="E635" s="2">
        <f t="shared" ca="1" si="4"/>
        <v>0.83022357860400064</v>
      </c>
      <c r="F635" s="1">
        <v>0</v>
      </c>
      <c r="G635" s="1">
        <f t="shared" ca="1" si="5"/>
        <v>0.16977642139599936</v>
      </c>
      <c r="H635" s="1">
        <f t="shared" ca="1" si="6"/>
        <v>0.83022357860400064</v>
      </c>
    </row>
    <row r="636" spans="1:8">
      <c r="A636" s="2">
        <f t="shared" ca="1" si="0"/>
        <v>0.82014536495004164</v>
      </c>
      <c r="B636" s="2">
        <f t="shared" ca="1" si="1"/>
        <v>0.10097117937795545</v>
      </c>
      <c r="C636" s="2">
        <f t="shared" ca="1" si="2"/>
        <v>8.7811044760369397E-2</v>
      </c>
      <c r="D636" s="2">
        <f t="shared" ca="1" si="3"/>
        <v>0.59046818547174007</v>
      </c>
      <c r="E636" s="2">
        <f t="shared" ca="1" si="4"/>
        <v>0.40953181452825993</v>
      </c>
      <c r="F636" s="1">
        <v>0</v>
      </c>
      <c r="G636" s="1">
        <f t="shared" ca="1" si="5"/>
        <v>0.59046818547174007</v>
      </c>
      <c r="H636" s="1">
        <f t="shared" ca="1" si="6"/>
        <v>0.40953181452825993</v>
      </c>
    </row>
    <row r="637" spans="1:8">
      <c r="A637" s="2">
        <f t="shared" ca="1" si="0"/>
        <v>0.31664503686825263</v>
      </c>
      <c r="B637" s="2">
        <f t="shared" ca="1" si="1"/>
        <v>9.0988180534932142E-2</v>
      </c>
      <c r="C637" s="2">
        <f t="shared" ca="1" si="2"/>
        <v>3.3810955780058813E-2</v>
      </c>
      <c r="D637" s="2">
        <f t="shared" ca="1" si="3"/>
        <v>0.8746791801049536</v>
      </c>
      <c r="E637" s="2">
        <f t="shared" ca="1" si="4"/>
        <v>0.1253208198950464</v>
      </c>
      <c r="F637" s="1">
        <v>0</v>
      </c>
      <c r="G637" s="1">
        <f t="shared" ca="1" si="5"/>
        <v>0.8746791801049536</v>
      </c>
      <c r="H637" s="1">
        <f t="shared" ca="1" si="6"/>
        <v>0.1253208198950464</v>
      </c>
    </row>
    <row r="638" spans="1:8">
      <c r="A638" s="2">
        <f t="shared" ca="1" si="0"/>
        <v>0.95789130982259674</v>
      </c>
      <c r="B638" s="2">
        <f t="shared" ca="1" si="1"/>
        <v>0.13733101742444956</v>
      </c>
      <c r="C638" s="2">
        <f t="shared" ca="1" si="2"/>
        <v>0.13654818815997585</v>
      </c>
      <c r="D638" s="2">
        <f t="shared" ca="1" si="3"/>
        <v>0.33395690442117976</v>
      </c>
      <c r="E638" s="2">
        <f t="shared" ca="1" si="4"/>
        <v>0.66604309557882024</v>
      </c>
      <c r="F638" s="1">
        <v>0</v>
      </c>
      <c r="G638" s="1">
        <f t="shared" ca="1" si="5"/>
        <v>0.33395690442117976</v>
      </c>
      <c r="H638" s="1">
        <f t="shared" ca="1" si="6"/>
        <v>0.66604309557882024</v>
      </c>
    </row>
    <row r="639" spans="1:8">
      <c r="A639" s="2">
        <f t="shared" ca="1" si="0"/>
        <v>0.96139719482899699</v>
      </c>
      <c r="B639" s="2">
        <f t="shared" ca="1" si="1"/>
        <v>0.14056139615306168</v>
      </c>
      <c r="C639" s="2">
        <f t="shared" ca="1" si="2"/>
        <v>0.14013533196280087</v>
      </c>
      <c r="D639" s="2">
        <f t="shared" ca="1" si="3"/>
        <v>0.31507720019578489</v>
      </c>
      <c r="E639" s="2">
        <f t="shared" ca="1" si="4"/>
        <v>0.68492279980421511</v>
      </c>
      <c r="F639" s="1">
        <v>0</v>
      </c>
      <c r="G639" s="1">
        <f t="shared" ca="1" si="5"/>
        <v>0.31507720019578489</v>
      </c>
      <c r="H639" s="1">
        <f t="shared" ca="1" si="6"/>
        <v>0.68492279980421511</v>
      </c>
    </row>
    <row r="640" spans="1:8">
      <c r="A640" s="2">
        <f t="shared" ca="1" si="0"/>
        <v>0.76275780316856701</v>
      </c>
      <c r="B640" s="2">
        <f t="shared" ca="1" si="1"/>
        <v>9.6384396944602879E-2</v>
      </c>
      <c r="C640" s="2">
        <f t="shared" ca="1" si="2"/>
        <v>7.8517950873192438E-2</v>
      </c>
      <c r="D640" s="2">
        <f t="shared" ca="1" si="3"/>
        <v>0.63937920593056619</v>
      </c>
      <c r="E640" s="2">
        <f t="shared" ca="1" si="4"/>
        <v>0.36062079406943381</v>
      </c>
      <c r="F640" s="1">
        <v>0</v>
      </c>
      <c r="G640" s="1">
        <f t="shared" ca="1" si="5"/>
        <v>0.63937920593056619</v>
      </c>
      <c r="H640" s="1">
        <f t="shared" ca="1" si="6"/>
        <v>0.36062079406943381</v>
      </c>
    </row>
    <row r="641" spans="1:8">
      <c r="A641" s="2">
        <f t="shared" ca="1" si="0"/>
        <v>9.4712522723060605E-2</v>
      </c>
      <c r="B641" s="2">
        <f t="shared" ca="1" si="1"/>
        <v>9.7856743802457596E-2</v>
      </c>
      <c r="C641" s="2">
        <f t="shared" ca="1" si="2"/>
        <v>1.4268259070994986E-2</v>
      </c>
      <c r="D641" s="2">
        <f t="shared" ca="1" si="3"/>
        <v>0.97753547857371059</v>
      </c>
      <c r="E641" s="2">
        <f t="shared" ca="1" si="4"/>
        <v>2.2464521426289408E-2</v>
      </c>
      <c r="F641" s="1">
        <v>0</v>
      </c>
      <c r="G641" s="1">
        <f t="shared" ca="1" si="5"/>
        <v>0.97753547857371059</v>
      </c>
      <c r="H641" s="1">
        <f t="shared" ca="1" si="6"/>
        <v>2.2464521426289408E-2</v>
      </c>
    </row>
    <row r="642" spans="1:8">
      <c r="A642" s="2">
        <f t="shared" ca="1" si="0"/>
        <v>0.67906194546465304</v>
      </c>
      <c r="B642" s="2">
        <f t="shared" ca="1" si="1"/>
        <v>9.2415149100854133E-2</v>
      </c>
      <c r="C642" s="2">
        <f t="shared" ca="1" si="2"/>
        <v>6.7755610938831992E-2</v>
      </c>
      <c r="D642" s="2">
        <f t="shared" ca="1" si="3"/>
        <v>0.69602310032193693</v>
      </c>
      <c r="E642" s="2">
        <f t="shared" ca="1" si="4"/>
        <v>0.30397689967806307</v>
      </c>
      <c r="F642" s="1">
        <v>0</v>
      </c>
      <c r="G642" s="1">
        <f t="shared" ca="1" si="5"/>
        <v>0.69602310032193693</v>
      </c>
      <c r="H642" s="1">
        <f t="shared" ca="1" si="6"/>
        <v>0.30397689967806307</v>
      </c>
    </row>
    <row r="643" spans="1:8">
      <c r="A643" s="2">
        <f t="shared" ca="1" si="0"/>
        <v>0.97553224821373474</v>
      </c>
      <c r="B643" s="2">
        <f t="shared" ca="1" si="1"/>
        <v>0.19530195100801076</v>
      </c>
      <c r="C643" s="2">
        <f t="shared" ca="1" si="2"/>
        <v>0.19552335134737342</v>
      </c>
      <c r="D643" s="2">
        <f t="shared" ca="1" si="3"/>
        <v>2.3561308698034633E-2</v>
      </c>
      <c r="E643" s="2">
        <f t="shared" ca="1" si="4"/>
        <v>0.97643869130196537</v>
      </c>
      <c r="F643" s="1">
        <v>0</v>
      </c>
      <c r="G643" s="1">
        <f t="shared" ca="1" si="5"/>
        <v>2.3561308698034633E-2</v>
      </c>
      <c r="H643" s="1">
        <f t="shared" ca="1" si="6"/>
        <v>0.97643869130196537</v>
      </c>
    </row>
    <row r="644" spans="1:8">
      <c r="A644" s="2">
        <f t="shared" ca="1" si="0"/>
        <v>0.81715277149427357</v>
      </c>
      <c r="B644" s="2">
        <f t="shared" ca="1" si="1"/>
        <v>0.10067607094568774</v>
      </c>
      <c r="C644" s="2">
        <f t="shared" ca="1" si="2"/>
        <v>8.7267730396422855E-2</v>
      </c>
      <c r="D644" s="2">
        <f t="shared" ca="1" si="3"/>
        <v>0.59332773475566924</v>
      </c>
      <c r="E644" s="2">
        <f t="shared" ca="1" si="4"/>
        <v>0.40667226524433076</v>
      </c>
      <c r="F644" s="1">
        <v>0</v>
      </c>
      <c r="G644" s="1">
        <f t="shared" ca="1" si="5"/>
        <v>0.59332773475566924</v>
      </c>
      <c r="H644" s="1">
        <f t="shared" ca="1" si="6"/>
        <v>0.40667226524433076</v>
      </c>
    </row>
    <row r="645" spans="1:8">
      <c r="A645" s="2">
        <f t="shared" ca="1" si="0"/>
        <v>0.72728668098180016</v>
      </c>
      <c r="B645" s="2">
        <f t="shared" ca="1" si="1"/>
        <v>9.4402236158756217E-2</v>
      </c>
      <c r="C645" s="2">
        <f t="shared" ca="1" si="2"/>
        <v>7.3657489013161895E-2</v>
      </c>
      <c r="D645" s="2">
        <f t="shared" ca="1" si="3"/>
        <v>0.66496058414125314</v>
      </c>
      <c r="E645" s="2">
        <f t="shared" ca="1" si="4"/>
        <v>0.33503941585874686</v>
      </c>
      <c r="F645" s="1">
        <v>0</v>
      </c>
      <c r="G645" s="1">
        <f t="shared" ca="1" si="5"/>
        <v>0.66496058414125314</v>
      </c>
      <c r="H645" s="1">
        <f t="shared" ca="1" si="6"/>
        <v>0.33503941585874686</v>
      </c>
    </row>
    <row r="646" spans="1:8">
      <c r="A646" s="2">
        <f t="shared" ca="1" si="0"/>
        <v>0.96946426903971372</v>
      </c>
      <c r="B646" s="2">
        <f t="shared" ca="1" si="1"/>
        <v>0.15117015228504127</v>
      </c>
      <c r="C646" s="2">
        <f t="shared" ca="1" si="2"/>
        <v>0.15155406118563974</v>
      </c>
      <c r="D646" s="2">
        <f t="shared" ca="1" si="3"/>
        <v>0.25497862533873827</v>
      </c>
      <c r="E646" s="2">
        <f t="shared" ca="1" si="4"/>
        <v>0.74502137466126173</v>
      </c>
      <c r="F646" s="1">
        <v>0</v>
      </c>
      <c r="G646" s="1">
        <f t="shared" ca="1" si="5"/>
        <v>0.25497862533873827</v>
      </c>
      <c r="H646" s="1">
        <f t="shared" ca="1" si="6"/>
        <v>0.74502137466126173</v>
      </c>
    </row>
    <row r="647" spans="1:8">
      <c r="A647" s="2">
        <f t="shared" ca="1" si="0"/>
        <v>0.78385605592954444</v>
      </c>
      <c r="B647" s="2">
        <f t="shared" ca="1" si="1"/>
        <v>9.783681677546878E-2</v>
      </c>
      <c r="C647" s="2">
        <f t="shared" ca="1" si="2"/>
        <v>8.1689981322320457E-2</v>
      </c>
      <c r="D647" s="2">
        <f t="shared" ca="1" si="3"/>
        <v>0.62268430882989234</v>
      </c>
      <c r="E647" s="2">
        <f t="shared" ca="1" si="4"/>
        <v>0.37731569117010766</v>
      </c>
      <c r="F647" s="1">
        <v>0</v>
      </c>
      <c r="G647" s="1">
        <f t="shared" ca="1" si="5"/>
        <v>0.62268430882989234</v>
      </c>
      <c r="H647" s="1">
        <f t="shared" ca="1" si="6"/>
        <v>0.37731569117010766</v>
      </c>
    </row>
    <row r="648" spans="1:8">
      <c r="A648" s="2">
        <f t="shared" ca="1" si="0"/>
        <v>0.97627952859147715</v>
      </c>
      <c r="B648" s="2">
        <f t="shared" ca="1" si="1"/>
        <v>0.18223170471058905</v>
      </c>
      <c r="C648" s="2">
        <f t="shared" ca="1" si="2"/>
        <v>0.18290908276927514</v>
      </c>
      <c r="D648" s="2">
        <f t="shared" ca="1" si="3"/>
        <v>8.9952195951183533E-2</v>
      </c>
      <c r="E648" s="2">
        <f t="shared" ca="1" si="4"/>
        <v>0.91004780404881647</v>
      </c>
      <c r="F648" s="1">
        <v>0</v>
      </c>
      <c r="G648" s="1">
        <f t="shared" ca="1" si="5"/>
        <v>8.9952195951183533E-2</v>
      </c>
      <c r="H648" s="1">
        <f t="shared" ca="1" si="6"/>
        <v>0.91004780404881647</v>
      </c>
    </row>
    <row r="649" spans="1:8">
      <c r="A649" s="2">
        <f t="shared" ca="1" si="0"/>
        <v>0.90186307583024072</v>
      </c>
      <c r="B649" s="2">
        <f t="shared" ca="1" si="1"/>
        <v>0.11347885276869242</v>
      </c>
      <c r="C649" s="2">
        <f t="shared" ca="1" si="2"/>
        <v>0.10734238719965998</v>
      </c>
      <c r="D649" s="2">
        <f t="shared" ca="1" si="3"/>
        <v>0.48767164631757909</v>
      </c>
      <c r="E649" s="2">
        <f t="shared" ca="1" si="4"/>
        <v>0.51232835368242091</v>
      </c>
      <c r="F649" s="1">
        <v>0</v>
      </c>
      <c r="G649" s="1">
        <f t="shared" ca="1" si="5"/>
        <v>0.48767164631757909</v>
      </c>
      <c r="H649" s="1">
        <f t="shared" ca="1" si="6"/>
        <v>0.51232835368242091</v>
      </c>
    </row>
    <row r="650" spans="1:8">
      <c r="A650" s="2">
        <f t="shared" ca="1" si="0"/>
        <v>0.21389416801731623</v>
      </c>
      <c r="B650" s="2">
        <f t="shared" ca="1" si="1"/>
        <v>9.3452608435610762E-2</v>
      </c>
      <c r="C650" s="2">
        <f t="shared" ca="1" si="2"/>
        <v>2.4988967930382994E-2</v>
      </c>
      <c r="D650" s="2">
        <f t="shared" ca="1" si="3"/>
        <v>0.92111069510324739</v>
      </c>
      <c r="E650" s="2">
        <f t="shared" ca="1" si="4"/>
        <v>7.888930489675261E-2</v>
      </c>
      <c r="F650" s="1">
        <v>0</v>
      </c>
      <c r="G650" s="1">
        <f t="shared" ca="1" si="5"/>
        <v>0.92111069510324739</v>
      </c>
      <c r="H650" s="1">
        <f t="shared" ca="1" si="6"/>
        <v>7.888930489675261E-2</v>
      </c>
    </row>
    <row r="651" spans="1:8">
      <c r="A651" s="2">
        <f t="shared" ca="1" si="0"/>
        <v>5.4130187209127219E-2</v>
      </c>
      <c r="B651" s="2">
        <f t="shared" ca="1" si="1"/>
        <v>9.9789513917027395E-2</v>
      </c>
      <c r="C651" s="2">
        <f t="shared" ca="1" si="2"/>
        <v>1.0401625069836499E-2</v>
      </c>
      <c r="D651" s="2">
        <f t="shared" ca="1" si="3"/>
        <v>0.99788618384296579</v>
      </c>
      <c r="E651" s="2">
        <f t="shared" ca="1" si="4"/>
        <v>2.1138161570342096E-3</v>
      </c>
      <c r="F651" s="1">
        <v>0</v>
      </c>
      <c r="G651" s="1">
        <f t="shared" ca="1" si="5"/>
        <v>0.99788618384296579</v>
      </c>
      <c r="H651" s="1">
        <f t="shared" ca="1" si="6"/>
        <v>2.1138161570342096E-3</v>
      </c>
    </row>
    <row r="652" spans="1:8">
      <c r="A652" s="2">
        <f t="shared" ca="1" si="0"/>
        <v>0.97583537278031474</v>
      </c>
      <c r="B652" s="2">
        <f t="shared" ca="1" si="1"/>
        <v>0.191974464705643</v>
      </c>
      <c r="C652" s="2">
        <f t="shared" ca="1" si="2"/>
        <v>0.19233547333033252</v>
      </c>
      <c r="D652" s="2">
        <f t="shared" ca="1" si="3"/>
        <v>4.03396140508816E-2</v>
      </c>
      <c r="E652" s="2">
        <f t="shared" ca="1" si="4"/>
        <v>0.9596603859491184</v>
      </c>
      <c r="F652" s="1">
        <v>0</v>
      </c>
      <c r="G652" s="1">
        <f t="shared" ca="1" si="5"/>
        <v>4.03396140508816E-2</v>
      </c>
      <c r="H652" s="1">
        <f t="shared" ca="1" si="6"/>
        <v>0.9596603859491184</v>
      </c>
    </row>
    <row r="653" spans="1:8">
      <c r="A653" s="2">
        <f t="shared" ca="1" si="0"/>
        <v>0.97619150272831423</v>
      </c>
      <c r="B653" s="2">
        <f t="shared" ca="1" si="1"/>
        <v>0.17739963169110046</v>
      </c>
      <c r="C653" s="2">
        <f t="shared" ca="1" si="2"/>
        <v>0.17817601304398484</v>
      </c>
      <c r="D653" s="2">
        <f t="shared" ca="1" si="3"/>
        <v>0.11486308924218513</v>
      </c>
      <c r="E653" s="2">
        <f t="shared" ca="1" si="4"/>
        <v>0.88513691075781487</v>
      </c>
      <c r="F653" s="1">
        <v>0</v>
      </c>
      <c r="G653" s="1">
        <f t="shared" ca="1" si="5"/>
        <v>0.11486308924218513</v>
      </c>
      <c r="H653" s="1">
        <f t="shared" ca="1" si="6"/>
        <v>0.88513691075781487</v>
      </c>
    </row>
    <row r="654" spans="1:8">
      <c r="A654" s="2">
        <f t="shared" ca="1" si="0"/>
        <v>0.9754572477281741</v>
      </c>
      <c r="B654" s="2">
        <f t="shared" ca="1" si="1"/>
        <v>0.19603093759956347</v>
      </c>
      <c r="C654" s="2">
        <f t="shared" ca="1" si="2"/>
        <v>0.19621979886044363</v>
      </c>
      <c r="D654" s="2">
        <f t="shared" ca="1" si="3"/>
        <v>1.9895795471349342E-2</v>
      </c>
      <c r="E654" s="2">
        <f t="shared" ca="1" si="4"/>
        <v>0.98010420452865066</v>
      </c>
      <c r="F654" s="1">
        <v>0</v>
      </c>
      <c r="G654" s="1">
        <f t="shared" ca="1" si="5"/>
        <v>1.9895795471349342E-2</v>
      </c>
      <c r="H654" s="1">
        <f t="shared" ca="1" si="6"/>
        <v>0.98010420452865066</v>
      </c>
    </row>
    <row r="655" spans="1:8">
      <c r="A655" s="2">
        <f t="shared" ca="1" si="0"/>
        <v>0.97628041402511889</v>
      </c>
      <c r="B655" s="2">
        <f t="shared" ca="1" si="1"/>
        <v>0.18204459550014937</v>
      </c>
      <c r="C655" s="2">
        <f t="shared" ca="1" si="2"/>
        <v>0.18272657306592113</v>
      </c>
      <c r="D655" s="2">
        <f t="shared" ca="1" si="3"/>
        <v>9.0912773337257224E-2</v>
      </c>
      <c r="E655" s="2">
        <f t="shared" ca="1" si="4"/>
        <v>0.90908722666274278</v>
      </c>
      <c r="F655" s="1">
        <v>0</v>
      </c>
      <c r="G655" s="1">
        <f t="shared" ca="1" si="5"/>
        <v>9.0912773337257224E-2</v>
      </c>
      <c r="H655" s="1">
        <f t="shared" ca="1" si="6"/>
        <v>0.90908722666274278</v>
      </c>
    </row>
    <row r="656" spans="1:8">
      <c r="A656" s="2">
        <f t="shared" ca="1" si="0"/>
        <v>0.97618455807795623</v>
      </c>
      <c r="B656" s="2">
        <f t="shared" ca="1" si="1"/>
        <v>0.18628495824269528</v>
      </c>
      <c r="C656" s="2">
        <f t="shared" ca="1" si="2"/>
        <v>0.18684849963871603</v>
      </c>
      <c r="D656" s="2">
        <f t="shared" ca="1" si="3"/>
        <v>6.9218422954126169E-2</v>
      </c>
      <c r="E656" s="2">
        <f t="shared" ca="1" si="4"/>
        <v>0.93078157704587383</v>
      </c>
      <c r="F656" s="1">
        <v>0</v>
      </c>
      <c r="G656" s="1">
        <f t="shared" ca="1" si="5"/>
        <v>6.9218422954126169E-2</v>
      </c>
      <c r="H656" s="1">
        <f t="shared" ca="1" si="6"/>
        <v>0.93078157704587383</v>
      </c>
    </row>
    <row r="657" spans="1:8">
      <c r="A657" s="2">
        <f t="shared" ca="1" si="0"/>
        <v>0.41006850679258583</v>
      </c>
      <c r="B657" s="2">
        <f t="shared" ca="1" si="1"/>
        <v>8.9739899014346397E-2</v>
      </c>
      <c r="C657" s="2">
        <f t="shared" ca="1" si="2"/>
        <v>4.1799506388530472E-2</v>
      </c>
      <c r="D657" s="2">
        <f t="shared" ca="1" si="3"/>
        <v>0.83263417690247121</v>
      </c>
      <c r="E657" s="2">
        <f t="shared" ca="1" si="4"/>
        <v>0.16736582309752879</v>
      </c>
      <c r="F657" s="1">
        <v>0</v>
      </c>
      <c r="G657" s="1">
        <f t="shared" ca="1" si="5"/>
        <v>0.83263417690247121</v>
      </c>
      <c r="H657" s="1">
        <f t="shared" ca="1" si="6"/>
        <v>0.16736582309752879</v>
      </c>
    </row>
    <row r="658" spans="1:8">
      <c r="A658" s="2">
        <f t="shared" ca="1" si="0"/>
        <v>0.93272140068484777</v>
      </c>
      <c r="B658" s="2">
        <f t="shared" ca="1" si="1"/>
        <v>0.12293837037257969</v>
      </c>
      <c r="C658" s="2">
        <f t="shared" ca="1" si="2"/>
        <v>0.11966724901182513</v>
      </c>
      <c r="D658" s="2">
        <f t="shared" ca="1" si="3"/>
        <v>0.42280395256934145</v>
      </c>
      <c r="E658" s="2">
        <f t="shared" ca="1" si="4"/>
        <v>0.57719604743065855</v>
      </c>
      <c r="F658" s="1">
        <v>0</v>
      </c>
      <c r="G658" s="1">
        <f t="shared" ca="1" si="5"/>
        <v>0.42280395256934145</v>
      </c>
      <c r="H658" s="1">
        <f t="shared" ca="1" si="6"/>
        <v>0.57719604743065855</v>
      </c>
    </row>
    <row r="659" spans="1:8">
      <c r="A659" s="2">
        <f t="shared" ca="1" si="0"/>
        <v>0.74541193378276804</v>
      </c>
      <c r="B659" s="2">
        <f t="shared" ca="1" si="1"/>
        <v>9.5350581712152979E-2</v>
      </c>
      <c r="C659" s="2">
        <f t="shared" ca="1" si="2"/>
        <v>7.6075461501367792E-2</v>
      </c>
      <c r="D659" s="2">
        <f t="shared" ca="1" si="3"/>
        <v>0.65223441315069586</v>
      </c>
      <c r="E659" s="2">
        <f t="shared" ca="1" si="4"/>
        <v>0.34776558684930414</v>
      </c>
      <c r="F659" s="1">
        <v>0</v>
      </c>
      <c r="G659" s="1">
        <f t="shared" ca="1" si="5"/>
        <v>0.65223441315069586</v>
      </c>
      <c r="H659" s="1">
        <f t="shared" ca="1" si="6"/>
        <v>0.34776558684930414</v>
      </c>
    </row>
    <row r="660" spans="1:8">
      <c r="A660" s="2">
        <f t="shared" ca="1" si="0"/>
        <v>0.97518345109050186</v>
      </c>
      <c r="B660" s="2">
        <f t="shared" ca="1" si="1"/>
        <v>0.16776494792078389</v>
      </c>
      <c r="C660" s="2">
        <f t="shared" ca="1" si="2"/>
        <v>0.16860160088540835</v>
      </c>
      <c r="D660" s="2">
        <f t="shared" ca="1" si="3"/>
        <v>0.16525473218206133</v>
      </c>
      <c r="E660" s="2">
        <f t="shared" ca="1" si="4"/>
        <v>0.83474526781793867</v>
      </c>
      <c r="F660" s="1">
        <v>0</v>
      </c>
      <c r="G660" s="1">
        <f t="shared" ca="1" si="5"/>
        <v>0.16525473218206133</v>
      </c>
      <c r="H660" s="1">
        <f t="shared" ca="1" si="6"/>
        <v>0.83474526781793867</v>
      </c>
    </row>
    <row r="661" spans="1:8">
      <c r="A661" s="2">
        <f t="shared" ca="1" si="0"/>
        <v>0.50511764155602357</v>
      </c>
      <c r="B661" s="2">
        <f t="shared" ca="1" si="1"/>
        <v>8.9480116958323003E-2</v>
      </c>
      <c r="C661" s="2">
        <f t="shared" ca="1" si="2"/>
        <v>5.0197985644145265E-2</v>
      </c>
      <c r="D661" s="2">
        <f t="shared" ca="1" si="3"/>
        <v>0.78843165450449859</v>
      </c>
      <c r="E661" s="2">
        <f t="shared" ca="1" si="4"/>
        <v>0.21156834549550141</v>
      </c>
      <c r="F661" s="1">
        <v>0</v>
      </c>
      <c r="G661" s="1">
        <f t="shared" ca="1" si="5"/>
        <v>0.78843165450449859</v>
      </c>
      <c r="H661" s="1">
        <f t="shared" ca="1" si="6"/>
        <v>0.21156834549550141</v>
      </c>
    </row>
    <row r="662" spans="1:8">
      <c r="A662" s="2">
        <f t="shared" ca="1" si="0"/>
        <v>0.97618922870506364</v>
      </c>
      <c r="B662" s="2">
        <f t="shared" ca="1" si="1"/>
        <v>0.17734776543363509</v>
      </c>
      <c r="C662" s="2">
        <f t="shared" ca="1" si="2"/>
        <v>0.17812497835122679</v>
      </c>
      <c r="D662" s="2">
        <f t="shared" ca="1" si="3"/>
        <v>0.11513169288828007</v>
      </c>
      <c r="E662" s="2">
        <f t="shared" ca="1" si="4"/>
        <v>0.88486830711171993</v>
      </c>
      <c r="F662" s="1">
        <v>0</v>
      </c>
      <c r="G662" s="1">
        <f t="shared" ca="1" si="5"/>
        <v>0.11513169288828007</v>
      </c>
      <c r="H662" s="1">
        <f t="shared" ca="1" si="6"/>
        <v>0.88486830711171993</v>
      </c>
    </row>
    <row r="663" spans="1:8">
      <c r="A663" s="2">
        <f t="shared" ca="1" si="0"/>
        <v>0.40052021327506926</v>
      </c>
      <c r="B663" s="2">
        <f t="shared" ca="1" si="1"/>
        <v>8.9823871196697297E-2</v>
      </c>
      <c r="C663" s="2">
        <f t="shared" ca="1" si="2"/>
        <v>4.0976276048893548E-2</v>
      </c>
      <c r="D663" s="2">
        <f t="shared" ca="1" si="3"/>
        <v>0.83696696816371818</v>
      </c>
      <c r="E663" s="2">
        <f t="shared" ca="1" si="4"/>
        <v>0.16303303183628182</v>
      </c>
      <c r="F663" s="1">
        <v>0</v>
      </c>
      <c r="G663" s="1">
        <f t="shared" ca="1" si="5"/>
        <v>0.83696696816371818</v>
      </c>
      <c r="H663" s="1">
        <f t="shared" ca="1" si="6"/>
        <v>0.16303303183628182</v>
      </c>
    </row>
    <row r="664" spans="1:8">
      <c r="A664" s="2">
        <f t="shared" ca="1" si="0"/>
        <v>0.53709215404953414</v>
      </c>
      <c r="B664" s="2">
        <f t="shared" ca="1" si="1"/>
        <v>8.9647766845323745E-2</v>
      </c>
      <c r="C664" s="2">
        <f t="shared" ca="1" si="2"/>
        <v>5.3149112200685335E-2</v>
      </c>
      <c r="D664" s="2">
        <f t="shared" ca="1" si="3"/>
        <v>0.77289940947007718</v>
      </c>
      <c r="E664" s="2">
        <f t="shared" ca="1" si="4"/>
        <v>0.22710059052992282</v>
      </c>
      <c r="F664" s="1">
        <v>0</v>
      </c>
      <c r="G664" s="1">
        <f t="shared" ca="1" si="5"/>
        <v>0.77289940947007718</v>
      </c>
      <c r="H664" s="1">
        <f t="shared" ca="1" si="6"/>
        <v>0.22710059052992282</v>
      </c>
    </row>
    <row r="665" spans="1:8">
      <c r="A665" s="2">
        <f t="shared" ca="1" si="0"/>
        <v>0.3292661142045975</v>
      </c>
      <c r="B665" s="2">
        <f t="shared" ca="1" si="1"/>
        <v>9.0764565427916874E-2</v>
      </c>
      <c r="C665" s="2">
        <f t="shared" ca="1" si="2"/>
        <v>3.4885695765919142E-2</v>
      </c>
      <c r="D665" s="2">
        <f t="shared" ca="1" si="3"/>
        <v>0.86902265386358346</v>
      </c>
      <c r="E665" s="2">
        <f t="shared" ca="1" si="4"/>
        <v>0.13097734613641654</v>
      </c>
      <c r="F665" s="1">
        <v>0</v>
      </c>
      <c r="G665" s="1">
        <f t="shared" ca="1" si="5"/>
        <v>0.86902265386358346</v>
      </c>
      <c r="H665" s="1">
        <f t="shared" ca="1" si="6"/>
        <v>0.13097734613641654</v>
      </c>
    </row>
    <row r="666" spans="1:8">
      <c r="A666" s="2">
        <f t="shared" ca="1" si="0"/>
        <v>0.63263457618840047</v>
      </c>
      <c r="B666" s="2">
        <f t="shared" ca="1" si="1"/>
        <v>9.1083148982652573E-2</v>
      </c>
      <c r="C666" s="2">
        <f t="shared" ca="1" si="2"/>
        <v>6.2622349354545345E-2</v>
      </c>
      <c r="D666" s="2">
        <f t="shared" ca="1" si="3"/>
        <v>0.72304026655502451</v>
      </c>
      <c r="E666" s="2">
        <f t="shared" ca="1" si="4"/>
        <v>0.27695973344497549</v>
      </c>
      <c r="F666" s="1">
        <v>0</v>
      </c>
      <c r="G666" s="1">
        <f t="shared" ca="1" si="5"/>
        <v>0.72304026655502451</v>
      </c>
      <c r="H666" s="1">
        <f t="shared" ca="1" si="6"/>
        <v>0.27695973344497549</v>
      </c>
    </row>
    <row r="667" spans="1:8">
      <c r="A667" s="2">
        <f t="shared" ca="1" si="0"/>
        <v>0.97535278341826603</v>
      </c>
      <c r="B667" s="2">
        <f t="shared" ca="1" si="1"/>
        <v>0.1970025684584982</v>
      </c>
      <c r="C667" s="2">
        <f t="shared" ca="1" si="2"/>
        <v>0.19714700348654374</v>
      </c>
      <c r="D667" s="2">
        <f t="shared" ca="1" si="3"/>
        <v>1.5015771123454202E-2</v>
      </c>
      <c r="E667" s="2">
        <f t="shared" ca="1" si="4"/>
        <v>0.9849842288765458</v>
      </c>
      <c r="F667" s="1">
        <v>0</v>
      </c>
      <c r="G667" s="1">
        <f t="shared" ca="1" si="5"/>
        <v>1.5015771123454202E-2</v>
      </c>
      <c r="H667" s="1">
        <f t="shared" ca="1" si="6"/>
        <v>0.9849842288765458</v>
      </c>
    </row>
    <row r="668" spans="1:8">
      <c r="A668" s="2">
        <f t="shared" ca="1" si="0"/>
        <v>0.12483684760145039</v>
      </c>
      <c r="B668" s="2">
        <f t="shared" ca="1" si="1"/>
        <v>9.6572447230196867E-2</v>
      </c>
      <c r="C668" s="2">
        <f t="shared" ca="1" si="2"/>
        <v>1.7055799877375197E-2</v>
      </c>
      <c r="D668" s="2">
        <f t="shared" ca="1" si="3"/>
        <v>0.96286421117170951</v>
      </c>
      <c r="E668" s="2">
        <f t="shared" ca="1" si="4"/>
        <v>3.7135788828290495E-2</v>
      </c>
      <c r="F668" s="1">
        <v>0</v>
      </c>
      <c r="G668" s="1">
        <f t="shared" ca="1" si="5"/>
        <v>0.96286421117170951</v>
      </c>
      <c r="H668" s="1">
        <f t="shared" ca="1" si="6"/>
        <v>3.7135788828290495E-2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F11:G13"/>
  <sheetViews>
    <sheetView workbookViewId="0"/>
  </sheetViews>
  <sheetFormatPr defaultColWidth="14.42578125" defaultRowHeight="15.75" customHeight="1"/>
  <sheetData>
    <row r="11" spans="6:7">
      <c r="F11" s="2" t="str">
        <f ca="1">IFERROR(__xludf.DUMMYFUNCTION("GOOGLEFINANCE(""AAPL"",""Close"",""2022-01-01"",2,""Daily"")"),"Date")</f>
        <v>Date</v>
      </c>
      <c r="G11" s="2" t="str">
        <f ca="1">IFERROR(__xludf.DUMMYFUNCTION("""COMPUTED_VALUE"""),"Close")</f>
        <v>Close</v>
      </c>
    </row>
    <row r="12" spans="6:7">
      <c r="F12" s="3">
        <f ca="1">IFERROR(__xludf.DUMMYFUNCTION("""COMPUTED_VALUE"""),44564.6666666666)</f>
        <v>44564.666666666599</v>
      </c>
      <c r="G12" s="2">
        <f ca="1">IFERROR(__xludf.DUMMYFUNCTION("""COMPUTED_VALUE"""),182.01)</f>
        <v>182.01</v>
      </c>
    </row>
    <row r="13" spans="6:7">
      <c r="F13" s="3">
        <f ca="1">IFERROR(__xludf.DUMMYFUNCTION("""COMPUTED_VALUE"""),44565.6666666666)</f>
        <v>44565.666666666599</v>
      </c>
      <c r="G13" s="2">
        <f ca="1">IFERROR(__xludf.DUMMYFUNCTION("""COMPUTED_VALUE"""),179.7)</f>
        <v>179.7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759"/>
  <sheetViews>
    <sheetView workbookViewId="0"/>
  </sheetViews>
  <sheetFormatPr defaultColWidth="14.42578125" defaultRowHeight="15.75" customHeight="1"/>
  <sheetData>
    <row r="1" spans="1:20">
      <c r="A1" s="1" t="s">
        <v>14</v>
      </c>
      <c r="C1" s="1" t="s">
        <v>15</v>
      </c>
      <c r="E1" s="1" t="s">
        <v>16</v>
      </c>
      <c r="G1" s="1" t="s">
        <v>17</v>
      </c>
      <c r="I1" s="1" t="s">
        <v>18</v>
      </c>
      <c r="K1" s="1" t="s">
        <v>19</v>
      </c>
      <c r="M1" s="1" t="s">
        <v>20</v>
      </c>
      <c r="O1" s="1" t="s">
        <v>21</v>
      </c>
      <c r="Q1" s="1" t="s">
        <v>22</v>
      </c>
      <c r="S1" s="1" t="s">
        <v>23</v>
      </c>
    </row>
    <row r="2" spans="1:20">
      <c r="A2" s="4" t="str">
        <f ca="1">IFERROR(__xludf.DUMMYFUNCTION("GOOGLEFINANCE(A1,""Close"",""2019-01-01"",""2022-01-01"",""Daily"")"),"Date")</f>
        <v>Date</v>
      </c>
      <c r="B2" s="4" t="str">
        <f ca="1">IFERROR(__xludf.DUMMYFUNCTION("""COMPUTED_VALUE"""),"Close")</f>
        <v>Close</v>
      </c>
      <c r="C2" s="4" t="str">
        <f ca="1">IFERROR(__xludf.DUMMYFUNCTION("GOOGLEFINANCE(C1,""Close"",""2019-01-01"",""2022-01-01"",""Daily"")"),"Date")</f>
        <v>Date</v>
      </c>
      <c r="D2" s="4" t="str">
        <f ca="1">IFERROR(__xludf.DUMMYFUNCTION("""COMPUTED_VALUE"""),"Close")</f>
        <v>Close</v>
      </c>
      <c r="E2" s="4" t="str">
        <f ca="1">IFERROR(__xludf.DUMMYFUNCTION("GOOGLEFINANCE(E1,""Close"",""2019-01-01"",""2022-01-01"",""Daily"")"),"Date")</f>
        <v>Date</v>
      </c>
      <c r="F2" s="4" t="str">
        <f ca="1">IFERROR(__xludf.DUMMYFUNCTION("""COMPUTED_VALUE"""),"Close")</f>
        <v>Close</v>
      </c>
      <c r="G2" s="4" t="str">
        <f ca="1">IFERROR(__xludf.DUMMYFUNCTION("GOOGLEFINANCE(G1,""Close"",""2019-01-01"",""2022-01-01"",""Daily"")"),"Date")</f>
        <v>Date</v>
      </c>
      <c r="H2" s="4" t="str">
        <f ca="1">IFERROR(__xludf.DUMMYFUNCTION("""COMPUTED_VALUE"""),"Close")</f>
        <v>Close</v>
      </c>
      <c r="I2" s="4" t="str">
        <f ca="1">IFERROR(__xludf.DUMMYFUNCTION("GOOGLEFINANCE(I1,""Close"",""2019-01-01"",""2022-01-01"",""Daily"")"),"Date")</f>
        <v>Date</v>
      </c>
      <c r="J2" s="4" t="str">
        <f ca="1">IFERROR(__xludf.DUMMYFUNCTION("""COMPUTED_VALUE"""),"Close")</f>
        <v>Close</v>
      </c>
      <c r="K2" s="4" t="str">
        <f ca="1">IFERROR(__xludf.DUMMYFUNCTION("GOOGLEFINANCE(K1,""Close"",""2019-01-01"",""2022-01-01"",""Daily"")"),"Date")</f>
        <v>Date</v>
      </c>
      <c r="L2" s="4" t="str">
        <f ca="1">IFERROR(__xludf.DUMMYFUNCTION("""COMPUTED_VALUE"""),"Close")</f>
        <v>Close</v>
      </c>
      <c r="M2" s="4" t="str">
        <f ca="1">IFERROR(__xludf.DUMMYFUNCTION("GOOGLEFINANCE(M1,""Close"",""2019-01-01"",""2022-01-01"",""Daily"")"),"Date")</f>
        <v>Date</v>
      </c>
      <c r="N2" s="4" t="str">
        <f ca="1">IFERROR(__xludf.DUMMYFUNCTION("""COMPUTED_VALUE"""),"Close")</f>
        <v>Close</v>
      </c>
      <c r="O2" s="4" t="str">
        <f ca="1">IFERROR(__xludf.DUMMYFUNCTION("GOOGLEFINANCE(O1,""Close"",""2019-01-01"",""2022-01-01"",""Daily"")"),"Date")</f>
        <v>Date</v>
      </c>
      <c r="P2" s="4" t="str">
        <f ca="1">IFERROR(__xludf.DUMMYFUNCTION("""COMPUTED_VALUE"""),"Close")</f>
        <v>Close</v>
      </c>
      <c r="Q2" s="4" t="str">
        <f ca="1">IFERROR(__xludf.DUMMYFUNCTION("GOOGLEFINANCE(Q1,""Close"",""2019-01-01"",""2022-01-01"",""Daily"")"),"Date")</f>
        <v>Date</v>
      </c>
      <c r="R2" s="4" t="str">
        <f ca="1">IFERROR(__xludf.DUMMYFUNCTION("""COMPUTED_VALUE"""),"Close")</f>
        <v>Close</v>
      </c>
      <c r="S2" s="4" t="str">
        <f ca="1">IFERROR(__xludf.DUMMYFUNCTION("GOOGLEFINANCE(S1,""Close"",""2019-01-01"",""2022-01-01"",""Daily"")"),"Date")</f>
        <v>Date</v>
      </c>
      <c r="T2" s="2" t="str">
        <f ca="1">IFERROR(__xludf.DUMMYFUNCTION("""COMPUTED_VALUE"""),"Close")</f>
        <v>Close</v>
      </c>
    </row>
    <row r="3" spans="1:20">
      <c r="A3" s="3">
        <f ca="1">IFERROR(__xludf.DUMMYFUNCTION("""COMPUTED_VALUE"""),43467.6666666666)</f>
        <v>43467.666666666599</v>
      </c>
      <c r="B3" s="2">
        <f ca="1">IFERROR(__xludf.DUMMYFUNCTION("""COMPUTED_VALUE"""),39.48)</f>
        <v>39.479999999999997</v>
      </c>
      <c r="C3" s="3">
        <f ca="1">IFERROR(__xludf.DUMMYFUNCTION("""COMPUTED_VALUE"""),43467.6666666666)</f>
        <v>43467.666666666599</v>
      </c>
      <c r="D3" s="2">
        <f ca="1">IFERROR(__xludf.DUMMYFUNCTION("""COMPUTED_VALUE"""),101.12)</f>
        <v>101.12</v>
      </c>
      <c r="E3" s="3">
        <f ca="1">IFERROR(__xludf.DUMMYFUNCTION("""COMPUTED_VALUE"""),43467.6666666666)</f>
        <v>43467.666666666599</v>
      </c>
      <c r="F3" s="2">
        <f ca="1">IFERROR(__xludf.DUMMYFUNCTION("""COMPUTED_VALUE"""),1539.13)</f>
        <v>1539.13</v>
      </c>
      <c r="G3" s="3">
        <f ca="1">IFERROR(__xludf.DUMMYFUNCTION("""COMPUTED_VALUE"""),43467.6666666666)</f>
        <v>43467.666666666599</v>
      </c>
      <c r="H3" s="2">
        <f ca="1">IFERROR(__xludf.DUMMYFUNCTION("""COMPUTED_VALUE"""),1054.68)</f>
        <v>1054.68</v>
      </c>
      <c r="I3" s="3">
        <f ca="1">IFERROR(__xludf.DUMMYFUNCTION("""COMPUTED_VALUE"""),43467.6666666666)</f>
        <v>43467.666666666599</v>
      </c>
      <c r="J3" s="2">
        <f ca="1">IFERROR(__xludf.DUMMYFUNCTION("""COMPUTED_VALUE"""),1045.85)</f>
        <v>1045.8499999999999</v>
      </c>
      <c r="K3" s="3">
        <f ca="1">IFERROR(__xludf.DUMMYFUNCTION("""COMPUTED_VALUE"""),43467.6666666666)</f>
        <v>43467.666666666599</v>
      </c>
      <c r="L3" s="2">
        <f ca="1">IFERROR(__xludf.DUMMYFUNCTION("""COMPUTED_VALUE"""),135.68)</f>
        <v>135.68</v>
      </c>
      <c r="M3" s="3">
        <f ca="1">IFERROR(__xludf.DUMMYFUNCTION("""COMPUTED_VALUE"""),43467.6666666666)</f>
        <v>43467.666666666599</v>
      </c>
      <c r="N3" s="2">
        <f ca="1">IFERROR(__xludf.DUMMYFUNCTION("""COMPUTED_VALUE"""),62.02)</f>
        <v>62.02</v>
      </c>
      <c r="O3" s="3">
        <f ca="1">IFERROR(__xludf.DUMMYFUNCTION("""COMPUTED_VALUE"""),43467.6666666666)</f>
        <v>43467.666666666599</v>
      </c>
      <c r="P3" s="2">
        <f ca="1">IFERROR(__xludf.DUMMYFUNCTION("""COMPUTED_VALUE"""),34.06)</f>
        <v>34.06</v>
      </c>
      <c r="Q3" s="3">
        <f ca="1">IFERROR(__xludf.DUMMYFUNCTION("""COMPUTED_VALUE"""),43467.6666666666)</f>
        <v>43467.666666666599</v>
      </c>
      <c r="R3" s="2">
        <f ca="1">IFERROR(__xludf.DUMMYFUNCTION("""COMPUTED_VALUE"""),202.8)</f>
        <v>202.8</v>
      </c>
      <c r="S3" s="3">
        <f ca="1">IFERROR(__xludf.DUMMYFUNCTION("""COMPUTED_VALUE"""),43467.6666666666)</f>
        <v>43467.666666666599</v>
      </c>
      <c r="T3" s="2">
        <f ca="1">IFERROR(__xludf.DUMMYFUNCTION("""COMPUTED_VALUE"""),127.75)</f>
        <v>127.75</v>
      </c>
    </row>
    <row r="4" spans="1:20">
      <c r="A4" s="3">
        <f ca="1">IFERROR(__xludf.DUMMYFUNCTION("""COMPUTED_VALUE"""),43468.6666666666)</f>
        <v>43468.666666666599</v>
      </c>
      <c r="B4" s="2">
        <f ca="1">IFERROR(__xludf.DUMMYFUNCTION("""COMPUTED_VALUE"""),35.55)</f>
        <v>35.549999999999997</v>
      </c>
      <c r="C4" s="3">
        <f ca="1">IFERROR(__xludf.DUMMYFUNCTION("""COMPUTED_VALUE"""),43468.6666666666)</f>
        <v>43468.666666666599</v>
      </c>
      <c r="D4" s="2">
        <f ca="1">IFERROR(__xludf.DUMMYFUNCTION("""COMPUTED_VALUE"""),97.4)</f>
        <v>97.4</v>
      </c>
      <c r="E4" s="3">
        <f ca="1">IFERROR(__xludf.DUMMYFUNCTION("""COMPUTED_VALUE"""),43468.6666666666)</f>
        <v>43468.666666666599</v>
      </c>
      <c r="F4" s="2">
        <f ca="1">IFERROR(__xludf.DUMMYFUNCTION("""COMPUTED_VALUE"""),1500.28)</f>
        <v>1500.28</v>
      </c>
      <c r="G4" s="3">
        <f ca="1">IFERROR(__xludf.DUMMYFUNCTION("""COMPUTED_VALUE"""),43468.6666666666)</f>
        <v>43468.666666666599</v>
      </c>
      <c r="H4" s="2">
        <f ca="1">IFERROR(__xludf.DUMMYFUNCTION("""COMPUTED_VALUE"""),1025.47)</f>
        <v>1025.47</v>
      </c>
      <c r="I4" s="3">
        <f ca="1">IFERROR(__xludf.DUMMYFUNCTION("""COMPUTED_VALUE"""),43468.6666666666)</f>
        <v>43468.666666666599</v>
      </c>
      <c r="J4" s="2">
        <f ca="1">IFERROR(__xludf.DUMMYFUNCTION("""COMPUTED_VALUE"""),1016.06)</f>
        <v>1016.06</v>
      </c>
      <c r="K4" s="3">
        <f ca="1">IFERROR(__xludf.DUMMYFUNCTION("""COMPUTED_VALUE"""),43468.6666666666)</f>
        <v>43468.666666666599</v>
      </c>
      <c r="L4" s="2">
        <f ca="1">IFERROR(__xludf.DUMMYFUNCTION("""COMPUTED_VALUE"""),131.74)</f>
        <v>131.74</v>
      </c>
      <c r="M4" s="3">
        <f ca="1">IFERROR(__xludf.DUMMYFUNCTION("""COMPUTED_VALUE"""),43468.6666666666)</f>
        <v>43468.666666666599</v>
      </c>
      <c r="N4" s="2">
        <f ca="1">IFERROR(__xludf.DUMMYFUNCTION("""COMPUTED_VALUE"""),60.07)</f>
        <v>60.07</v>
      </c>
      <c r="O4" s="3">
        <f ca="1">IFERROR(__xludf.DUMMYFUNCTION("""COMPUTED_VALUE"""),43468.6666666666)</f>
        <v>43468.666666666599</v>
      </c>
      <c r="P4" s="2">
        <f ca="1">IFERROR(__xludf.DUMMYFUNCTION("""COMPUTED_VALUE"""),32)</f>
        <v>32</v>
      </c>
      <c r="Q4" s="3">
        <f ca="1">IFERROR(__xludf.DUMMYFUNCTION("""COMPUTED_VALUE"""),43468.6666666666)</f>
        <v>43468.666666666599</v>
      </c>
      <c r="R4" s="2">
        <f ca="1">IFERROR(__xludf.DUMMYFUNCTION("""COMPUTED_VALUE"""),191.66)</f>
        <v>191.66</v>
      </c>
      <c r="S4" s="3">
        <f ca="1">IFERROR(__xludf.DUMMYFUNCTION("""COMPUTED_VALUE"""),43468.6666666666)</f>
        <v>43468.666666666599</v>
      </c>
      <c r="T4" s="2">
        <f ca="1">IFERROR(__xludf.DUMMYFUNCTION("""COMPUTED_VALUE"""),125.72)</f>
        <v>125.72</v>
      </c>
    </row>
    <row r="5" spans="1:20">
      <c r="A5" s="3">
        <f ca="1">IFERROR(__xludf.DUMMYFUNCTION("""COMPUTED_VALUE"""),43469.6666666666)</f>
        <v>43469.666666666599</v>
      </c>
      <c r="B5" s="2">
        <f ca="1">IFERROR(__xludf.DUMMYFUNCTION("""COMPUTED_VALUE"""),37.07)</f>
        <v>37.07</v>
      </c>
      <c r="C5" s="3">
        <f ca="1">IFERROR(__xludf.DUMMYFUNCTION("""COMPUTED_VALUE"""),43469.6666666666)</f>
        <v>43469.666666666599</v>
      </c>
      <c r="D5" s="2">
        <f ca="1">IFERROR(__xludf.DUMMYFUNCTION("""COMPUTED_VALUE"""),101.93)</f>
        <v>101.93</v>
      </c>
      <c r="E5" s="3">
        <f ca="1">IFERROR(__xludf.DUMMYFUNCTION("""COMPUTED_VALUE"""),43469.6666666666)</f>
        <v>43469.666666666599</v>
      </c>
      <c r="F5" s="2">
        <f ca="1">IFERROR(__xludf.DUMMYFUNCTION("""COMPUTED_VALUE"""),1575.39)</f>
        <v>1575.39</v>
      </c>
      <c r="G5" s="3">
        <f ca="1">IFERROR(__xludf.DUMMYFUNCTION("""COMPUTED_VALUE"""),43469.6666666666)</f>
        <v>43469.666666666599</v>
      </c>
      <c r="H5" s="2">
        <f ca="1">IFERROR(__xludf.DUMMYFUNCTION("""COMPUTED_VALUE"""),1078.07)</f>
        <v>1078.07</v>
      </c>
      <c r="I5" s="3">
        <f ca="1">IFERROR(__xludf.DUMMYFUNCTION("""COMPUTED_VALUE"""),43469.6666666666)</f>
        <v>43469.666666666599</v>
      </c>
      <c r="J5" s="2">
        <f ca="1">IFERROR(__xludf.DUMMYFUNCTION("""COMPUTED_VALUE"""),1070.71)</f>
        <v>1070.71</v>
      </c>
      <c r="K5" s="3">
        <f ca="1">IFERROR(__xludf.DUMMYFUNCTION("""COMPUTED_VALUE"""),43469.6666666666)</f>
        <v>43469.666666666599</v>
      </c>
      <c r="L5" s="2">
        <f ca="1">IFERROR(__xludf.DUMMYFUNCTION("""COMPUTED_VALUE"""),137.95)</f>
        <v>137.94999999999999</v>
      </c>
      <c r="M5" s="3">
        <f ca="1">IFERROR(__xludf.DUMMYFUNCTION("""COMPUTED_VALUE"""),43469.6666666666)</f>
        <v>43469.666666666599</v>
      </c>
      <c r="N5" s="2">
        <f ca="1">IFERROR(__xludf.DUMMYFUNCTION("""COMPUTED_VALUE"""),63.54)</f>
        <v>63.54</v>
      </c>
      <c r="O5" s="3">
        <f ca="1">IFERROR(__xludf.DUMMYFUNCTION("""COMPUTED_VALUE"""),43469.6666666666)</f>
        <v>43469.666666666599</v>
      </c>
      <c r="P5" s="2">
        <f ca="1">IFERROR(__xludf.DUMMYFUNCTION("""COMPUTED_VALUE"""),34.05)</f>
        <v>34.049999999999997</v>
      </c>
      <c r="Q5" s="3">
        <f ca="1">IFERROR(__xludf.DUMMYFUNCTION("""COMPUTED_VALUE"""),43469.6666666666)</f>
        <v>43469.666666666599</v>
      </c>
      <c r="R5" s="2">
        <f ca="1">IFERROR(__xludf.DUMMYFUNCTION("""COMPUTED_VALUE"""),195.2)</f>
        <v>195.2</v>
      </c>
      <c r="S5" s="3">
        <f ca="1">IFERROR(__xludf.DUMMYFUNCTION("""COMPUTED_VALUE"""),43469.6666666666)</f>
        <v>43469.666666666599</v>
      </c>
      <c r="T5" s="2">
        <f ca="1">IFERROR(__xludf.DUMMYFUNCTION("""COMPUTED_VALUE"""),127.83)</f>
        <v>127.83</v>
      </c>
    </row>
    <row r="6" spans="1:20">
      <c r="A6" s="3">
        <f ca="1">IFERROR(__xludf.DUMMYFUNCTION("""COMPUTED_VALUE"""),43472.6666666666)</f>
        <v>43472.666666666599</v>
      </c>
      <c r="B6" s="2">
        <f ca="1">IFERROR(__xludf.DUMMYFUNCTION("""COMPUTED_VALUE"""),36.98)</f>
        <v>36.979999999999997</v>
      </c>
      <c r="C6" s="3">
        <f ca="1">IFERROR(__xludf.DUMMYFUNCTION("""COMPUTED_VALUE"""),43472.6666666666)</f>
        <v>43472.666666666599</v>
      </c>
      <c r="D6" s="2">
        <f ca="1">IFERROR(__xludf.DUMMYFUNCTION("""COMPUTED_VALUE"""),102.06)</f>
        <v>102.06</v>
      </c>
      <c r="E6" s="3">
        <f ca="1">IFERROR(__xludf.DUMMYFUNCTION("""COMPUTED_VALUE"""),43472.6666666666)</f>
        <v>43472.666666666599</v>
      </c>
      <c r="F6" s="2">
        <f ca="1">IFERROR(__xludf.DUMMYFUNCTION("""COMPUTED_VALUE"""),1629.51)</f>
        <v>1629.51</v>
      </c>
      <c r="G6" s="3">
        <f ca="1">IFERROR(__xludf.DUMMYFUNCTION("""COMPUTED_VALUE"""),43472.6666666666)</f>
        <v>43472.666666666599</v>
      </c>
      <c r="H6" s="2">
        <f ca="1">IFERROR(__xludf.DUMMYFUNCTION("""COMPUTED_VALUE"""),1075.92)</f>
        <v>1075.92</v>
      </c>
      <c r="I6" s="3">
        <f ca="1">IFERROR(__xludf.DUMMYFUNCTION("""COMPUTED_VALUE"""),43472.6666666666)</f>
        <v>43472.666666666599</v>
      </c>
      <c r="J6" s="2">
        <f ca="1">IFERROR(__xludf.DUMMYFUNCTION("""COMPUTED_VALUE"""),1068.39)</f>
        <v>1068.3900000000001</v>
      </c>
      <c r="K6" s="3">
        <f ca="1">IFERROR(__xludf.DUMMYFUNCTION("""COMPUTED_VALUE"""),43472.6666666666)</f>
        <v>43472.666666666599</v>
      </c>
      <c r="L6" s="2">
        <f ca="1">IFERROR(__xludf.DUMMYFUNCTION("""COMPUTED_VALUE"""),138.05)</f>
        <v>138.05000000000001</v>
      </c>
      <c r="M6" s="3">
        <f ca="1">IFERROR(__xludf.DUMMYFUNCTION("""COMPUTED_VALUE"""),43472.6666666666)</f>
        <v>43472.666666666599</v>
      </c>
      <c r="N6" s="2">
        <f ca="1">IFERROR(__xludf.DUMMYFUNCTION("""COMPUTED_VALUE"""),66.99)</f>
        <v>66.989999999999995</v>
      </c>
      <c r="O6" s="3">
        <f ca="1">IFERROR(__xludf.DUMMYFUNCTION("""COMPUTED_VALUE"""),43472.6666666666)</f>
        <v>43472.666666666599</v>
      </c>
      <c r="P6" s="2">
        <f ca="1">IFERROR(__xludf.DUMMYFUNCTION("""COMPUTED_VALUE"""),35.85)</f>
        <v>35.85</v>
      </c>
      <c r="Q6" s="3">
        <f ca="1">IFERROR(__xludf.DUMMYFUNCTION("""COMPUTED_VALUE"""),43472.6666666666)</f>
        <v>43472.666666666599</v>
      </c>
      <c r="R6" s="2">
        <f ca="1">IFERROR(__xludf.DUMMYFUNCTION("""COMPUTED_VALUE"""),196.91)</f>
        <v>196.91</v>
      </c>
      <c r="S6" s="3">
        <f ca="1">IFERROR(__xludf.DUMMYFUNCTION("""COMPUTED_VALUE"""),43472.6666666666)</f>
        <v>43472.666666666599</v>
      </c>
      <c r="T6" s="2">
        <f ca="1">IFERROR(__xludf.DUMMYFUNCTION("""COMPUTED_VALUE"""),127.01)</f>
        <v>127.01</v>
      </c>
    </row>
    <row r="7" spans="1:20">
      <c r="A7" s="3">
        <f ca="1">IFERROR(__xludf.DUMMYFUNCTION("""COMPUTED_VALUE"""),43473.6666666666)</f>
        <v>43473.666666666599</v>
      </c>
      <c r="B7" s="2">
        <f ca="1">IFERROR(__xludf.DUMMYFUNCTION("""COMPUTED_VALUE"""),37.69)</f>
        <v>37.69</v>
      </c>
      <c r="C7" s="3">
        <f ca="1">IFERROR(__xludf.DUMMYFUNCTION("""COMPUTED_VALUE"""),43473.6666666666)</f>
        <v>43473.666666666599</v>
      </c>
      <c r="D7" s="2">
        <f ca="1">IFERROR(__xludf.DUMMYFUNCTION("""COMPUTED_VALUE"""),102.8)</f>
        <v>102.8</v>
      </c>
      <c r="E7" s="3">
        <f ca="1">IFERROR(__xludf.DUMMYFUNCTION("""COMPUTED_VALUE"""),43473.6666666666)</f>
        <v>43473.666666666599</v>
      </c>
      <c r="F7" s="2">
        <f ca="1">IFERROR(__xludf.DUMMYFUNCTION("""COMPUTED_VALUE"""),1656.58)</f>
        <v>1656.58</v>
      </c>
      <c r="G7" s="3">
        <f ca="1">IFERROR(__xludf.DUMMYFUNCTION("""COMPUTED_VALUE"""),43473.6666666666)</f>
        <v>43473.666666666599</v>
      </c>
      <c r="H7" s="2">
        <f ca="1">IFERROR(__xludf.DUMMYFUNCTION("""COMPUTED_VALUE"""),1085.37)</f>
        <v>1085.3699999999999</v>
      </c>
      <c r="I7" s="3">
        <f ca="1">IFERROR(__xludf.DUMMYFUNCTION("""COMPUTED_VALUE"""),43473.6666666666)</f>
        <v>43473.666666666599</v>
      </c>
      <c r="J7" s="2">
        <f ca="1">IFERROR(__xludf.DUMMYFUNCTION("""COMPUTED_VALUE"""),1076.28)</f>
        <v>1076.28</v>
      </c>
      <c r="K7" s="3">
        <f ca="1">IFERROR(__xludf.DUMMYFUNCTION("""COMPUTED_VALUE"""),43473.6666666666)</f>
        <v>43473.666666666599</v>
      </c>
      <c r="L7" s="2">
        <f ca="1">IFERROR(__xludf.DUMMYFUNCTION("""COMPUTED_VALUE"""),142.53)</f>
        <v>142.53</v>
      </c>
      <c r="M7" s="3">
        <f ca="1">IFERROR(__xludf.DUMMYFUNCTION("""COMPUTED_VALUE"""),43473.6666666666)</f>
        <v>43473.666666666599</v>
      </c>
      <c r="N7" s="2">
        <f ca="1">IFERROR(__xludf.DUMMYFUNCTION("""COMPUTED_VALUE"""),67.07)</f>
        <v>67.069999999999993</v>
      </c>
      <c r="O7" s="3">
        <f ca="1">IFERROR(__xludf.DUMMYFUNCTION("""COMPUTED_VALUE"""),43473.6666666666)</f>
        <v>43473.666666666599</v>
      </c>
      <c r="P7" s="2">
        <f ca="1">IFERROR(__xludf.DUMMYFUNCTION("""COMPUTED_VALUE"""),34.96)</f>
        <v>34.96</v>
      </c>
      <c r="Q7" s="3">
        <f ca="1">IFERROR(__xludf.DUMMYFUNCTION("""COMPUTED_VALUE"""),43473.6666666666)</f>
        <v>43473.666666666599</v>
      </c>
      <c r="R7" s="2">
        <f ca="1">IFERROR(__xludf.DUMMYFUNCTION("""COMPUTED_VALUE"""),196.31)</f>
        <v>196.31</v>
      </c>
      <c r="S7" s="3">
        <f ca="1">IFERROR(__xludf.DUMMYFUNCTION("""COMPUTED_VALUE"""),43473.6666666666)</f>
        <v>43473.666666666599</v>
      </c>
      <c r="T7" s="2">
        <f ca="1">IFERROR(__xludf.DUMMYFUNCTION("""COMPUTED_VALUE"""),129.96)</f>
        <v>129.96</v>
      </c>
    </row>
    <row r="8" spans="1:20">
      <c r="A8" s="3">
        <f ca="1">IFERROR(__xludf.DUMMYFUNCTION("""COMPUTED_VALUE"""),43474.6666666666)</f>
        <v>43474.666666666599</v>
      </c>
      <c r="B8" s="2">
        <f ca="1">IFERROR(__xludf.DUMMYFUNCTION("""COMPUTED_VALUE"""),38.33)</f>
        <v>38.33</v>
      </c>
      <c r="C8" s="3">
        <f ca="1">IFERROR(__xludf.DUMMYFUNCTION("""COMPUTED_VALUE"""),43474.6666666666)</f>
        <v>43474.666666666599</v>
      </c>
      <c r="D8" s="2">
        <f ca="1">IFERROR(__xludf.DUMMYFUNCTION("""COMPUTED_VALUE"""),104.27)</f>
        <v>104.27</v>
      </c>
      <c r="E8" s="3">
        <f ca="1">IFERROR(__xludf.DUMMYFUNCTION("""COMPUTED_VALUE"""),43474.6666666666)</f>
        <v>43474.666666666599</v>
      </c>
      <c r="F8" s="2">
        <f ca="1">IFERROR(__xludf.DUMMYFUNCTION("""COMPUTED_VALUE"""),1659.42)</f>
        <v>1659.42</v>
      </c>
      <c r="G8" s="3">
        <f ca="1">IFERROR(__xludf.DUMMYFUNCTION("""COMPUTED_VALUE"""),43474.6666666666)</f>
        <v>43474.666666666599</v>
      </c>
      <c r="H8" s="2">
        <f ca="1">IFERROR(__xludf.DUMMYFUNCTION("""COMPUTED_VALUE"""),1081.65)</f>
        <v>1081.6500000000001</v>
      </c>
      <c r="I8" s="3">
        <f ca="1">IFERROR(__xludf.DUMMYFUNCTION("""COMPUTED_VALUE"""),43474.6666666666)</f>
        <v>43474.666666666599</v>
      </c>
      <c r="J8" s="2">
        <f ca="1">IFERROR(__xludf.DUMMYFUNCTION("""COMPUTED_VALUE"""),1074.66)</f>
        <v>1074.6600000000001</v>
      </c>
      <c r="K8" s="3">
        <f ca="1">IFERROR(__xludf.DUMMYFUNCTION("""COMPUTED_VALUE"""),43474.6666666666)</f>
        <v>43474.666666666599</v>
      </c>
      <c r="L8" s="2">
        <f ca="1">IFERROR(__xludf.DUMMYFUNCTION("""COMPUTED_VALUE"""),144.23)</f>
        <v>144.22999999999999</v>
      </c>
      <c r="M8" s="3">
        <f ca="1">IFERROR(__xludf.DUMMYFUNCTION("""COMPUTED_VALUE"""),43474.6666666666)</f>
        <v>43474.666666666599</v>
      </c>
      <c r="N8" s="2">
        <f ca="1">IFERROR(__xludf.DUMMYFUNCTION("""COMPUTED_VALUE"""),67.71)</f>
        <v>67.709999999999994</v>
      </c>
      <c r="O8" s="3">
        <f ca="1">IFERROR(__xludf.DUMMYFUNCTION("""COMPUTED_VALUE"""),43474.6666666666)</f>
        <v>43474.666666666599</v>
      </c>
      <c r="P8" s="2">
        <f ca="1">IFERROR(__xludf.DUMMYFUNCTION("""COMPUTED_VALUE"""),35.65)</f>
        <v>35.65</v>
      </c>
      <c r="Q8" s="3">
        <f ca="1">IFERROR(__xludf.DUMMYFUNCTION("""COMPUTED_VALUE"""),43474.6666666666)</f>
        <v>43474.666666666599</v>
      </c>
      <c r="R8" s="2">
        <f ca="1">IFERROR(__xludf.DUMMYFUNCTION("""COMPUTED_VALUE"""),196.37)</f>
        <v>196.37</v>
      </c>
      <c r="S8" s="3">
        <f ca="1">IFERROR(__xludf.DUMMYFUNCTION("""COMPUTED_VALUE"""),43474.6666666666)</f>
        <v>43474.666666666599</v>
      </c>
      <c r="T8" s="2">
        <f ca="1">IFERROR(__xludf.DUMMYFUNCTION("""COMPUTED_VALUE"""),128.93)</f>
        <v>128.93</v>
      </c>
    </row>
    <row r="9" spans="1:20">
      <c r="A9" s="3">
        <f ca="1">IFERROR(__xludf.DUMMYFUNCTION("""COMPUTED_VALUE"""),43475.6666666666)</f>
        <v>43475.666666666599</v>
      </c>
      <c r="B9" s="2">
        <f ca="1">IFERROR(__xludf.DUMMYFUNCTION("""COMPUTED_VALUE"""),38.45)</f>
        <v>38.450000000000003</v>
      </c>
      <c r="C9" s="3">
        <f ca="1">IFERROR(__xludf.DUMMYFUNCTION("""COMPUTED_VALUE"""),43475.6666666666)</f>
        <v>43475.666666666599</v>
      </c>
      <c r="D9" s="2">
        <f ca="1">IFERROR(__xludf.DUMMYFUNCTION("""COMPUTED_VALUE"""),103.6)</f>
        <v>103.6</v>
      </c>
      <c r="E9" s="3">
        <f ca="1">IFERROR(__xludf.DUMMYFUNCTION("""COMPUTED_VALUE"""),43475.6666666666)</f>
        <v>43475.666666666599</v>
      </c>
      <c r="F9" s="2">
        <f ca="1">IFERROR(__xludf.DUMMYFUNCTION("""COMPUTED_VALUE"""),1656.22)</f>
        <v>1656.22</v>
      </c>
      <c r="G9" s="3">
        <f ca="1">IFERROR(__xludf.DUMMYFUNCTION("""COMPUTED_VALUE"""),43475.6666666666)</f>
        <v>43475.666666666599</v>
      </c>
      <c r="H9" s="2">
        <f ca="1">IFERROR(__xludf.DUMMYFUNCTION("""COMPUTED_VALUE"""),1078.83)</f>
        <v>1078.83</v>
      </c>
      <c r="I9" s="3">
        <f ca="1">IFERROR(__xludf.DUMMYFUNCTION("""COMPUTED_VALUE"""),43475.6666666666)</f>
        <v>43475.666666666599</v>
      </c>
      <c r="J9" s="2">
        <f ca="1">IFERROR(__xludf.DUMMYFUNCTION("""COMPUTED_VALUE"""),1070.33)</f>
        <v>1070.33</v>
      </c>
      <c r="K9" s="3">
        <f ca="1">IFERROR(__xludf.DUMMYFUNCTION("""COMPUTED_VALUE"""),43475.6666666666)</f>
        <v>43475.666666666599</v>
      </c>
      <c r="L9" s="2">
        <f ca="1">IFERROR(__xludf.DUMMYFUNCTION("""COMPUTED_VALUE"""),144.2)</f>
        <v>144.19999999999999</v>
      </c>
      <c r="M9" s="3">
        <f ca="1">IFERROR(__xludf.DUMMYFUNCTION("""COMPUTED_VALUE"""),43475.6666666666)</f>
        <v>43475.666666666599</v>
      </c>
      <c r="N9" s="2">
        <f ca="1">IFERROR(__xludf.DUMMYFUNCTION("""COMPUTED_VALUE"""),68.99)</f>
        <v>68.989999999999995</v>
      </c>
      <c r="O9" s="3">
        <f ca="1">IFERROR(__xludf.DUMMYFUNCTION("""COMPUTED_VALUE"""),43475.6666666666)</f>
        <v>43475.666666666599</v>
      </c>
      <c r="P9" s="2">
        <f ca="1">IFERROR(__xludf.DUMMYFUNCTION("""COMPUTED_VALUE"""),36.31)</f>
        <v>36.31</v>
      </c>
      <c r="Q9" s="3">
        <f ca="1">IFERROR(__xludf.DUMMYFUNCTION("""COMPUTED_VALUE"""),43475.6666666666)</f>
        <v>43475.666666666599</v>
      </c>
      <c r="R9" s="2">
        <f ca="1">IFERROR(__xludf.DUMMYFUNCTION("""COMPUTED_VALUE"""),196.58)</f>
        <v>196.58</v>
      </c>
      <c r="S9" s="3">
        <f ca="1">IFERROR(__xludf.DUMMYFUNCTION("""COMPUTED_VALUE"""),43475.6666666666)</f>
        <v>43475.666666666599</v>
      </c>
      <c r="T9" s="2">
        <f ca="1">IFERROR(__xludf.DUMMYFUNCTION("""COMPUTED_VALUE"""),129.71)</f>
        <v>129.71</v>
      </c>
    </row>
    <row r="10" spans="1:20">
      <c r="A10" s="3">
        <f ca="1">IFERROR(__xludf.DUMMYFUNCTION("""COMPUTED_VALUE"""),43476.6666666666)</f>
        <v>43476.666666666599</v>
      </c>
      <c r="B10" s="2">
        <f ca="1">IFERROR(__xludf.DUMMYFUNCTION("""COMPUTED_VALUE"""),38.07)</f>
        <v>38.07</v>
      </c>
      <c r="C10" s="3">
        <f ca="1">IFERROR(__xludf.DUMMYFUNCTION("""COMPUTED_VALUE"""),43476.6666666666)</f>
        <v>43476.666666666599</v>
      </c>
      <c r="D10" s="2">
        <f ca="1">IFERROR(__xludf.DUMMYFUNCTION("""COMPUTED_VALUE"""),102.8)</f>
        <v>102.8</v>
      </c>
      <c r="E10" s="3">
        <f ca="1">IFERROR(__xludf.DUMMYFUNCTION("""COMPUTED_VALUE"""),43476.6666666666)</f>
        <v>43476.666666666599</v>
      </c>
      <c r="F10" s="2">
        <f ca="1">IFERROR(__xludf.DUMMYFUNCTION("""COMPUTED_VALUE"""),1640.56)</f>
        <v>1640.56</v>
      </c>
      <c r="G10" s="3">
        <f ca="1">IFERROR(__xludf.DUMMYFUNCTION("""COMPUTED_VALUE"""),43476.6666666666)</f>
        <v>43476.666666666599</v>
      </c>
      <c r="H10" s="2">
        <f ca="1">IFERROR(__xludf.DUMMYFUNCTION("""COMPUTED_VALUE"""),1064.47)</f>
        <v>1064.47</v>
      </c>
      <c r="I10" s="3">
        <f ca="1">IFERROR(__xludf.DUMMYFUNCTION("""COMPUTED_VALUE"""),43476.6666666666)</f>
        <v>43476.666666666599</v>
      </c>
      <c r="J10" s="2">
        <f ca="1">IFERROR(__xludf.DUMMYFUNCTION("""COMPUTED_VALUE"""),1057.19)</f>
        <v>1057.19</v>
      </c>
      <c r="K10" s="3">
        <f ca="1">IFERROR(__xludf.DUMMYFUNCTION("""COMPUTED_VALUE"""),43476.6666666666)</f>
        <v>43476.666666666599</v>
      </c>
      <c r="L10" s="2">
        <f ca="1">IFERROR(__xludf.DUMMYFUNCTION("""COMPUTED_VALUE"""),143.8)</f>
        <v>143.80000000000001</v>
      </c>
      <c r="M10" s="3">
        <f ca="1">IFERROR(__xludf.DUMMYFUNCTION("""COMPUTED_VALUE"""),43476.6666666666)</f>
        <v>43476.666666666599</v>
      </c>
      <c r="N10" s="2">
        <f ca="1">IFERROR(__xludf.DUMMYFUNCTION("""COMPUTED_VALUE"""),69.45)</f>
        <v>69.45</v>
      </c>
      <c r="O10" s="3">
        <f ca="1">IFERROR(__xludf.DUMMYFUNCTION("""COMPUTED_VALUE"""),43476.6666666666)</f>
        <v>43476.666666666599</v>
      </c>
      <c r="P10" s="2">
        <f ca="1">IFERROR(__xludf.DUMMYFUNCTION("""COMPUTED_VALUE"""),37.21)</f>
        <v>37.21</v>
      </c>
      <c r="Q10" s="3">
        <f ca="1">IFERROR(__xludf.DUMMYFUNCTION("""COMPUTED_VALUE"""),43476.6666666666)</f>
        <v>43476.666666666599</v>
      </c>
      <c r="R10" s="2">
        <f ca="1">IFERROR(__xludf.DUMMYFUNCTION("""COMPUTED_VALUE"""),196.29)</f>
        <v>196.29</v>
      </c>
      <c r="S10" s="3">
        <f ca="1">IFERROR(__xludf.DUMMYFUNCTION("""COMPUTED_VALUE"""),43476.6666666666)</f>
        <v>43476.666666666599</v>
      </c>
      <c r="T10" s="2">
        <f ca="1">IFERROR(__xludf.DUMMYFUNCTION("""COMPUTED_VALUE"""),129.75)</f>
        <v>129.75</v>
      </c>
    </row>
    <row r="11" spans="1:20">
      <c r="A11" s="3">
        <f ca="1">IFERROR(__xludf.DUMMYFUNCTION("""COMPUTED_VALUE"""),43479.6666666666)</f>
        <v>43479.666666666599</v>
      </c>
      <c r="B11" s="2">
        <f ca="1">IFERROR(__xludf.DUMMYFUNCTION("""COMPUTED_VALUE"""),37.5)</f>
        <v>37.5</v>
      </c>
      <c r="C11" s="3">
        <f ca="1">IFERROR(__xludf.DUMMYFUNCTION("""COMPUTED_VALUE"""),43479.6666666666)</f>
        <v>43479.666666666599</v>
      </c>
      <c r="D11" s="2">
        <f ca="1">IFERROR(__xludf.DUMMYFUNCTION("""COMPUTED_VALUE"""),102.05)</f>
        <v>102.05</v>
      </c>
      <c r="E11" s="3">
        <f ca="1">IFERROR(__xludf.DUMMYFUNCTION("""COMPUTED_VALUE"""),43479.6666666666)</f>
        <v>43479.666666666599</v>
      </c>
      <c r="F11" s="2">
        <f ca="1">IFERROR(__xludf.DUMMYFUNCTION("""COMPUTED_VALUE"""),1617.21)</f>
        <v>1617.21</v>
      </c>
      <c r="G11" s="3">
        <f ca="1">IFERROR(__xludf.DUMMYFUNCTION("""COMPUTED_VALUE"""),43479.6666666666)</f>
        <v>43479.666666666599</v>
      </c>
      <c r="H11" s="2">
        <f ca="1">IFERROR(__xludf.DUMMYFUNCTION("""COMPUTED_VALUE"""),1051.51)</f>
        <v>1051.51</v>
      </c>
      <c r="I11" s="3">
        <f ca="1">IFERROR(__xludf.DUMMYFUNCTION("""COMPUTED_VALUE"""),43479.6666666666)</f>
        <v>43479.666666666599</v>
      </c>
      <c r="J11" s="2">
        <f ca="1">IFERROR(__xludf.DUMMYFUNCTION("""COMPUTED_VALUE"""),1044.69)</f>
        <v>1044.69</v>
      </c>
      <c r="K11" s="3">
        <f ca="1">IFERROR(__xludf.DUMMYFUNCTION("""COMPUTED_VALUE"""),43479.6666666666)</f>
        <v>43479.666666666599</v>
      </c>
      <c r="L11" s="2">
        <f ca="1">IFERROR(__xludf.DUMMYFUNCTION("""COMPUTED_VALUE"""),145.39)</f>
        <v>145.38999999999999</v>
      </c>
      <c r="M11" s="3">
        <f ca="1">IFERROR(__xludf.DUMMYFUNCTION("""COMPUTED_VALUE"""),43479.6666666666)</f>
        <v>43479.666666666599</v>
      </c>
      <c r="N11" s="2">
        <f ca="1">IFERROR(__xludf.DUMMYFUNCTION("""COMPUTED_VALUE"""),66.88)</f>
        <v>66.88</v>
      </c>
      <c r="O11" s="3">
        <f ca="1">IFERROR(__xludf.DUMMYFUNCTION("""COMPUTED_VALUE"""),43479.6666666666)</f>
        <v>43479.666666666599</v>
      </c>
      <c r="P11" s="2">
        <f ca="1">IFERROR(__xludf.DUMMYFUNCTION("""COMPUTED_VALUE"""),37.61)</f>
        <v>37.61</v>
      </c>
      <c r="Q11" s="3">
        <f ca="1">IFERROR(__xludf.DUMMYFUNCTION("""COMPUTED_VALUE"""),43479.6666666666)</f>
        <v>43479.666666666599</v>
      </c>
      <c r="R11" s="2">
        <f ca="1">IFERROR(__xludf.DUMMYFUNCTION("""COMPUTED_VALUE"""),195.78)</f>
        <v>195.78</v>
      </c>
      <c r="S11" s="3">
        <f ca="1">IFERROR(__xludf.DUMMYFUNCTION("""COMPUTED_VALUE"""),43479.6666666666)</f>
        <v>43479.666666666599</v>
      </c>
      <c r="T11" s="2">
        <f ca="1">IFERROR(__xludf.DUMMYFUNCTION("""COMPUTED_VALUE"""),128.28)</f>
        <v>128.28</v>
      </c>
    </row>
    <row r="12" spans="1:20">
      <c r="A12" s="3">
        <f ca="1">IFERROR(__xludf.DUMMYFUNCTION("""COMPUTED_VALUE"""),43480.6666666666)</f>
        <v>43480.666666666599</v>
      </c>
      <c r="B12" s="2">
        <f ca="1">IFERROR(__xludf.DUMMYFUNCTION("""COMPUTED_VALUE"""),38.27)</f>
        <v>38.270000000000003</v>
      </c>
      <c r="C12" s="3">
        <f ca="1">IFERROR(__xludf.DUMMYFUNCTION("""COMPUTED_VALUE"""),43480.6666666666)</f>
        <v>43480.666666666599</v>
      </c>
      <c r="D12" s="2">
        <f ca="1">IFERROR(__xludf.DUMMYFUNCTION("""COMPUTED_VALUE"""),105.01)</f>
        <v>105.01</v>
      </c>
      <c r="E12" s="3">
        <f ca="1">IFERROR(__xludf.DUMMYFUNCTION("""COMPUTED_VALUE"""),43480.6666666666)</f>
        <v>43480.666666666599</v>
      </c>
      <c r="F12" s="2">
        <f ca="1">IFERROR(__xludf.DUMMYFUNCTION("""COMPUTED_VALUE"""),1674.56)</f>
        <v>1674.56</v>
      </c>
      <c r="G12" s="3">
        <f ca="1">IFERROR(__xludf.DUMMYFUNCTION("""COMPUTED_VALUE"""),43480.6666666666)</f>
        <v>43480.666666666599</v>
      </c>
      <c r="H12" s="2">
        <f ca="1">IFERROR(__xludf.DUMMYFUNCTION("""COMPUTED_VALUE"""),1086.51)</f>
        <v>1086.51</v>
      </c>
      <c r="I12" s="3">
        <f ca="1">IFERROR(__xludf.DUMMYFUNCTION("""COMPUTED_VALUE"""),43480.6666666666)</f>
        <v>43480.666666666599</v>
      </c>
      <c r="J12" s="2">
        <f ca="1">IFERROR(__xludf.DUMMYFUNCTION("""COMPUTED_VALUE"""),1077.15)</f>
        <v>1077.1500000000001</v>
      </c>
      <c r="K12" s="3">
        <f ca="1">IFERROR(__xludf.DUMMYFUNCTION("""COMPUTED_VALUE"""),43480.6666666666)</f>
        <v>43480.666666666599</v>
      </c>
      <c r="L12" s="2">
        <f ca="1">IFERROR(__xludf.DUMMYFUNCTION("""COMPUTED_VALUE"""),148.95)</f>
        <v>148.94999999999999</v>
      </c>
      <c r="M12" s="3">
        <f ca="1">IFERROR(__xludf.DUMMYFUNCTION("""COMPUTED_VALUE"""),43480.6666666666)</f>
        <v>43480.666666666599</v>
      </c>
      <c r="N12" s="2">
        <f ca="1">IFERROR(__xludf.DUMMYFUNCTION("""COMPUTED_VALUE"""),68.89)</f>
        <v>68.89</v>
      </c>
      <c r="O12" s="3">
        <f ca="1">IFERROR(__xludf.DUMMYFUNCTION("""COMPUTED_VALUE"""),43480.6666666666)</f>
        <v>43480.666666666599</v>
      </c>
      <c r="P12" s="2">
        <f ca="1">IFERROR(__xludf.DUMMYFUNCTION("""COMPUTED_VALUE"""),37.47)</f>
        <v>37.47</v>
      </c>
      <c r="Q12" s="3">
        <f ca="1">IFERROR(__xludf.DUMMYFUNCTION("""COMPUTED_VALUE"""),43480.6666666666)</f>
        <v>43480.666666666599</v>
      </c>
      <c r="R12" s="2">
        <f ca="1">IFERROR(__xludf.DUMMYFUNCTION("""COMPUTED_VALUE"""),196.94)</f>
        <v>196.94</v>
      </c>
      <c r="S12" s="3">
        <f ca="1">IFERROR(__xludf.DUMMYFUNCTION("""COMPUTED_VALUE"""),43480.6666666666)</f>
        <v>43480.666666666599</v>
      </c>
      <c r="T12" s="2">
        <f ca="1">IFERROR(__xludf.DUMMYFUNCTION("""COMPUTED_VALUE"""),129.36)</f>
        <v>129.36000000000001</v>
      </c>
    </row>
    <row r="13" spans="1:20">
      <c r="A13" s="3">
        <f ca="1">IFERROR(__xludf.DUMMYFUNCTION("""COMPUTED_VALUE"""),43481.6666666666)</f>
        <v>43481.666666666599</v>
      </c>
      <c r="B13" s="2">
        <f ca="1">IFERROR(__xludf.DUMMYFUNCTION("""COMPUTED_VALUE"""),38.74)</f>
        <v>38.74</v>
      </c>
      <c r="C13" s="3">
        <f ca="1">IFERROR(__xludf.DUMMYFUNCTION("""COMPUTED_VALUE"""),43481.6666666666)</f>
        <v>43481.666666666599</v>
      </c>
      <c r="D13" s="2">
        <f ca="1">IFERROR(__xludf.DUMMYFUNCTION("""COMPUTED_VALUE"""),105.38)</f>
        <v>105.38</v>
      </c>
      <c r="E13" s="3">
        <f ca="1">IFERROR(__xludf.DUMMYFUNCTION("""COMPUTED_VALUE"""),43481.6666666666)</f>
        <v>43481.666666666599</v>
      </c>
      <c r="F13" s="2">
        <f ca="1">IFERROR(__xludf.DUMMYFUNCTION("""COMPUTED_VALUE"""),1683.78)</f>
        <v>1683.78</v>
      </c>
      <c r="G13" s="3">
        <f ca="1">IFERROR(__xludf.DUMMYFUNCTION("""COMPUTED_VALUE"""),43481.6666666666)</f>
        <v>43481.666666666599</v>
      </c>
      <c r="H13" s="2">
        <f ca="1">IFERROR(__xludf.DUMMYFUNCTION("""COMPUTED_VALUE"""),1089.51)</f>
        <v>1089.51</v>
      </c>
      <c r="I13" s="3">
        <f ca="1">IFERROR(__xludf.DUMMYFUNCTION("""COMPUTED_VALUE"""),43481.6666666666)</f>
        <v>43481.666666666599</v>
      </c>
      <c r="J13" s="2">
        <f ca="1">IFERROR(__xludf.DUMMYFUNCTION("""COMPUTED_VALUE"""),1080.97)</f>
        <v>1080.97</v>
      </c>
      <c r="K13" s="3">
        <f ca="1">IFERROR(__xludf.DUMMYFUNCTION("""COMPUTED_VALUE"""),43481.6666666666)</f>
        <v>43481.666666666599</v>
      </c>
      <c r="L13" s="2">
        <f ca="1">IFERROR(__xludf.DUMMYFUNCTION("""COMPUTED_VALUE"""),147.54)</f>
        <v>147.54</v>
      </c>
      <c r="M13" s="3">
        <f ca="1">IFERROR(__xludf.DUMMYFUNCTION("""COMPUTED_VALUE"""),43481.6666666666)</f>
        <v>43481.666666666599</v>
      </c>
      <c r="N13" s="2">
        <f ca="1">IFERROR(__xludf.DUMMYFUNCTION("""COMPUTED_VALUE"""),69.21)</f>
        <v>69.209999999999994</v>
      </c>
      <c r="O13" s="3">
        <f ca="1">IFERROR(__xludf.DUMMYFUNCTION("""COMPUTED_VALUE"""),43481.6666666666)</f>
        <v>43481.666666666599</v>
      </c>
      <c r="P13" s="2">
        <f ca="1">IFERROR(__xludf.DUMMYFUNCTION("""COMPUTED_VALUE"""),37.21)</f>
        <v>37.21</v>
      </c>
      <c r="Q13" s="3">
        <f ca="1">IFERROR(__xludf.DUMMYFUNCTION("""COMPUTED_VALUE"""),43481.6666666666)</f>
        <v>43481.666666666599</v>
      </c>
      <c r="R13" s="2">
        <f ca="1">IFERROR(__xludf.DUMMYFUNCTION("""COMPUTED_VALUE"""),198.41)</f>
        <v>198.41</v>
      </c>
      <c r="S13" s="3">
        <f ca="1">IFERROR(__xludf.DUMMYFUNCTION("""COMPUTED_VALUE"""),43481.6666666666)</f>
        <v>43481.666666666599</v>
      </c>
      <c r="T13" s="2">
        <f ca="1">IFERROR(__xludf.DUMMYFUNCTION("""COMPUTED_VALUE"""),128.04)</f>
        <v>128.04</v>
      </c>
    </row>
    <row r="14" spans="1:20">
      <c r="A14" s="3">
        <f ca="1">IFERROR(__xludf.DUMMYFUNCTION("""COMPUTED_VALUE"""),43482.6666666666)</f>
        <v>43482.666666666599</v>
      </c>
      <c r="B14" s="2">
        <f ca="1">IFERROR(__xludf.DUMMYFUNCTION("""COMPUTED_VALUE"""),38.97)</f>
        <v>38.97</v>
      </c>
      <c r="C14" s="3">
        <f ca="1">IFERROR(__xludf.DUMMYFUNCTION("""COMPUTED_VALUE"""),43482.6666666666)</f>
        <v>43482.666666666599</v>
      </c>
      <c r="D14" s="2">
        <f ca="1">IFERROR(__xludf.DUMMYFUNCTION("""COMPUTED_VALUE"""),106.12)</f>
        <v>106.12</v>
      </c>
      <c r="E14" s="3">
        <f ca="1">IFERROR(__xludf.DUMMYFUNCTION("""COMPUTED_VALUE"""),43482.6666666666)</f>
        <v>43482.666666666599</v>
      </c>
      <c r="F14" s="2">
        <f ca="1">IFERROR(__xludf.DUMMYFUNCTION("""COMPUTED_VALUE"""),1693.22)</f>
        <v>1693.22</v>
      </c>
      <c r="G14" s="3">
        <f ca="1">IFERROR(__xludf.DUMMYFUNCTION("""COMPUTED_VALUE"""),43482.6666666666)</f>
        <v>43482.666666666599</v>
      </c>
      <c r="H14" s="2">
        <f ca="1">IFERROR(__xludf.DUMMYFUNCTION("""COMPUTED_VALUE"""),1099.12)</f>
        <v>1099.1199999999999</v>
      </c>
      <c r="I14" s="3">
        <f ca="1">IFERROR(__xludf.DUMMYFUNCTION("""COMPUTED_VALUE"""),43482.6666666666)</f>
        <v>43482.666666666599</v>
      </c>
      <c r="J14" s="2">
        <f ca="1">IFERROR(__xludf.DUMMYFUNCTION("""COMPUTED_VALUE"""),1089.9)</f>
        <v>1089.9000000000001</v>
      </c>
      <c r="K14" s="3">
        <f ca="1">IFERROR(__xludf.DUMMYFUNCTION("""COMPUTED_VALUE"""),43482.6666666666)</f>
        <v>43482.666666666599</v>
      </c>
      <c r="L14" s="2">
        <f ca="1">IFERROR(__xludf.DUMMYFUNCTION("""COMPUTED_VALUE"""),148.3)</f>
        <v>148.30000000000001</v>
      </c>
      <c r="M14" s="3">
        <f ca="1">IFERROR(__xludf.DUMMYFUNCTION("""COMPUTED_VALUE"""),43482.6666666666)</f>
        <v>43482.666666666599</v>
      </c>
      <c r="N14" s="2">
        <f ca="1">IFERROR(__xludf.DUMMYFUNCTION("""COMPUTED_VALUE"""),69.46)</f>
        <v>69.459999999999994</v>
      </c>
      <c r="O14" s="3">
        <f ca="1">IFERROR(__xludf.DUMMYFUNCTION("""COMPUTED_VALUE"""),43482.6666666666)</f>
        <v>43482.666666666599</v>
      </c>
      <c r="P14" s="2">
        <f ca="1">IFERROR(__xludf.DUMMYFUNCTION("""COMPUTED_VALUE"""),37.93)</f>
        <v>37.93</v>
      </c>
      <c r="Q14" s="3">
        <f ca="1">IFERROR(__xludf.DUMMYFUNCTION("""COMPUTED_VALUE"""),43482.6666666666)</f>
        <v>43482.666666666599</v>
      </c>
      <c r="R14" s="2">
        <f ca="1">IFERROR(__xludf.DUMMYFUNCTION("""COMPUTED_VALUE"""),198.78)</f>
        <v>198.78</v>
      </c>
      <c r="S14" s="3">
        <f ca="1">IFERROR(__xludf.DUMMYFUNCTION("""COMPUTED_VALUE"""),43482.6666666666)</f>
        <v>43482.666666666599</v>
      </c>
      <c r="T14" s="2">
        <f ca="1">IFERROR(__xludf.DUMMYFUNCTION("""COMPUTED_VALUE"""),129.09)</f>
        <v>129.09</v>
      </c>
    </row>
    <row r="15" spans="1:20">
      <c r="A15" s="3">
        <f ca="1">IFERROR(__xludf.DUMMYFUNCTION("""COMPUTED_VALUE"""),43483.6666666666)</f>
        <v>43483.666666666599</v>
      </c>
      <c r="B15" s="2">
        <f ca="1">IFERROR(__xludf.DUMMYFUNCTION("""COMPUTED_VALUE"""),39.21)</f>
        <v>39.21</v>
      </c>
      <c r="C15" s="3">
        <f ca="1">IFERROR(__xludf.DUMMYFUNCTION("""COMPUTED_VALUE"""),43483.6666666666)</f>
        <v>43483.666666666599</v>
      </c>
      <c r="D15" s="2">
        <f ca="1">IFERROR(__xludf.DUMMYFUNCTION("""COMPUTED_VALUE"""),107.71)</f>
        <v>107.71</v>
      </c>
      <c r="E15" s="3">
        <f ca="1">IFERROR(__xludf.DUMMYFUNCTION("""COMPUTED_VALUE"""),43483.6666666666)</f>
        <v>43483.666666666599</v>
      </c>
      <c r="F15" s="2">
        <f ca="1">IFERROR(__xludf.DUMMYFUNCTION("""COMPUTED_VALUE"""),1696.2)</f>
        <v>1696.2</v>
      </c>
      <c r="G15" s="3">
        <f ca="1">IFERROR(__xludf.DUMMYFUNCTION("""COMPUTED_VALUE"""),43483.6666666666)</f>
        <v>43483.666666666599</v>
      </c>
      <c r="H15" s="2">
        <f ca="1">IFERROR(__xludf.DUMMYFUNCTION("""COMPUTED_VALUE"""),1107.3)</f>
        <v>1107.3</v>
      </c>
      <c r="I15" s="3">
        <f ca="1">IFERROR(__xludf.DUMMYFUNCTION("""COMPUTED_VALUE"""),43483.6666666666)</f>
        <v>43483.666666666599</v>
      </c>
      <c r="J15" s="2">
        <f ca="1">IFERROR(__xludf.DUMMYFUNCTION("""COMPUTED_VALUE"""),1098.26)</f>
        <v>1098.26</v>
      </c>
      <c r="K15" s="3">
        <f ca="1">IFERROR(__xludf.DUMMYFUNCTION("""COMPUTED_VALUE"""),43483.6666666666)</f>
        <v>43483.666666666599</v>
      </c>
      <c r="L15" s="2">
        <f ca="1">IFERROR(__xludf.DUMMYFUNCTION("""COMPUTED_VALUE"""),150.04)</f>
        <v>150.04</v>
      </c>
      <c r="M15" s="3">
        <f ca="1">IFERROR(__xludf.DUMMYFUNCTION("""COMPUTED_VALUE"""),43483.6666666666)</f>
        <v>43483.666666666599</v>
      </c>
      <c r="N15" s="2">
        <f ca="1">IFERROR(__xludf.DUMMYFUNCTION("""COMPUTED_VALUE"""),60.45)</f>
        <v>60.45</v>
      </c>
      <c r="O15" s="3">
        <f ca="1">IFERROR(__xludf.DUMMYFUNCTION("""COMPUTED_VALUE"""),43483.6666666666)</f>
        <v>43483.666666666599</v>
      </c>
      <c r="P15" s="2">
        <f ca="1">IFERROR(__xludf.DUMMYFUNCTION("""COMPUTED_VALUE"""),39.23)</f>
        <v>39.229999999999997</v>
      </c>
      <c r="Q15" s="3">
        <f ca="1">IFERROR(__xludf.DUMMYFUNCTION("""COMPUTED_VALUE"""),43483.6666666666)</f>
        <v>43483.666666666599</v>
      </c>
      <c r="R15" s="2">
        <f ca="1">IFERROR(__xludf.DUMMYFUNCTION("""COMPUTED_VALUE"""),204.48)</f>
        <v>204.48</v>
      </c>
      <c r="S15" s="3">
        <f ca="1">IFERROR(__xludf.DUMMYFUNCTION("""COMPUTED_VALUE"""),43483.6666666666)</f>
        <v>43483.666666666599</v>
      </c>
      <c r="T15" s="2">
        <f ca="1">IFERROR(__xludf.DUMMYFUNCTION("""COMPUTED_VALUE"""),130.69)</f>
        <v>130.69</v>
      </c>
    </row>
    <row r="16" spans="1:20">
      <c r="A16" s="3">
        <f ca="1">IFERROR(__xludf.DUMMYFUNCTION("""COMPUTED_VALUE"""),43487.6666666666)</f>
        <v>43487.666666666599</v>
      </c>
      <c r="B16" s="2">
        <f ca="1">IFERROR(__xludf.DUMMYFUNCTION("""COMPUTED_VALUE"""),38.33)</f>
        <v>38.33</v>
      </c>
      <c r="C16" s="3">
        <f ca="1">IFERROR(__xludf.DUMMYFUNCTION("""COMPUTED_VALUE"""),43487.6666666666)</f>
        <v>43487.666666666599</v>
      </c>
      <c r="D16" s="2">
        <f ca="1">IFERROR(__xludf.DUMMYFUNCTION("""COMPUTED_VALUE"""),105.68)</f>
        <v>105.68</v>
      </c>
      <c r="E16" s="3">
        <f ca="1">IFERROR(__xludf.DUMMYFUNCTION("""COMPUTED_VALUE"""),43487.6666666666)</f>
        <v>43487.666666666599</v>
      </c>
      <c r="F16" s="2">
        <f ca="1">IFERROR(__xludf.DUMMYFUNCTION("""COMPUTED_VALUE"""),1632.17)</f>
        <v>1632.17</v>
      </c>
      <c r="G16" s="3">
        <f ca="1">IFERROR(__xludf.DUMMYFUNCTION("""COMPUTED_VALUE"""),43487.6666666666)</f>
        <v>43487.666666666599</v>
      </c>
      <c r="H16" s="2">
        <f ca="1">IFERROR(__xludf.DUMMYFUNCTION("""COMPUTED_VALUE"""),1078.63)</f>
        <v>1078.6300000000001</v>
      </c>
      <c r="I16" s="3">
        <f ca="1">IFERROR(__xludf.DUMMYFUNCTION("""COMPUTED_VALUE"""),43487.6666666666)</f>
        <v>43487.666666666599</v>
      </c>
      <c r="J16" s="2">
        <f ca="1">IFERROR(__xludf.DUMMYFUNCTION("""COMPUTED_VALUE"""),1070.52)</f>
        <v>1070.52</v>
      </c>
      <c r="K16" s="3">
        <f ca="1">IFERROR(__xludf.DUMMYFUNCTION("""COMPUTED_VALUE"""),43487.6666666666)</f>
        <v>43487.666666666599</v>
      </c>
      <c r="L16" s="2">
        <f ca="1">IFERROR(__xludf.DUMMYFUNCTION("""COMPUTED_VALUE"""),147.57)</f>
        <v>147.57</v>
      </c>
      <c r="M16" s="3">
        <f ca="1">IFERROR(__xludf.DUMMYFUNCTION("""COMPUTED_VALUE"""),43487.6666666666)</f>
        <v>43487.666666666599</v>
      </c>
      <c r="N16" s="2">
        <f ca="1">IFERROR(__xludf.DUMMYFUNCTION("""COMPUTED_VALUE"""),59.78)</f>
        <v>59.78</v>
      </c>
      <c r="O16" s="3">
        <f ca="1">IFERROR(__xludf.DUMMYFUNCTION("""COMPUTED_VALUE"""),43487.6666666666)</f>
        <v>43487.666666666599</v>
      </c>
      <c r="P16" s="2">
        <f ca="1">IFERROR(__xludf.DUMMYFUNCTION("""COMPUTED_VALUE"""),37.19)</f>
        <v>37.19</v>
      </c>
      <c r="Q16" s="3">
        <f ca="1">IFERROR(__xludf.DUMMYFUNCTION("""COMPUTED_VALUE"""),43487.6666666666)</f>
        <v>43487.666666666599</v>
      </c>
      <c r="R16" s="2">
        <f ca="1">IFERROR(__xludf.DUMMYFUNCTION("""COMPUTED_VALUE"""),200.72)</f>
        <v>200.72</v>
      </c>
      <c r="S16" s="3">
        <f ca="1">IFERROR(__xludf.DUMMYFUNCTION("""COMPUTED_VALUE"""),43487.6666666666)</f>
        <v>43487.666666666599</v>
      </c>
      <c r="T16" s="2">
        <f ca="1">IFERROR(__xludf.DUMMYFUNCTION("""COMPUTED_VALUE"""),128.8)</f>
        <v>128.80000000000001</v>
      </c>
    </row>
    <row r="17" spans="1:20">
      <c r="A17" s="3">
        <f ca="1">IFERROR(__xludf.DUMMYFUNCTION("""COMPUTED_VALUE"""),43488.6666666666)</f>
        <v>43488.666666666599</v>
      </c>
      <c r="B17" s="2">
        <f ca="1">IFERROR(__xludf.DUMMYFUNCTION("""COMPUTED_VALUE"""),38.48)</f>
        <v>38.479999999999997</v>
      </c>
      <c r="C17" s="3">
        <f ca="1">IFERROR(__xludf.DUMMYFUNCTION("""COMPUTED_VALUE"""),43488.6666666666)</f>
        <v>43488.666666666599</v>
      </c>
      <c r="D17" s="2">
        <f ca="1">IFERROR(__xludf.DUMMYFUNCTION("""COMPUTED_VALUE"""),106.71)</f>
        <v>106.71</v>
      </c>
      <c r="E17" s="3">
        <f ca="1">IFERROR(__xludf.DUMMYFUNCTION("""COMPUTED_VALUE"""),43488.6666666666)</f>
        <v>43488.666666666599</v>
      </c>
      <c r="F17" s="2">
        <f ca="1">IFERROR(__xludf.DUMMYFUNCTION("""COMPUTED_VALUE"""),1640.02)</f>
        <v>1640.02</v>
      </c>
      <c r="G17" s="3">
        <f ca="1">IFERROR(__xludf.DUMMYFUNCTION("""COMPUTED_VALUE"""),43488.6666666666)</f>
        <v>43488.666666666599</v>
      </c>
      <c r="H17" s="2">
        <f ca="1">IFERROR(__xludf.DUMMYFUNCTION("""COMPUTED_VALUE"""),1084.41)</f>
        <v>1084.4100000000001</v>
      </c>
      <c r="I17" s="3">
        <f ca="1">IFERROR(__xludf.DUMMYFUNCTION("""COMPUTED_VALUE"""),43488.6666666666)</f>
        <v>43488.666666666599</v>
      </c>
      <c r="J17" s="2">
        <f ca="1">IFERROR(__xludf.DUMMYFUNCTION("""COMPUTED_VALUE"""),1075.57)</f>
        <v>1075.57</v>
      </c>
      <c r="K17" s="3">
        <f ca="1">IFERROR(__xludf.DUMMYFUNCTION("""COMPUTED_VALUE"""),43488.6666666666)</f>
        <v>43488.666666666599</v>
      </c>
      <c r="L17" s="2">
        <f ca="1">IFERROR(__xludf.DUMMYFUNCTION("""COMPUTED_VALUE"""),144.3)</f>
        <v>144.30000000000001</v>
      </c>
      <c r="M17" s="3">
        <f ca="1">IFERROR(__xludf.DUMMYFUNCTION("""COMPUTED_VALUE"""),43488.6666666666)</f>
        <v>43488.666666666599</v>
      </c>
      <c r="N17" s="2">
        <f ca="1">IFERROR(__xludf.DUMMYFUNCTION("""COMPUTED_VALUE"""),57.52)</f>
        <v>57.52</v>
      </c>
      <c r="O17" s="3">
        <f ca="1">IFERROR(__xludf.DUMMYFUNCTION("""COMPUTED_VALUE"""),43488.6666666666)</f>
        <v>43488.666666666599</v>
      </c>
      <c r="P17" s="2">
        <f ca="1">IFERROR(__xludf.DUMMYFUNCTION("""COMPUTED_VALUE"""),37.32)</f>
        <v>37.32</v>
      </c>
      <c r="Q17" s="3">
        <f ca="1">IFERROR(__xludf.DUMMYFUNCTION("""COMPUTED_VALUE"""),43488.6666666666)</f>
        <v>43488.666666666599</v>
      </c>
      <c r="R17" s="2">
        <f ca="1">IFERROR(__xludf.DUMMYFUNCTION("""COMPUTED_VALUE"""),201.15)</f>
        <v>201.15</v>
      </c>
      <c r="S17" s="3">
        <f ca="1">IFERROR(__xludf.DUMMYFUNCTION("""COMPUTED_VALUE"""),43488.6666666666)</f>
        <v>43488.666666666599</v>
      </c>
      <c r="T17" s="2">
        <f ca="1">IFERROR(__xludf.DUMMYFUNCTION("""COMPUTED_VALUE"""),128.8)</f>
        <v>128.80000000000001</v>
      </c>
    </row>
    <row r="18" spans="1:20">
      <c r="A18" s="3">
        <f ca="1">IFERROR(__xludf.DUMMYFUNCTION("""COMPUTED_VALUE"""),43489.6666666666)</f>
        <v>43489.666666666599</v>
      </c>
      <c r="B18" s="2">
        <f ca="1">IFERROR(__xludf.DUMMYFUNCTION("""COMPUTED_VALUE"""),38.17)</f>
        <v>38.17</v>
      </c>
      <c r="C18" s="3">
        <f ca="1">IFERROR(__xludf.DUMMYFUNCTION("""COMPUTED_VALUE"""),43489.6666666666)</f>
        <v>43489.666666666599</v>
      </c>
      <c r="D18" s="2">
        <f ca="1">IFERROR(__xludf.DUMMYFUNCTION("""COMPUTED_VALUE"""),106.2)</f>
        <v>106.2</v>
      </c>
      <c r="E18" s="3">
        <f ca="1">IFERROR(__xludf.DUMMYFUNCTION("""COMPUTED_VALUE"""),43489.6666666666)</f>
        <v>43489.666666666599</v>
      </c>
      <c r="F18" s="2">
        <f ca="1">IFERROR(__xludf.DUMMYFUNCTION("""COMPUTED_VALUE"""),1654.93)</f>
        <v>1654.93</v>
      </c>
      <c r="G18" s="3">
        <f ca="1">IFERROR(__xludf.DUMMYFUNCTION("""COMPUTED_VALUE"""),43489.6666666666)</f>
        <v>43489.666666666599</v>
      </c>
      <c r="H18" s="2">
        <f ca="1">IFERROR(__xludf.DUMMYFUNCTION("""COMPUTED_VALUE"""),1084)</f>
        <v>1084</v>
      </c>
      <c r="I18" s="3">
        <f ca="1">IFERROR(__xludf.DUMMYFUNCTION("""COMPUTED_VALUE"""),43489.6666666666)</f>
        <v>43489.666666666599</v>
      </c>
      <c r="J18" s="2">
        <f ca="1">IFERROR(__xludf.DUMMYFUNCTION("""COMPUTED_VALUE"""),1073.9)</f>
        <v>1073.9000000000001</v>
      </c>
      <c r="K18" s="3">
        <f ca="1">IFERROR(__xludf.DUMMYFUNCTION("""COMPUTED_VALUE"""),43489.6666666666)</f>
        <v>43489.666666666599</v>
      </c>
      <c r="L18" s="2">
        <f ca="1">IFERROR(__xludf.DUMMYFUNCTION("""COMPUTED_VALUE"""),145.83)</f>
        <v>145.83000000000001</v>
      </c>
      <c r="M18" s="3">
        <f ca="1">IFERROR(__xludf.DUMMYFUNCTION("""COMPUTED_VALUE"""),43489.6666666666)</f>
        <v>43489.666666666599</v>
      </c>
      <c r="N18" s="2">
        <f ca="1">IFERROR(__xludf.DUMMYFUNCTION("""COMPUTED_VALUE"""),58.3)</f>
        <v>58.3</v>
      </c>
      <c r="O18" s="3">
        <f ca="1">IFERROR(__xludf.DUMMYFUNCTION("""COMPUTED_VALUE"""),43489.6666666666)</f>
        <v>43489.666666666599</v>
      </c>
      <c r="P18" s="2">
        <f ca="1">IFERROR(__xludf.DUMMYFUNCTION("""COMPUTED_VALUE"""),39.46)</f>
        <v>39.46</v>
      </c>
      <c r="Q18" s="3">
        <f ca="1">IFERROR(__xludf.DUMMYFUNCTION("""COMPUTED_VALUE"""),43489.6666666666)</f>
        <v>43489.666666666599</v>
      </c>
      <c r="R18" s="2">
        <f ca="1">IFERROR(__xludf.DUMMYFUNCTION("""COMPUTED_VALUE"""),201.02)</f>
        <v>201.02</v>
      </c>
      <c r="S18" s="3">
        <f ca="1">IFERROR(__xludf.DUMMYFUNCTION("""COMPUTED_VALUE"""),43489.6666666666)</f>
        <v>43489.666666666599</v>
      </c>
      <c r="T18" s="2">
        <f ca="1">IFERROR(__xludf.DUMMYFUNCTION("""COMPUTED_VALUE"""),127.03)</f>
        <v>127.03</v>
      </c>
    </row>
    <row r="19" spans="1:20">
      <c r="A19" s="3">
        <f ca="1">IFERROR(__xludf.DUMMYFUNCTION("""COMPUTED_VALUE"""),43490.6666666666)</f>
        <v>43490.666666666599</v>
      </c>
      <c r="B19" s="2">
        <f ca="1">IFERROR(__xludf.DUMMYFUNCTION("""COMPUTED_VALUE"""),39.44)</f>
        <v>39.44</v>
      </c>
      <c r="C19" s="3">
        <f ca="1">IFERROR(__xludf.DUMMYFUNCTION("""COMPUTED_VALUE"""),43490.6666666666)</f>
        <v>43490.666666666599</v>
      </c>
      <c r="D19" s="2">
        <f ca="1">IFERROR(__xludf.DUMMYFUNCTION("""COMPUTED_VALUE"""),107.17)</f>
        <v>107.17</v>
      </c>
      <c r="E19" s="3">
        <f ca="1">IFERROR(__xludf.DUMMYFUNCTION("""COMPUTED_VALUE"""),43490.6666666666)</f>
        <v>43490.666666666599</v>
      </c>
      <c r="F19" s="2">
        <f ca="1">IFERROR(__xludf.DUMMYFUNCTION("""COMPUTED_VALUE"""),1670.57)</f>
        <v>1670.57</v>
      </c>
      <c r="G19" s="3">
        <f ca="1">IFERROR(__xludf.DUMMYFUNCTION("""COMPUTED_VALUE"""),43490.6666666666)</f>
        <v>43490.666666666599</v>
      </c>
      <c r="H19" s="2">
        <f ca="1">IFERROR(__xludf.DUMMYFUNCTION("""COMPUTED_VALUE"""),1101.51)</f>
        <v>1101.51</v>
      </c>
      <c r="I19" s="3">
        <f ca="1">IFERROR(__xludf.DUMMYFUNCTION("""COMPUTED_VALUE"""),43490.6666666666)</f>
        <v>43490.666666666599</v>
      </c>
      <c r="J19" s="2">
        <f ca="1">IFERROR(__xludf.DUMMYFUNCTION("""COMPUTED_VALUE"""),1090.99)</f>
        <v>1090.99</v>
      </c>
      <c r="K19" s="3">
        <f ca="1">IFERROR(__xludf.DUMMYFUNCTION("""COMPUTED_VALUE"""),43490.6666666666)</f>
        <v>43490.666666666599</v>
      </c>
      <c r="L19" s="2">
        <f ca="1">IFERROR(__xludf.DUMMYFUNCTION("""COMPUTED_VALUE"""),149.01)</f>
        <v>149.01</v>
      </c>
      <c r="M19" s="3">
        <f ca="1">IFERROR(__xludf.DUMMYFUNCTION("""COMPUTED_VALUE"""),43490.6666666666)</f>
        <v>43490.666666666599</v>
      </c>
      <c r="N19" s="2">
        <f ca="1">IFERROR(__xludf.DUMMYFUNCTION("""COMPUTED_VALUE"""),59.41)</f>
        <v>59.41</v>
      </c>
      <c r="O19" s="3">
        <f ca="1">IFERROR(__xludf.DUMMYFUNCTION("""COMPUTED_VALUE"""),43490.6666666666)</f>
        <v>43490.666666666599</v>
      </c>
      <c r="P19" s="2">
        <f ca="1">IFERROR(__xludf.DUMMYFUNCTION("""COMPUTED_VALUE"""),40.04)</f>
        <v>40.04</v>
      </c>
      <c r="Q19" s="3">
        <f ca="1">IFERROR(__xludf.DUMMYFUNCTION("""COMPUTED_VALUE"""),43490.6666666666)</f>
        <v>43490.666666666599</v>
      </c>
      <c r="R19" s="2">
        <f ca="1">IFERROR(__xludf.DUMMYFUNCTION("""COMPUTED_VALUE"""),202.75)</f>
        <v>202.75</v>
      </c>
      <c r="S19" s="3">
        <f ca="1">IFERROR(__xludf.DUMMYFUNCTION("""COMPUTED_VALUE"""),43490.6666666666)</f>
        <v>43490.666666666599</v>
      </c>
      <c r="T19" s="2">
        <f ca="1">IFERROR(__xludf.DUMMYFUNCTION("""COMPUTED_VALUE"""),128.23)</f>
        <v>128.22999999999999</v>
      </c>
    </row>
    <row r="20" spans="1:20">
      <c r="A20" s="3">
        <f ca="1">IFERROR(__xludf.DUMMYFUNCTION("""COMPUTED_VALUE"""),43493.6666666666)</f>
        <v>43493.666666666599</v>
      </c>
      <c r="B20" s="2">
        <f ca="1">IFERROR(__xludf.DUMMYFUNCTION("""COMPUTED_VALUE"""),39.08)</f>
        <v>39.08</v>
      </c>
      <c r="C20" s="3">
        <f ca="1">IFERROR(__xludf.DUMMYFUNCTION("""COMPUTED_VALUE"""),43493.6666666666)</f>
        <v>43493.666666666599</v>
      </c>
      <c r="D20" s="2">
        <f ca="1">IFERROR(__xludf.DUMMYFUNCTION("""COMPUTED_VALUE"""),105.08)</f>
        <v>105.08</v>
      </c>
      <c r="E20" s="3">
        <f ca="1">IFERROR(__xludf.DUMMYFUNCTION("""COMPUTED_VALUE"""),43493.6666666666)</f>
        <v>43493.666666666599</v>
      </c>
      <c r="F20" s="2">
        <f ca="1">IFERROR(__xludf.DUMMYFUNCTION("""COMPUTED_VALUE"""),1637.89)</f>
        <v>1637.89</v>
      </c>
      <c r="G20" s="3">
        <f ca="1">IFERROR(__xludf.DUMMYFUNCTION("""COMPUTED_VALUE"""),43493.6666666666)</f>
        <v>43493.666666666599</v>
      </c>
      <c r="H20" s="2">
        <f ca="1">IFERROR(__xludf.DUMMYFUNCTION("""COMPUTED_VALUE"""),1079.86)</f>
        <v>1079.8599999999999</v>
      </c>
      <c r="I20" s="3">
        <f ca="1">IFERROR(__xludf.DUMMYFUNCTION("""COMPUTED_VALUE"""),43493.6666666666)</f>
        <v>43493.666666666599</v>
      </c>
      <c r="J20" s="2">
        <f ca="1">IFERROR(__xludf.DUMMYFUNCTION("""COMPUTED_VALUE"""),1070.08)</f>
        <v>1070.08</v>
      </c>
      <c r="K20" s="3">
        <f ca="1">IFERROR(__xludf.DUMMYFUNCTION("""COMPUTED_VALUE"""),43493.6666666666)</f>
        <v>43493.666666666599</v>
      </c>
      <c r="L20" s="2">
        <f ca="1">IFERROR(__xludf.DUMMYFUNCTION("""COMPUTED_VALUE"""),147.47)</f>
        <v>147.47</v>
      </c>
      <c r="M20" s="3">
        <f ca="1">IFERROR(__xludf.DUMMYFUNCTION("""COMPUTED_VALUE"""),43493.6666666666)</f>
        <v>43493.666666666599</v>
      </c>
      <c r="N20" s="2">
        <f ca="1">IFERROR(__xludf.DUMMYFUNCTION("""COMPUTED_VALUE"""),59.28)</f>
        <v>59.28</v>
      </c>
      <c r="O20" s="3">
        <f ca="1">IFERROR(__xludf.DUMMYFUNCTION("""COMPUTED_VALUE"""),43493.6666666666)</f>
        <v>43493.666666666599</v>
      </c>
      <c r="P20" s="2">
        <f ca="1">IFERROR(__xludf.DUMMYFUNCTION("""COMPUTED_VALUE"""),34.5)</f>
        <v>34.5</v>
      </c>
      <c r="Q20" s="3">
        <f ca="1">IFERROR(__xludf.DUMMYFUNCTION("""COMPUTED_VALUE"""),43493.6666666666)</f>
        <v>43493.666666666599</v>
      </c>
      <c r="R20" s="2">
        <f ca="1">IFERROR(__xludf.DUMMYFUNCTION("""COMPUTED_VALUE"""),200.95)</f>
        <v>200.95</v>
      </c>
      <c r="S20" s="3">
        <f ca="1">IFERROR(__xludf.DUMMYFUNCTION("""COMPUTED_VALUE"""),43493.6666666666)</f>
        <v>43493.666666666599</v>
      </c>
      <c r="T20" s="2">
        <f ca="1">IFERROR(__xludf.DUMMYFUNCTION("""COMPUTED_VALUE"""),128.99)</f>
        <v>128.99</v>
      </c>
    </row>
    <row r="21" spans="1:20">
      <c r="A21" s="3">
        <f ca="1">IFERROR(__xludf.DUMMYFUNCTION("""COMPUTED_VALUE"""),43494.6666666666)</f>
        <v>43494.666666666599</v>
      </c>
      <c r="B21" s="2">
        <f ca="1">IFERROR(__xludf.DUMMYFUNCTION("""COMPUTED_VALUE"""),38.67)</f>
        <v>38.67</v>
      </c>
      <c r="C21" s="3">
        <f ca="1">IFERROR(__xludf.DUMMYFUNCTION("""COMPUTED_VALUE"""),43494.6666666666)</f>
        <v>43494.666666666599</v>
      </c>
      <c r="D21" s="2">
        <f ca="1">IFERROR(__xludf.DUMMYFUNCTION("""COMPUTED_VALUE"""),102.94)</f>
        <v>102.94</v>
      </c>
      <c r="E21" s="3">
        <f ca="1">IFERROR(__xludf.DUMMYFUNCTION("""COMPUTED_VALUE"""),43494.6666666666)</f>
        <v>43494.666666666599</v>
      </c>
      <c r="F21" s="2">
        <f ca="1">IFERROR(__xludf.DUMMYFUNCTION("""COMPUTED_VALUE"""),1593.88)</f>
        <v>1593.88</v>
      </c>
      <c r="G21" s="3">
        <f ca="1">IFERROR(__xludf.DUMMYFUNCTION("""COMPUTED_VALUE"""),43494.6666666666)</f>
        <v>43494.666666666599</v>
      </c>
      <c r="H21" s="2">
        <f ca="1">IFERROR(__xludf.DUMMYFUNCTION("""COMPUTED_VALUE"""),1070.06)</f>
        <v>1070.06</v>
      </c>
      <c r="I21" s="3">
        <f ca="1">IFERROR(__xludf.DUMMYFUNCTION("""COMPUTED_VALUE"""),43494.6666666666)</f>
        <v>43494.666666666599</v>
      </c>
      <c r="J21" s="2">
        <f ca="1">IFERROR(__xludf.DUMMYFUNCTION("""COMPUTED_VALUE"""),1060.62)</f>
        <v>1060.6199999999999</v>
      </c>
      <c r="K21" s="3">
        <f ca="1">IFERROR(__xludf.DUMMYFUNCTION("""COMPUTED_VALUE"""),43494.6666666666)</f>
        <v>43494.666666666599</v>
      </c>
      <c r="L21" s="2">
        <f ca="1">IFERROR(__xludf.DUMMYFUNCTION("""COMPUTED_VALUE"""),144.19)</f>
        <v>144.19</v>
      </c>
      <c r="M21" s="3">
        <f ca="1">IFERROR(__xludf.DUMMYFUNCTION("""COMPUTED_VALUE"""),43494.6666666666)</f>
        <v>43494.666666666599</v>
      </c>
      <c r="N21" s="2">
        <f ca="1">IFERROR(__xludf.DUMMYFUNCTION("""COMPUTED_VALUE"""),59.49)</f>
        <v>59.49</v>
      </c>
      <c r="O21" s="3">
        <f ca="1">IFERROR(__xludf.DUMMYFUNCTION("""COMPUTED_VALUE"""),43494.6666666666)</f>
        <v>43494.666666666599</v>
      </c>
      <c r="P21" s="2">
        <f ca="1">IFERROR(__xludf.DUMMYFUNCTION("""COMPUTED_VALUE"""),32.9)</f>
        <v>32.9</v>
      </c>
      <c r="Q21" s="3">
        <f ca="1">IFERROR(__xludf.DUMMYFUNCTION("""COMPUTED_VALUE"""),43494.6666666666)</f>
        <v>43494.666666666599</v>
      </c>
      <c r="R21" s="2">
        <f ca="1">IFERROR(__xludf.DUMMYFUNCTION("""COMPUTED_VALUE"""),202.05)</f>
        <v>202.05</v>
      </c>
      <c r="S21" s="3">
        <f ca="1">IFERROR(__xludf.DUMMYFUNCTION("""COMPUTED_VALUE"""),43494.6666666666)</f>
        <v>43494.666666666599</v>
      </c>
      <c r="T21" s="2">
        <f ca="1">IFERROR(__xludf.DUMMYFUNCTION("""COMPUTED_VALUE"""),130.33)</f>
        <v>130.33000000000001</v>
      </c>
    </row>
    <row r="22" spans="1:20">
      <c r="A22" s="3">
        <f ca="1">IFERROR(__xludf.DUMMYFUNCTION("""COMPUTED_VALUE"""),43495.6666666666)</f>
        <v>43495.666666666599</v>
      </c>
      <c r="B22" s="2">
        <f ca="1">IFERROR(__xludf.DUMMYFUNCTION("""COMPUTED_VALUE"""),41.31)</f>
        <v>41.31</v>
      </c>
      <c r="C22" s="3">
        <f ca="1">IFERROR(__xludf.DUMMYFUNCTION("""COMPUTED_VALUE"""),43495.6666666666)</f>
        <v>43495.666666666599</v>
      </c>
      <c r="D22" s="2">
        <f ca="1">IFERROR(__xludf.DUMMYFUNCTION("""COMPUTED_VALUE"""),106.38)</f>
        <v>106.38</v>
      </c>
      <c r="E22" s="3">
        <f ca="1">IFERROR(__xludf.DUMMYFUNCTION("""COMPUTED_VALUE"""),43495.6666666666)</f>
        <v>43495.666666666599</v>
      </c>
      <c r="F22" s="2">
        <f ca="1">IFERROR(__xludf.DUMMYFUNCTION("""COMPUTED_VALUE"""),1670.43)</f>
        <v>1670.43</v>
      </c>
      <c r="G22" s="3">
        <f ca="1">IFERROR(__xludf.DUMMYFUNCTION("""COMPUTED_VALUE"""),43495.6666666666)</f>
        <v>43495.666666666599</v>
      </c>
      <c r="H22" s="2">
        <f ca="1">IFERROR(__xludf.DUMMYFUNCTION("""COMPUTED_VALUE"""),1097.99)</f>
        <v>1097.99</v>
      </c>
      <c r="I22" s="3">
        <f ca="1">IFERROR(__xludf.DUMMYFUNCTION("""COMPUTED_VALUE"""),43495.6666666666)</f>
        <v>43495.666666666599</v>
      </c>
      <c r="J22" s="2">
        <f ca="1">IFERROR(__xludf.DUMMYFUNCTION("""COMPUTED_VALUE"""),1089.06)</f>
        <v>1089.06</v>
      </c>
      <c r="K22" s="3">
        <f ca="1">IFERROR(__xludf.DUMMYFUNCTION("""COMPUTED_VALUE"""),43495.6666666666)</f>
        <v>43495.666666666599</v>
      </c>
      <c r="L22" s="2">
        <f ca="1">IFERROR(__xludf.DUMMYFUNCTION("""COMPUTED_VALUE"""),150.42)</f>
        <v>150.41999999999999</v>
      </c>
      <c r="M22" s="3">
        <f ca="1">IFERROR(__xludf.DUMMYFUNCTION("""COMPUTED_VALUE"""),43495.6666666666)</f>
        <v>43495.666666666599</v>
      </c>
      <c r="N22" s="2">
        <f ca="1">IFERROR(__xludf.DUMMYFUNCTION("""COMPUTED_VALUE"""),61.75)</f>
        <v>61.75</v>
      </c>
      <c r="O22" s="3">
        <f ca="1">IFERROR(__xludf.DUMMYFUNCTION("""COMPUTED_VALUE"""),43495.6666666666)</f>
        <v>43495.666666666599</v>
      </c>
      <c r="P22" s="2">
        <f ca="1">IFERROR(__xludf.DUMMYFUNCTION("""COMPUTED_VALUE"""),34.35)</f>
        <v>34.35</v>
      </c>
      <c r="Q22" s="3">
        <f ca="1">IFERROR(__xludf.DUMMYFUNCTION("""COMPUTED_VALUE"""),43495.6666666666)</f>
        <v>43495.666666666599</v>
      </c>
      <c r="R22" s="2">
        <f ca="1">IFERROR(__xludf.DUMMYFUNCTION("""COMPUTED_VALUE"""),205.96)</f>
        <v>205.96</v>
      </c>
      <c r="S22" s="3">
        <f ca="1">IFERROR(__xludf.DUMMYFUNCTION("""COMPUTED_VALUE"""),43495.6666666666)</f>
        <v>43495.666666666599</v>
      </c>
      <c r="T22" s="2">
        <f ca="1">IFERROR(__xludf.DUMMYFUNCTION("""COMPUTED_VALUE"""),131.64)</f>
        <v>131.63999999999999</v>
      </c>
    </row>
    <row r="23" spans="1:20">
      <c r="A23" s="3">
        <f ca="1">IFERROR(__xludf.DUMMYFUNCTION("""COMPUTED_VALUE"""),43496.6666666666)</f>
        <v>43496.666666666599</v>
      </c>
      <c r="B23" s="2">
        <f ca="1">IFERROR(__xludf.DUMMYFUNCTION("""COMPUTED_VALUE"""),41.61)</f>
        <v>41.61</v>
      </c>
      <c r="C23" s="3">
        <f ca="1">IFERROR(__xludf.DUMMYFUNCTION("""COMPUTED_VALUE"""),43496.6666666666)</f>
        <v>43496.666666666599</v>
      </c>
      <c r="D23" s="2">
        <f ca="1">IFERROR(__xludf.DUMMYFUNCTION("""COMPUTED_VALUE"""),104.43)</f>
        <v>104.43</v>
      </c>
      <c r="E23" s="3">
        <f ca="1">IFERROR(__xludf.DUMMYFUNCTION("""COMPUTED_VALUE"""),43496.6666666666)</f>
        <v>43496.666666666599</v>
      </c>
      <c r="F23" s="2">
        <f ca="1">IFERROR(__xludf.DUMMYFUNCTION("""COMPUTED_VALUE"""),1718.73)</f>
        <v>1718.73</v>
      </c>
      <c r="G23" s="3">
        <f ca="1">IFERROR(__xludf.DUMMYFUNCTION("""COMPUTED_VALUE"""),43496.6666666666)</f>
        <v>43496.666666666599</v>
      </c>
      <c r="H23" s="2">
        <f ca="1">IFERROR(__xludf.DUMMYFUNCTION("""COMPUTED_VALUE"""),1125.89)</f>
        <v>1125.8900000000001</v>
      </c>
      <c r="I23" s="3">
        <f ca="1">IFERROR(__xludf.DUMMYFUNCTION("""COMPUTED_VALUE"""),43496.6666666666)</f>
        <v>43496.666666666599</v>
      </c>
      <c r="J23" s="2">
        <f ca="1">IFERROR(__xludf.DUMMYFUNCTION("""COMPUTED_VALUE"""),1116.37)</f>
        <v>1116.3699999999999</v>
      </c>
      <c r="K23" s="3">
        <f ca="1">IFERROR(__xludf.DUMMYFUNCTION("""COMPUTED_VALUE"""),43496.6666666666)</f>
        <v>43496.666666666599</v>
      </c>
      <c r="L23" s="2">
        <f ca="1">IFERROR(__xludf.DUMMYFUNCTION("""COMPUTED_VALUE"""),166.69)</f>
        <v>166.69</v>
      </c>
      <c r="M23" s="3">
        <f ca="1">IFERROR(__xludf.DUMMYFUNCTION("""COMPUTED_VALUE"""),43496.6666666666)</f>
        <v>43496.666666666599</v>
      </c>
      <c r="N23" s="2">
        <f ca="1">IFERROR(__xludf.DUMMYFUNCTION("""COMPUTED_VALUE"""),61.4)</f>
        <v>61.4</v>
      </c>
      <c r="O23" s="3">
        <f ca="1">IFERROR(__xludf.DUMMYFUNCTION("""COMPUTED_VALUE"""),43496.6666666666)</f>
        <v>43496.666666666599</v>
      </c>
      <c r="P23" s="2">
        <f ca="1">IFERROR(__xludf.DUMMYFUNCTION("""COMPUTED_VALUE"""),35.94)</f>
        <v>35.94</v>
      </c>
      <c r="Q23" s="3">
        <f ca="1">IFERROR(__xludf.DUMMYFUNCTION("""COMPUTED_VALUE"""),43496.6666666666)</f>
        <v>43496.666666666599</v>
      </c>
      <c r="R23" s="2">
        <f ca="1">IFERROR(__xludf.DUMMYFUNCTION("""COMPUTED_VALUE"""),205.54)</f>
        <v>205.54</v>
      </c>
      <c r="S23" s="3">
        <f ca="1">IFERROR(__xludf.DUMMYFUNCTION("""COMPUTED_VALUE"""),43496.6666666666)</f>
        <v>43496.666666666599</v>
      </c>
      <c r="T23" s="2">
        <f ca="1">IFERROR(__xludf.DUMMYFUNCTION("""COMPUTED_VALUE"""),133.08)</f>
        <v>133.08000000000001</v>
      </c>
    </row>
    <row r="24" spans="1:20">
      <c r="A24" s="3">
        <f ca="1">IFERROR(__xludf.DUMMYFUNCTION("""COMPUTED_VALUE"""),43497.6666666666)</f>
        <v>43497.666666666599</v>
      </c>
      <c r="B24" s="2">
        <f ca="1">IFERROR(__xludf.DUMMYFUNCTION("""COMPUTED_VALUE"""),41.63)</f>
        <v>41.63</v>
      </c>
      <c r="C24" s="3">
        <f ca="1">IFERROR(__xludf.DUMMYFUNCTION("""COMPUTED_VALUE"""),43497.6666666666)</f>
        <v>43497.666666666599</v>
      </c>
      <c r="D24" s="2">
        <f ca="1">IFERROR(__xludf.DUMMYFUNCTION("""COMPUTED_VALUE"""),102.78)</f>
        <v>102.78</v>
      </c>
      <c r="E24" s="3">
        <f ca="1">IFERROR(__xludf.DUMMYFUNCTION("""COMPUTED_VALUE"""),43497.6666666666)</f>
        <v>43497.666666666599</v>
      </c>
      <c r="F24" s="2">
        <f ca="1">IFERROR(__xludf.DUMMYFUNCTION("""COMPUTED_VALUE"""),1626.23)</f>
        <v>1626.23</v>
      </c>
      <c r="G24" s="3">
        <f ca="1">IFERROR(__xludf.DUMMYFUNCTION("""COMPUTED_VALUE"""),43497.6666666666)</f>
        <v>43497.666666666599</v>
      </c>
      <c r="H24" s="2">
        <f ca="1">IFERROR(__xludf.DUMMYFUNCTION("""COMPUTED_VALUE"""),1118.62)</f>
        <v>1118.6199999999999</v>
      </c>
      <c r="I24" s="3">
        <f ca="1">IFERROR(__xludf.DUMMYFUNCTION("""COMPUTED_VALUE"""),43497.6666666666)</f>
        <v>43497.666666666599</v>
      </c>
      <c r="J24" s="2">
        <f ca="1">IFERROR(__xludf.DUMMYFUNCTION("""COMPUTED_VALUE"""),1110.75)</f>
        <v>1110.75</v>
      </c>
      <c r="K24" s="3">
        <f ca="1">IFERROR(__xludf.DUMMYFUNCTION("""COMPUTED_VALUE"""),43497.6666666666)</f>
        <v>43497.666666666599</v>
      </c>
      <c r="L24" s="2">
        <f ca="1">IFERROR(__xludf.DUMMYFUNCTION("""COMPUTED_VALUE"""),165.71)</f>
        <v>165.71</v>
      </c>
      <c r="M24" s="3">
        <f ca="1">IFERROR(__xludf.DUMMYFUNCTION("""COMPUTED_VALUE"""),43497.6666666666)</f>
        <v>43497.666666666599</v>
      </c>
      <c r="N24" s="2">
        <f ca="1">IFERROR(__xludf.DUMMYFUNCTION("""COMPUTED_VALUE"""),62.44)</f>
        <v>62.44</v>
      </c>
      <c r="O24" s="3">
        <f ca="1">IFERROR(__xludf.DUMMYFUNCTION("""COMPUTED_VALUE"""),43497.6666666666)</f>
        <v>43497.666666666599</v>
      </c>
      <c r="P24" s="2">
        <f ca="1">IFERROR(__xludf.DUMMYFUNCTION("""COMPUTED_VALUE"""),36.18)</f>
        <v>36.18</v>
      </c>
      <c r="Q24" s="3">
        <f ca="1">IFERROR(__xludf.DUMMYFUNCTION("""COMPUTED_VALUE"""),43497.6666666666)</f>
        <v>43497.666666666599</v>
      </c>
      <c r="R24" s="2">
        <f ca="1">IFERROR(__xludf.DUMMYFUNCTION("""COMPUTED_VALUE"""),209.19)</f>
        <v>209.19</v>
      </c>
      <c r="S24" s="3">
        <f ca="1">IFERROR(__xludf.DUMMYFUNCTION("""COMPUTED_VALUE"""),43497.6666666666)</f>
        <v>43497.666666666599</v>
      </c>
      <c r="T24" s="2">
        <f ca="1">IFERROR(__xludf.DUMMYFUNCTION("""COMPUTED_VALUE"""),134.2)</f>
        <v>134.19999999999999</v>
      </c>
    </row>
    <row r="25" spans="1:20">
      <c r="A25" s="3">
        <f ca="1">IFERROR(__xludf.DUMMYFUNCTION("""COMPUTED_VALUE"""),43500.6666666666)</f>
        <v>43500.666666666599</v>
      </c>
      <c r="B25" s="2">
        <f ca="1">IFERROR(__xludf.DUMMYFUNCTION("""COMPUTED_VALUE"""),42.81)</f>
        <v>42.81</v>
      </c>
      <c r="C25" s="3">
        <f ca="1">IFERROR(__xludf.DUMMYFUNCTION("""COMPUTED_VALUE"""),43500.6666666666)</f>
        <v>43500.666666666599</v>
      </c>
      <c r="D25" s="2">
        <f ca="1">IFERROR(__xludf.DUMMYFUNCTION("""COMPUTED_VALUE"""),105.74)</f>
        <v>105.74</v>
      </c>
      <c r="E25" s="3">
        <f ca="1">IFERROR(__xludf.DUMMYFUNCTION("""COMPUTED_VALUE"""),43500.6666666666)</f>
        <v>43500.666666666599</v>
      </c>
      <c r="F25" s="2">
        <f ca="1">IFERROR(__xludf.DUMMYFUNCTION("""COMPUTED_VALUE"""),1633.31)</f>
        <v>1633.31</v>
      </c>
      <c r="G25" s="3">
        <f ca="1">IFERROR(__xludf.DUMMYFUNCTION("""COMPUTED_VALUE"""),43500.6666666666)</f>
        <v>43500.666666666599</v>
      </c>
      <c r="H25" s="2">
        <f ca="1">IFERROR(__xludf.DUMMYFUNCTION("""COMPUTED_VALUE"""),1141.42)</f>
        <v>1141.42</v>
      </c>
      <c r="I25" s="3">
        <f ca="1">IFERROR(__xludf.DUMMYFUNCTION("""COMPUTED_VALUE"""),43500.6666666666)</f>
        <v>43500.666666666599</v>
      </c>
      <c r="J25" s="2">
        <f ca="1">IFERROR(__xludf.DUMMYFUNCTION("""COMPUTED_VALUE"""),1132.8)</f>
        <v>1132.8</v>
      </c>
      <c r="K25" s="3">
        <f ca="1">IFERROR(__xludf.DUMMYFUNCTION("""COMPUTED_VALUE"""),43500.6666666666)</f>
        <v>43500.666666666599</v>
      </c>
      <c r="L25" s="2">
        <f ca="1">IFERROR(__xludf.DUMMYFUNCTION("""COMPUTED_VALUE"""),169.25)</f>
        <v>169.25</v>
      </c>
      <c r="M25" s="3">
        <f ca="1">IFERROR(__xludf.DUMMYFUNCTION("""COMPUTED_VALUE"""),43500.6666666666)</f>
        <v>43500.666666666599</v>
      </c>
      <c r="N25" s="2">
        <f ca="1">IFERROR(__xludf.DUMMYFUNCTION("""COMPUTED_VALUE"""),62.58)</f>
        <v>62.58</v>
      </c>
      <c r="O25" s="3">
        <f ca="1">IFERROR(__xludf.DUMMYFUNCTION("""COMPUTED_VALUE"""),43500.6666666666)</f>
        <v>43500.666666666599</v>
      </c>
      <c r="P25" s="2">
        <f ca="1">IFERROR(__xludf.DUMMYFUNCTION("""COMPUTED_VALUE"""),37.3)</f>
        <v>37.299999999999997</v>
      </c>
      <c r="Q25" s="3">
        <f ca="1">IFERROR(__xludf.DUMMYFUNCTION("""COMPUTED_VALUE"""),43500.6666666666)</f>
        <v>43500.666666666599</v>
      </c>
      <c r="R25" s="2">
        <f ca="1">IFERROR(__xludf.DUMMYFUNCTION("""COMPUTED_VALUE"""),208.52)</f>
        <v>208.52</v>
      </c>
      <c r="S25" s="3">
        <f ca="1">IFERROR(__xludf.DUMMYFUNCTION("""COMPUTED_VALUE"""),43500.6666666666)</f>
        <v>43500.666666666599</v>
      </c>
      <c r="T25" s="2">
        <f ca="1">IFERROR(__xludf.DUMMYFUNCTION("""COMPUTED_VALUE"""),132.88)</f>
        <v>132.88</v>
      </c>
    </row>
    <row r="26" spans="1:20">
      <c r="A26" s="3">
        <f ca="1">IFERROR(__xludf.DUMMYFUNCTION("""COMPUTED_VALUE"""),43501.6666666666)</f>
        <v>43501.666666666599</v>
      </c>
      <c r="B26" s="2">
        <f ca="1">IFERROR(__xludf.DUMMYFUNCTION("""COMPUTED_VALUE"""),43.55)</f>
        <v>43.55</v>
      </c>
      <c r="C26" s="3">
        <f ca="1">IFERROR(__xludf.DUMMYFUNCTION("""COMPUTED_VALUE"""),43501.6666666666)</f>
        <v>43501.666666666599</v>
      </c>
      <c r="D26" s="2">
        <f ca="1">IFERROR(__xludf.DUMMYFUNCTION("""COMPUTED_VALUE"""),107.22)</f>
        <v>107.22</v>
      </c>
      <c r="E26" s="3">
        <f ca="1">IFERROR(__xludf.DUMMYFUNCTION("""COMPUTED_VALUE"""),43501.6666666666)</f>
        <v>43501.666666666599</v>
      </c>
      <c r="F26" s="2">
        <f ca="1">IFERROR(__xludf.DUMMYFUNCTION("""COMPUTED_VALUE"""),1658.81)</f>
        <v>1658.81</v>
      </c>
      <c r="G26" s="3">
        <f ca="1">IFERROR(__xludf.DUMMYFUNCTION("""COMPUTED_VALUE"""),43501.6666666666)</f>
        <v>43501.666666666599</v>
      </c>
      <c r="H26" s="2">
        <f ca="1">IFERROR(__xludf.DUMMYFUNCTION("""COMPUTED_VALUE"""),1151.87)</f>
        <v>1151.8699999999999</v>
      </c>
      <c r="I26" s="3">
        <f ca="1">IFERROR(__xludf.DUMMYFUNCTION("""COMPUTED_VALUE"""),43501.6666666666)</f>
        <v>43501.666666666599</v>
      </c>
      <c r="J26" s="2">
        <f ca="1">IFERROR(__xludf.DUMMYFUNCTION("""COMPUTED_VALUE"""),1145.99)</f>
        <v>1145.99</v>
      </c>
      <c r="K26" s="3">
        <f ca="1">IFERROR(__xludf.DUMMYFUNCTION("""COMPUTED_VALUE"""),43501.6666666666)</f>
        <v>43501.666666666599</v>
      </c>
      <c r="L26" s="2">
        <f ca="1">IFERROR(__xludf.DUMMYFUNCTION("""COMPUTED_VALUE"""),171.16)</f>
        <v>171.16</v>
      </c>
      <c r="M26" s="3">
        <f ca="1">IFERROR(__xludf.DUMMYFUNCTION("""COMPUTED_VALUE"""),43501.6666666666)</f>
        <v>43501.666666666599</v>
      </c>
      <c r="N26" s="2">
        <f ca="1">IFERROR(__xludf.DUMMYFUNCTION("""COMPUTED_VALUE"""),64.27)</f>
        <v>64.27</v>
      </c>
      <c r="O26" s="3">
        <f ca="1">IFERROR(__xludf.DUMMYFUNCTION("""COMPUTED_VALUE"""),43501.6666666666)</f>
        <v>43501.666666666599</v>
      </c>
      <c r="P26" s="2">
        <f ca="1">IFERROR(__xludf.DUMMYFUNCTION("""COMPUTED_VALUE"""),37.49)</f>
        <v>37.49</v>
      </c>
      <c r="Q26" s="3">
        <f ca="1">IFERROR(__xludf.DUMMYFUNCTION("""COMPUTED_VALUE"""),43501.6666666666)</f>
        <v>43501.666666666599</v>
      </c>
      <c r="R26" s="2">
        <f ca="1">IFERROR(__xludf.DUMMYFUNCTION("""COMPUTED_VALUE"""),207.82)</f>
        <v>207.82</v>
      </c>
      <c r="S26" s="3">
        <f ca="1">IFERROR(__xludf.DUMMYFUNCTION("""COMPUTED_VALUE"""),43501.6666666666)</f>
        <v>43501.666666666599</v>
      </c>
      <c r="T26" s="2">
        <f ca="1">IFERROR(__xludf.DUMMYFUNCTION("""COMPUTED_VALUE"""),132.88)</f>
        <v>132.88</v>
      </c>
    </row>
    <row r="27" spans="1:20">
      <c r="A27" s="3">
        <f ca="1">IFERROR(__xludf.DUMMYFUNCTION("""COMPUTED_VALUE"""),43502.6666666666)</f>
        <v>43502.666666666599</v>
      </c>
      <c r="B27" s="2">
        <f ca="1">IFERROR(__xludf.DUMMYFUNCTION("""COMPUTED_VALUE"""),43.56)</f>
        <v>43.56</v>
      </c>
      <c r="C27" s="3">
        <f ca="1">IFERROR(__xludf.DUMMYFUNCTION("""COMPUTED_VALUE"""),43502.6666666666)</f>
        <v>43502.666666666599</v>
      </c>
      <c r="D27" s="2">
        <f ca="1">IFERROR(__xludf.DUMMYFUNCTION("""COMPUTED_VALUE"""),106.03)</f>
        <v>106.03</v>
      </c>
      <c r="E27" s="3">
        <f ca="1">IFERROR(__xludf.DUMMYFUNCTION("""COMPUTED_VALUE"""),43502.6666666666)</f>
        <v>43502.666666666599</v>
      </c>
      <c r="F27" s="2">
        <f ca="1">IFERROR(__xludf.DUMMYFUNCTION("""COMPUTED_VALUE"""),1640.26)</f>
        <v>1640.26</v>
      </c>
      <c r="G27" s="3">
        <f ca="1">IFERROR(__xludf.DUMMYFUNCTION("""COMPUTED_VALUE"""),43502.6666666666)</f>
        <v>43502.666666666599</v>
      </c>
      <c r="H27" s="2">
        <f ca="1">IFERROR(__xludf.DUMMYFUNCTION("""COMPUTED_VALUE"""),1122.89)</f>
        <v>1122.8900000000001</v>
      </c>
      <c r="I27" s="3">
        <f ca="1">IFERROR(__xludf.DUMMYFUNCTION("""COMPUTED_VALUE"""),43502.6666666666)</f>
        <v>43502.666666666599</v>
      </c>
      <c r="J27" s="2">
        <f ca="1">IFERROR(__xludf.DUMMYFUNCTION("""COMPUTED_VALUE"""),1115.23)</f>
        <v>1115.23</v>
      </c>
      <c r="K27" s="3">
        <f ca="1">IFERROR(__xludf.DUMMYFUNCTION("""COMPUTED_VALUE"""),43502.6666666666)</f>
        <v>43502.666666666599</v>
      </c>
      <c r="L27" s="2">
        <f ca="1">IFERROR(__xludf.DUMMYFUNCTION("""COMPUTED_VALUE"""),170.49)</f>
        <v>170.49</v>
      </c>
      <c r="M27" s="3">
        <f ca="1">IFERROR(__xludf.DUMMYFUNCTION("""COMPUTED_VALUE"""),43502.6666666666)</f>
        <v>43502.666666666599</v>
      </c>
      <c r="N27" s="2">
        <f ca="1">IFERROR(__xludf.DUMMYFUNCTION("""COMPUTED_VALUE"""),63.44)</f>
        <v>63.44</v>
      </c>
      <c r="O27" s="3">
        <f ca="1">IFERROR(__xludf.DUMMYFUNCTION("""COMPUTED_VALUE"""),43502.6666666666)</f>
        <v>43502.666666666599</v>
      </c>
      <c r="P27" s="2">
        <f ca="1">IFERROR(__xludf.DUMMYFUNCTION("""COMPUTED_VALUE"""),38.25)</f>
        <v>38.25</v>
      </c>
      <c r="Q27" s="3">
        <f ca="1">IFERROR(__xludf.DUMMYFUNCTION("""COMPUTED_VALUE"""),43502.6666666666)</f>
        <v>43502.666666666599</v>
      </c>
      <c r="R27" s="2">
        <f ca="1">IFERROR(__xludf.DUMMYFUNCTION("""COMPUTED_VALUE"""),206.01)</f>
        <v>206.01</v>
      </c>
      <c r="S27" s="3">
        <f ca="1">IFERROR(__xludf.DUMMYFUNCTION("""COMPUTED_VALUE"""),43502.6666666666)</f>
        <v>43502.666666666599</v>
      </c>
      <c r="T27" s="2">
        <f ca="1">IFERROR(__xludf.DUMMYFUNCTION("""COMPUTED_VALUE"""),133)</f>
        <v>133</v>
      </c>
    </row>
    <row r="28" spans="1:20">
      <c r="A28" s="3">
        <f ca="1">IFERROR(__xludf.DUMMYFUNCTION("""COMPUTED_VALUE"""),43503.6666666666)</f>
        <v>43503.666666666599</v>
      </c>
      <c r="B28" s="2">
        <f ca="1">IFERROR(__xludf.DUMMYFUNCTION("""COMPUTED_VALUE"""),42.74)</f>
        <v>42.74</v>
      </c>
      <c r="C28" s="3">
        <f ca="1">IFERROR(__xludf.DUMMYFUNCTION("""COMPUTED_VALUE"""),43503.6666666666)</f>
        <v>43503.666666666599</v>
      </c>
      <c r="D28" s="2">
        <f ca="1">IFERROR(__xludf.DUMMYFUNCTION("""COMPUTED_VALUE"""),105.27)</f>
        <v>105.27</v>
      </c>
      <c r="E28" s="3">
        <f ca="1">IFERROR(__xludf.DUMMYFUNCTION("""COMPUTED_VALUE"""),43503.6666666666)</f>
        <v>43503.666666666599</v>
      </c>
      <c r="F28" s="2">
        <f ca="1">IFERROR(__xludf.DUMMYFUNCTION("""COMPUTED_VALUE"""),1614.37)</f>
        <v>1614.37</v>
      </c>
      <c r="G28" s="3">
        <f ca="1">IFERROR(__xludf.DUMMYFUNCTION("""COMPUTED_VALUE"""),43503.6666666666)</f>
        <v>43503.666666666599</v>
      </c>
      <c r="H28" s="2">
        <f ca="1">IFERROR(__xludf.DUMMYFUNCTION("""COMPUTED_VALUE"""),1105.91)</f>
        <v>1105.9100000000001</v>
      </c>
      <c r="I28" s="3">
        <f ca="1">IFERROR(__xludf.DUMMYFUNCTION("""COMPUTED_VALUE"""),43503.6666666666)</f>
        <v>43503.666666666599</v>
      </c>
      <c r="J28" s="2">
        <f ca="1">IFERROR(__xludf.DUMMYFUNCTION("""COMPUTED_VALUE"""),1098.71)</f>
        <v>1098.71</v>
      </c>
      <c r="K28" s="3">
        <f ca="1">IFERROR(__xludf.DUMMYFUNCTION("""COMPUTED_VALUE"""),43503.6666666666)</f>
        <v>43503.666666666599</v>
      </c>
      <c r="L28" s="2">
        <f ca="1">IFERROR(__xludf.DUMMYFUNCTION("""COMPUTED_VALUE"""),166.38)</f>
        <v>166.38</v>
      </c>
      <c r="M28" s="3">
        <f ca="1">IFERROR(__xludf.DUMMYFUNCTION("""COMPUTED_VALUE"""),43503.6666666666)</f>
        <v>43503.666666666599</v>
      </c>
      <c r="N28" s="2">
        <f ca="1">IFERROR(__xludf.DUMMYFUNCTION("""COMPUTED_VALUE"""),61.5)</f>
        <v>61.5</v>
      </c>
      <c r="O28" s="3">
        <f ca="1">IFERROR(__xludf.DUMMYFUNCTION("""COMPUTED_VALUE"""),43503.6666666666)</f>
        <v>43503.666666666599</v>
      </c>
      <c r="P28" s="2">
        <f ca="1">IFERROR(__xludf.DUMMYFUNCTION("""COMPUTED_VALUE"""),36.85)</f>
        <v>36.85</v>
      </c>
      <c r="Q28" s="3">
        <f ca="1">IFERROR(__xludf.DUMMYFUNCTION("""COMPUTED_VALUE"""),43503.6666666666)</f>
        <v>43503.666666666599</v>
      </c>
      <c r="R28" s="2">
        <f ca="1">IFERROR(__xludf.DUMMYFUNCTION("""COMPUTED_VALUE"""),201.73)</f>
        <v>201.73</v>
      </c>
      <c r="S28" s="3">
        <f ca="1">IFERROR(__xludf.DUMMYFUNCTION("""COMPUTED_VALUE"""),43503.6666666666)</f>
        <v>43503.666666666599</v>
      </c>
      <c r="T28" s="2">
        <f ca="1">IFERROR(__xludf.DUMMYFUNCTION("""COMPUTED_VALUE"""),132.05)</f>
        <v>132.05000000000001</v>
      </c>
    </row>
    <row r="29" spans="1:20">
      <c r="A29" s="3">
        <f ca="1">IFERROR(__xludf.DUMMYFUNCTION("""COMPUTED_VALUE"""),43504.6666666666)</f>
        <v>43504.666666666599</v>
      </c>
      <c r="B29" s="2">
        <f ca="1">IFERROR(__xludf.DUMMYFUNCTION("""COMPUTED_VALUE"""),42.6)</f>
        <v>42.6</v>
      </c>
      <c r="C29" s="3">
        <f ca="1">IFERROR(__xludf.DUMMYFUNCTION("""COMPUTED_VALUE"""),43504.6666666666)</f>
        <v>43504.666666666599</v>
      </c>
      <c r="D29" s="2">
        <f ca="1">IFERROR(__xludf.DUMMYFUNCTION("""COMPUTED_VALUE"""),105.67)</f>
        <v>105.67</v>
      </c>
      <c r="E29" s="3">
        <f ca="1">IFERROR(__xludf.DUMMYFUNCTION("""COMPUTED_VALUE"""),43504.6666666666)</f>
        <v>43504.666666666599</v>
      </c>
      <c r="F29" s="2">
        <f ca="1">IFERROR(__xludf.DUMMYFUNCTION("""COMPUTED_VALUE"""),1588.22)</f>
        <v>1588.22</v>
      </c>
      <c r="G29" s="3">
        <f ca="1">IFERROR(__xludf.DUMMYFUNCTION("""COMPUTED_VALUE"""),43504.6666666666)</f>
        <v>43504.666666666599</v>
      </c>
      <c r="H29" s="2">
        <f ca="1">IFERROR(__xludf.DUMMYFUNCTION("""COMPUTED_VALUE"""),1102.38)</f>
        <v>1102.3800000000001</v>
      </c>
      <c r="I29" s="3">
        <f ca="1">IFERROR(__xludf.DUMMYFUNCTION("""COMPUTED_VALUE"""),43504.6666666666)</f>
        <v>43504.666666666599</v>
      </c>
      <c r="J29" s="2">
        <f ca="1">IFERROR(__xludf.DUMMYFUNCTION("""COMPUTED_VALUE"""),1095.06)</f>
        <v>1095.06</v>
      </c>
      <c r="K29" s="3">
        <f ca="1">IFERROR(__xludf.DUMMYFUNCTION("""COMPUTED_VALUE"""),43504.6666666666)</f>
        <v>43504.666666666599</v>
      </c>
      <c r="L29" s="2">
        <f ca="1">IFERROR(__xludf.DUMMYFUNCTION("""COMPUTED_VALUE"""),167.33)</f>
        <v>167.33</v>
      </c>
      <c r="M29" s="3">
        <f ca="1">IFERROR(__xludf.DUMMYFUNCTION("""COMPUTED_VALUE"""),43504.6666666666)</f>
        <v>43504.666666666599</v>
      </c>
      <c r="N29" s="2">
        <f ca="1">IFERROR(__xludf.DUMMYFUNCTION("""COMPUTED_VALUE"""),61.16)</f>
        <v>61.16</v>
      </c>
      <c r="O29" s="3">
        <f ca="1">IFERROR(__xludf.DUMMYFUNCTION("""COMPUTED_VALUE"""),43504.6666666666)</f>
        <v>43504.666666666599</v>
      </c>
      <c r="P29" s="2">
        <f ca="1">IFERROR(__xludf.DUMMYFUNCTION("""COMPUTED_VALUE"""),37.04)</f>
        <v>37.04</v>
      </c>
      <c r="Q29" s="3">
        <f ca="1">IFERROR(__xludf.DUMMYFUNCTION("""COMPUTED_VALUE"""),43504.6666666666)</f>
        <v>43504.666666666599</v>
      </c>
      <c r="R29" s="2">
        <f ca="1">IFERROR(__xludf.DUMMYFUNCTION("""COMPUTED_VALUE"""),200.92)</f>
        <v>200.92</v>
      </c>
      <c r="S29" s="3">
        <f ca="1">IFERROR(__xludf.DUMMYFUNCTION("""COMPUTED_VALUE"""),43504.6666666666)</f>
        <v>43504.666666666599</v>
      </c>
      <c r="T29" s="2">
        <f ca="1">IFERROR(__xludf.DUMMYFUNCTION("""COMPUTED_VALUE"""),132.4)</f>
        <v>132.4</v>
      </c>
    </row>
    <row r="30" spans="1:20">
      <c r="A30" s="3">
        <f ca="1">IFERROR(__xludf.DUMMYFUNCTION("""COMPUTED_VALUE"""),43507.6666666666)</f>
        <v>43507.666666666599</v>
      </c>
      <c r="B30" s="2">
        <f ca="1">IFERROR(__xludf.DUMMYFUNCTION("""COMPUTED_VALUE"""),42.36)</f>
        <v>42.36</v>
      </c>
      <c r="C30" s="3">
        <f ca="1">IFERROR(__xludf.DUMMYFUNCTION("""COMPUTED_VALUE"""),43507.6666666666)</f>
        <v>43507.666666666599</v>
      </c>
      <c r="D30" s="2">
        <f ca="1">IFERROR(__xludf.DUMMYFUNCTION("""COMPUTED_VALUE"""),105.25)</f>
        <v>105.25</v>
      </c>
      <c r="E30" s="3">
        <f ca="1">IFERROR(__xludf.DUMMYFUNCTION("""COMPUTED_VALUE"""),43507.6666666666)</f>
        <v>43507.666666666599</v>
      </c>
      <c r="F30" s="2">
        <f ca="1">IFERROR(__xludf.DUMMYFUNCTION("""COMPUTED_VALUE"""),1591)</f>
        <v>1591</v>
      </c>
      <c r="G30" s="3">
        <f ca="1">IFERROR(__xludf.DUMMYFUNCTION("""COMPUTED_VALUE"""),43507.6666666666)</f>
        <v>43507.666666666599</v>
      </c>
      <c r="H30" s="2">
        <f ca="1">IFERROR(__xludf.DUMMYFUNCTION("""COMPUTED_VALUE"""),1102.12)</f>
        <v>1102.1199999999999</v>
      </c>
      <c r="I30" s="3">
        <f ca="1">IFERROR(__xludf.DUMMYFUNCTION("""COMPUTED_VALUE"""),43507.6666666666)</f>
        <v>43507.666666666599</v>
      </c>
      <c r="J30" s="2">
        <f ca="1">IFERROR(__xludf.DUMMYFUNCTION("""COMPUTED_VALUE"""),1095.01)</f>
        <v>1095.01</v>
      </c>
      <c r="K30" s="3">
        <f ca="1">IFERROR(__xludf.DUMMYFUNCTION("""COMPUTED_VALUE"""),43507.6666666666)</f>
        <v>43507.666666666599</v>
      </c>
      <c r="L30" s="2">
        <f ca="1">IFERROR(__xludf.DUMMYFUNCTION("""COMPUTED_VALUE"""),165.79)</f>
        <v>165.79</v>
      </c>
      <c r="M30" s="3">
        <f ca="1">IFERROR(__xludf.DUMMYFUNCTION("""COMPUTED_VALUE"""),43507.6666666666)</f>
        <v>43507.666666666599</v>
      </c>
      <c r="N30" s="2">
        <f ca="1">IFERROR(__xludf.DUMMYFUNCTION("""COMPUTED_VALUE"""),62.57)</f>
        <v>62.57</v>
      </c>
      <c r="O30" s="3">
        <f ca="1">IFERROR(__xludf.DUMMYFUNCTION("""COMPUTED_VALUE"""),43507.6666666666)</f>
        <v>43507.666666666599</v>
      </c>
      <c r="P30" s="2">
        <f ca="1">IFERROR(__xludf.DUMMYFUNCTION("""COMPUTED_VALUE"""),36.61)</f>
        <v>36.61</v>
      </c>
      <c r="Q30" s="3">
        <f ca="1">IFERROR(__xludf.DUMMYFUNCTION("""COMPUTED_VALUE"""),43507.6666666666)</f>
        <v>43507.666666666599</v>
      </c>
      <c r="R30" s="2">
        <f ca="1">IFERROR(__xludf.DUMMYFUNCTION("""COMPUTED_VALUE"""),203.05)</f>
        <v>203.05</v>
      </c>
      <c r="S30" s="3">
        <f ca="1">IFERROR(__xludf.DUMMYFUNCTION("""COMPUTED_VALUE"""),43507.6666666666)</f>
        <v>43507.666666666599</v>
      </c>
      <c r="T30" s="2">
        <f ca="1">IFERROR(__xludf.DUMMYFUNCTION("""COMPUTED_VALUE"""),132)</f>
        <v>132</v>
      </c>
    </row>
    <row r="31" spans="1:20">
      <c r="A31" s="3">
        <f ca="1">IFERROR(__xludf.DUMMYFUNCTION("""COMPUTED_VALUE"""),43508.6666666666)</f>
        <v>43508.666666666599</v>
      </c>
      <c r="B31" s="2">
        <f ca="1">IFERROR(__xludf.DUMMYFUNCTION("""COMPUTED_VALUE"""),42.72)</f>
        <v>42.72</v>
      </c>
      <c r="C31" s="3">
        <f ca="1">IFERROR(__xludf.DUMMYFUNCTION("""COMPUTED_VALUE"""),43508.6666666666)</f>
        <v>43508.666666666599</v>
      </c>
      <c r="D31" s="2">
        <f ca="1">IFERROR(__xludf.DUMMYFUNCTION("""COMPUTED_VALUE"""),106.89)</f>
        <v>106.89</v>
      </c>
      <c r="E31" s="3">
        <f ca="1">IFERROR(__xludf.DUMMYFUNCTION("""COMPUTED_VALUE"""),43508.6666666666)</f>
        <v>43508.666666666599</v>
      </c>
      <c r="F31" s="2">
        <f ca="1">IFERROR(__xludf.DUMMYFUNCTION("""COMPUTED_VALUE"""),1638.01)</f>
        <v>1638.01</v>
      </c>
      <c r="G31" s="3">
        <f ca="1">IFERROR(__xludf.DUMMYFUNCTION("""COMPUTED_VALUE"""),43508.6666666666)</f>
        <v>43508.666666666599</v>
      </c>
      <c r="H31" s="2">
        <f ca="1">IFERROR(__xludf.DUMMYFUNCTION("""COMPUTED_VALUE"""),1127.58)</f>
        <v>1127.58</v>
      </c>
      <c r="I31" s="3">
        <f ca="1">IFERROR(__xludf.DUMMYFUNCTION("""COMPUTED_VALUE"""),43508.6666666666)</f>
        <v>43508.666666666599</v>
      </c>
      <c r="J31" s="2">
        <f ca="1">IFERROR(__xludf.DUMMYFUNCTION("""COMPUTED_VALUE"""),1121.37)</f>
        <v>1121.3699999999999</v>
      </c>
      <c r="K31" s="3">
        <f ca="1">IFERROR(__xludf.DUMMYFUNCTION("""COMPUTED_VALUE"""),43508.6666666666)</f>
        <v>43508.666666666599</v>
      </c>
      <c r="L31" s="2">
        <f ca="1">IFERROR(__xludf.DUMMYFUNCTION("""COMPUTED_VALUE"""),165.04)</f>
        <v>165.04</v>
      </c>
      <c r="M31" s="3">
        <f ca="1">IFERROR(__xludf.DUMMYFUNCTION("""COMPUTED_VALUE"""),43508.6666666666)</f>
        <v>43508.666666666599</v>
      </c>
      <c r="N31" s="2">
        <f ca="1">IFERROR(__xludf.DUMMYFUNCTION("""COMPUTED_VALUE"""),62.36)</f>
        <v>62.36</v>
      </c>
      <c r="O31" s="3">
        <f ca="1">IFERROR(__xludf.DUMMYFUNCTION("""COMPUTED_VALUE"""),43508.6666666666)</f>
        <v>43508.666666666599</v>
      </c>
      <c r="P31" s="2">
        <f ca="1">IFERROR(__xludf.DUMMYFUNCTION("""COMPUTED_VALUE"""),37.79)</f>
        <v>37.79</v>
      </c>
      <c r="Q31" s="3">
        <f ca="1">IFERROR(__xludf.DUMMYFUNCTION("""COMPUTED_VALUE"""),43508.6666666666)</f>
        <v>43508.666666666599</v>
      </c>
      <c r="R31" s="2">
        <f ca="1">IFERROR(__xludf.DUMMYFUNCTION("""COMPUTED_VALUE"""),206.15)</f>
        <v>206.15</v>
      </c>
      <c r="S31" s="3">
        <f ca="1">IFERROR(__xludf.DUMMYFUNCTION("""COMPUTED_VALUE"""),43508.6666666666)</f>
        <v>43508.666666666599</v>
      </c>
      <c r="T31" s="2">
        <f ca="1">IFERROR(__xludf.DUMMYFUNCTION("""COMPUTED_VALUE"""),134.16)</f>
        <v>134.16</v>
      </c>
    </row>
    <row r="32" spans="1:20">
      <c r="A32" s="3">
        <f ca="1">IFERROR(__xludf.DUMMYFUNCTION("""COMPUTED_VALUE"""),43509.6666666666)</f>
        <v>43509.666666666599</v>
      </c>
      <c r="B32" s="2">
        <f ca="1">IFERROR(__xludf.DUMMYFUNCTION("""COMPUTED_VALUE"""),42.55)</f>
        <v>42.55</v>
      </c>
      <c r="C32" s="3">
        <f ca="1">IFERROR(__xludf.DUMMYFUNCTION("""COMPUTED_VALUE"""),43509.6666666666)</f>
        <v>43509.666666666599</v>
      </c>
      <c r="D32" s="2">
        <f ca="1">IFERROR(__xludf.DUMMYFUNCTION("""COMPUTED_VALUE"""),106.81)</f>
        <v>106.81</v>
      </c>
      <c r="E32" s="3">
        <f ca="1">IFERROR(__xludf.DUMMYFUNCTION("""COMPUTED_VALUE"""),43509.6666666666)</f>
        <v>43509.666666666599</v>
      </c>
      <c r="F32" s="2">
        <f ca="1">IFERROR(__xludf.DUMMYFUNCTION("""COMPUTED_VALUE"""),1640)</f>
        <v>1640</v>
      </c>
      <c r="G32" s="3">
        <f ca="1">IFERROR(__xludf.DUMMYFUNCTION("""COMPUTED_VALUE"""),43509.6666666666)</f>
        <v>43509.666666666599</v>
      </c>
      <c r="H32" s="2">
        <f ca="1">IFERROR(__xludf.DUMMYFUNCTION("""COMPUTED_VALUE"""),1128.63)</f>
        <v>1128.6300000000001</v>
      </c>
      <c r="I32" s="3">
        <f ca="1">IFERROR(__xludf.DUMMYFUNCTION("""COMPUTED_VALUE"""),43509.6666666666)</f>
        <v>43509.666666666599</v>
      </c>
      <c r="J32" s="2">
        <f ca="1">IFERROR(__xludf.DUMMYFUNCTION("""COMPUTED_VALUE"""),1120.16)</f>
        <v>1120.1600000000001</v>
      </c>
      <c r="K32" s="3">
        <f ca="1">IFERROR(__xludf.DUMMYFUNCTION("""COMPUTED_VALUE"""),43509.6666666666)</f>
        <v>43509.666666666599</v>
      </c>
      <c r="L32" s="2">
        <f ca="1">IFERROR(__xludf.DUMMYFUNCTION("""COMPUTED_VALUE"""),164.07)</f>
        <v>164.07</v>
      </c>
      <c r="M32" s="3">
        <f ca="1">IFERROR(__xludf.DUMMYFUNCTION("""COMPUTED_VALUE"""),43509.6666666666)</f>
        <v>43509.666666666599</v>
      </c>
      <c r="N32" s="2">
        <f ca="1">IFERROR(__xludf.DUMMYFUNCTION("""COMPUTED_VALUE"""),61.63)</f>
        <v>61.63</v>
      </c>
      <c r="O32" s="3">
        <f ca="1">IFERROR(__xludf.DUMMYFUNCTION("""COMPUTED_VALUE"""),43509.6666666666)</f>
        <v>43509.666666666599</v>
      </c>
      <c r="P32" s="2">
        <f ca="1">IFERROR(__xludf.DUMMYFUNCTION("""COMPUTED_VALUE"""),38.22)</f>
        <v>38.22</v>
      </c>
      <c r="Q32" s="3">
        <f ca="1">IFERROR(__xludf.DUMMYFUNCTION("""COMPUTED_VALUE"""),43509.6666666666)</f>
        <v>43509.666666666599</v>
      </c>
      <c r="R32" s="2">
        <f ca="1">IFERROR(__xludf.DUMMYFUNCTION("""COMPUTED_VALUE"""),205.8)</f>
        <v>205.8</v>
      </c>
      <c r="S32" s="3">
        <f ca="1">IFERROR(__xludf.DUMMYFUNCTION("""COMPUTED_VALUE"""),43509.6666666666)</f>
        <v>43509.666666666599</v>
      </c>
      <c r="T32" s="2">
        <f ca="1">IFERROR(__xludf.DUMMYFUNCTION("""COMPUTED_VALUE"""),134.45)</f>
        <v>134.44999999999999</v>
      </c>
    </row>
    <row r="33" spans="1:20">
      <c r="A33" s="3">
        <f ca="1">IFERROR(__xludf.DUMMYFUNCTION("""COMPUTED_VALUE"""),43510.6666666666)</f>
        <v>43510.666666666599</v>
      </c>
      <c r="B33" s="2">
        <f ca="1">IFERROR(__xludf.DUMMYFUNCTION("""COMPUTED_VALUE"""),42.7)</f>
        <v>42.7</v>
      </c>
      <c r="C33" s="3">
        <f ca="1">IFERROR(__xludf.DUMMYFUNCTION("""COMPUTED_VALUE"""),43510.6666666666)</f>
        <v>43510.666666666599</v>
      </c>
      <c r="D33" s="2">
        <f ca="1">IFERROR(__xludf.DUMMYFUNCTION("""COMPUTED_VALUE"""),106.9)</f>
        <v>106.9</v>
      </c>
      <c r="E33" s="3">
        <f ca="1">IFERROR(__xludf.DUMMYFUNCTION("""COMPUTED_VALUE"""),43510.6666666666)</f>
        <v>43510.666666666599</v>
      </c>
      <c r="F33" s="2">
        <f ca="1">IFERROR(__xludf.DUMMYFUNCTION("""COMPUTED_VALUE"""),1622.65)</f>
        <v>1622.65</v>
      </c>
      <c r="G33" s="3">
        <f ca="1">IFERROR(__xludf.DUMMYFUNCTION("""COMPUTED_VALUE"""),43510.6666666666)</f>
        <v>43510.666666666599</v>
      </c>
      <c r="H33" s="2">
        <f ca="1">IFERROR(__xludf.DUMMYFUNCTION("""COMPUTED_VALUE"""),1129.2)</f>
        <v>1129.2</v>
      </c>
      <c r="I33" s="3">
        <f ca="1">IFERROR(__xludf.DUMMYFUNCTION("""COMPUTED_VALUE"""),43510.6666666666)</f>
        <v>43510.666666666599</v>
      </c>
      <c r="J33" s="2">
        <f ca="1">IFERROR(__xludf.DUMMYFUNCTION("""COMPUTED_VALUE"""),1121.67)</f>
        <v>1121.67</v>
      </c>
      <c r="K33" s="3">
        <f ca="1">IFERROR(__xludf.DUMMYFUNCTION("""COMPUTED_VALUE"""),43510.6666666666)</f>
        <v>43510.666666666599</v>
      </c>
      <c r="L33" s="2">
        <f ca="1">IFERROR(__xludf.DUMMYFUNCTION("""COMPUTED_VALUE"""),163.95)</f>
        <v>163.95</v>
      </c>
      <c r="M33" s="3">
        <f ca="1">IFERROR(__xludf.DUMMYFUNCTION("""COMPUTED_VALUE"""),43510.6666666666)</f>
        <v>43510.666666666599</v>
      </c>
      <c r="N33" s="2">
        <f ca="1">IFERROR(__xludf.DUMMYFUNCTION("""COMPUTED_VALUE"""),60.75)</f>
        <v>60.75</v>
      </c>
      <c r="O33" s="3">
        <f ca="1">IFERROR(__xludf.DUMMYFUNCTION("""COMPUTED_VALUE"""),43510.6666666666)</f>
        <v>43510.666666666599</v>
      </c>
      <c r="P33" s="2">
        <f ca="1">IFERROR(__xludf.DUMMYFUNCTION("""COMPUTED_VALUE"""),38.63)</f>
        <v>38.630000000000003</v>
      </c>
      <c r="Q33" s="3">
        <f ca="1">IFERROR(__xludf.DUMMYFUNCTION("""COMPUTED_VALUE"""),43510.6666666666)</f>
        <v>43510.666666666599</v>
      </c>
      <c r="R33" s="2">
        <f ca="1">IFERROR(__xludf.DUMMYFUNCTION("""COMPUTED_VALUE"""),202.78)</f>
        <v>202.78</v>
      </c>
      <c r="S33" s="3">
        <f ca="1">IFERROR(__xludf.DUMMYFUNCTION("""COMPUTED_VALUE"""),43510.6666666666)</f>
        <v>43510.666666666599</v>
      </c>
      <c r="T33" s="2">
        <f ca="1">IFERROR(__xludf.DUMMYFUNCTION("""COMPUTED_VALUE"""),134.31)</f>
        <v>134.31</v>
      </c>
    </row>
    <row r="34" spans="1:20">
      <c r="A34" s="3">
        <f ca="1">IFERROR(__xludf.DUMMYFUNCTION("""COMPUTED_VALUE"""),43511.6666666666)</f>
        <v>43511.666666666599</v>
      </c>
      <c r="B34" s="2">
        <f ca="1">IFERROR(__xludf.DUMMYFUNCTION("""COMPUTED_VALUE"""),42.61)</f>
        <v>42.61</v>
      </c>
      <c r="C34" s="3">
        <f ca="1">IFERROR(__xludf.DUMMYFUNCTION("""COMPUTED_VALUE"""),43511.6666666666)</f>
        <v>43511.666666666599</v>
      </c>
      <c r="D34" s="2">
        <f ca="1">IFERROR(__xludf.DUMMYFUNCTION("""COMPUTED_VALUE"""),108.22)</f>
        <v>108.22</v>
      </c>
      <c r="E34" s="3">
        <f ca="1">IFERROR(__xludf.DUMMYFUNCTION("""COMPUTED_VALUE"""),43511.6666666666)</f>
        <v>43511.666666666599</v>
      </c>
      <c r="F34" s="2">
        <f ca="1">IFERROR(__xludf.DUMMYFUNCTION("""COMPUTED_VALUE"""),1607.95)</f>
        <v>1607.95</v>
      </c>
      <c r="G34" s="3">
        <f ca="1">IFERROR(__xludf.DUMMYFUNCTION("""COMPUTED_VALUE"""),43511.6666666666)</f>
        <v>43511.666666666599</v>
      </c>
      <c r="H34" s="2">
        <f ca="1">IFERROR(__xludf.DUMMYFUNCTION("""COMPUTED_VALUE"""),1119.63)</f>
        <v>1119.6300000000001</v>
      </c>
      <c r="I34" s="3">
        <f ca="1">IFERROR(__xludf.DUMMYFUNCTION("""COMPUTED_VALUE"""),43511.6666666666)</f>
        <v>43511.666666666599</v>
      </c>
      <c r="J34" s="2">
        <f ca="1">IFERROR(__xludf.DUMMYFUNCTION("""COMPUTED_VALUE"""),1113.65)</f>
        <v>1113.6500000000001</v>
      </c>
      <c r="K34" s="3">
        <f ca="1">IFERROR(__xludf.DUMMYFUNCTION("""COMPUTED_VALUE"""),43511.6666666666)</f>
        <v>43511.666666666599</v>
      </c>
      <c r="L34" s="2">
        <f ca="1">IFERROR(__xludf.DUMMYFUNCTION("""COMPUTED_VALUE"""),162.5)</f>
        <v>162.5</v>
      </c>
      <c r="M34" s="3">
        <f ca="1">IFERROR(__xludf.DUMMYFUNCTION("""COMPUTED_VALUE"""),43511.6666666666)</f>
        <v>43511.666666666599</v>
      </c>
      <c r="N34" s="2">
        <f ca="1">IFERROR(__xludf.DUMMYFUNCTION("""COMPUTED_VALUE"""),61.58)</f>
        <v>61.58</v>
      </c>
      <c r="O34" s="3">
        <f ca="1">IFERROR(__xludf.DUMMYFUNCTION("""COMPUTED_VALUE"""),43511.6666666666)</f>
        <v>43511.666666666599</v>
      </c>
      <c r="P34" s="2">
        <f ca="1">IFERROR(__xludf.DUMMYFUNCTION("""COMPUTED_VALUE"""),39.34)</f>
        <v>39.340000000000003</v>
      </c>
      <c r="Q34" s="3">
        <f ca="1">IFERROR(__xludf.DUMMYFUNCTION("""COMPUTED_VALUE"""),43511.6666666666)</f>
        <v>43511.666666666599</v>
      </c>
      <c r="R34" s="2">
        <f ca="1">IFERROR(__xludf.DUMMYFUNCTION("""COMPUTED_VALUE"""),205.29)</f>
        <v>205.29</v>
      </c>
      <c r="S34" s="3">
        <f ca="1">IFERROR(__xludf.DUMMYFUNCTION("""COMPUTED_VALUE"""),43511.6666666666)</f>
        <v>43511.666666666599</v>
      </c>
      <c r="T34" s="2">
        <f ca="1">IFERROR(__xludf.DUMMYFUNCTION("""COMPUTED_VALUE"""),136.38)</f>
        <v>136.38</v>
      </c>
    </row>
    <row r="35" spans="1:20">
      <c r="A35" s="3">
        <f ca="1">IFERROR(__xludf.DUMMYFUNCTION("""COMPUTED_VALUE"""),43515.6666666666)</f>
        <v>43515.666666666599</v>
      </c>
      <c r="B35" s="2">
        <f ca="1">IFERROR(__xludf.DUMMYFUNCTION("""COMPUTED_VALUE"""),42.73)</f>
        <v>42.73</v>
      </c>
      <c r="C35" s="3">
        <f ca="1">IFERROR(__xludf.DUMMYFUNCTION("""COMPUTED_VALUE"""),43515.6666666666)</f>
        <v>43515.666666666599</v>
      </c>
      <c r="D35" s="2">
        <f ca="1">IFERROR(__xludf.DUMMYFUNCTION("""COMPUTED_VALUE"""),108.17)</f>
        <v>108.17</v>
      </c>
      <c r="E35" s="3">
        <f ca="1">IFERROR(__xludf.DUMMYFUNCTION("""COMPUTED_VALUE"""),43515.6666666666)</f>
        <v>43515.666666666599</v>
      </c>
      <c r="F35" s="2">
        <f ca="1">IFERROR(__xludf.DUMMYFUNCTION("""COMPUTED_VALUE"""),1627.58)</f>
        <v>1627.58</v>
      </c>
      <c r="G35" s="3">
        <f ca="1">IFERROR(__xludf.DUMMYFUNCTION("""COMPUTED_VALUE"""),43515.6666666666)</f>
        <v>43515.666666666599</v>
      </c>
      <c r="H35" s="2">
        <f ca="1">IFERROR(__xludf.DUMMYFUNCTION("""COMPUTED_VALUE"""),1126.51)</f>
        <v>1126.51</v>
      </c>
      <c r="I35" s="3">
        <f ca="1">IFERROR(__xludf.DUMMYFUNCTION("""COMPUTED_VALUE"""),43515.6666666666)</f>
        <v>43515.666666666599</v>
      </c>
      <c r="J35" s="2">
        <f ca="1">IFERROR(__xludf.DUMMYFUNCTION("""COMPUTED_VALUE"""),1118.56)</f>
        <v>1118.56</v>
      </c>
      <c r="K35" s="3">
        <f ca="1">IFERROR(__xludf.DUMMYFUNCTION("""COMPUTED_VALUE"""),43515.6666666666)</f>
        <v>43515.666666666599</v>
      </c>
      <c r="L35" s="2">
        <f ca="1">IFERROR(__xludf.DUMMYFUNCTION("""COMPUTED_VALUE"""),162.29)</f>
        <v>162.29</v>
      </c>
      <c r="M35" s="3">
        <f ca="1">IFERROR(__xludf.DUMMYFUNCTION("""COMPUTED_VALUE"""),43515.6666666666)</f>
        <v>43515.666666666599</v>
      </c>
      <c r="N35" s="2">
        <f ca="1">IFERROR(__xludf.DUMMYFUNCTION("""COMPUTED_VALUE"""),61.13)</f>
        <v>61.13</v>
      </c>
      <c r="O35" s="3">
        <f ca="1">IFERROR(__xludf.DUMMYFUNCTION("""COMPUTED_VALUE"""),43515.6666666666)</f>
        <v>43515.666666666599</v>
      </c>
      <c r="P35" s="2">
        <f ca="1">IFERROR(__xludf.DUMMYFUNCTION("""COMPUTED_VALUE"""),39.16)</f>
        <v>39.159999999999997</v>
      </c>
      <c r="Q35" s="3">
        <f ca="1">IFERROR(__xludf.DUMMYFUNCTION("""COMPUTED_VALUE"""),43515.6666666666)</f>
        <v>43515.666666666599</v>
      </c>
      <c r="R35" s="2">
        <f ca="1">IFERROR(__xludf.DUMMYFUNCTION("""COMPUTED_VALUE"""),205.69)</f>
        <v>205.69</v>
      </c>
      <c r="S35" s="3">
        <f ca="1">IFERROR(__xludf.DUMMYFUNCTION("""COMPUTED_VALUE"""),43515.6666666666)</f>
        <v>43515.666666666599</v>
      </c>
      <c r="T35" s="2">
        <f ca="1">IFERROR(__xludf.DUMMYFUNCTION("""COMPUTED_VALUE"""),135.69)</f>
        <v>135.69</v>
      </c>
    </row>
    <row r="36" spans="1:20">
      <c r="A36" s="3">
        <f ca="1">IFERROR(__xludf.DUMMYFUNCTION("""COMPUTED_VALUE"""),43516.6666666666)</f>
        <v>43516.666666666599</v>
      </c>
      <c r="B36" s="2">
        <f ca="1">IFERROR(__xludf.DUMMYFUNCTION("""COMPUTED_VALUE"""),43.01)</f>
        <v>43.01</v>
      </c>
      <c r="C36" s="3">
        <f ca="1">IFERROR(__xludf.DUMMYFUNCTION("""COMPUTED_VALUE"""),43516.6666666666)</f>
        <v>43516.666666666599</v>
      </c>
      <c r="D36" s="2">
        <f ca="1">IFERROR(__xludf.DUMMYFUNCTION("""COMPUTED_VALUE"""),107.15)</f>
        <v>107.15</v>
      </c>
      <c r="E36" s="3">
        <f ca="1">IFERROR(__xludf.DUMMYFUNCTION("""COMPUTED_VALUE"""),43516.6666666666)</f>
        <v>43516.666666666599</v>
      </c>
      <c r="F36" s="2">
        <f ca="1">IFERROR(__xludf.DUMMYFUNCTION("""COMPUTED_VALUE"""),1622.1)</f>
        <v>1622.1</v>
      </c>
      <c r="G36" s="3">
        <f ca="1">IFERROR(__xludf.DUMMYFUNCTION("""COMPUTED_VALUE"""),43516.6666666666)</f>
        <v>43516.666666666599</v>
      </c>
      <c r="H36" s="2">
        <f ca="1">IFERROR(__xludf.DUMMYFUNCTION("""COMPUTED_VALUE"""),1120.59)</f>
        <v>1120.5899999999999</v>
      </c>
      <c r="I36" s="3">
        <f ca="1">IFERROR(__xludf.DUMMYFUNCTION("""COMPUTED_VALUE"""),43516.6666666666)</f>
        <v>43516.666666666599</v>
      </c>
      <c r="J36" s="2">
        <f ca="1">IFERROR(__xludf.DUMMYFUNCTION("""COMPUTED_VALUE"""),1113.8)</f>
        <v>1113.8</v>
      </c>
      <c r="K36" s="3">
        <f ca="1">IFERROR(__xludf.DUMMYFUNCTION("""COMPUTED_VALUE"""),43516.6666666666)</f>
        <v>43516.666666666599</v>
      </c>
      <c r="L36" s="2">
        <f ca="1">IFERROR(__xludf.DUMMYFUNCTION("""COMPUTED_VALUE"""),162.56)</f>
        <v>162.56</v>
      </c>
      <c r="M36" s="3">
        <f ca="1">IFERROR(__xludf.DUMMYFUNCTION("""COMPUTED_VALUE"""),43516.6666666666)</f>
        <v>43516.666666666599</v>
      </c>
      <c r="N36" s="2">
        <f ca="1">IFERROR(__xludf.DUMMYFUNCTION("""COMPUTED_VALUE"""),60.51)</f>
        <v>60.51</v>
      </c>
      <c r="O36" s="3">
        <f ca="1">IFERROR(__xludf.DUMMYFUNCTION("""COMPUTED_VALUE"""),43516.6666666666)</f>
        <v>43516.666666666599</v>
      </c>
      <c r="P36" s="2">
        <f ca="1">IFERROR(__xludf.DUMMYFUNCTION("""COMPUTED_VALUE"""),39.64)</f>
        <v>39.64</v>
      </c>
      <c r="Q36" s="3">
        <f ca="1">IFERROR(__xludf.DUMMYFUNCTION("""COMPUTED_VALUE"""),43516.6666666666)</f>
        <v>43516.666666666599</v>
      </c>
      <c r="R36" s="2">
        <f ca="1">IFERROR(__xludf.DUMMYFUNCTION("""COMPUTED_VALUE"""),206.16)</f>
        <v>206.16</v>
      </c>
      <c r="S36" s="3">
        <f ca="1">IFERROR(__xludf.DUMMYFUNCTION("""COMPUTED_VALUE"""),43516.6666666666)</f>
        <v>43516.666666666599</v>
      </c>
      <c r="T36" s="2">
        <f ca="1">IFERROR(__xludf.DUMMYFUNCTION("""COMPUTED_VALUE"""),136.35)</f>
        <v>136.35</v>
      </c>
    </row>
    <row r="37" spans="1:20">
      <c r="A37" s="3">
        <f ca="1">IFERROR(__xludf.DUMMYFUNCTION("""COMPUTED_VALUE"""),43517.6666666666)</f>
        <v>43517.666666666599</v>
      </c>
      <c r="B37" s="2">
        <f ca="1">IFERROR(__xludf.DUMMYFUNCTION("""COMPUTED_VALUE"""),42.77)</f>
        <v>42.77</v>
      </c>
      <c r="C37" s="3">
        <f ca="1">IFERROR(__xludf.DUMMYFUNCTION("""COMPUTED_VALUE"""),43517.6666666666)</f>
        <v>43517.666666666599</v>
      </c>
      <c r="D37" s="2">
        <f ca="1">IFERROR(__xludf.DUMMYFUNCTION("""COMPUTED_VALUE"""),109.41)</f>
        <v>109.41</v>
      </c>
      <c r="E37" s="3">
        <f ca="1">IFERROR(__xludf.DUMMYFUNCTION("""COMPUTED_VALUE"""),43517.6666666666)</f>
        <v>43517.666666666599</v>
      </c>
      <c r="F37" s="2">
        <f ca="1">IFERROR(__xludf.DUMMYFUNCTION("""COMPUTED_VALUE"""),1619.44)</f>
        <v>1619.44</v>
      </c>
      <c r="G37" s="3">
        <f ca="1">IFERROR(__xludf.DUMMYFUNCTION("""COMPUTED_VALUE"""),43517.6666666666)</f>
        <v>43517.666666666599</v>
      </c>
      <c r="H37" s="2">
        <f ca="1">IFERROR(__xludf.DUMMYFUNCTION("""COMPUTED_VALUE"""),1104.21)</f>
        <v>1104.21</v>
      </c>
      <c r="I37" s="3">
        <f ca="1">IFERROR(__xludf.DUMMYFUNCTION("""COMPUTED_VALUE"""),43517.6666666666)</f>
        <v>43517.666666666599</v>
      </c>
      <c r="J37" s="2">
        <f ca="1">IFERROR(__xludf.DUMMYFUNCTION("""COMPUTED_VALUE"""),1096.97)</f>
        <v>1096.97</v>
      </c>
      <c r="K37" s="3">
        <f ca="1">IFERROR(__xludf.DUMMYFUNCTION("""COMPUTED_VALUE"""),43517.6666666666)</f>
        <v>43517.666666666599</v>
      </c>
      <c r="L37" s="2">
        <f ca="1">IFERROR(__xludf.DUMMYFUNCTION("""COMPUTED_VALUE"""),160.04)</f>
        <v>160.04</v>
      </c>
      <c r="M37" s="3">
        <f ca="1">IFERROR(__xludf.DUMMYFUNCTION("""COMPUTED_VALUE"""),43517.6666666666)</f>
        <v>43517.666666666599</v>
      </c>
      <c r="N37" s="2">
        <f ca="1">IFERROR(__xludf.DUMMYFUNCTION("""COMPUTED_VALUE"""),58.25)</f>
        <v>58.25</v>
      </c>
      <c r="O37" s="3">
        <f ca="1">IFERROR(__xludf.DUMMYFUNCTION("""COMPUTED_VALUE"""),43517.6666666666)</f>
        <v>43517.666666666599</v>
      </c>
      <c r="P37" s="2">
        <f ca="1">IFERROR(__xludf.DUMMYFUNCTION("""COMPUTED_VALUE"""),38.94)</f>
        <v>38.94</v>
      </c>
      <c r="Q37" s="3">
        <f ca="1">IFERROR(__xludf.DUMMYFUNCTION("""COMPUTED_VALUE"""),43517.6666666666)</f>
        <v>43517.666666666599</v>
      </c>
      <c r="R37" s="2">
        <f ca="1">IFERROR(__xludf.DUMMYFUNCTION("""COMPUTED_VALUE"""),205.33)</f>
        <v>205.33</v>
      </c>
      <c r="S37" s="3">
        <f ca="1">IFERROR(__xludf.DUMMYFUNCTION("""COMPUTED_VALUE"""),43517.6666666666)</f>
        <v>43517.666666666599</v>
      </c>
      <c r="T37" s="2">
        <f ca="1">IFERROR(__xludf.DUMMYFUNCTION("""COMPUTED_VALUE"""),135.42)</f>
        <v>135.41999999999999</v>
      </c>
    </row>
    <row r="38" spans="1:20">
      <c r="A38" s="3">
        <f ca="1">IFERROR(__xludf.DUMMYFUNCTION("""COMPUTED_VALUE"""),43518.6666666666)</f>
        <v>43518.666666666599</v>
      </c>
      <c r="B38" s="2">
        <f ca="1">IFERROR(__xludf.DUMMYFUNCTION("""COMPUTED_VALUE"""),43.24)</f>
        <v>43.24</v>
      </c>
      <c r="C38" s="3">
        <f ca="1">IFERROR(__xludf.DUMMYFUNCTION("""COMPUTED_VALUE"""),43518.6666666666)</f>
        <v>43518.666666666599</v>
      </c>
      <c r="D38" s="2">
        <f ca="1">IFERROR(__xludf.DUMMYFUNCTION("""COMPUTED_VALUE"""),110.97)</f>
        <v>110.97</v>
      </c>
      <c r="E38" s="3">
        <f ca="1">IFERROR(__xludf.DUMMYFUNCTION("""COMPUTED_VALUE"""),43518.6666666666)</f>
        <v>43518.666666666599</v>
      </c>
      <c r="F38" s="2">
        <f ca="1">IFERROR(__xludf.DUMMYFUNCTION("""COMPUTED_VALUE"""),1631.56)</f>
        <v>1631.56</v>
      </c>
      <c r="G38" s="3">
        <f ca="1">IFERROR(__xludf.DUMMYFUNCTION("""COMPUTED_VALUE"""),43518.6666666666)</f>
        <v>43518.666666666599</v>
      </c>
      <c r="H38" s="2">
        <f ca="1">IFERROR(__xludf.DUMMYFUNCTION("""COMPUTED_VALUE"""),1116.56)</f>
        <v>1116.56</v>
      </c>
      <c r="I38" s="3">
        <f ca="1">IFERROR(__xludf.DUMMYFUNCTION("""COMPUTED_VALUE"""),43518.6666666666)</f>
        <v>43518.666666666599</v>
      </c>
      <c r="J38" s="2">
        <f ca="1">IFERROR(__xludf.DUMMYFUNCTION("""COMPUTED_VALUE"""),1110.37)</f>
        <v>1110.3699999999999</v>
      </c>
      <c r="K38" s="3">
        <f ca="1">IFERROR(__xludf.DUMMYFUNCTION("""COMPUTED_VALUE"""),43518.6666666666)</f>
        <v>43518.666666666599</v>
      </c>
      <c r="L38" s="2">
        <f ca="1">IFERROR(__xludf.DUMMYFUNCTION("""COMPUTED_VALUE"""),161.89)</f>
        <v>161.88999999999999</v>
      </c>
      <c r="M38" s="3">
        <f ca="1">IFERROR(__xludf.DUMMYFUNCTION("""COMPUTED_VALUE"""),43518.6666666666)</f>
        <v>43518.666666666599</v>
      </c>
      <c r="N38" s="2">
        <f ca="1">IFERROR(__xludf.DUMMYFUNCTION("""COMPUTED_VALUE"""),58.94)</f>
        <v>58.94</v>
      </c>
      <c r="O38" s="3">
        <f ca="1">IFERROR(__xludf.DUMMYFUNCTION("""COMPUTED_VALUE"""),43518.6666666666)</f>
        <v>43518.666666666599</v>
      </c>
      <c r="P38" s="2">
        <f ca="1">IFERROR(__xludf.DUMMYFUNCTION("""COMPUTED_VALUE"""),39.8)</f>
        <v>39.799999999999997</v>
      </c>
      <c r="Q38" s="3">
        <f ca="1">IFERROR(__xludf.DUMMYFUNCTION("""COMPUTED_VALUE"""),43518.6666666666)</f>
        <v>43518.666666666599</v>
      </c>
      <c r="R38" s="2">
        <f ca="1">IFERROR(__xludf.DUMMYFUNCTION("""COMPUTED_VALUE"""),201.91)</f>
        <v>201.91</v>
      </c>
      <c r="S38" s="3">
        <f ca="1">IFERROR(__xludf.DUMMYFUNCTION("""COMPUTED_VALUE"""),43518.6666666666)</f>
        <v>43518.666666666599</v>
      </c>
      <c r="T38" s="2">
        <f ca="1">IFERROR(__xludf.DUMMYFUNCTION("""COMPUTED_VALUE"""),136.6)</f>
        <v>136.6</v>
      </c>
    </row>
    <row r="39" spans="1:20">
      <c r="A39" s="3">
        <f ca="1">IFERROR(__xludf.DUMMYFUNCTION("""COMPUTED_VALUE"""),43521.6666666666)</f>
        <v>43521.666666666599</v>
      </c>
      <c r="B39" s="2">
        <f ca="1">IFERROR(__xludf.DUMMYFUNCTION("""COMPUTED_VALUE"""),43.56)</f>
        <v>43.56</v>
      </c>
      <c r="C39" s="3">
        <f ca="1">IFERROR(__xludf.DUMMYFUNCTION("""COMPUTED_VALUE"""),43521.6666666666)</f>
        <v>43521.666666666599</v>
      </c>
      <c r="D39" s="2">
        <f ca="1">IFERROR(__xludf.DUMMYFUNCTION("""COMPUTED_VALUE"""),111.59)</f>
        <v>111.59</v>
      </c>
      <c r="E39" s="3">
        <f ca="1">IFERROR(__xludf.DUMMYFUNCTION("""COMPUTED_VALUE"""),43521.6666666666)</f>
        <v>43521.666666666599</v>
      </c>
      <c r="F39" s="2">
        <f ca="1">IFERROR(__xludf.DUMMYFUNCTION("""COMPUTED_VALUE"""),1633)</f>
        <v>1633</v>
      </c>
      <c r="G39" s="3">
        <f ca="1">IFERROR(__xludf.DUMMYFUNCTION("""COMPUTED_VALUE"""),43521.6666666666)</f>
        <v>43521.666666666599</v>
      </c>
      <c r="H39" s="2">
        <f ca="1">IFERROR(__xludf.DUMMYFUNCTION("""COMPUTED_VALUE"""),1117.33)</f>
        <v>1117.33</v>
      </c>
      <c r="I39" s="3">
        <f ca="1">IFERROR(__xludf.DUMMYFUNCTION("""COMPUTED_VALUE"""),43521.6666666666)</f>
        <v>43521.666666666599</v>
      </c>
      <c r="J39" s="2">
        <f ca="1">IFERROR(__xludf.DUMMYFUNCTION("""COMPUTED_VALUE"""),1109.4)</f>
        <v>1109.4000000000001</v>
      </c>
      <c r="K39" s="3">
        <f ca="1">IFERROR(__xludf.DUMMYFUNCTION("""COMPUTED_VALUE"""),43521.6666666666)</f>
        <v>43521.666666666599</v>
      </c>
      <c r="L39" s="2">
        <f ca="1">IFERROR(__xludf.DUMMYFUNCTION("""COMPUTED_VALUE"""),164.62)</f>
        <v>164.62</v>
      </c>
      <c r="M39" s="3">
        <f ca="1">IFERROR(__xludf.DUMMYFUNCTION("""COMPUTED_VALUE"""),43521.6666666666)</f>
        <v>43521.666666666599</v>
      </c>
      <c r="N39" s="2">
        <f ca="1">IFERROR(__xludf.DUMMYFUNCTION("""COMPUTED_VALUE"""),59.75)</f>
        <v>59.75</v>
      </c>
      <c r="O39" s="3">
        <f ca="1">IFERROR(__xludf.DUMMYFUNCTION("""COMPUTED_VALUE"""),43521.6666666666)</f>
        <v>43521.666666666599</v>
      </c>
      <c r="P39" s="2">
        <f ca="1">IFERROR(__xludf.DUMMYFUNCTION("""COMPUTED_VALUE"""),39.67)</f>
        <v>39.67</v>
      </c>
      <c r="Q39" s="3">
        <f ca="1">IFERROR(__xludf.DUMMYFUNCTION("""COMPUTED_VALUE"""),43521.6666666666)</f>
        <v>43521.666666666599</v>
      </c>
      <c r="R39" s="2">
        <f ca="1">IFERROR(__xludf.DUMMYFUNCTION("""COMPUTED_VALUE"""),202.31)</f>
        <v>202.31</v>
      </c>
      <c r="S39" s="3">
        <f ca="1">IFERROR(__xludf.DUMMYFUNCTION("""COMPUTED_VALUE"""),43521.6666666666)</f>
        <v>43521.666666666599</v>
      </c>
      <c r="T39" s="2">
        <f ca="1">IFERROR(__xludf.DUMMYFUNCTION("""COMPUTED_VALUE"""),136.2)</f>
        <v>136.19999999999999</v>
      </c>
    </row>
    <row r="40" spans="1:20">
      <c r="A40" s="3">
        <f ca="1">IFERROR(__xludf.DUMMYFUNCTION("""COMPUTED_VALUE"""),43522.6666666666)</f>
        <v>43522.666666666599</v>
      </c>
      <c r="B40" s="2">
        <f ca="1">IFERROR(__xludf.DUMMYFUNCTION("""COMPUTED_VALUE"""),43.58)</f>
        <v>43.58</v>
      </c>
      <c r="C40" s="3">
        <f ca="1">IFERROR(__xludf.DUMMYFUNCTION("""COMPUTED_VALUE"""),43522.6666666666)</f>
        <v>43522.666666666599</v>
      </c>
      <c r="D40" s="2">
        <f ca="1">IFERROR(__xludf.DUMMYFUNCTION("""COMPUTED_VALUE"""),112.36)</f>
        <v>112.36</v>
      </c>
      <c r="E40" s="3">
        <f ca="1">IFERROR(__xludf.DUMMYFUNCTION("""COMPUTED_VALUE"""),43522.6666666666)</f>
        <v>43522.666666666599</v>
      </c>
      <c r="F40" s="2">
        <f ca="1">IFERROR(__xludf.DUMMYFUNCTION("""COMPUTED_VALUE"""),1636.4)</f>
        <v>1636.4</v>
      </c>
      <c r="G40" s="3">
        <f ca="1">IFERROR(__xludf.DUMMYFUNCTION("""COMPUTED_VALUE"""),43522.6666666666)</f>
        <v>43522.666666666599</v>
      </c>
      <c r="H40" s="2">
        <f ca="1">IFERROR(__xludf.DUMMYFUNCTION("""COMPUTED_VALUE"""),1122.01)</f>
        <v>1122.01</v>
      </c>
      <c r="I40" s="3">
        <f ca="1">IFERROR(__xludf.DUMMYFUNCTION("""COMPUTED_VALUE"""),43522.6666666666)</f>
        <v>43522.666666666599</v>
      </c>
      <c r="J40" s="2">
        <f ca="1">IFERROR(__xludf.DUMMYFUNCTION("""COMPUTED_VALUE"""),1115.13)</f>
        <v>1115.1300000000001</v>
      </c>
      <c r="K40" s="3">
        <f ca="1">IFERROR(__xludf.DUMMYFUNCTION("""COMPUTED_VALUE"""),43522.6666666666)</f>
        <v>43522.666666666599</v>
      </c>
      <c r="L40" s="2">
        <f ca="1">IFERROR(__xludf.DUMMYFUNCTION("""COMPUTED_VALUE"""),164.13)</f>
        <v>164.13</v>
      </c>
      <c r="M40" s="3">
        <f ca="1">IFERROR(__xludf.DUMMYFUNCTION("""COMPUTED_VALUE"""),43522.6666666666)</f>
        <v>43522.666666666599</v>
      </c>
      <c r="N40" s="2">
        <f ca="1">IFERROR(__xludf.DUMMYFUNCTION("""COMPUTED_VALUE"""),59.57)</f>
        <v>59.57</v>
      </c>
      <c r="O40" s="3">
        <f ca="1">IFERROR(__xludf.DUMMYFUNCTION("""COMPUTED_VALUE"""),43522.6666666666)</f>
        <v>43522.666666666599</v>
      </c>
      <c r="P40" s="2">
        <f ca="1">IFERROR(__xludf.DUMMYFUNCTION("""COMPUTED_VALUE"""),39.28)</f>
        <v>39.28</v>
      </c>
      <c r="Q40" s="3">
        <f ca="1">IFERROR(__xludf.DUMMYFUNCTION("""COMPUTED_VALUE"""),43522.6666666666)</f>
        <v>43522.666666666599</v>
      </c>
      <c r="R40" s="2">
        <f ca="1">IFERROR(__xludf.DUMMYFUNCTION("""COMPUTED_VALUE"""),201.9)</f>
        <v>201.9</v>
      </c>
      <c r="S40" s="3">
        <f ca="1">IFERROR(__xludf.DUMMYFUNCTION("""COMPUTED_VALUE"""),43522.6666666666)</f>
        <v>43522.666666666599</v>
      </c>
      <c r="T40" s="2">
        <f ca="1">IFERROR(__xludf.DUMMYFUNCTION("""COMPUTED_VALUE"""),136.11)</f>
        <v>136.11000000000001</v>
      </c>
    </row>
    <row r="41" spans="1:20">
      <c r="A41" s="3">
        <f ca="1">IFERROR(__xludf.DUMMYFUNCTION("""COMPUTED_VALUE"""),43523.6666666666)</f>
        <v>43523.666666666599</v>
      </c>
      <c r="B41" s="2">
        <f ca="1">IFERROR(__xludf.DUMMYFUNCTION("""COMPUTED_VALUE"""),43.72)</f>
        <v>43.72</v>
      </c>
      <c r="C41" s="3">
        <f ca="1">IFERROR(__xludf.DUMMYFUNCTION("""COMPUTED_VALUE"""),43523.6666666666)</f>
        <v>43523.666666666599</v>
      </c>
      <c r="D41" s="2">
        <f ca="1">IFERROR(__xludf.DUMMYFUNCTION("""COMPUTED_VALUE"""),112.17)</f>
        <v>112.17</v>
      </c>
      <c r="E41" s="3">
        <f ca="1">IFERROR(__xludf.DUMMYFUNCTION("""COMPUTED_VALUE"""),43523.6666666666)</f>
        <v>43523.666666666599</v>
      </c>
      <c r="F41" s="2">
        <f ca="1">IFERROR(__xludf.DUMMYFUNCTION("""COMPUTED_VALUE"""),1641.09)</f>
        <v>1641.09</v>
      </c>
      <c r="G41" s="3">
        <f ca="1">IFERROR(__xludf.DUMMYFUNCTION("""COMPUTED_VALUE"""),43523.6666666666)</f>
        <v>43523.666666666599</v>
      </c>
      <c r="H41" s="2">
        <f ca="1">IFERROR(__xludf.DUMMYFUNCTION("""COMPUTED_VALUE"""),1122.89)</f>
        <v>1122.8900000000001</v>
      </c>
      <c r="I41" s="3">
        <f ca="1">IFERROR(__xludf.DUMMYFUNCTION("""COMPUTED_VALUE"""),43523.6666666666)</f>
        <v>43523.666666666599</v>
      </c>
      <c r="J41" s="2">
        <f ca="1">IFERROR(__xludf.DUMMYFUNCTION("""COMPUTED_VALUE"""),1116.05)</f>
        <v>1116.05</v>
      </c>
      <c r="K41" s="3">
        <f ca="1">IFERROR(__xludf.DUMMYFUNCTION("""COMPUTED_VALUE"""),43523.6666666666)</f>
        <v>43523.666666666599</v>
      </c>
      <c r="L41" s="2">
        <f ca="1">IFERROR(__xludf.DUMMYFUNCTION("""COMPUTED_VALUE"""),162.81)</f>
        <v>162.81</v>
      </c>
      <c r="M41" s="3">
        <f ca="1">IFERROR(__xludf.DUMMYFUNCTION("""COMPUTED_VALUE"""),43523.6666666666)</f>
        <v>43523.666666666599</v>
      </c>
      <c r="N41" s="2">
        <f ca="1">IFERROR(__xludf.DUMMYFUNCTION("""COMPUTED_VALUE"""),62.95)</f>
        <v>62.95</v>
      </c>
      <c r="O41" s="3">
        <f ca="1">IFERROR(__xludf.DUMMYFUNCTION("""COMPUTED_VALUE"""),43523.6666666666)</f>
        <v>43523.666666666599</v>
      </c>
      <c r="P41" s="2">
        <f ca="1">IFERROR(__xludf.DUMMYFUNCTION("""COMPUTED_VALUE"""),38.85)</f>
        <v>38.85</v>
      </c>
      <c r="Q41" s="3">
        <f ca="1">IFERROR(__xludf.DUMMYFUNCTION("""COMPUTED_VALUE"""),43523.6666666666)</f>
        <v>43523.666666666599</v>
      </c>
      <c r="R41" s="2">
        <f ca="1">IFERROR(__xludf.DUMMYFUNCTION("""COMPUTED_VALUE"""),202.29)</f>
        <v>202.29</v>
      </c>
      <c r="S41" s="3">
        <f ca="1">IFERROR(__xludf.DUMMYFUNCTION("""COMPUTED_VALUE"""),43523.6666666666)</f>
        <v>43523.666666666599</v>
      </c>
      <c r="T41" s="2">
        <f ca="1">IFERROR(__xludf.DUMMYFUNCTION("""COMPUTED_VALUE"""),135.87)</f>
        <v>135.87</v>
      </c>
    </row>
    <row r="42" spans="1:20">
      <c r="A42" s="3">
        <f ca="1">IFERROR(__xludf.DUMMYFUNCTION("""COMPUTED_VALUE"""),43524.6666666666)</f>
        <v>43524.666666666599</v>
      </c>
      <c r="B42" s="2">
        <f ca="1">IFERROR(__xludf.DUMMYFUNCTION("""COMPUTED_VALUE"""),43.29)</f>
        <v>43.29</v>
      </c>
      <c r="C42" s="3">
        <f ca="1">IFERROR(__xludf.DUMMYFUNCTION("""COMPUTED_VALUE"""),43524.6666666666)</f>
        <v>43524.666666666599</v>
      </c>
      <c r="D42" s="2">
        <f ca="1">IFERROR(__xludf.DUMMYFUNCTION("""COMPUTED_VALUE"""),112.03)</f>
        <v>112.03</v>
      </c>
      <c r="E42" s="3">
        <f ca="1">IFERROR(__xludf.DUMMYFUNCTION("""COMPUTED_VALUE"""),43524.6666666666)</f>
        <v>43524.666666666599</v>
      </c>
      <c r="F42" s="2">
        <f ca="1">IFERROR(__xludf.DUMMYFUNCTION("""COMPUTED_VALUE"""),1639.83)</f>
        <v>1639.83</v>
      </c>
      <c r="G42" s="3">
        <f ca="1">IFERROR(__xludf.DUMMYFUNCTION("""COMPUTED_VALUE"""),43524.6666666666)</f>
        <v>43524.666666666599</v>
      </c>
      <c r="H42" s="2">
        <f ca="1">IFERROR(__xludf.DUMMYFUNCTION("""COMPUTED_VALUE"""),1126.55)</f>
        <v>1126.55</v>
      </c>
      <c r="I42" s="3">
        <f ca="1">IFERROR(__xludf.DUMMYFUNCTION("""COMPUTED_VALUE"""),43524.6666666666)</f>
        <v>43524.666666666599</v>
      </c>
      <c r="J42" s="2">
        <f ca="1">IFERROR(__xludf.DUMMYFUNCTION("""COMPUTED_VALUE"""),1119.92)</f>
        <v>1119.92</v>
      </c>
      <c r="K42" s="3">
        <f ca="1">IFERROR(__xludf.DUMMYFUNCTION("""COMPUTED_VALUE"""),43524.6666666666)</f>
        <v>43524.666666666599</v>
      </c>
      <c r="L42" s="2">
        <f ca="1">IFERROR(__xludf.DUMMYFUNCTION("""COMPUTED_VALUE"""),161.45)</f>
        <v>161.44999999999999</v>
      </c>
      <c r="M42" s="3">
        <f ca="1">IFERROR(__xludf.DUMMYFUNCTION("""COMPUTED_VALUE"""),43524.6666666666)</f>
        <v>43524.666666666599</v>
      </c>
      <c r="N42" s="2">
        <f ca="1">IFERROR(__xludf.DUMMYFUNCTION("""COMPUTED_VALUE"""),63.98)</f>
        <v>63.98</v>
      </c>
      <c r="O42" s="3">
        <f ca="1">IFERROR(__xludf.DUMMYFUNCTION("""COMPUTED_VALUE"""),43524.6666666666)</f>
        <v>43524.666666666599</v>
      </c>
      <c r="P42" s="2">
        <f ca="1">IFERROR(__xludf.DUMMYFUNCTION("""COMPUTED_VALUE"""),38.57)</f>
        <v>38.57</v>
      </c>
      <c r="Q42" s="3">
        <f ca="1">IFERROR(__xludf.DUMMYFUNCTION("""COMPUTED_VALUE"""),43524.6666666666)</f>
        <v>43524.666666666599</v>
      </c>
      <c r="R42" s="2">
        <f ca="1">IFERROR(__xludf.DUMMYFUNCTION("""COMPUTED_VALUE"""),201.3)</f>
        <v>201.3</v>
      </c>
      <c r="S42" s="3">
        <f ca="1">IFERROR(__xludf.DUMMYFUNCTION("""COMPUTED_VALUE"""),43524.6666666666)</f>
        <v>43524.666666666599</v>
      </c>
      <c r="T42" s="2">
        <f ca="1">IFERROR(__xludf.DUMMYFUNCTION("""COMPUTED_VALUE"""),136.64)</f>
        <v>136.63999999999999</v>
      </c>
    </row>
    <row r="43" spans="1:20">
      <c r="A43" s="3">
        <f ca="1">IFERROR(__xludf.DUMMYFUNCTION("""COMPUTED_VALUE"""),43525.6666666666)</f>
        <v>43525.666666666599</v>
      </c>
      <c r="B43" s="2">
        <f ca="1">IFERROR(__xludf.DUMMYFUNCTION("""COMPUTED_VALUE"""),43.74)</f>
        <v>43.74</v>
      </c>
      <c r="C43" s="3">
        <f ca="1">IFERROR(__xludf.DUMMYFUNCTION("""COMPUTED_VALUE"""),43525.6666666666)</f>
        <v>43525.666666666599</v>
      </c>
      <c r="D43" s="2">
        <f ca="1">IFERROR(__xludf.DUMMYFUNCTION("""COMPUTED_VALUE"""),112.53)</f>
        <v>112.53</v>
      </c>
      <c r="E43" s="3">
        <f ca="1">IFERROR(__xludf.DUMMYFUNCTION("""COMPUTED_VALUE"""),43525.6666666666)</f>
        <v>43525.666666666599</v>
      </c>
      <c r="F43" s="2">
        <f ca="1">IFERROR(__xludf.DUMMYFUNCTION("""COMPUTED_VALUE"""),1671.73)</f>
        <v>1671.73</v>
      </c>
      <c r="G43" s="3">
        <f ca="1">IFERROR(__xludf.DUMMYFUNCTION("""COMPUTED_VALUE"""),43525.6666666666)</f>
        <v>43525.666666666599</v>
      </c>
      <c r="H43" s="2">
        <f ca="1">IFERROR(__xludf.DUMMYFUNCTION("""COMPUTED_VALUE"""),1148.52)</f>
        <v>1148.52</v>
      </c>
      <c r="I43" s="3">
        <f ca="1">IFERROR(__xludf.DUMMYFUNCTION("""COMPUTED_VALUE"""),43525.6666666666)</f>
        <v>43525.666666666599</v>
      </c>
      <c r="J43" s="2">
        <f ca="1">IFERROR(__xludf.DUMMYFUNCTION("""COMPUTED_VALUE"""),1140.99)</f>
        <v>1140.99</v>
      </c>
      <c r="K43" s="3">
        <f ca="1">IFERROR(__xludf.DUMMYFUNCTION("""COMPUTED_VALUE"""),43525.6666666666)</f>
        <v>43525.666666666599</v>
      </c>
      <c r="L43" s="2">
        <f ca="1">IFERROR(__xludf.DUMMYFUNCTION("""COMPUTED_VALUE"""),162.28)</f>
        <v>162.28</v>
      </c>
      <c r="M43" s="3">
        <f ca="1">IFERROR(__xludf.DUMMYFUNCTION("""COMPUTED_VALUE"""),43525.6666666666)</f>
        <v>43525.666666666599</v>
      </c>
      <c r="N43" s="2">
        <f ca="1">IFERROR(__xludf.DUMMYFUNCTION("""COMPUTED_VALUE"""),58.96)</f>
        <v>58.96</v>
      </c>
      <c r="O43" s="3">
        <f ca="1">IFERROR(__xludf.DUMMYFUNCTION("""COMPUTED_VALUE"""),43525.6666666666)</f>
        <v>43525.666666666599</v>
      </c>
      <c r="P43" s="2">
        <f ca="1">IFERROR(__xludf.DUMMYFUNCTION("""COMPUTED_VALUE"""),39.11)</f>
        <v>39.11</v>
      </c>
      <c r="Q43" s="3">
        <f ca="1">IFERROR(__xludf.DUMMYFUNCTION("""COMPUTED_VALUE"""),43525.6666666666)</f>
        <v>43525.666666666599</v>
      </c>
      <c r="R43" s="2">
        <f ca="1">IFERROR(__xludf.DUMMYFUNCTION("""COMPUTED_VALUE"""),203.13)</f>
        <v>203.13</v>
      </c>
      <c r="S43" s="3">
        <f ca="1">IFERROR(__xludf.DUMMYFUNCTION("""COMPUTED_VALUE"""),43525.6666666666)</f>
        <v>43525.666666666599</v>
      </c>
      <c r="T43" s="2">
        <f ca="1">IFERROR(__xludf.DUMMYFUNCTION("""COMPUTED_VALUE"""),138.35)</f>
        <v>138.35</v>
      </c>
    </row>
    <row r="44" spans="1:20">
      <c r="A44" s="3">
        <f ca="1">IFERROR(__xludf.DUMMYFUNCTION("""COMPUTED_VALUE"""),43528.6666666666)</f>
        <v>43528.666666666599</v>
      </c>
      <c r="B44" s="2">
        <f ca="1">IFERROR(__xludf.DUMMYFUNCTION("""COMPUTED_VALUE"""),43.96)</f>
        <v>43.96</v>
      </c>
      <c r="C44" s="3">
        <f ca="1">IFERROR(__xludf.DUMMYFUNCTION("""COMPUTED_VALUE"""),43528.6666666666)</f>
        <v>43528.666666666599</v>
      </c>
      <c r="D44" s="2">
        <f ca="1">IFERROR(__xludf.DUMMYFUNCTION("""COMPUTED_VALUE"""),112.26)</f>
        <v>112.26</v>
      </c>
      <c r="E44" s="3">
        <f ca="1">IFERROR(__xludf.DUMMYFUNCTION("""COMPUTED_VALUE"""),43528.6666666666)</f>
        <v>43528.666666666599</v>
      </c>
      <c r="F44" s="2">
        <f ca="1">IFERROR(__xludf.DUMMYFUNCTION("""COMPUTED_VALUE"""),1696.17)</f>
        <v>1696.17</v>
      </c>
      <c r="G44" s="3">
        <f ca="1">IFERROR(__xludf.DUMMYFUNCTION("""COMPUTED_VALUE"""),43528.6666666666)</f>
        <v>43528.666666666599</v>
      </c>
      <c r="H44" s="2">
        <f ca="1">IFERROR(__xludf.DUMMYFUNCTION("""COMPUTED_VALUE"""),1153.42)</f>
        <v>1153.42</v>
      </c>
      <c r="I44" s="3">
        <f ca="1">IFERROR(__xludf.DUMMYFUNCTION("""COMPUTED_VALUE"""),43528.6666666666)</f>
        <v>43528.666666666599</v>
      </c>
      <c r="J44" s="2">
        <f ca="1">IFERROR(__xludf.DUMMYFUNCTION("""COMPUTED_VALUE"""),1147.8)</f>
        <v>1147.8</v>
      </c>
      <c r="K44" s="3">
        <f ca="1">IFERROR(__xludf.DUMMYFUNCTION("""COMPUTED_VALUE"""),43528.6666666666)</f>
        <v>43528.666666666599</v>
      </c>
      <c r="L44" s="2">
        <f ca="1">IFERROR(__xludf.DUMMYFUNCTION("""COMPUTED_VALUE"""),167.37)</f>
        <v>167.37</v>
      </c>
      <c r="M44" s="3">
        <f ca="1">IFERROR(__xludf.DUMMYFUNCTION("""COMPUTED_VALUE"""),43528.6666666666)</f>
        <v>43528.666666666599</v>
      </c>
      <c r="N44" s="2">
        <f ca="1">IFERROR(__xludf.DUMMYFUNCTION("""COMPUTED_VALUE"""),57.07)</f>
        <v>57.07</v>
      </c>
      <c r="O44" s="3">
        <f ca="1">IFERROR(__xludf.DUMMYFUNCTION("""COMPUTED_VALUE"""),43528.6666666666)</f>
        <v>43528.666666666599</v>
      </c>
      <c r="P44" s="2">
        <f ca="1">IFERROR(__xludf.DUMMYFUNCTION("""COMPUTED_VALUE"""),39.2)</f>
        <v>39.200000000000003</v>
      </c>
      <c r="Q44" s="3">
        <f ca="1">IFERROR(__xludf.DUMMYFUNCTION("""COMPUTED_VALUE"""),43528.6666666666)</f>
        <v>43528.666666666599</v>
      </c>
      <c r="R44" s="2">
        <f ca="1">IFERROR(__xludf.DUMMYFUNCTION("""COMPUTED_VALUE"""),201.81)</f>
        <v>201.81</v>
      </c>
      <c r="S44" s="3">
        <f ca="1">IFERROR(__xludf.DUMMYFUNCTION("""COMPUTED_VALUE"""),43528.6666666666)</f>
        <v>43528.666666666599</v>
      </c>
      <c r="T44" s="2">
        <f ca="1">IFERROR(__xludf.DUMMYFUNCTION("""COMPUTED_VALUE"""),138.48)</f>
        <v>138.47999999999999</v>
      </c>
    </row>
    <row r="45" spans="1:20">
      <c r="A45" s="3">
        <f ca="1">IFERROR(__xludf.DUMMYFUNCTION("""COMPUTED_VALUE"""),43529.6666666666)</f>
        <v>43529.666666666599</v>
      </c>
      <c r="B45" s="2">
        <f ca="1">IFERROR(__xludf.DUMMYFUNCTION("""COMPUTED_VALUE"""),43.88)</f>
        <v>43.88</v>
      </c>
      <c r="C45" s="3">
        <f ca="1">IFERROR(__xludf.DUMMYFUNCTION("""COMPUTED_VALUE"""),43529.6666666666)</f>
        <v>43529.666666666599</v>
      </c>
      <c r="D45" s="2">
        <f ca="1">IFERROR(__xludf.DUMMYFUNCTION("""COMPUTED_VALUE"""),111.7)</f>
        <v>111.7</v>
      </c>
      <c r="E45" s="3">
        <f ca="1">IFERROR(__xludf.DUMMYFUNCTION("""COMPUTED_VALUE"""),43529.6666666666)</f>
        <v>43529.666666666599</v>
      </c>
      <c r="F45" s="2">
        <f ca="1">IFERROR(__xludf.DUMMYFUNCTION("""COMPUTED_VALUE"""),1692.43)</f>
        <v>1692.43</v>
      </c>
      <c r="G45" s="3">
        <f ca="1">IFERROR(__xludf.DUMMYFUNCTION("""COMPUTED_VALUE"""),43529.6666666666)</f>
        <v>43529.666666666599</v>
      </c>
      <c r="H45" s="2">
        <f ca="1">IFERROR(__xludf.DUMMYFUNCTION("""COMPUTED_VALUE"""),1169.19)</f>
        <v>1169.19</v>
      </c>
      <c r="I45" s="3">
        <f ca="1">IFERROR(__xludf.DUMMYFUNCTION("""COMPUTED_VALUE"""),43529.6666666666)</f>
        <v>43529.666666666599</v>
      </c>
      <c r="J45" s="2">
        <f ca="1">IFERROR(__xludf.DUMMYFUNCTION("""COMPUTED_VALUE"""),1162.03)</f>
        <v>1162.03</v>
      </c>
      <c r="K45" s="3">
        <f ca="1">IFERROR(__xludf.DUMMYFUNCTION("""COMPUTED_VALUE"""),43529.6666666666)</f>
        <v>43529.666666666599</v>
      </c>
      <c r="L45" s="2">
        <f ca="1">IFERROR(__xludf.DUMMYFUNCTION("""COMPUTED_VALUE"""),171.26)</f>
        <v>171.26</v>
      </c>
      <c r="M45" s="3">
        <f ca="1">IFERROR(__xludf.DUMMYFUNCTION("""COMPUTED_VALUE"""),43529.6666666666)</f>
        <v>43529.666666666599</v>
      </c>
      <c r="N45" s="2">
        <f ca="1">IFERROR(__xludf.DUMMYFUNCTION("""COMPUTED_VALUE"""),55.31)</f>
        <v>55.31</v>
      </c>
      <c r="O45" s="3">
        <f ca="1">IFERROR(__xludf.DUMMYFUNCTION("""COMPUTED_VALUE"""),43529.6666666666)</f>
        <v>43529.666666666599</v>
      </c>
      <c r="P45" s="2">
        <f ca="1">IFERROR(__xludf.DUMMYFUNCTION("""COMPUTED_VALUE"""),39.13)</f>
        <v>39.130000000000003</v>
      </c>
      <c r="Q45" s="3">
        <f ca="1">IFERROR(__xludf.DUMMYFUNCTION("""COMPUTED_VALUE"""),43529.6666666666)</f>
        <v>43529.666666666599</v>
      </c>
      <c r="R45" s="2">
        <f ca="1">IFERROR(__xludf.DUMMYFUNCTION("""COMPUTED_VALUE"""),201.47)</f>
        <v>201.47</v>
      </c>
      <c r="S45" s="3">
        <f ca="1">IFERROR(__xludf.DUMMYFUNCTION("""COMPUTED_VALUE"""),43529.6666666666)</f>
        <v>43529.666666666599</v>
      </c>
      <c r="T45" s="2">
        <f ca="1">IFERROR(__xludf.DUMMYFUNCTION("""COMPUTED_VALUE"""),138.77)</f>
        <v>138.77000000000001</v>
      </c>
    </row>
    <row r="46" spans="1:20">
      <c r="A46" s="3">
        <f ca="1">IFERROR(__xludf.DUMMYFUNCTION("""COMPUTED_VALUE"""),43530.6666666666)</f>
        <v>43530.666666666599</v>
      </c>
      <c r="B46" s="2">
        <f ca="1">IFERROR(__xludf.DUMMYFUNCTION("""COMPUTED_VALUE"""),43.63)</f>
        <v>43.63</v>
      </c>
      <c r="C46" s="3">
        <f ca="1">IFERROR(__xludf.DUMMYFUNCTION("""COMPUTED_VALUE"""),43530.6666666666)</f>
        <v>43530.666666666599</v>
      </c>
      <c r="D46" s="2">
        <f ca="1">IFERROR(__xludf.DUMMYFUNCTION("""COMPUTED_VALUE"""),111.75)</f>
        <v>111.75</v>
      </c>
      <c r="E46" s="3">
        <f ca="1">IFERROR(__xludf.DUMMYFUNCTION("""COMPUTED_VALUE"""),43530.6666666666)</f>
        <v>43530.666666666599</v>
      </c>
      <c r="F46" s="2">
        <f ca="1">IFERROR(__xludf.DUMMYFUNCTION("""COMPUTED_VALUE"""),1668.95)</f>
        <v>1668.95</v>
      </c>
      <c r="G46" s="3">
        <f ca="1">IFERROR(__xludf.DUMMYFUNCTION("""COMPUTED_VALUE"""),43530.6666666666)</f>
        <v>43530.666666666599</v>
      </c>
      <c r="H46" s="2">
        <f ca="1">IFERROR(__xludf.DUMMYFUNCTION("""COMPUTED_VALUE"""),1164.94)</f>
        <v>1164.94</v>
      </c>
      <c r="I46" s="3">
        <f ca="1">IFERROR(__xludf.DUMMYFUNCTION("""COMPUTED_VALUE"""),43530.6666666666)</f>
        <v>43530.666666666599</v>
      </c>
      <c r="J46" s="2">
        <f ca="1">IFERROR(__xludf.DUMMYFUNCTION("""COMPUTED_VALUE"""),1157.86)</f>
        <v>1157.8599999999999</v>
      </c>
      <c r="K46" s="3">
        <f ca="1">IFERROR(__xludf.DUMMYFUNCTION("""COMPUTED_VALUE"""),43530.6666666666)</f>
        <v>43530.666666666599</v>
      </c>
      <c r="L46" s="2">
        <f ca="1">IFERROR(__xludf.DUMMYFUNCTION("""COMPUTED_VALUE"""),172.51)</f>
        <v>172.51</v>
      </c>
      <c r="M46" s="3">
        <f ca="1">IFERROR(__xludf.DUMMYFUNCTION("""COMPUTED_VALUE"""),43530.6666666666)</f>
        <v>43530.666666666599</v>
      </c>
      <c r="N46" s="2">
        <f ca="1">IFERROR(__xludf.DUMMYFUNCTION("""COMPUTED_VALUE"""),55.25)</f>
        <v>55.25</v>
      </c>
      <c r="O46" s="3">
        <f ca="1">IFERROR(__xludf.DUMMYFUNCTION("""COMPUTED_VALUE"""),43530.6666666666)</f>
        <v>43530.666666666599</v>
      </c>
      <c r="P46" s="2">
        <f ca="1">IFERROR(__xludf.DUMMYFUNCTION("""COMPUTED_VALUE"""),38.01)</f>
        <v>38.01</v>
      </c>
      <c r="Q46" s="3">
        <f ca="1">IFERROR(__xludf.DUMMYFUNCTION("""COMPUTED_VALUE"""),43530.6666666666)</f>
        <v>43530.666666666599</v>
      </c>
      <c r="R46" s="2">
        <f ca="1">IFERROR(__xludf.DUMMYFUNCTION("""COMPUTED_VALUE"""),200.67)</f>
        <v>200.67</v>
      </c>
      <c r="S46" s="3">
        <f ca="1">IFERROR(__xludf.DUMMYFUNCTION("""COMPUTED_VALUE"""),43530.6666666666)</f>
        <v>43530.666666666599</v>
      </c>
      <c r="T46" s="2">
        <f ca="1">IFERROR(__xludf.DUMMYFUNCTION("""COMPUTED_VALUE"""),139.09)</f>
        <v>139.09</v>
      </c>
    </row>
    <row r="47" spans="1:20">
      <c r="A47" s="3">
        <f ca="1">IFERROR(__xludf.DUMMYFUNCTION("""COMPUTED_VALUE"""),43531.6666666666)</f>
        <v>43531.666666666599</v>
      </c>
      <c r="B47" s="2">
        <f ca="1">IFERROR(__xludf.DUMMYFUNCTION("""COMPUTED_VALUE"""),43.13)</f>
        <v>43.13</v>
      </c>
      <c r="C47" s="3">
        <f ca="1">IFERROR(__xludf.DUMMYFUNCTION("""COMPUTED_VALUE"""),43531.6666666666)</f>
        <v>43531.666666666599</v>
      </c>
      <c r="D47" s="2">
        <f ca="1">IFERROR(__xludf.DUMMYFUNCTION("""COMPUTED_VALUE"""),110.39)</f>
        <v>110.39</v>
      </c>
      <c r="E47" s="3">
        <f ca="1">IFERROR(__xludf.DUMMYFUNCTION("""COMPUTED_VALUE"""),43531.6666666666)</f>
        <v>43531.666666666599</v>
      </c>
      <c r="F47" s="2">
        <f ca="1">IFERROR(__xludf.DUMMYFUNCTION("""COMPUTED_VALUE"""),1625.95)</f>
        <v>1625.95</v>
      </c>
      <c r="G47" s="3">
        <f ca="1">IFERROR(__xludf.DUMMYFUNCTION("""COMPUTED_VALUE"""),43531.6666666666)</f>
        <v>43531.666666666599</v>
      </c>
      <c r="H47" s="2">
        <f ca="1">IFERROR(__xludf.DUMMYFUNCTION("""COMPUTED_VALUE"""),1150.85)</f>
        <v>1150.8499999999999</v>
      </c>
      <c r="I47" s="3">
        <f ca="1">IFERROR(__xludf.DUMMYFUNCTION("""COMPUTED_VALUE"""),43531.6666666666)</f>
        <v>43531.666666666599</v>
      </c>
      <c r="J47" s="2">
        <f ca="1">IFERROR(__xludf.DUMMYFUNCTION("""COMPUTED_VALUE"""),1143.3)</f>
        <v>1143.3</v>
      </c>
      <c r="K47" s="3">
        <f ca="1">IFERROR(__xludf.DUMMYFUNCTION("""COMPUTED_VALUE"""),43531.6666666666)</f>
        <v>43531.666666666599</v>
      </c>
      <c r="L47" s="2">
        <f ca="1">IFERROR(__xludf.DUMMYFUNCTION("""COMPUTED_VALUE"""),169.13)</f>
        <v>169.13</v>
      </c>
      <c r="M47" s="3">
        <f ca="1">IFERROR(__xludf.DUMMYFUNCTION("""COMPUTED_VALUE"""),43531.6666666666)</f>
        <v>43531.666666666599</v>
      </c>
      <c r="N47" s="2">
        <f ca="1">IFERROR(__xludf.DUMMYFUNCTION("""COMPUTED_VALUE"""),55.32)</f>
        <v>55.32</v>
      </c>
      <c r="O47" s="3">
        <f ca="1">IFERROR(__xludf.DUMMYFUNCTION("""COMPUTED_VALUE"""),43531.6666666666)</f>
        <v>43531.666666666599</v>
      </c>
      <c r="P47" s="2">
        <f ca="1">IFERROR(__xludf.DUMMYFUNCTION("""COMPUTED_VALUE"""),37.32)</f>
        <v>37.32</v>
      </c>
      <c r="Q47" s="3">
        <f ca="1">IFERROR(__xludf.DUMMYFUNCTION("""COMPUTED_VALUE"""),43531.6666666666)</f>
        <v>43531.666666666599</v>
      </c>
      <c r="R47" s="2">
        <f ca="1">IFERROR(__xludf.DUMMYFUNCTION("""COMPUTED_VALUE"""),199.3)</f>
        <v>199.3</v>
      </c>
      <c r="S47" s="3">
        <f ca="1">IFERROR(__xludf.DUMMYFUNCTION("""COMPUTED_VALUE"""),43531.6666666666)</f>
        <v>43531.666666666599</v>
      </c>
      <c r="T47" s="2">
        <f ca="1">IFERROR(__xludf.DUMMYFUNCTION("""COMPUTED_VALUE"""),138.24)</f>
        <v>138.24</v>
      </c>
    </row>
    <row r="48" spans="1:20">
      <c r="A48" s="3">
        <f ca="1">IFERROR(__xludf.DUMMYFUNCTION("""COMPUTED_VALUE"""),43532.6666666666)</f>
        <v>43532.666666666599</v>
      </c>
      <c r="B48" s="2">
        <f ca="1">IFERROR(__xludf.DUMMYFUNCTION("""COMPUTED_VALUE"""),43.23)</f>
        <v>43.23</v>
      </c>
      <c r="C48" s="3">
        <f ca="1">IFERROR(__xludf.DUMMYFUNCTION("""COMPUTED_VALUE"""),43532.6666666666)</f>
        <v>43532.666666666599</v>
      </c>
      <c r="D48" s="2">
        <f ca="1">IFERROR(__xludf.DUMMYFUNCTION("""COMPUTED_VALUE"""),110.51)</f>
        <v>110.51</v>
      </c>
      <c r="E48" s="3">
        <f ca="1">IFERROR(__xludf.DUMMYFUNCTION("""COMPUTED_VALUE"""),43532.6666666666)</f>
        <v>43532.666666666599</v>
      </c>
      <c r="F48" s="2">
        <f ca="1">IFERROR(__xludf.DUMMYFUNCTION("""COMPUTED_VALUE"""),1620.8)</f>
        <v>1620.8</v>
      </c>
      <c r="G48" s="3">
        <f ca="1">IFERROR(__xludf.DUMMYFUNCTION("""COMPUTED_VALUE"""),43532.6666666666)</f>
        <v>43532.666666666599</v>
      </c>
      <c r="H48" s="2">
        <f ca="1">IFERROR(__xludf.DUMMYFUNCTION("""COMPUTED_VALUE"""),1149.97)</f>
        <v>1149.97</v>
      </c>
      <c r="I48" s="3">
        <f ca="1">IFERROR(__xludf.DUMMYFUNCTION("""COMPUTED_VALUE"""),43532.6666666666)</f>
        <v>43532.666666666599</v>
      </c>
      <c r="J48" s="2">
        <f ca="1">IFERROR(__xludf.DUMMYFUNCTION("""COMPUTED_VALUE"""),1142.32)</f>
        <v>1142.32</v>
      </c>
      <c r="K48" s="3">
        <f ca="1">IFERROR(__xludf.DUMMYFUNCTION("""COMPUTED_VALUE"""),43532.6666666666)</f>
        <v>43532.666666666599</v>
      </c>
      <c r="L48" s="2">
        <f ca="1">IFERROR(__xludf.DUMMYFUNCTION("""COMPUTED_VALUE"""),169.6)</f>
        <v>169.6</v>
      </c>
      <c r="M48" s="3">
        <f ca="1">IFERROR(__xludf.DUMMYFUNCTION("""COMPUTED_VALUE"""),43532.6666666666)</f>
        <v>43532.666666666599</v>
      </c>
      <c r="N48" s="2">
        <f ca="1">IFERROR(__xludf.DUMMYFUNCTION("""COMPUTED_VALUE"""),56.83)</f>
        <v>56.83</v>
      </c>
      <c r="O48" s="3">
        <f ca="1">IFERROR(__xludf.DUMMYFUNCTION("""COMPUTED_VALUE"""),43532.6666666666)</f>
        <v>43532.666666666599</v>
      </c>
      <c r="P48" s="2">
        <f ca="1">IFERROR(__xludf.DUMMYFUNCTION("""COMPUTED_VALUE"""),37.66)</f>
        <v>37.659999999999997</v>
      </c>
      <c r="Q48" s="3">
        <f ca="1">IFERROR(__xludf.DUMMYFUNCTION("""COMPUTED_VALUE"""),43532.6666666666)</f>
        <v>43532.666666666599</v>
      </c>
      <c r="R48" s="2">
        <f ca="1">IFERROR(__xludf.DUMMYFUNCTION("""COMPUTED_VALUE"""),198.7)</f>
        <v>198.7</v>
      </c>
      <c r="S48" s="3">
        <f ca="1">IFERROR(__xludf.DUMMYFUNCTION("""COMPUTED_VALUE"""),43532.6666666666)</f>
        <v>43532.666666666599</v>
      </c>
      <c r="T48" s="2">
        <f ca="1">IFERROR(__xludf.DUMMYFUNCTION("""COMPUTED_VALUE"""),138.06)</f>
        <v>138.06</v>
      </c>
    </row>
    <row r="49" spans="1:20">
      <c r="A49" s="3">
        <f ca="1">IFERROR(__xludf.DUMMYFUNCTION("""COMPUTED_VALUE"""),43535.6666666666)</f>
        <v>43535.666666666599</v>
      </c>
      <c r="B49" s="2">
        <f ca="1">IFERROR(__xludf.DUMMYFUNCTION("""COMPUTED_VALUE"""),44.73)</f>
        <v>44.73</v>
      </c>
      <c r="C49" s="3">
        <f ca="1">IFERROR(__xludf.DUMMYFUNCTION("""COMPUTED_VALUE"""),43535.6666666666)</f>
        <v>43535.666666666599</v>
      </c>
      <c r="D49" s="2">
        <f ca="1">IFERROR(__xludf.DUMMYFUNCTION("""COMPUTED_VALUE"""),112.83)</f>
        <v>112.83</v>
      </c>
      <c r="E49" s="3">
        <f ca="1">IFERROR(__xludf.DUMMYFUNCTION("""COMPUTED_VALUE"""),43535.6666666666)</f>
        <v>43535.666666666599</v>
      </c>
      <c r="F49" s="2">
        <f ca="1">IFERROR(__xludf.DUMMYFUNCTION("""COMPUTED_VALUE"""),1670.62)</f>
        <v>1670.62</v>
      </c>
      <c r="G49" s="3">
        <f ca="1">IFERROR(__xludf.DUMMYFUNCTION("""COMPUTED_VALUE"""),43535.6666666666)</f>
        <v>43535.666666666599</v>
      </c>
      <c r="H49" s="2">
        <f ca="1">IFERROR(__xludf.DUMMYFUNCTION("""COMPUTED_VALUE"""),1179.26)</f>
        <v>1179.26</v>
      </c>
      <c r="I49" s="3">
        <f ca="1">IFERROR(__xludf.DUMMYFUNCTION("""COMPUTED_VALUE"""),43535.6666666666)</f>
        <v>43535.666666666599</v>
      </c>
      <c r="J49" s="2">
        <f ca="1">IFERROR(__xludf.DUMMYFUNCTION("""COMPUTED_VALUE"""),1175.76)</f>
        <v>1175.76</v>
      </c>
      <c r="K49" s="3">
        <f ca="1">IFERROR(__xludf.DUMMYFUNCTION("""COMPUTED_VALUE"""),43535.6666666666)</f>
        <v>43535.666666666599</v>
      </c>
      <c r="L49" s="2">
        <f ca="1">IFERROR(__xludf.DUMMYFUNCTION("""COMPUTED_VALUE"""),172.07)</f>
        <v>172.07</v>
      </c>
      <c r="M49" s="3">
        <f ca="1">IFERROR(__xludf.DUMMYFUNCTION("""COMPUTED_VALUE"""),43535.6666666666)</f>
        <v>43535.666666666599</v>
      </c>
      <c r="N49" s="2">
        <f ca="1">IFERROR(__xludf.DUMMYFUNCTION("""COMPUTED_VALUE"""),58.18)</f>
        <v>58.18</v>
      </c>
      <c r="O49" s="3">
        <f ca="1">IFERROR(__xludf.DUMMYFUNCTION("""COMPUTED_VALUE"""),43535.6666666666)</f>
        <v>43535.666666666599</v>
      </c>
      <c r="P49" s="2">
        <f ca="1">IFERROR(__xludf.DUMMYFUNCTION("""COMPUTED_VALUE"""),40.28)</f>
        <v>40.28</v>
      </c>
      <c r="Q49" s="3">
        <f ca="1">IFERROR(__xludf.DUMMYFUNCTION("""COMPUTED_VALUE"""),43535.6666666666)</f>
        <v>43535.666666666599</v>
      </c>
      <c r="R49" s="2">
        <f ca="1">IFERROR(__xludf.DUMMYFUNCTION("""COMPUTED_VALUE"""),202.09)</f>
        <v>202.09</v>
      </c>
      <c r="S49" s="3">
        <f ca="1">IFERROR(__xludf.DUMMYFUNCTION("""COMPUTED_VALUE"""),43535.6666666666)</f>
        <v>43535.666666666599</v>
      </c>
      <c r="T49" s="2">
        <f ca="1">IFERROR(__xludf.DUMMYFUNCTION("""COMPUTED_VALUE"""),138.56)</f>
        <v>138.56</v>
      </c>
    </row>
    <row r="50" spans="1:20">
      <c r="A50" s="3">
        <f ca="1">IFERROR(__xludf.DUMMYFUNCTION("""COMPUTED_VALUE"""),43536.6666666666)</f>
        <v>43536.666666666599</v>
      </c>
      <c r="B50" s="2">
        <f ca="1">IFERROR(__xludf.DUMMYFUNCTION("""COMPUTED_VALUE"""),45.23)</f>
        <v>45.23</v>
      </c>
      <c r="C50" s="3">
        <f ca="1">IFERROR(__xludf.DUMMYFUNCTION("""COMPUTED_VALUE"""),43536.6666666666)</f>
        <v>43536.666666666599</v>
      </c>
      <c r="D50" s="2">
        <f ca="1">IFERROR(__xludf.DUMMYFUNCTION("""COMPUTED_VALUE"""),113.62)</f>
        <v>113.62</v>
      </c>
      <c r="E50" s="3">
        <f ca="1">IFERROR(__xludf.DUMMYFUNCTION("""COMPUTED_VALUE"""),43536.6666666666)</f>
        <v>43536.666666666599</v>
      </c>
      <c r="F50" s="2">
        <f ca="1">IFERROR(__xludf.DUMMYFUNCTION("""COMPUTED_VALUE"""),1673.1)</f>
        <v>1673.1</v>
      </c>
      <c r="G50" s="3">
        <f ca="1">IFERROR(__xludf.DUMMYFUNCTION("""COMPUTED_VALUE"""),43536.6666666666)</f>
        <v>43536.666666666599</v>
      </c>
      <c r="H50" s="2">
        <f ca="1">IFERROR(__xludf.DUMMYFUNCTION("""COMPUTED_VALUE"""),1197.25)</f>
        <v>1197.25</v>
      </c>
      <c r="I50" s="3">
        <f ca="1">IFERROR(__xludf.DUMMYFUNCTION("""COMPUTED_VALUE"""),43536.6666666666)</f>
        <v>43536.666666666599</v>
      </c>
      <c r="J50" s="2">
        <f ca="1">IFERROR(__xludf.DUMMYFUNCTION("""COMPUTED_VALUE"""),1193.2)</f>
        <v>1193.2</v>
      </c>
      <c r="K50" s="3">
        <f ca="1">IFERROR(__xludf.DUMMYFUNCTION("""COMPUTED_VALUE"""),43536.6666666666)</f>
        <v>43536.666666666599</v>
      </c>
      <c r="L50" s="2">
        <f ca="1">IFERROR(__xludf.DUMMYFUNCTION("""COMPUTED_VALUE"""),171.92)</f>
        <v>171.92</v>
      </c>
      <c r="M50" s="3">
        <f ca="1">IFERROR(__xludf.DUMMYFUNCTION("""COMPUTED_VALUE"""),43536.6666666666)</f>
        <v>43536.666666666599</v>
      </c>
      <c r="N50" s="2">
        <f ca="1">IFERROR(__xludf.DUMMYFUNCTION("""COMPUTED_VALUE"""),56.67)</f>
        <v>56.67</v>
      </c>
      <c r="O50" s="3">
        <f ca="1">IFERROR(__xludf.DUMMYFUNCTION("""COMPUTED_VALUE"""),43536.6666666666)</f>
        <v>43536.666666666599</v>
      </c>
      <c r="P50" s="2">
        <f ca="1">IFERROR(__xludf.DUMMYFUNCTION("""COMPUTED_VALUE"""),40.63)</f>
        <v>40.630000000000003</v>
      </c>
      <c r="Q50" s="3">
        <f ca="1">IFERROR(__xludf.DUMMYFUNCTION("""COMPUTED_VALUE"""),43536.6666666666)</f>
        <v>43536.666666666599</v>
      </c>
      <c r="R50" s="2">
        <f ca="1">IFERROR(__xludf.DUMMYFUNCTION("""COMPUTED_VALUE"""),202.5)</f>
        <v>202.5</v>
      </c>
      <c r="S50" s="3">
        <f ca="1">IFERROR(__xludf.DUMMYFUNCTION("""COMPUTED_VALUE"""),43536.6666666666)</f>
        <v>43536.666666666599</v>
      </c>
      <c r="T50" s="2">
        <f ca="1">IFERROR(__xludf.DUMMYFUNCTION("""COMPUTED_VALUE"""),139.18)</f>
        <v>139.18</v>
      </c>
    </row>
    <row r="51" spans="1:20">
      <c r="A51" s="3">
        <f ca="1">IFERROR(__xludf.DUMMYFUNCTION("""COMPUTED_VALUE"""),43537.6666666666)</f>
        <v>43537.666666666599</v>
      </c>
      <c r="B51" s="2">
        <f ca="1">IFERROR(__xludf.DUMMYFUNCTION("""COMPUTED_VALUE"""),45.43)</f>
        <v>45.43</v>
      </c>
      <c r="C51" s="3">
        <f ca="1">IFERROR(__xludf.DUMMYFUNCTION("""COMPUTED_VALUE"""),43537.6666666666)</f>
        <v>43537.666666666599</v>
      </c>
      <c r="D51" s="2">
        <f ca="1">IFERROR(__xludf.DUMMYFUNCTION("""COMPUTED_VALUE"""),114.5)</f>
        <v>114.5</v>
      </c>
      <c r="E51" s="3">
        <f ca="1">IFERROR(__xludf.DUMMYFUNCTION("""COMPUTED_VALUE"""),43537.6666666666)</f>
        <v>43537.666666666599</v>
      </c>
      <c r="F51" s="2">
        <f ca="1">IFERROR(__xludf.DUMMYFUNCTION("""COMPUTED_VALUE"""),1690.81)</f>
        <v>1690.81</v>
      </c>
      <c r="G51" s="3">
        <f ca="1">IFERROR(__xludf.DUMMYFUNCTION("""COMPUTED_VALUE"""),43537.6666666666)</f>
        <v>43537.666666666599</v>
      </c>
      <c r="H51" s="2">
        <f ca="1">IFERROR(__xludf.DUMMYFUNCTION("""COMPUTED_VALUE"""),1199.06)</f>
        <v>1199.06</v>
      </c>
      <c r="I51" s="3">
        <f ca="1">IFERROR(__xludf.DUMMYFUNCTION("""COMPUTED_VALUE"""),43537.6666666666)</f>
        <v>43537.666666666599</v>
      </c>
      <c r="J51" s="2">
        <f ca="1">IFERROR(__xludf.DUMMYFUNCTION("""COMPUTED_VALUE"""),1193.32)</f>
        <v>1193.32</v>
      </c>
      <c r="K51" s="3">
        <f ca="1">IFERROR(__xludf.DUMMYFUNCTION("""COMPUTED_VALUE"""),43537.6666666666)</f>
        <v>43537.666666666599</v>
      </c>
      <c r="L51" s="2">
        <f ca="1">IFERROR(__xludf.DUMMYFUNCTION("""COMPUTED_VALUE"""),173.37)</f>
        <v>173.37</v>
      </c>
      <c r="M51" s="3">
        <f ca="1">IFERROR(__xludf.DUMMYFUNCTION("""COMPUTED_VALUE"""),43537.6666666666)</f>
        <v>43537.666666666599</v>
      </c>
      <c r="N51" s="2">
        <f ca="1">IFERROR(__xludf.DUMMYFUNCTION("""COMPUTED_VALUE"""),57.79)</f>
        <v>57.79</v>
      </c>
      <c r="O51" s="3">
        <f ca="1">IFERROR(__xludf.DUMMYFUNCTION("""COMPUTED_VALUE"""),43537.6666666666)</f>
        <v>43537.666666666599</v>
      </c>
      <c r="P51" s="2">
        <f ca="1">IFERROR(__xludf.DUMMYFUNCTION("""COMPUTED_VALUE"""),42.16)</f>
        <v>42.16</v>
      </c>
      <c r="Q51" s="3">
        <f ca="1">IFERROR(__xludf.DUMMYFUNCTION("""COMPUTED_VALUE"""),43537.6666666666)</f>
        <v>43537.666666666599</v>
      </c>
      <c r="R51" s="2">
        <f ca="1">IFERROR(__xludf.DUMMYFUNCTION("""COMPUTED_VALUE"""),204.06)</f>
        <v>204.06</v>
      </c>
      <c r="S51" s="3">
        <f ca="1">IFERROR(__xludf.DUMMYFUNCTION("""COMPUTED_VALUE"""),43537.6666666666)</f>
        <v>43537.666666666599</v>
      </c>
      <c r="T51" s="2">
        <f ca="1">IFERROR(__xludf.DUMMYFUNCTION("""COMPUTED_VALUE"""),139.41)</f>
        <v>139.41</v>
      </c>
    </row>
    <row r="52" spans="1:20">
      <c r="A52" s="3">
        <f ca="1">IFERROR(__xludf.DUMMYFUNCTION("""COMPUTED_VALUE"""),43538.6666666666)</f>
        <v>43538.666666666599</v>
      </c>
      <c r="B52" s="2">
        <f ca="1">IFERROR(__xludf.DUMMYFUNCTION("""COMPUTED_VALUE"""),45.93)</f>
        <v>45.93</v>
      </c>
      <c r="C52" s="3">
        <f ca="1">IFERROR(__xludf.DUMMYFUNCTION("""COMPUTED_VALUE"""),43538.6666666666)</f>
        <v>43538.666666666599</v>
      </c>
      <c r="D52" s="2">
        <f ca="1">IFERROR(__xludf.DUMMYFUNCTION("""COMPUTED_VALUE"""),114.59)</f>
        <v>114.59</v>
      </c>
      <c r="E52" s="3">
        <f ca="1">IFERROR(__xludf.DUMMYFUNCTION("""COMPUTED_VALUE"""),43538.6666666666)</f>
        <v>43538.666666666599</v>
      </c>
      <c r="F52" s="2">
        <f ca="1">IFERROR(__xludf.DUMMYFUNCTION("""COMPUTED_VALUE"""),1686.22)</f>
        <v>1686.22</v>
      </c>
      <c r="G52" s="3">
        <f ca="1">IFERROR(__xludf.DUMMYFUNCTION("""COMPUTED_VALUE"""),43538.6666666666)</f>
        <v>43538.666666666599</v>
      </c>
      <c r="H52" s="2">
        <f ca="1">IFERROR(__xludf.DUMMYFUNCTION("""COMPUTED_VALUE"""),1192.53)</f>
        <v>1192.53</v>
      </c>
      <c r="I52" s="3">
        <f ca="1">IFERROR(__xludf.DUMMYFUNCTION("""COMPUTED_VALUE"""),43538.6666666666)</f>
        <v>43538.666666666599</v>
      </c>
      <c r="J52" s="2">
        <f ca="1">IFERROR(__xludf.DUMMYFUNCTION("""COMPUTED_VALUE"""),1185.55)</f>
        <v>1185.55</v>
      </c>
      <c r="K52" s="3">
        <f ca="1">IFERROR(__xludf.DUMMYFUNCTION("""COMPUTED_VALUE"""),43538.6666666666)</f>
        <v>43538.666666666599</v>
      </c>
      <c r="L52" s="2">
        <f ca="1">IFERROR(__xludf.DUMMYFUNCTION("""COMPUTED_VALUE"""),170.17)</f>
        <v>170.17</v>
      </c>
      <c r="M52" s="3">
        <f ca="1">IFERROR(__xludf.DUMMYFUNCTION("""COMPUTED_VALUE"""),43538.6666666666)</f>
        <v>43538.666666666599</v>
      </c>
      <c r="N52" s="2">
        <f ca="1">IFERROR(__xludf.DUMMYFUNCTION("""COMPUTED_VALUE"""),57.99)</f>
        <v>57.99</v>
      </c>
      <c r="O52" s="3">
        <f ca="1">IFERROR(__xludf.DUMMYFUNCTION("""COMPUTED_VALUE"""),43538.6666666666)</f>
        <v>43538.666666666599</v>
      </c>
      <c r="P52" s="2">
        <f ca="1">IFERROR(__xludf.DUMMYFUNCTION("""COMPUTED_VALUE"""),41.39)</f>
        <v>41.39</v>
      </c>
      <c r="Q52" s="3">
        <f ca="1">IFERROR(__xludf.DUMMYFUNCTION("""COMPUTED_VALUE"""),43538.6666666666)</f>
        <v>43538.666666666599</v>
      </c>
      <c r="R52" s="2">
        <f ca="1">IFERROR(__xludf.DUMMYFUNCTION("""COMPUTED_VALUE"""),203.38)</f>
        <v>203.38</v>
      </c>
      <c r="S52" s="3">
        <f ca="1">IFERROR(__xludf.DUMMYFUNCTION("""COMPUTED_VALUE"""),43538.6666666666)</f>
        <v>43538.666666666599</v>
      </c>
      <c r="T52" s="2">
        <f ca="1">IFERROR(__xludf.DUMMYFUNCTION("""COMPUTED_VALUE"""),138.02)</f>
        <v>138.02000000000001</v>
      </c>
    </row>
    <row r="53" spans="1:20">
      <c r="A53" s="3">
        <f ca="1">IFERROR(__xludf.DUMMYFUNCTION("""COMPUTED_VALUE"""),43539.6666666666)</f>
        <v>43539.666666666599</v>
      </c>
      <c r="B53" s="2">
        <f ca="1">IFERROR(__xludf.DUMMYFUNCTION("""COMPUTED_VALUE"""),46.53)</f>
        <v>46.53</v>
      </c>
      <c r="C53" s="3">
        <f ca="1">IFERROR(__xludf.DUMMYFUNCTION("""COMPUTED_VALUE"""),43539.6666666666)</f>
        <v>43539.666666666599</v>
      </c>
      <c r="D53" s="2">
        <f ca="1">IFERROR(__xludf.DUMMYFUNCTION("""COMPUTED_VALUE"""),115.91)</f>
        <v>115.91</v>
      </c>
      <c r="E53" s="3">
        <f ca="1">IFERROR(__xludf.DUMMYFUNCTION("""COMPUTED_VALUE"""),43539.6666666666)</f>
        <v>43539.666666666599</v>
      </c>
      <c r="F53" s="2">
        <f ca="1">IFERROR(__xludf.DUMMYFUNCTION("""COMPUTED_VALUE"""),1712.36)</f>
        <v>1712.36</v>
      </c>
      <c r="G53" s="3">
        <f ca="1">IFERROR(__xludf.DUMMYFUNCTION("""COMPUTED_VALUE"""),43539.6666666666)</f>
        <v>43539.666666666599</v>
      </c>
      <c r="H53" s="2">
        <f ca="1">IFERROR(__xludf.DUMMYFUNCTION("""COMPUTED_VALUE"""),1190.3)</f>
        <v>1190.3</v>
      </c>
      <c r="I53" s="3">
        <f ca="1">IFERROR(__xludf.DUMMYFUNCTION("""COMPUTED_VALUE"""),43539.6666666666)</f>
        <v>43539.666666666599</v>
      </c>
      <c r="J53" s="2">
        <f ca="1">IFERROR(__xludf.DUMMYFUNCTION("""COMPUTED_VALUE"""),1184.46)</f>
        <v>1184.46</v>
      </c>
      <c r="K53" s="3">
        <f ca="1">IFERROR(__xludf.DUMMYFUNCTION("""COMPUTED_VALUE"""),43539.6666666666)</f>
        <v>43539.666666666599</v>
      </c>
      <c r="L53" s="2">
        <f ca="1">IFERROR(__xludf.DUMMYFUNCTION("""COMPUTED_VALUE"""),165.98)</f>
        <v>165.98</v>
      </c>
      <c r="M53" s="3">
        <f ca="1">IFERROR(__xludf.DUMMYFUNCTION("""COMPUTED_VALUE"""),43539.6666666666)</f>
        <v>43539.666666666599</v>
      </c>
      <c r="N53" s="2">
        <f ca="1">IFERROR(__xludf.DUMMYFUNCTION("""COMPUTED_VALUE"""),55.09)</f>
        <v>55.09</v>
      </c>
      <c r="O53" s="3">
        <f ca="1">IFERROR(__xludf.DUMMYFUNCTION("""COMPUTED_VALUE"""),43539.6666666666)</f>
        <v>43539.666666666599</v>
      </c>
      <c r="P53" s="2">
        <f ca="1">IFERROR(__xludf.DUMMYFUNCTION("""COMPUTED_VALUE"""),42.45)</f>
        <v>42.45</v>
      </c>
      <c r="Q53" s="3">
        <f ca="1">IFERROR(__xludf.DUMMYFUNCTION("""COMPUTED_VALUE"""),43539.6666666666)</f>
        <v>43539.666666666599</v>
      </c>
      <c r="R53" s="2">
        <f ca="1">IFERROR(__xludf.DUMMYFUNCTION("""COMPUTED_VALUE"""),204.31)</f>
        <v>204.31</v>
      </c>
      <c r="S53" s="3">
        <f ca="1">IFERROR(__xludf.DUMMYFUNCTION("""COMPUTED_VALUE"""),43539.6666666666)</f>
        <v>43539.666666666599</v>
      </c>
      <c r="T53" s="2">
        <f ca="1">IFERROR(__xludf.DUMMYFUNCTION("""COMPUTED_VALUE"""),137.6)</f>
        <v>137.6</v>
      </c>
    </row>
    <row r="54" spans="1:20">
      <c r="A54" s="3">
        <f ca="1">IFERROR(__xludf.DUMMYFUNCTION("""COMPUTED_VALUE"""),43542.6666666666)</f>
        <v>43542.666666666599</v>
      </c>
      <c r="B54" s="2">
        <f ca="1">IFERROR(__xludf.DUMMYFUNCTION("""COMPUTED_VALUE"""),47.01)</f>
        <v>47.01</v>
      </c>
      <c r="C54" s="3">
        <f ca="1">IFERROR(__xludf.DUMMYFUNCTION("""COMPUTED_VALUE"""),43542.6666666666)</f>
        <v>43542.666666666599</v>
      </c>
      <c r="D54" s="2">
        <f ca="1">IFERROR(__xludf.DUMMYFUNCTION("""COMPUTED_VALUE"""),117.57)</f>
        <v>117.57</v>
      </c>
      <c r="E54" s="3">
        <f ca="1">IFERROR(__xludf.DUMMYFUNCTION("""COMPUTED_VALUE"""),43542.6666666666)</f>
        <v>43542.666666666599</v>
      </c>
      <c r="F54" s="2">
        <f ca="1">IFERROR(__xludf.DUMMYFUNCTION("""COMPUTED_VALUE"""),1742.15)</f>
        <v>1742.15</v>
      </c>
      <c r="G54" s="3">
        <f ca="1">IFERROR(__xludf.DUMMYFUNCTION("""COMPUTED_VALUE"""),43542.6666666666)</f>
        <v>43542.666666666599</v>
      </c>
      <c r="H54" s="2">
        <f ca="1">IFERROR(__xludf.DUMMYFUNCTION("""COMPUTED_VALUE"""),1188.55)</f>
        <v>1188.55</v>
      </c>
      <c r="I54" s="3">
        <f ca="1">IFERROR(__xludf.DUMMYFUNCTION("""COMPUTED_VALUE"""),43542.6666666666)</f>
        <v>43542.666666666599</v>
      </c>
      <c r="J54" s="2">
        <f ca="1">IFERROR(__xludf.DUMMYFUNCTION("""COMPUTED_VALUE"""),1184.26)</f>
        <v>1184.26</v>
      </c>
      <c r="K54" s="3">
        <f ca="1">IFERROR(__xludf.DUMMYFUNCTION("""COMPUTED_VALUE"""),43542.6666666666)</f>
        <v>43542.666666666599</v>
      </c>
      <c r="L54" s="2">
        <f ca="1">IFERROR(__xludf.DUMMYFUNCTION("""COMPUTED_VALUE"""),160.47)</f>
        <v>160.47</v>
      </c>
      <c r="M54" s="3">
        <f ca="1">IFERROR(__xludf.DUMMYFUNCTION("""COMPUTED_VALUE"""),43542.6666666666)</f>
        <v>43542.666666666599</v>
      </c>
      <c r="N54" s="2">
        <f ca="1">IFERROR(__xludf.DUMMYFUNCTION("""COMPUTED_VALUE"""),53.9)</f>
        <v>53.9</v>
      </c>
      <c r="O54" s="3">
        <f ca="1">IFERROR(__xludf.DUMMYFUNCTION("""COMPUTED_VALUE"""),43542.6666666666)</f>
        <v>43542.666666666599</v>
      </c>
      <c r="P54" s="2">
        <f ca="1">IFERROR(__xludf.DUMMYFUNCTION("""COMPUTED_VALUE"""),42.24)</f>
        <v>42.24</v>
      </c>
      <c r="Q54" s="3">
        <f ca="1">IFERROR(__xludf.DUMMYFUNCTION("""COMPUTED_VALUE"""),43542.6666666666)</f>
        <v>43542.666666666599</v>
      </c>
      <c r="R54" s="2">
        <f ca="1">IFERROR(__xludf.DUMMYFUNCTION("""COMPUTED_VALUE"""),206.68)</f>
        <v>206.68</v>
      </c>
      <c r="S54" s="3">
        <f ca="1">IFERROR(__xludf.DUMMYFUNCTION("""COMPUTED_VALUE"""),43542.6666666666)</f>
        <v>43542.666666666599</v>
      </c>
      <c r="T54" s="2">
        <f ca="1">IFERROR(__xludf.DUMMYFUNCTION("""COMPUTED_VALUE"""),137.17)</f>
        <v>137.16999999999999</v>
      </c>
    </row>
    <row r="55" spans="1:20">
      <c r="A55" s="3">
        <f ca="1">IFERROR(__xludf.DUMMYFUNCTION("""COMPUTED_VALUE"""),43543.6666666666)</f>
        <v>43543.666666666599</v>
      </c>
      <c r="B55" s="2">
        <f ca="1">IFERROR(__xludf.DUMMYFUNCTION("""COMPUTED_VALUE"""),46.63)</f>
        <v>46.63</v>
      </c>
      <c r="C55" s="3">
        <f ca="1">IFERROR(__xludf.DUMMYFUNCTION("""COMPUTED_VALUE"""),43543.6666666666)</f>
        <v>43543.666666666599</v>
      </c>
      <c r="D55" s="2">
        <f ca="1">IFERROR(__xludf.DUMMYFUNCTION("""COMPUTED_VALUE"""),117.65)</f>
        <v>117.65</v>
      </c>
      <c r="E55" s="3">
        <f ca="1">IFERROR(__xludf.DUMMYFUNCTION("""COMPUTED_VALUE"""),43543.6666666666)</f>
        <v>43543.666666666599</v>
      </c>
      <c r="F55" s="2">
        <f ca="1">IFERROR(__xludf.DUMMYFUNCTION("""COMPUTED_VALUE"""),1761.85)</f>
        <v>1761.85</v>
      </c>
      <c r="G55" s="3">
        <f ca="1">IFERROR(__xludf.DUMMYFUNCTION("""COMPUTED_VALUE"""),43543.6666666666)</f>
        <v>43543.666666666599</v>
      </c>
      <c r="H55" s="2">
        <f ca="1">IFERROR(__xludf.DUMMYFUNCTION("""COMPUTED_VALUE"""),1202.46)</f>
        <v>1202.46</v>
      </c>
      <c r="I55" s="3">
        <f ca="1">IFERROR(__xludf.DUMMYFUNCTION("""COMPUTED_VALUE"""),43543.6666666666)</f>
        <v>43543.666666666599</v>
      </c>
      <c r="J55" s="2">
        <f ca="1">IFERROR(__xludf.DUMMYFUNCTION("""COMPUTED_VALUE"""),1198.85)</f>
        <v>1198.8499999999999</v>
      </c>
      <c r="K55" s="3">
        <f ca="1">IFERROR(__xludf.DUMMYFUNCTION("""COMPUTED_VALUE"""),43543.6666666666)</f>
        <v>43543.666666666599</v>
      </c>
      <c r="L55" s="2">
        <f ca="1">IFERROR(__xludf.DUMMYFUNCTION("""COMPUTED_VALUE"""),161.57)</f>
        <v>161.57</v>
      </c>
      <c r="M55" s="3">
        <f ca="1">IFERROR(__xludf.DUMMYFUNCTION("""COMPUTED_VALUE"""),43543.6666666666)</f>
        <v>43543.666666666599</v>
      </c>
      <c r="N55" s="2">
        <f ca="1">IFERROR(__xludf.DUMMYFUNCTION("""COMPUTED_VALUE"""),53.49)</f>
        <v>53.49</v>
      </c>
      <c r="O55" s="3">
        <f ca="1">IFERROR(__xludf.DUMMYFUNCTION("""COMPUTED_VALUE"""),43543.6666666666)</f>
        <v>43543.666666666599</v>
      </c>
      <c r="P55" s="2">
        <f ca="1">IFERROR(__xludf.DUMMYFUNCTION("""COMPUTED_VALUE"""),43.93)</f>
        <v>43.93</v>
      </c>
      <c r="Q55" s="3">
        <f ca="1">IFERROR(__xludf.DUMMYFUNCTION("""COMPUTED_VALUE"""),43543.6666666666)</f>
        <v>43543.666666666599</v>
      </c>
      <c r="R55" s="2">
        <f ca="1">IFERROR(__xludf.DUMMYFUNCTION("""COMPUTED_VALUE"""),205.15)</f>
        <v>205.15</v>
      </c>
      <c r="S55" s="3">
        <f ca="1">IFERROR(__xludf.DUMMYFUNCTION("""COMPUTED_VALUE"""),43543.6666666666)</f>
        <v>43543.666666666599</v>
      </c>
      <c r="T55" s="2">
        <f ca="1">IFERROR(__xludf.DUMMYFUNCTION("""COMPUTED_VALUE"""),138.44)</f>
        <v>138.44</v>
      </c>
    </row>
    <row r="56" spans="1:20">
      <c r="A56" s="3">
        <f ca="1">IFERROR(__xludf.DUMMYFUNCTION("""COMPUTED_VALUE"""),43544.6666666666)</f>
        <v>43544.666666666599</v>
      </c>
      <c r="B56" s="2">
        <f ca="1">IFERROR(__xludf.DUMMYFUNCTION("""COMPUTED_VALUE"""),47.04)</f>
        <v>47.04</v>
      </c>
      <c r="C56" s="3">
        <f ca="1">IFERROR(__xludf.DUMMYFUNCTION("""COMPUTED_VALUE"""),43544.6666666666)</f>
        <v>43544.666666666599</v>
      </c>
      <c r="D56" s="2">
        <f ca="1">IFERROR(__xludf.DUMMYFUNCTION("""COMPUTED_VALUE"""),117.52)</f>
        <v>117.52</v>
      </c>
      <c r="E56" s="3">
        <f ca="1">IFERROR(__xludf.DUMMYFUNCTION("""COMPUTED_VALUE"""),43544.6666666666)</f>
        <v>43544.666666666599</v>
      </c>
      <c r="F56" s="2">
        <f ca="1">IFERROR(__xludf.DUMMYFUNCTION("""COMPUTED_VALUE"""),1797.27)</f>
        <v>1797.27</v>
      </c>
      <c r="G56" s="3">
        <f ca="1">IFERROR(__xludf.DUMMYFUNCTION("""COMPUTED_VALUE"""),43544.6666666666)</f>
        <v>43544.666666666599</v>
      </c>
      <c r="H56" s="2">
        <f ca="1">IFERROR(__xludf.DUMMYFUNCTION("""COMPUTED_VALUE"""),1226.43)</f>
        <v>1226.43</v>
      </c>
      <c r="I56" s="3">
        <f ca="1">IFERROR(__xludf.DUMMYFUNCTION("""COMPUTED_VALUE"""),43544.6666666666)</f>
        <v>43544.666666666599</v>
      </c>
      <c r="J56" s="2">
        <f ca="1">IFERROR(__xludf.DUMMYFUNCTION("""COMPUTED_VALUE"""),1223.97)</f>
        <v>1223.97</v>
      </c>
      <c r="K56" s="3">
        <f ca="1">IFERROR(__xludf.DUMMYFUNCTION("""COMPUTED_VALUE"""),43544.6666666666)</f>
        <v>43544.666666666599</v>
      </c>
      <c r="L56" s="2">
        <f ca="1">IFERROR(__xludf.DUMMYFUNCTION("""COMPUTED_VALUE"""),165.44)</f>
        <v>165.44</v>
      </c>
      <c r="M56" s="3">
        <f ca="1">IFERROR(__xludf.DUMMYFUNCTION("""COMPUTED_VALUE"""),43544.6666666666)</f>
        <v>43544.666666666599</v>
      </c>
      <c r="N56" s="2">
        <f ca="1">IFERROR(__xludf.DUMMYFUNCTION("""COMPUTED_VALUE"""),54.72)</f>
        <v>54.72</v>
      </c>
      <c r="O56" s="3">
        <f ca="1">IFERROR(__xludf.DUMMYFUNCTION("""COMPUTED_VALUE"""),43544.6666666666)</f>
        <v>43544.666666666599</v>
      </c>
      <c r="P56" s="2">
        <f ca="1">IFERROR(__xludf.DUMMYFUNCTION("""COMPUTED_VALUE"""),43.6)</f>
        <v>43.6</v>
      </c>
      <c r="Q56" s="3">
        <f ca="1">IFERROR(__xludf.DUMMYFUNCTION("""COMPUTED_VALUE"""),43544.6666666666)</f>
        <v>43544.666666666599</v>
      </c>
      <c r="R56" s="2">
        <f ca="1">IFERROR(__xludf.DUMMYFUNCTION("""COMPUTED_VALUE"""),203.27)</f>
        <v>203.27</v>
      </c>
      <c r="S56" s="3">
        <f ca="1">IFERROR(__xludf.DUMMYFUNCTION("""COMPUTED_VALUE"""),43544.6666666666)</f>
        <v>43544.666666666599</v>
      </c>
      <c r="T56" s="2">
        <f ca="1">IFERROR(__xludf.DUMMYFUNCTION("""COMPUTED_VALUE"""),137.29)</f>
        <v>137.29</v>
      </c>
    </row>
    <row r="57" spans="1:20">
      <c r="A57" s="3">
        <f ca="1">IFERROR(__xludf.DUMMYFUNCTION("""COMPUTED_VALUE"""),43545.6666666666)</f>
        <v>43545.666666666599</v>
      </c>
      <c r="B57" s="2">
        <f ca="1">IFERROR(__xludf.DUMMYFUNCTION("""COMPUTED_VALUE"""),48.77)</f>
        <v>48.77</v>
      </c>
      <c r="C57" s="3">
        <f ca="1">IFERROR(__xludf.DUMMYFUNCTION("""COMPUTED_VALUE"""),43545.6666666666)</f>
        <v>43545.666666666599</v>
      </c>
      <c r="D57" s="2">
        <f ca="1">IFERROR(__xludf.DUMMYFUNCTION("""COMPUTED_VALUE"""),120.22)</f>
        <v>120.22</v>
      </c>
      <c r="E57" s="3">
        <f ca="1">IFERROR(__xludf.DUMMYFUNCTION("""COMPUTED_VALUE"""),43545.6666666666)</f>
        <v>43545.666666666599</v>
      </c>
      <c r="F57" s="2">
        <f ca="1">IFERROR(__xludf.DUMMYFUNCTION("""COMPUTED_VALUE"""),1819.26)</f>
        <v>1819.26</v>
      </c>
      <c r="G57" s="3">
        <f ca="1">IFERROR(__xludf.DUMMYFUNCTION("""COMPUTED_VALUE"""),43545.6666666666)</f>
        <v>43545.666666666599</v>
      </c>
      <c r="H57" s="2">
        <f ca="1">IFERROR(__xludf.DUMMYFUNCTION("""COMPUTED_VALUE"""),1236.13)</f>
        <v>1236.1300000000001</v>
      </c>
      <c r="I57" s="3">
        <f ca="1">IFERROR(__xludf.DUMMYFUNCTION("""COMPUTED_VALUE"""),43545.6666666666)</f>
        <v>43545.666666666599</v>
      </c>
      <c r="J57" s="2">
        <f ca="1">IFERROR(__xludf.DUMMYFUNCTION("""COMPUTED_VALUE"""),1231.54)</f>
        <v>1231.54</v>
      </c>
      <c r="K57" s="3">
        <f ca="1">IFERROR(__xludf.DUMMYFUNCTION("""COMPUTED_VALUE"""),43545.6666666666)</f>
        <v>43545.666666666599</v>
      </c>
      <c r="L57" s="2">
        <f ca="1">IFERROR(__xludf.DUMMYFUNCTION("""COMPUTED_VALUE"""),166.08)</f>
        <v>166.08</v>
      </c>
      <c r="M57" s="3">
        <f ca="1">IFERROR(__xludf.DUMMYFUNCTION("""COMPUTED_VALUE"""),43545.6666666666)</f>
        <v>43545.666666666599</v>
      </c>
      <c r="N57" s="2">
        <f ca="1">IFERROR(__xludf.DUMMYFUNCTION("""COMPUTED_VALUE"""),54.8)</f>
        <v>54.8</v>
      </c>
      <c r="O57" s="3">
        <f ca="1">IFERROR(__xludf.DUMMYFUNCTION("""COMPUTED_VALUE"""),43545.6666666666)</f>
        <v>43545.666666666599</v>
      </c>
      <c r="P57" s="2">
        <f ca="1">IFERROR(__xludf.DUMMYFUNCTION("""COMPUTED_VALUE"""),45.99)</f>
        <v>45.99</v>
      </c>
      <c r="Q57" s="3">
        <f ca="1">IFERROR(__xludf.DUMMYFUNCTION("""COMPUTED_VALUE"""),43545.6666666666)</f>
        <v>43545.666666666599</v>
      </c>
      <c r="R57" s="2">
        <f ca="1">IFERROR(__xludf.DUMMYFUNCTION("""COMPUTED_VALUE"""),204.43)</f>
        <v>204.43</v>
      </c>
      <c r="S57" s="3">
        <f ca="1">IFERROR(__xludf.DUMMYFUNCTION("""COMPUTED_VALUE"""),43545.6666666666)</f>
        <v>43545.666666666599</v>
      </c>
      <c r="T57" s="2">
        <f ca="1">IFERROR(__xludf.DUMMYFUNCTION("""COMPUTED_VALUE"""),138.1)</f>
        <v>138.1</v>
      </c>
    </row>
    <row r="58" spans="1:20">
      <c r="A58" s="3">
        <f ca="1">IFERROR(__xludf.DUMMYFUNCTION("""COMPUTED_VALUE"""),43546.6666666666)</f>
        <v>43546.666666666599</v>
      </c>
      <c r="B58" s="2">
        <f ca="1">IFERROR(__xludf.DUMMYFUNCTION("""COMPUTED_VALUE"""),47.76)</f>
        <v>47.76</v>
      </c>
      <c r="C58" s="3">
        <f ca="1">IFERROR(__xludf.DUMMYFUNCTION("""COMPUTED_VALUE"""),43546.6666666666)</f>
        <v>43546.666666666599</v>
      </c>
      <c r="D58" s="2">
        <f ca="1">IFERROR(__xludf.DUMMYFUNCTION("""COMPUTED_VALUE"""),117.05)</f>
        <v>117.05</v>
      </c>
      <c r="E58" s="3">
        <f ca="1">IFERROR(__xludf.DUMMYFUNCTION("""COMPUTED_VALUE"""),43546.6666666666)</f>
        <v>43546.666666666599</v>
      </c>
      <c r="F58" s="2">
        <f ca="1">IFERROR(__xludf.DUMMYFUNCTION("""COMPUTED_VALUE"""),1764.77)</f>
        <v>1764.77</v>
      </c>
      <c r="G58" s="3">
        <f ca="1">IFERROR(__xludf.DUMMYFUNCTION("""COMPUTED_VALUE"""),43546.6666666666)</f>
        <v>43546.666666666599</v>
      </c>
      <c r="H58" s="2">
        <f ca="1">IFERROR(__xludf.DUMMYFUNCTION("""COMPUTED_VALUE"""),1207.65)</f>
        <v>1207.6500000000001</v>
      </c>
      <c r="I58" s="3">
        <f ca="1">IFERROR(__xludf.DUMMYFUNCTION("""COMPUTED_VALUE"""),43546.6666666666)</f>
        <v>43546.666666666599</v>
      </c>
      <c r="J58" s="2">
        <f ca="1">IFERROR(__xludf.DUMMYFUNCTION("""COMPUTED_VALUE"""),1205.5)</f>
        <v>1205.5</v>
      </c>
      <c r="K58" s="3">
        <f ca="1">IFERROR(__xludf.DUMMYFUNCTION("""COMPUTED_VALUE"""),43546.6666666666)</f>
        <v>43546.666666666599</v>
      </c>
      <c r="L58" s="2">
        <f ca="1">IFERROR(__xludf.DUMMYFUNCTION("""COMPUTED_VALUE"""),164.34)</f>
        <v>164.34</v>
      </c>
      <c r="M58" s="3">
        <f ca="1">IFERROR(__xludf.DUMMYFUNCTION("""COMPUTED_VALUE"""),43546.6666666666)</f>
        <v>43546.666666666599</v>
      </c>
      <c r="N58" s="2">
        <f ca="1">IFERROR(__xludf.DUMMYFUNCTION("""COMPUTED_VALUE"""),52.91)</f>
        <v>52.91</v>
      </c>
      <c r="O58" s="3">
        <f ca="1">IFERROR(__xludf.DUMMYFUNCTION("""COMPUTED_VALUE"""),43546.6666666666)</f>
        <v>43546.666666666599</v>
      </c>
      <c r="P58" s="2">
        <f ca="1">IFERROR(__xludf.DUMMYFUNCTION("""COMPUTED_VALUE"""),44.38)</f>
        <v>44.38</v>
      </c>
      <c r="Q58" s="3">
        <f ca="1">IFERROR(__xludf.DUMMYFUNCTION("""COMPUTED_VALUE"""),43546.6666666666)</f>
        <v>43546.666666666599</v>
      </c>
      <c r="R58" s="2">
        <f ca="1">IFERROR(__xludf.DUMMYFUNCTION("""COMPUTED_VALUE"""),200.55)</f>
        <v>200.55</v>
      </c>
      <c r="S58" s="3">
        <f ca="1">IFERROR(__xludf.DUMMYFUNCTION("""COMPUTED_VALUE"""),43546.6666666666)</f>
        <v>43546.666666666599</v>
      </c>
      <c r="T58" s="2">
        <f ca="1">IFERROR(__xludf.DUMMYFUNCTION("""COMPUTED_VALUE"""),136.91)</f>
        <v>136.91</v>
      </c>
    </row>
    <row r="59" spans="1:20">
      <c r="A59" s="3">
        <f ca="1">IFERROR(__xludf.DUMMYFUNCTION("""COMPUTED_VALUE"""),43549.6666666666)</f>
        <v>43549.666666666599</v>
      </c>
      <c r="B59" s="2">
        <f ca="1">IFERROR(__xludf.DUMMYFUNCTION("""COMPUTED_VALUE"""),47.19)</f>
        <v>47.19</v>
      </c>
      <c r="C59" s="3">
        <f ca="1">IFERROR(__xludf.DUMMYFUNCTION("""COMPUTED_VALUE"""),43549.6666666666)</f>
        <v>43549.666666666599</v>
      </c>
      <c r="D59" s="2">
        <f ca="1">IFERROR(__xludf.DUMMYFUNCTION("""COMPUTED_VALUE"""),117.66)</f>
        <v>117.66</v>
      </c>
      <c r="E59" s="3">
        <f ca="1">IFERROR(__xludf.DUMMYFUNCTION("""COMPUTED_VALUE"""),43549.6666666666)</f>
        <v>43549.666666666599</v>
      </c>
      <c r="F59" s="2">
        <f ca="1">IFERROR(__xludf.DUMMYFUNCTION("""COMPUTED_VALUE"""),1774.26)</f>
        <v>1774.26</v>
      </c>
      <c r="G59" s="3">
        <f ca="1">IFERROR(__xludf.DUMMYFUNCTION("""COMPUTED_VALUE"""),43549.6666666666)</f>
        <v>43549.666666666599</v>
      </c>
      <c r="H59" s="2">
        <f ca="1">IFERROR(__xludf.DUMMYFUNCTION("""COMPUTED_VALUE"""),1197.38)</f>
        <v>1197.3800000000001</v>
      </c>
      <c r="I59" s="3">
        <f ca="1">IFERROR(__xludf.DUMMYFUNCTION("""COMPUTED_VALUE"""),43549.6666666666)</f>
        <v>43549.666666666599</v>
      </c>
      <c r="J59" s="2">
        <f ca="1">IFERROR(__xludf.DUMMYFUNCTION("""COMPUTED_VALUE"""),1193)</f>
        <v>1193</v>
      </c>
      <c r="K59" s="3">
        <f ca="1">IFERROR(__xludf.DUMMYFUNCTION("""COMPUTED_VALUE"""),43549.6666666666)</f>
        <v>43549.666666666599</v>
      </c>
      <c r="L59" s="2">
        <f ca="1">IFERROR(__xludf.DUMMYFUNCTION("""COMPUTED_VALUE"""),166.29)</f>
        <v>166.29</v>
      </c>
      <c r="M59" s="3">
        <f ca="1">IFERROR(__xludf.DUMMYFUNCTION("""COMPUTED_VALUE"""),43549.6666666666)</f>
        <v>43549.666666666599</v>
      </c>
      <c r="N59" s="2">
        <f ca="1">IFERROR(__xludf.DUMMYFUNCTION("""COMPUTED_VALUE"""),52.08)</f>
        <v>52.08</v>
      </c>
      <c r="O59" s="3">
        <f ca="1">IFERROR(__xludf.DUMMYFUNCTION("""COMPUTED_VALUE"""),43549.6666666666)</f>
        <v>43549.666666666599</v>
      </c>
      <c r="P59" s="2">
        <f ca="1">IFERROR(__xludf.DUMMYFUNCTION("""COMPUTED_VALUE"""),43.45)</f>
        <v>43.45</v>
      </c>
      <c r="Q59" s="3">
        <f ca="1">IFERROR(__xludf.DUMMYFUNCTION("""COMPUTED_VALUE"""),43549.6666666666)</f>
        <v>43549.666666666599</v>
      </c>
      <c r="R59" s="2">
        <f ca="1">IFERROR(__xludf.DUMMYFUNCTION("""COMPUTED_VALUE"""),199.44)</f>
        <v>199.44</v>
      </c>
      <c r="S59" s="3">
        <f ca="1">IFERROR(__xludf.DUMMYFUNCTION("""COMPUTED_VALUE"""),43549.6666666666)</f>
        <v>43549.666666666599</v>
      </c>
      <c r="T59" s="2">
        <f ca="1">IFERROR(__xludf.DUMMYFUNCTION("""COMPUTED_VALUE"""),136.61)</f>
        <v>136.61000000000001</v>
      </c>
    </row>
    <row r="60" spans="1:20">
      <c r="A60" s="3">
        <f ca="1">IFERROR(__xludf.DUMMYFUNCTION("""COMPUTED_VALUE"""),43550.6666666666)</f>
        <v>43550.666666666599</v>
      </c>
      <c r="B60" s="2">
        <f ca="1">IFERROR(__xludf.DUMMYFUNCTION("""COMPUTED_VALUE"""),46.7)</f>
        <v>46.7</v>
      </c>
      <c r="C60" s="3">
        <f ca="1">IFERROR(__xludf.DUMMYFUNCTION("""COMPUTED_VALUE"""),43550.6666666666)</f>
        <v>43550.666666666599</v>
      </c>
      <c r="D60" s="2">
        <f ca="1">IFERROR(__xludf.DUMMYFUNCTION("""COMPUTED_VALUE"""),117.91)</f>
        <v>117.91</v>
      </c>
      <c r="E60" s="3">
        <f ca="1">IFERROR(__xludf.DUMMYFUNCTION("""COMPUTED_VALUE"""),43550.6666666666)</f>
        <v>43550.666666666599</v>
      </c>
      <c r="F60" s="2">
        <f ca="1">IFERROR(__xludf.DUMMYFUNCTION("""COMPUTED_VALUE"""),1783.76)</f>
        <v>1783.76</v>
      </c>
      <c r="G60" s="3">
        <f ca="1">IFERROR(__xludf.DUMMYFUNCTION("""COMPUTED_VALUE"""),43550.6666666666)</f>
        <v>43550.666666666599</v>
      </c>
      <c r="H60" s="2">
        <f ca="1">IFERROR(__xludf.DUMMYFUNCTION("""COMPUTED_VALUE"""),1189.84)</f>
        <v>1189.8399999999999</v>
      </c>
      <c r="I60" s="3">
        <f ca="1">IFERROR(__xludf.DUMMYFUNCTION("""COMPUTED_VALUE"""),43550.6666666666)</f>
        <v>43550.666666666599</v>
      </c>
      <c r="J60" s="2">
        <f ca="1">IFERROR(__xludf.DUMMYFUNCTION("""COMPUTED_VALUE"""),1184.62)</f>
        <v>1184.6199999999999</v>
      </c>
      <c r="K60" s="3">
        <f ca="1">IFERROR(__xludf.DUMMYFUNCTION("""COMPUTED_VALUE"""),43550.6666666666)</f>
        <v>43550.666666666599</v>
      </c>
      <c r="L60" s="2">
        <f ca="1">IFERROR(__xludf.DUMMYFUNCTION("""COMPUTED_VALUE"""),167.68)</f>
        <v>167.68</v>
      </c>
      <c r="M60" s="3">
        <f ca="1">IFERROR(__xludf.DUMMYFUNCTION("""COMPUTED_VALUE"""),43550.6666666666)</f>
        <v>43550.666666666599</v>
      </c>
      <c r="N60" s="2">
        <f ca="1">IFERROR(__xludf.DUMMYFUNCTION("""COMPUTED_VALUE"""),53.55)</f>
        <v>53.55</v>
      </c>
      <c r="O60" s="3">
        <f ca="1">IFERROR(__xludf.DUMMYFUNCTION("""COMPUTED_VALUE"""),43550.6666666666)</f>
        <v>43550.666666666599</v>
      </c>
      <c r="P60" s="2">
        <f ca="1">IFERROR(__xludf.DUMMYFUNCTION("""COMPUTED_VALUE"""),44.22)</f>
        <v>44.22</v>
      </c>
      <c r="Q60" s="3">
        <f ca="1">IFERROR(__xludf.DUMMYFUNCTION("""COMPUTED_VALUE"""),43550.6666666666)</f>
        <v>43550.666666666599</v>
      </c>
      <c r="R60" s="2">
        <f ca="1">IFERROR(__xludf.DUMMYFUNCTION("""COMPUTED_VALUE"""),200.62)</f>
        <v>200.62</v>
      </c>
      <c r="S60" s="3">
        <f ca="1">IFERROR(__xludf.DUMMYFUNCTION("""COMPUTED_VALUE"""),43550.6666666666)</f>
        <v>43550.666666666599</v>
      </c>
      <c r="T60" s="2">
        <f ca="1">IFERROR(__xludf.DUMMYFUNCTION("""COMPUTED_VALUE"""),138.57)</f>
        <v>138.57</v>
      </c>
    </row>
    <row r="61" spans="1:20">
      <c r="A61" s="3">
        <f ca="1">IFERROR(__xludf.DUMMYFUNCTION("""COMPUTED_VALUE"""),43551.6666666666)</f>
        <v>43551.666666666599</v>
      </c>
      <c r="B61" s="2">
        <f ca="1">IFERROR(__xludf.DUMMYFUNCTION("""COMPUTED_VALUE"""),47.12)</f>
        <v>47.12</v>
      </c>
      <c r="C61" s="3">
        <f ca="1">IFERROR(__xludf.DUMMYFUNCTION("""COMPUTED_VALUE"""),43551.6666666666)</f>
        <v>43551.666666666599</v>
      </c>
      <c r="D61" s="2">
        <f ca="1">IFERROR(__xludf.DUMMYFUNCTION("""COMPUTED_VALUE"""),116.77)</f>
        <v>116.77</v>
      </c>
      <c r="E61" s="3">
        <f ca="1">IFERROR(__xludf.DUMMYFUNCTION("""COMPUTED_VALUE"""),43551.6666666666)</f>
        <v>43551.666666666599</v>
      </c>
      <c r="F61" s="2">
        <f ca="1">IFERROR(__xludf.DUMMYFUNCTION("""COMPUTED_VALUE"""),1765.7)</f>
        <v>1765.7</v>
      </c>
      <c r="G61" s="3">
        <f ca="1">IFERROR(__xludf.DUMMYFUNCTION("""COMPUTED_VALUE"""),43551.6666666666)</f>
        <v>43551.666666666599</v>
      </c>
      <c r="H61" s="2">
        <f ca="1">IFERROR(__xludf.DUMMYFUNCTION("""COMPUTED_VALUE"""),1178.01)</f>
        <v>1178.01</v>
      </c>
      <c r="I61" s="3">
        <f ca="1">IFERROR(__xludf.DUMMYFUNCTION("""COMPUTED_VALUE"""),43551.6666666666)</f>
        <v>43551.666666666599</v>
      </c>
      <c r="J61" s="2">
        <f ca="1">IFERROR(__xludf.DUMMYFUNCTION("""COMPUTED_VALUE"""),1173.02)</f>
        <v>1173.02</v>
      </c>
      <c r="K61" s="3">
        <f ca="1">IFERROR(__xludf.DUMMYFUNCTION("""COMPUTED_VALUE"""),43551.6666666666)</f>
        <v>43551.666666666599</v>
      </c>
      <c r="L61" s="2">
        <f ca="1">IFERROR(__xludf.DUMMYFUNCTION("""COMPUTED_VALUE"""),165.87)</f>
        <v>165.87</v>
      </c>
      <c r="M61" s="3">
        <f ca="1">IFERROR(__xludf.DUMMYFUNCTION("""COMPUTED_VALUE"""),43551.6666666666)</f>
        <v>43551.666666666599</v>
      </c>
      <c r="N61" s="2">
        <f ca="1">IFERROR(__xludf.DUMMYFUNCTION("""COMPUTED_VALUE"""),54.97)</f>
        <v>54.97</v>
      </c>
      <c r="O61" s="3">
        <f ca="1">IFERROR(__xludf.DUMMYFUNCTION("""COMPUTED_VALUE"""),43551.6666666666)</f>
        <v>43551.666666666599</v>
      </c>
      <c r="P61" s="2">
        <f ca="1">IFERROR(__xludf.DUMMYFUNCTION("""COMPUTED_VALUE"""),44.13)</f>
        <v>44.13</v>
      </c>
      <c r="Q61" s="3">
        <f ca="1">IFERROR(__xludf.DUMMYFUNCTION("""COMPUTED_VALUE"""),43551.6666666666)</f>
        <v>43551.666666666599</v>
      </c>
      <c r="R61" s="2">
        <f ca="1">IFERROR(__xludf.DUMMYFUNCTION("""COMPUTED_VALUE"""),199.21)</f>
        <v>199.21</v>
      </c>
      <c r="S61" s="3">
        <f ca="1">IFERROR(__xludf.DUMMYFUNCTION("""COMPUTED_VALUE"""),43551.6666666666)</f>
        <v>43551.666666666599</v>
      </c>
      <c r="T61" s="2">
        <f ca="1">IFERROR(__xludf.DUMMYFUNCTION("""COMPUTED_VALUE"""),138.7)</f>
        <v>138.69999999999999</v>
      </c>
    </row>
    <row r="62" spans="1:20">
      <c r="A62" s="3">
        <f ca="1">IFERROR(__xludf.DUMMYFUNCTION("""COMPUTED_VALUE"""),43552.6666666666)</f>
        <v>43552.666666666599</v>
      </c>
      <c r="B62" s="2">
        <f ca="1">IFERROR(__xludf.DUMMYFUNCTION("""COMPUTED_VALUE"""),47.18)</f>
        <v>47.18</v>
      </c>
      <c r="C62" s="3">
        <f ca="1">IFERROR(__xludf.DUMMYFUNCTION("""COMPUTED_VALUE"""),43552.6666666666)</f>
        <v>43552.666666666599</v>
      </c>
      <c r="D62" s="2">
        <f ca="1">IFERROR(__xludf.DUMMYFUNCTION("""COMPUTED_VALUE"""),116.93)</f>
        <v>116.93</v>
      </c>
      <c r="E62" s="3">
        <f ca="1">IFERROR(__xludf.DUMMYFUNCTION("""COMPUTED_VALUE"""),43552.6666666666)</f>
        <v>43552.666666666599</v>
      </c>
      <c r="F62" s="2">
        <f ca="1">IFERROR(__xludf.DUMMYFUNCTION("""COMPUTED_VALUE"""),1773.42)</f>
        <v>1773.42</v>
      </c>
      <c r="G62" s="3">
        <f ca="1">IFERROR(__xludf.DUMMYFUNCTION("""COMPUTED_VALUE"""),43552.6666666666)</f>
        <v>43552.666666666599</v>
      </c>
      <c r="H62" s="2">
        <f ca="1">IFERROR(__xludf.DUMMYFUNCTION("""COMPUTED_VALUE"""),1172.27)</f>
        <v>1172.27</v>
      </c>
      <c r="I62" s="3">
        <f ca="1">IFERROR(__xludf.DUMMYFUNCTION("""COMPUTED_VALUE"""),43552.6666666666)</f>
        <v>43552.666666666599</v>
      </c>
      <c r="J62" s="2">
        <f ca="1">IFERROR(__xludf.DUMMYFUNCTION("""COMPUTED_VALUE"""),1168.49)</f>
        <v>1168.49</v>
      </c>
      <c r="K62" s="3">
        <f ca="1">IFERROR(__xludf.DUMMYFUNCTION("""COMPUTED_VALUE"""),43552.6666666666)</f>
        <v>43552.666666666599</v>
      </c>
      <c r="L62" s="2">
        <f ca="1">IFERROR(__xludf.DUMMYFUNCTION("""COMPUTED_VALUE"""),165.55)</f>
        <v>165.55</v>
      </c>
      <c r="M62" s="3">
        <f ca="1">IFERROR(__xludf.DUMMYFUNCTION("""COMPUTED_VALUE"""),43552.6666666666)</f>
        <v>43552.666666666599</v>
      </c>
      <c r="N62" s="2">
        <f ca="1">IFERROR(__xludf.DUMMYFUNCTION("""COMPUTED_VALUE"""),55.72)</f>
        <v>55.72</v>
      </c>
      <c r="O62" s="3">
        <f ca="1">IFERROR(__xludf.DUMMYFUNCTION("""COMPUTED_VALUE"""),43552.6666666666)</f>
        <v>43552.666666666599</v>
      </c>
      <c r="P62" s="2">
        <f ca="1">IFERROR(__xludf.DUMMYFUNCTION("""COMPUTED_VALUE"""),44.31)</f>
        <v>44.31</v>
      </c>
      <c r="Q62" s="3">
        <f ca="1">IFERROR(__xludf.DUMMYFUNCTION("""COMPUTED_VALUE"""),43552.6666666666)</f>
        <v>43552.666666666599</v>
      </c>
      <c r="R62" s="2">
        <f ca="1">IFERROR(__xludf.DUMMYFUNCTION("""COMPUTED_VALUE"""),200.66)</f>
        <v>200.66</v>
      </c>
      <c r="S62" s="3">
        <f ca="1">IFERROR(__xludf.DUMMYFUNCTION("""COMPUTED_VALUE"""),43552.6666666666)</f>
        <v>43552.666666666599</v>
      </c>
      <c r="T62" s="2">
        <f ca="1">IFERROR(__xludf.DUMMYFUNCTION("""COMPUTED_VALUE"""),138.88)</f>
        <v>138.88</v>
      </c>
    </row>
    <row r="63" spans="1:20">
      <c r="A63" s="3">
        <f ca="1">IFERROR(__xludf.DUMMYFUNCTION("""COMPUTED_VALUE"""),43553.6666666666)</f>
        <v>43553.666666666599</v>
      </c>
      <c r="B63" s="2">
        <f ca="1">IFERROR(__xludf.DUMMYFUNCTION("""COMPUTED_VALUE"""),47.49)</f>
        <v>47.49</v>
      </c>
      <c r="C63" s="3">
        <f ca="1">IFERROR(__xludf.DUMMYFUNCTION("""COMPUTED_VALUE"""),43553.6666666666)</f>
        <v>43553.666666666599</v>
      </c>
      <c r="D63" s="2">
        <f ca="1">IFERROR(__xludf.DUMMYFUNCTION("""COMPUTED_VALUE"""),117.94)</f>
        <v>117.94</v>
      </c>
      <c r="E63" s="3">
        <f ca="1">IFERROR(__xludf.DUMMYFUNCTION("""COMPUTED_VALUE"""),43553.6666666666)</f>
        <v>43553.666666666599</v>
      </c>
      <c r="F63" s="2">
        <f ca="1">IFERROR(__xludf.DUMMYFUNCTION("""COMPUTED_VALUE"""),1780.75)</f>
        <v>1780.75</v>
      </c>
      <c r="G63" s="3">
        <f ca="1">IFERROR(__xludf.DUMMYFUNCTION("""COMPUTED_VALUE"""),43553.6666666666)</f>
        <v>43553.666666666599</v>
      </c>
      <c r="H63" s="2">
        <f ca="1">IFERROR(__xludf.DUMMYFUNCTION("""COMPUTED_VALUE"""),1176.89)</f>
        <v>1176.8900000000001</v>
      </c>
      <c r="I63" s="3">
        <f ca="1">IFERROR(__xludf.DUMMYFUNCTION("""COMPUTED_VALUE"""),43553.6666666666)</f>
        <v>43553.666666666599</v>
      </c>
      <c r="J63" s="2">
        <f ca="1">IFERROR(__xludf.DUMMYFUNCTION("""COMPUTED_VALUE"""),1173.31)</f>
        <v>1173.31</v>
      </c>
      <c r="K63" s="3">
        <f ca="1">IFERROR(__xludf.DUMMYFUNCTION("""COMPUTED_VALUE"""),43553.6666666666)</f>
        <v>43553.666666666599</v>
      </c>
      <c r="L63" s="2">
        <f ca="1">IFERROR(__xludf.DUMMYFUNCTION("""COMPUTED_VALUE"""),166.69)</f>
        <v>166.69</v>
      </c>
      <c r="M63" s="3">
        <f ca="1">IFERROR(__xludf.DUMMYFUNCTION("""COMPUTED_VALUE"""),43553.6666666666)</f>
        <v>43553.666666666599</v>
      </c>
      <c r="N63" s="2">
        <f ca="1">IFERROR(__xludf.DUMMYFUNCTION("""COMPUTED_VALUE"""),55.97)</f>
        <v>55.97</v>
      </c>
      <c r="O63" s="3">
        <f ca="1">IFERROR(__xludf.DUMMYFUNCTION("""COMPUTED_VALUE"""),43553.6666666666)</f>
        <v>43553.666666666599</v>
      </c>
      <c r="P63" s="2">
        <f ca="1">IFERROR(__xludf.DUMMYFUNCTION("""COMPUTED_VALUE"""),44.89)</f>
        <v>44.89</v>
      </c>
      <c r="Q63" s="3">
        <f ca="1">IFERROR(__xludf.DUMMYFUNCTION("""COMPUTED_VALUE"""),43553.6666666666)</f>
        <v>43553.666666666599</v>
      </c>
      <c r="R63" s="2">
        <f ca="1">IFERROR(__xludf.DUMMYFUNCTION("""COMPUTED_VALUE"""),200.89)</f>
        <v>200.89</v>
      </c>
      <c r="S63" s="3">
        <f ca="1">IFERROR(__xludf.DUMMYFUNCTION("""COMPUTED_VALUE"""),43553.6666666666)</f>
        <v>43553.666666666599</v>
      </c>
      <c r="T63" s="2">
        <f ca="1">IFERROR(__xludf.DUMMYFUNCTION("""COMPUTED_VALUE"""),139.79)</f>
        <v>139.79</v>
      </c>
    </row>
    <row r="64" spans="1:20">
      <c r="A64" s="3">
        <f ca="1">IFERROR(__xludf.DUMMYFUNCTION("""COMPUTED_VALUE"""),43556.6666666666)</f>
        <v>43556.666666666599</v>
      </c>
      <c r="B64" s="2">
        <f ca="1">IFERROR(__xludf.DUMMYFUNCTION("""COMPUTED_VALUE"""),47.81)</f>
        <v>47.81</v>
      </c>
      <c r="C64" s="3">
        <f ca="1">IFERROR(__xludf.DUMMYFUNCTION("""COMPUTED_VALUE"""),43556.6666666666)</f>
        <v>43556.666666666599</v>
      </c>
      <c r="D64" s="2">
        <f ca="1">IFERROR(__xludf.DUMMYFUNCTION("""COMPUTED_VALUE"""),119.02)</f>
        <v>119.02</v>
      </c>
      <c r="E64" s="3">
        <f ca="1">IFERROR(__xludf.DUMMYFUNCTION("""COMPUTED_VALUE"""),43556.6666666666)</f>
        <v>43556.666666666599</v>
      </c>
      <c r="F64" s="2">
        <f ca="1">IFERROR(__xludf.DUMMYFUNCTION("""COMPUTED_VALUE"""),1814.19)</f>
        <v>1814.19</v>
      </c>
      <c r="G64" s="3">
        <f ca="1">IFERROR(__xludf.DUMMYFUNCTION("""COMPUTED_VALUE"""),43556.6666666666)</f>
        <v>43556.666666666599</v>
      </c>
      <c r="H64" s="2">
        <f ca="1">IFERROR(__xludf.DUMMYFUNCTION("""COMPUTED_VALUE"""),1198.98)</f>
        <v>1198.98</v>
      </c>
      <c r="I64" s="3">
        <f ca="1">IFERROR(__xludf.DUMMYFUNCTION("""COMPUTED_VALUE"""),43556.6666666666)</f>
        <v>43556.666666666599</v>
      </c>
      <c r="J64" s="2">
        <f ca="1">IFERROR(__xludf.DUMMYFUNCTION("""COMPUTED_VALUE"""),1194.43)</f>
        <v>1194.43</v>
      </c>
      <c r="K64" s="3">
        <f ca="1">IFERROR(__xludf.DUMMYFUNCTION("""COMPUTED_VALUE"""),43556.6666666666)</f>
        <v>43556.666666666599</v>
      </c>
      <c r="L64" s="2">
        <f ca="1">IFERROR(__xludf.DUMMYFUNCTION("""COMPUTED_VALUE"""),168.7)</f>
        <v>168.7</v>
      </c>
      <c r="M64" s="3">
        <f ca="1">IFERROR(__xludf.DUMMYFUNCTION("""COMPUTED_VALUE"""),43556.6666666666)</f>
        <v>43556.666666666599</v>
      </c>
      <c r="N64" s="2">
        <f ca="1">IFERROR(__xludf.DUMMYFUNCTION("""COMPUTED_VALUE"""),57.84)</f>
        <v>57.84</v>
      </c>
      <c r="O64" s="3">
        <f ca="1">IFERROR(__xludf.DUMMYFUNCTION("""COMPUTED_VALUE"""),43556.6666666666)</f>
        <v>43556.666666666599</v>
      </c>
      <c r="P64" s="2">
        <f ca="1">IFERROR(__xludf.DUMMYFUNCTION("""COMPUTED_VALUE"""),45.57)</f>
        <v>45.57</v>
      </c>
      <c r="Q64" s="3">
        <f ca="1">IFERROR(__xludf.DUMMYFUNCTION("""COMPUTED_VALUE"""),43556.6666666666)</f>
        <v>43556.666666666599</v>
      </c>
      <c r="R64" s="2">
        <f ca="1">IFERROR(__xludf.DUMMYFUNCTION("""COMPUTED_VALUE"""),205)</f>
        <v>205</v>
      </c>
      <c r="S64" s="3">
        <f ca="1">IFERROR(__xludf.DUMMYFUNCTION("""COMPUTED_VALUE"""),43556.6666666666)</f>
        <v>43556.666666666599</v>
      </c>
      <c r="T64" s="2">
        <f ca="1">IFERROR(__xludf.DUMMYFUNCTION("""COMPUTED_VALUE"""),138.98)</f>
        <v>138.97999999999999</v>
      </c>
    </row>
    <row r="65" spans="1:20">
      <c r="A65" s="3">
        <f ca="1">IFERROR(__xludf.DUMMYFUNCTION("""COMPUTED_VALUE"""),43557.6666666666)</f>
        <v>43557.666666666599</v>
      </c>
      <c r="B65" s="2">
        <f ca="1">IFERROR(__xludf.DUMMYFUNCTION("""COMPUTED_VALUE"""),48.51)</f>
        <v>48.51</v>
      </c>
      <c r="C65" s="3">
        <f ca="1">IFERROR(__xludf.DUMMYFUNCTION("""COMPUTED_VALUE"""),43557.6666666666)</f>
        <v>43557.666666666599</v>
      </c>
      <c r="D65" s="2">
        <f ca="1">IFERROR(__xludf.DUMMYFUNCTION("""COMPUTED_VALUE"""),119.19)</f>
        <v>119.19</v>
      </c>
      <c r="E65" s="3">
        <f ca="1">IFERROR(__xludf.DUMMYFUNCTION("""COMPUTED_VALUE"""),43557.6666666666)</f>
        <v>43557.666666666599</v>
      </c>
      <c r="F65" s="2">
        <f ca="1">IFERROR(__xludf.DUMMYFUNCTION("""COMPUTED_VALUE"""),1813.98)</f>
        <v>1813.98</v>
      </c>
      <c r="G65" s="3">
        <f ca="1">IFERROR(__xludf.DUMMYFUNCTION("""COMPUTED_VALUE"""),43557.6666666666)</f>
        <v>43557.666666666599</v>
      </c>
      <c r="H65" s="2">
        <f ca="1">IFERROR(__xludf.DUMMYFUNCTION("""COMPUTED_VALUE"""),1205.54)</f>
        <v>1205.54</v>
      </c>
      <c r="I65" s="3">
        <f ca="1">IFERROR(__xludf.DUMMYFUNCTION("""COMPUTED_VALUE"""),43557.6666666666)</f>
        <v>43557.666666666599</v>
      </c>
      <c r="J65" s="2">
        <f ca="1">IFERROR(__xludf.DUMMYFUNCTION("""COMPUTED_VALUE"""),1200.49)</f>
        <v>1200.49</v>
      </c>
      <c r="K65" s="3">
        <f ca="1">IFERROR(__xludf.DUMMYFUNCTION("""COMPUTED_VALUE"""),43557.6666666666)</f>
        <v>43557.666666666599</v>
      </c>
      <c r="L65" s="2">
        <f ca="1">IFERROR(__xludf.DUMMYFUNCTION("""COMPUTED_VALUE"""),174.2)</f>
        <v>174.2</v>
      </c>
      <c r="M65" s="3">
        <f ca="1">IFERROR(__xludf.DUMMYFUNCTION("""COMPUTED_VALUE"""),43557.6666666666)</f>
        <v>43557.666666666599</v>
      </c>
      <c r="N65" s="2">
        <f ca="1">IFERROR(__xludf.DUMMYFUNCTION("""COMPUTED_VALUE"""),57.18)</f>
        <v>57.18</v>
      </c>
      <c r="O65" s="3">
        <f ca="1">IFERROR(__xludf.DUMMYFUNCTION("""COMPUTED_VALUE"""),43557.6666666666)</f>
        <v>43557.666666666599</v>
      </c>
      <c r="P65" s="2">
        <f ca="1">IFERROR(__xludf.DUMMYFUNCTION("""COMPUTED_VALUE"""),45.75)</f>
        <v>45.75</v>
      </c>
      <c r="Q65" s="3">
        <f ca="1">IFERROR(__xludf.DUMMYFUNCTION("""COMPUTED_VALUE"""),43557.6666666666)</f>
        <v>43557.666666666599</v>
      </c>
      <c r="R65" s="2">
        <f ca="1">IFERROR(__xludf.DUMMYFUNCTION("""COMPUTED_VALUE"""),203.88)</f>
        <v>203.88</v>
      </c>
      <c r="S65" s="3">
        <f ca="1">IFERROR(__xludf.DUMMYFUNCTION("""COMPUTED_VALUE"""),43557.6666666666)</f>
        <v>43557.666666666599</v>
      </c>
      <c r="T65" s="2">
        <f ca="1">IFERROR(__xludf.DUMMYFUNCTION("""COMPUTED_VALUE"""),137.71)</f>
        <v>137.71</v>
      </c>
    </row>
    <row r="66" spans="1:20">
      <c r="A66" s="3">
        <f ca="1">IFERROR(__xludf.DUMMYFUNCTION("""COMPUTED_VALUE"""),43558.6666666666)</f>
        <v>43558.666666666599</v>
      </c>
      <c r="B66" s="2">
        <f ca="1">IFERROR(__xludf.DUMMYFUNCTION("""COMPUTED_VALUE"""),48.84)</f>
        <v>48.84</v>
      </c>
      <c r="C66" s="3">
        <f ca="1">IFERROR(__xludf.DUMMYFUNCTION("""COMPUTED_VALUE"""),43558.6666666666)</f>
        <v>43558.666666666599</v>
      </c>
      <c r="D66" s="2">
        <f ca="1">IFERROR(__xludf.DUMMYFUNCTION("""COMPUTED_VALUE"""),119.97)</f>
        <v>119.97</v>
      </c>
      <c r="E66" s="3">
        <f ca="1">IFERROR(__xludf.DUMMYFUNCTION("""COMPUTED_VALUE"""),43558.6666666666)</f>
        <v>43558.666666666599</v>
      </c>
      <c r="F66" s="2">
        <f ca="1">IFERROR(__xludf.DUMMYFUNCTION("""COMPUTED_VALUE"""),1820.7)</f>
        <v>1820.7</v>
      </c>
      <c r="G66" s="3">
        <f ca="1">IFERROR(__xludf.DUMMYFUNCTION("""COMPUTED_VALUE"""),43558.6666666666)</f>
        <v>43558.666666666599</v>
      </c>
      <c r="H66" s="2">
        <f ca="1">IFERROR(__xludf.DUMMYFUNCTION("""COMPUTED_VALUE"""),1210.81)</f>
        <v>1210.81</v>
      </c>
      <c r="I66" s="3">
        <f ca="1">IFERROR(__xludf.DUMMYFUNCTION("""COMPUTED_VALUE"""),43558.6666666666)</f>
        <v>43558.666666666599</v>
      </c>
      <c r="J66" s="2">
        <f ca="1">IFERROR(__xludf.DUMMYFUNCTION("""COMPUTED_VALUE"""),1205.92)</f>
        <v>1205.92</v>
      </c>
      <c r="K66" s="3">
        <f ca="1">IFERROR(__xludf.DUMMYFUNCTION("""COMPUTED_VALUE"""),43558.6666666666)</f>
        <v>43558.666666666599</v>
      </c>
      <c r="L66" s="2">
        <f ca="1">IFERROR(__xludf.DUMMYFUNCTION("""COMPUTED_VALUE"""),173.54)</f>
        <v>173.54</v>
      </c>
      <c r="M66" s="3">
        <f ca="1">IFERROR(__xludf.DUMMYFUNCTION("""COMPUTED_VALUE"""),43558.6666666666)</f>
        <v>43558.666666666599</v>
      </c>
      <c r="N66" s="2">
        <f ca="1">IFERROR(__xludf.DUMMYFUNCTION("""COMPUTED_VALUE"""),58.36)</f>
        <v>58.36</v>
      </c>
      <c r="O66" s="3">
        <f ca="1">IFERROR(__xludf.DUMMYFUNCTION("""COMPUTED_VALUE"""),43558.6666666666)</f>
        <v>43558.666666666599</v>
      </c>
      <c r="P66" s="2">
        <f ca="1">IFERROR(__xludf.DUMMYFUNCTION("""COMPUTED_VALUE"""),47.16)</f>
        <v>47.16</v>
      </c>
      <c r="Q66" s="3">
        <f ca="1">IFERROR(__xludf.DUMMYFUNCTION("""COMPUTED_VALUE"""),43558.6666666666)</f>
        <v>43558.666666666599</v>
      </c>
      <c r="R66" s="2">
        <f ca="1">IFERROR(__xludf.DUMMYFUNCTION("""COMPUTED_VALUE"""),203.67)</f>
        <v>203.67</v>
      </c>
      <c r="S66" s="3">
        <f ca="1">IFERROR(__xludf.DUMMYFUNCTION("""COMPUTED_VALUE"""),43558.6666666666)</f>
        <v>43558.666666666599</v>
      </c>
      <c r="T66" s="2">
        <f ca="1">IFERROR(__xludf.DUMMYFUNCTION("""COMPUTED_VALUE"""),137.17)</f>
        <v>137.16999999999999</v>
      </c>
    </row>
    <row r="67" spans="1:20">
      <c r="A67" s="3">
        <f ca="1">IFERROR(__xludf.DUMMYFUNCTION("""COMPUTED_VALUE"""),43559.6666666666)</f>
        <v>43559.666666666599</v>
      </c>
      <c r="B67" s="2">
        <f ca="1">IFERROR(__xludf.DUMMYFUNCTION("""COMPUTED_VALUE"""),48.92)</f>
        <v>48.92</v>
      </c>
      <c r="C67" s="3">
        <f ca="1">IFERROR(__xludf.DUMMYFUNCTION("""COMPUTED_VALUE"""),43559.6666666666)</f>
        <v>43559.666666666599</v>
      </c>
      <c r="D67" s="2">
        <f ca="1">IFERROR(__xludf.DUMMYFUNCTION("""COMPUTED_VALUE"""),119.36)</f>
        <v>119.36</v>
      </c>
      <c r="E67" s="3">
        <f ca="1">IFERROR(__xludf.DUMMYFUNCTION("""COMPUTED_VALUE"""),43559.6666666666)</f>
        <v>43559.666666666599</v>
      </c>
      <c r="F67" s="2">
        <f ca="1">IFERROR(__xludf.DUMMYFUNCTION("""COMPUTED_VALUE"""),1818.86)</f>
        <v>1818.86</v>
      </c>
      <c r="G67" s="3">
        <f ca="1">IFERROR(__xludf.DUMMYFUNCTION("""COMPUTED_VALUE"""),43559.6666666666)</f>
        <v>43559.666666666599</v>
      </c>
      <c r="H67" s="2">
        <f ca="1">IFERROR(__xludf.DUMMYFUNCTION("""COMPUTED_VALUE"""),1219.45)</f>
        <v>1219.45</v>
      </c>
      <c r="I67" s="3">
        <f ca="1">IFERROR(__xludf.DUMMYFUNCTION("""COMPUTED_VALUE"""),43559.6666666666)</f>
        <v>43559.666666666599</v>
      </c>
      <c r="J67" s="2">
        <f ca="1">IFERROR(__xludf.DUMMYFUNCTION("""COMPUTED_VALUE"""),1215)</f>
        <v>1215</v>
      </c>
      <c r="K67" s="3">
        <f ca="1">IFERROR(__xludf.DUMMYFUNCTION("""COMPUTED_VALUE"""),43559.6666666666)</f>
        <v>43559.666666666599</v>
      </c>
      <c r="L67" s="2">
        <f ca="1">IFERROR(__xludf.DUMMYFUNCTION("""COMPUTED_VALUE"""),176.02)</f>
        <v>176.02</v>
      </c>
      <c r="M67" s="3">
        <f ca="1">IFERROR(__xludf.DUMMYFUNCTION("""COMPUTED_VALUE"""),43559.6666666666)</f>
        <v>43559.666666666599</v>
      </c>
      <c r="N67" s="2">
        <f ca="1">IFERROR(__xludf.DUMMYFUNCTION("""COMPUTED_VALUE"""),53.56)</f>
        <v>53.56</v>
      </c>
      <c r="O67" s="3">
        <f ca="1">IFERROR(__xludf.DUMMYFUNCTION("""COMPUTED_VALUE"""),43559.6666666666)</f>
        <v>43559.666666666599</v>
      </c>
      <c r="P67" s="2">
        <f ca="1">IFERROR(__xludf.DUMMYFUNCTION("""COMPUTED_VALUE"""),47.07)</f>
        <v>47.07</v>
      </c>
      <c r="Q67" s="3">
        <f ca="1">IFERROR(__xludf.DUMMYFUNCTION("""COMPUTED_VALUE"""),43559.6666666666)</f>
        <v>43559.666666666599</v>
      </c>
      <c r="R67" s="2">
        <f ca="1">IFERROR(__xludf.DUMMYFUNCTION("""COMPUTED_VALUE"""),204.1)</f>
        <v>204.1</v>
      </c>
      <c r="S67" s="3">
        <f ca="1">IFERROR(__xludf.DUMMYFUNCTION("""COMPUTED_VALUE"""),43559.6666666666)</f>
        <v>43559.666666666599</v>
      </c>
      <c r="T67" s="2">
        <f ca="1">IFERROR(__xludf.DUMMYFUNCTION("""COMPUTED_VALUE"""),135.57)</f>
        <v>135.57</v>
      </c>
    </row>
    <row r="68" spans="1:20">
      <c r="A68" s="3">
        <f ca="1">IFERROR(__xludf.DUMMYFUNCTION("""COMPUTED_VALUE"""),43560.6666666666)</f>
        <v>43560.666666666599</v>
      </c>
      <c r="B68" s="2">
        <f ca="1">IFERROR(__xludf.DUMMYFUNCTION("""COMPUTED_VALUE"""),49.25)</f>
        <v>49.25</v>
      </c>
      <c r="C68" s="3">
        <f ca="1">IFERROR(__xludf.DUMMYFUNCTION("""COMPUTED_VALUE"""),43560.6666666666)</f>
        <v>43560.666666666599</v>
      </c>
      <c r="D68" s="2">
        <f ca="1">IFERROR(__xludf.DUMMYFUNCTION("""COMPUTED_VALUE"""),119.89)</f>
        <v>119.89</v>
      </c>
      <c r="E68" s="3">
        <f ca="1">IFERROR(__xludf.DUMMYFUNCTION("""COMPUTED_VALUE"""),43560.6666666666)</f>
        <v>43560.666666666599</v>
      </c>
      <c r="F68" s="2">
        <f ca="1">IFERROR(__xludf.DUMMYFUNCTION("""COMPUTED_VALUE"""),1837.28)</f>
        <v>1837.28</v>
      </c>
      <c r="G68" s="3">
        <f ca="1">IFERROR(__xludf.DUMMYFUNCTION("""COMPUTED_VALUE"""),43560.6666666666)</f>
        <v>43560.666666666599</v>
      </c>
      <c r="H68" s="2">
        <f ca="1">IFERROR(__xludf.DUMMYFUNCTION("""COMPUTED_VALUE"""),1211.45)</f>
        <v>1211.45</v>
      </c>
      <c r="I68" s="3">
        <f ca="1">IFERROR(__xludf.DUMMYFUNCTION("""COMPUTED_VALUE"""),43560.6666666666)</f>
        <v>43560.666666666599</v>
      </c>
      <c r="J68" s="2">
        <f ca="1">IFERROR(__xludf.DUMMYFUNCTION("""COMPUTED_VALUE"""),1207.15)</f>
        <v>1207.1500000000001</v>
      </c>
      <c r="K68" s="3">
        <f ca="1">IFERROR(__xludf.DUMMYFUNCTION("""COMPUTED_VALUE"""),43560.6666666666)</f>
        <v>43560.666666666599</v>
      </c>
      <c r="L68" s="2">
        <f ca="1">IFERROR(__xludf.DUMMYFUNCTION("""COMPUTED_VALUE"""),175.72)</f>
        <v>175.72</v>
      </c>
      <c r="M68" s="3">
        <f ca="1">IFERROR(__xludf.DUMMYFUNCTION("""COMPUTED_VALUE"""),43560.6666666666)</f>
        <v>43560.666666666599</v>
      </c>
      <c r="N68" s="2">
        <f ca="1">IFERROR(__xludf.DUMMYFUNCTION("""COMPUTED_VALUE"""),54.99)</f>
        <v>54.99</v>
      </c>
      <c r="O68" s="3">
        <f ca="1">IFERROR(__xludf.DUMMYFUNCTION("""COMPUTED_VALUE"""),43560.6666666666)</f>
        <v>43560.666666666599</v>
      </c>
      <c r="P68" s="2">
        <f ca="1">IFERROR(__xludf.DUMMYFUNCTION("""COMPUTED_VALUE"""),47.74)</f>
        <v>47.74</v>
      </c>
      <c r="Q68" s="3">
        <f ca="1">IFERROR(__xludf.DUMMYFUNCTION("""COMPUTED_VALUE"""),43560.6666666666)</f>
        <v>43560.666666666599</v>
      </c>
      <c r="R68" s="2">
        <f ca="1">IFERROR(__xludf.DUMMYFUNCTION("""COMPUTED_VALUE"""),205.33)</f>
        <v>205.33</v>
      </c>
      <c r="S68" s="3">
        <f ca="1">IFERROR(__xludf.DUMMYFUNCTION("""COMPUTED_VALUE"""),43560.6666666666)</f>
        <v>43560.666666666599</v>
      </c>
      <c r="T68" s="2">
        <f ca="1">IFERROR(__xludf.DUMMYFUNCTION("""COMPUTED_VALUE"""),136.18)</f>
        <v>136.18</v>
      </c>
    </row>
    <row r="69" spans="1:20">
      <c r="A69" s="3">
        <f ca="1">IFERROR(__xludf.DUMMYFUNCTION("""COMPUTED_VALUE"""),43563.6666666666)</f>
        <v>43563.666666666599</v>
      </c>
      <c r="B69" s="2">
        <f ca="1">IFERROR(__xludf.DUMMYFUNCTION("""COMPUTED_VALUE"""),50.03)</f>
        <v>50.03</v>
      </c>
      <c r="C69" s="3">
        <f ca="1">IFERROR(__xludf.DUMMYFUNCTION("""COMPUTED_VALUE"""),43563.6666666666)</f>
        <v>43563.666666666599</v>
      </c>
      <c r="D69" s="2">
        <f ca="1">IFERROR(__xludf.DUMMYFUNCTION("""COMPUTED_VALUE"""),119.93)</f>
        <v>119.93</v>
      </c>
      <c r="E69" s="3">
        <f ca="1">IFERROR(__xludf.DUMMYFUNCTION("""COMPUTED_VALUE"""),43563.6666666666)</f>
        <v>43563.666666666599</v>
      </c>
      <c r="F69" s="2">
        <f ca="1">IFERROR(__xludf.DUMMYFUNCTION("""COMPUTED_VALUE"""),1849.86)</f>
        <v>1849.86</v>
      </c>
      <c r="G69" s="3">
        <f ca="1">IFERROR(__xludf.DUMMYFUNCTION("""COMPUTED_VALUE"""),43563.6666666666)</f>
        <v>43563.666666666599</v>
      </c>
      <c r="H69" s="2">
        <f ca="1">IFERROR(__xludf.DUMMYFUNCTION("""COMPUTED_VALUE"""),1208.28)</f>
        <v>1208.28</v>
      </c>
      <c r="I69" s="3">
        <f ca="1">IFERROR(__xludf.DUMMYFUNCTION("""COMPUTED_VALUE"""),43563.6666666666)</f>
        <v>43563.666666666599</v>
      </c>
      <c r="J69" s="2">
        <f ca="1">IFERROR(__xludf.DUMMYFUNCTION("""COMPUTED_VALUE"""),1203.84)</f>
        <v>1203.8399999999999</v>
      </c>
      <c r="K69" s="3">
        <f ca="1">IFERROR(__xludf.DUMMYFUNCTION("""COMPUTED_VALUE"""),43563.6666666666)</f>
        <v>43563.666666666599</v>
      </c>
      <c r="L69" s="2">
        <f ca="1">IFERROR(__xludf.DUMMYFUNCTION("""COMPUTED_VALUE"""),174.93)</f>
        <v>174.93</v>
      </c>
      <c r="M69" s="3">
        <f ca="1">IFERROR(__xludf.DUMMYFUNCTION("""COMPUTED_VALUE"""),43563.6666666666)</f>
        <v>43563.666666666599</v>
      </c>
      <c r="N69" s="2">
        <f ca="1">IFERROR(__xludf.DUMMYFUNCTION("""COMPUTED_VALUE"""),54.64)</f>
        <v>54.64</v>
      </c>
      <c r="O69" s="3">
        <f ca="1">IFERROR(__xludf.DUMMYFUNCTION("""COMPUTED_VALUE"""),43563.6666666666)</f>
        <v>43563.666666666599</v>
      </c>
      <c r="P69" s="2">
        <f ca="1">IFERROR(__xludf.DUMMYFUNCTION("""COMPUTED_VALUE"""),47.95)</f>
        <v>47.95</v>
      </c>
      <c r="Q69" s="3">
        <f ca="1">IFERROR(__xludf.DUMMYFUNCTION("""COMPUTED_VALUE"""),43563.6666666666)</f>
        <v>43563.666666666599</v>
      </c>
      <c r="R69" s="2">
        <f ca="1">IFERROR(__xludf.DUMMYFUNCTION("""COMPUTED_VALUE"""),205.25)</f>
        <v>205.25</v>
      </c>
      <c r="S69" s="3">
        <f ca="1">IFERROR(__xludf.DUMMYFUNCTION("""COMPUTED_VALUE"""),43563.6666666666)</f>
        <v>43563.666666666599</v>
      </c>
      <c r="T69" s="2">
        <f ca="1">IFERROR(__xludf.DUMMYFUNCTION("""COMPUTED_VALUE"""),136.14)</f>
        <v>136.13999999999999</v>
      </c>
    </row>
    <row r="70" spans="1:20">
      <c r="A70" s="3">
        <f ca="1">IFERROR(__xludf.DUMMYFUNCTION("""COMPUTED_VALUE"""),43564.6666666666)</f>
        <v>43564.666666666599</v>
      </c>
      <c r="B70" s="2">
        <f ca="1">IFERROR(__xludf.DUMMYFUNCTION("""COMPUTED_VALUE"""),49.88)</f>
        <v>49.88</v>
      </c>
      <c r="C70" s="3">
        <f ca="1">IFERROR(__xludf.DUMMYFUNCTION("""COMPUTED_VALUE"""),43564.6666666666)</f>
        <v>43564.666666666599</v>
      </c>
      <c r="D70" s="2">
        <f ca="1">IFERROR(__xludf.DUMMYFUNCTION("""COMPUTED_VALUE"""),119.28)</f>
        <v>119.28</v>
      </c>
      <c r="E70" s="3">
        <f ca="1">IFERROR(__xludf.DUMMYFUNCTION("""COMPUTED_VALUE"""),43564.6666666666)</f>
        <v>43564.666666666599</v>
      </c>
      <c r="F70" s="2">
        <f ca="1">IFERROR(__xludf.DUMMYFUNCTION("""COMPUTED_VALUE"""),1835.84)</f>
        <v>1835.84</v>
      </c>
      <c r="G70" s="3">
        <f ca="1">IFERROR(__xludf.DUMMYFUNCTION("""COMPUTED_VALUE"""),43564.6666666666)</f>
        <v>43564.666666666599</v>
      </c>
      <c r="H70" s="2">
        <f ca="1">IFERROR(__xludf.DUMMYFUNCTION("""COMPUTED_VALUE"""),1202.69)</f>
        <v>1202.69</v>
      </c>
      <c r="I70" s="3">
        <f ca="1">IFERROR(__xludf.DUMMYFUNCTION("""COMPUTED_VALUE"""),43564.6666666666)</f>
        <v>43564.666666666599</v>
      </c>
      <c r="J70" s="2">
        <f ca="1">IFERROR(__xludf.DUMMYFUNCTION("""COMPUTED_VALUE"""),1197.25)</f>
        <v>1197.25</v>
      </c>
      <c r="K70" s="3">
        <f ca="1">IFERROR(__xludf.DUMMYFUNCTION("""COMPUTED_VALUE"""),43564.6666666666)</f>
        <v>43564.666666666599</v>
      </c>
      <c r="L70" s="2">
        <f ca="1">IFERROR(__xludf.DUMMYFUNCTION("""COMPUTED_VALUE"""),177.58)</f>
        <v>177.58</v>
      </c>
      <c r="M70" s="3">
        <f ca="1">IFERROR(__xludf.DUMMYFUNCTION("""COMPUTED_VALUE"""),43564.6666666666)</f>
        <v>43564.666666666599</v>
      </c>
      <c r="N70" s="2">
        <f ca="1">IFERROR(__xludf.DUMMYFUNCTION("""COMPUTED_VALUE"""),54.46)</f>
        <v>54.46</v>
      </c>
      <c r="O70" s="3">
        <f ca="1">IFERROR(__xludf.DUMMYFUNCTION("""COMPUTED_VALUE"""),43564.6666666666)</f>
        <v>43564.666666666599</v>
      </c>
      <c r="P70" s="2">
        <f ca="1">IFERROR(__xludf.DUMMYFUNCTION("""COMPUTED_VALUE"""),47.32)</f>
        <v>47.32</v>
      </c>
      <c r="Q70" s="3">
        <f ca="1">IFERROR(__xludf.DUMMYFUNCTION("""COMPUTED_VALUE"""),43564.6666666666)</f>
        <v>43564.666666666599</v>
      </c>
      <c r="R70" s="2">
        <f ca="1">IFERROR(__xludf.DUMMYFUNCTION("""COMPUTED_VALUE"""),204.92)</f>
        <v>204.92</v>
      </c>
      <c r="S70" s="3">
        <f ca="1">IFERROR(__xludf.DUMMYFUNCTION("""COMPUTED_VALUE"""),43564.6666666666)</f>
        <v>43564.666666666599</v>
      </c>
      <c r="T70" s="2">
        <f ca="1">IFERROR(__xludf.DUMMYFUNCTION("""COMPUTED_VALUE"""),135.57)</f>
        <v>135.57</v>
      </c>
    </row>
    <row r="71" spans="1:20">
      <c r="A71" s="3">
        <f ca="1">IFERROR(__xludf.DUMMYFUNCTION("""COMPUTED_VALUE"""),43565.6666666666)</f>
        <v>43565.666666666599</v>
      </c>
      <c r="B71" s="2">
        <f ca="1">IFERROR(__xludf.DUMMYFUNCTION("""COMPUTED_VALUE"""),50.16)</f>
        <v>50.16</v>
      </c>
      <c r="C71" s="3">
        <f ca="1">IFERROR(__xludf.DUMMYFUNCTION("""COMPUTED_VALUE"""),43565.6666666666)</f>
        <v>43565.666666666599</v>
      </c>
      <c r="D71" s="2">
        <f ca="1">IFERROR(__xludf.DUMMYFUNCTION("""COMPUTED_VALUE"""),120.19)</f>
        <v>120.19</v>
      </c>
      <c r="E71" s="3">
        <f ca="1">IFERROR(__xludf.DUMMYFUNCTION("""COMPUTED_VALUE"""),43565.6666666666)</f>
        <v>43565.666666666599</v>
      </c>
      <c r="F71" s="2">
        <f ca="1">IFERROR(__xludf.DUMMYFUNCTION("""COMPUTED_VALUE"""),1847.33)</f>
        <v>1847.33</v>
      </c>
      <c r="G71" s="3">
        <f ca="1">IFERROR(__xludf.DUMMYFUNCTION("""COMPUTED_VALUE"""),43565.6666666666)</f>
        <v>43565.666666666599</v>
      </c>
      <c r="H71" s="2">
        <f ca="1">IFERROR(__xludf.DUMMYFUNCTION("""COMPUTED_VALUE"""),1206.45)</f>
        <v>1206.45</v>
      </c>
      <c r="I71" s="3">
        <f ca="1">IFERROR(__xludf.DUMMYFUNCTION("""COMPUTED_VALUE"""),43565.6666666666)</f>
        <v>43565.666666666599</v>
      </c>
      <c r="J71" s="2">
        <f ca="1">IFERROR(__xludf.DUMMYFUNCTION("""COMPUTED_VALUE"""),1202.16)</f>
        <v>1202.1600000000001</v>
      </c>
      <c r="K71" s="3">
        <f ca="1">IFERROR(__xludf.DUMMYFUNCTION("""COMPUTED_VALUE"""),43565.6666666666)</f>
        <v>43565.666666666599</v>
      </c>
      <c r="L71" s="2">
        <f ca="1">IFERROR(__xludf.DUMMYFUNCTION("""COMPUTED_VALUE"""),177.82)</f>
        <v>177.82</v>
      </c>
      <c r="M71" s="3">
        <f ca="1">IFERROR(__xludf.DUMMYFUNCTION("""COMPUTED_VALUE"""),43565.6666666666)</f>
        <v>43565.666666666599</v>
      </c>
      <c r="N71" s="2">
        <f ca="1">IFERROR(__xludf.DUMMYFUNCTION("""COMPUTED_VALUE"""),55.21)</f>
        <v>55.21</v>
      </c>
      <c r="O71" s="3">
        <f ca="1">IFERROR(__xludf.DUMMYFUNCTION("""COMPUTED_VALUE"""),43565.6666666666)</f>
        <v>43565.666666666599</v>
      </c>
      <c r="P71" s="2">
        <f ca="1">IFERROR(__xludf.DUMMYFUNCTION("""COMPUTED_VALUE"""),48.03)</f>
        <v>48.03</v>
      </c>
      <c r="Q71" s="3">
        <f ca="1">IFERROR(__xludf.DUMMYFUNCTION("""COMPUTED_VALUE"""),43565.6666666666)</f>
        <v>43565.666666666599</v>
      </c>
      <c r="R71" s="2">
        <f ca="1">IFERROR(__xludf.DUMMYFUNCTION("""COMPUTED_VALUE"""),204.52)</f>
        <v>204.52</v>
      </c>
      <c r="S71" s="3">
        <f ca="1">IFERROR(__xludf.DUMMYFUNCTION("""COMPUTED_VALUE"""),43565.6666666666)</f>
        <v>43565.666666666599</v>
      </c>
      <c r="T71" s="2">
        <f ca="1">IFERROR(__xludf.DUMMYFUNCTION("""COMPUTED_VALUE"""),135.58)</f>
        <v>135.58000000000001</v>
      </c>
    </row>
    <row r="72" spans="1:20">
      <c r="A72" s="3">
        <f ca="1">IFERROR(__xludf.DUMMYFUNCTION("""COMPUTED_VALUE"""),43566.6666666666)</f>
        <v>43566.666666666599</v>
      </c>
      <c r="B72" s="2">
        <f ca="1">IFERROR(__xludf.DUMMYFUNCTION("""COMPUTED_VALUE"""),49.74)</f>
        <v>49.74</v>
      </c>
      <c r="C72" s="3">
        <f ca="1">IFERROR(__xludf.DUMMYFUNCTION("""COMPUTED_VALUE"""),43566.6666666666)</f>
        <v>43566.666666666599</v>
      </c>
      <c r="D72" s="2">
        <f ca="1">IFERROR(__xludf.DUMMYFUNCTION("""COMPUTED_VALUE"""),120.33)</f>
        <v>120.33</v>
      </c>
      <c r="E72" s="3">
        <f ca="1">IFERROR(__xludf.DUMMYFUNCTION("""COMPUTED_VALUE"""),43566.6666666666)</f>
        <v>43566.666666666599</v>
      </c>
      <c r="F72" s="2">
        <f ca="1">IFERROR(__xludf.DUMMYFUNCTION("""COMPUTED_VALUE"""),1844.07)</f>
        <v>1844.07</v>
      </c>
      <c r="G72" s="3">
        <f ca="1">IFERROR(__xludf.DUMMYFUNCTION("""COMPUTED_VALUE"""),43566.6666666666)</f>
        <v>43566.666666666599</v>
      </c>
      <c r="H72" s="2">
        <f ca="1">IFERROR(__xludf.DUMMYFUNCTION("""COMPUTED_VALUE"""),1209.59)</f>
        <v>1209.5899999999999</v>
      </c>
      <c r="I72" s="3">
        <f ca="1">IFERROR(__xludf.DUMMYFUNCTION("""COMPUTED_VALUE"""),43566.6666666666)</f>
        <v>43566.666666666599</v>
      </c>
      <c r="J72" s="2">
        <f ca="1">IFERROR(__xludf.DUMMYFUNCTION("""COMPUTED_VALUE"""),1204.62)</f>
        <v>1204.6199999999999</v>
      </c>
      <c r="K72" s="3">
        <f ca="1">IFERROR(__xludf.DUMMYFUNCTION("""COMPUTED_VALUE"""),43566.6666666666)</f>
        <v>43566.666666666599</v>
      </c>
      <c r="L72" s="2">
        <f ca="1">IFERROR(__xludf.DUMMYFUNCTION("""COMPUTED_VALUE"""),177.51)</f>
        <v>177.51</v>
      </c>
      <c r="M72" s="3">
        <f ca="1">IFERROR(__xludf.DUMMYFUNCTION("""COMPUTED_VALUE"""),43566.6666666666)</f>
        <v>43566.666666666599</v>
      </c>
      <c r="N72" s="2">
        <f ca="1">IFERROR(__xludf.DUMMYFUNCTION("""COMPUTED_VALUE"""),53.68)</f>
        <v>53.68</v>
      </c>
      <c r="O72" s="3">
        <f ca="1">IFERROR(__xludf.DUMMYFUNCTION("""COMPUTED_VALUE"""),43566.6666666666)</f>
        <v>43566.666666666599</v>
      </c>
      <c r="P72" s="2">
        <f ca="1">IFERROR(__xludf.DUMMYFUNCTION("""COMPUTED_VALUE"""),47.89)</f>
        <v>47.89</v>
      </c>
      <c r="Q72" s="3">
        <f ca="1">IFERROR(__xludf.DUMMYFUNCTION("""COMPUTED_VALUE"""),43566.6666666666)</f>
        <v>43566.666666666599</v>
      </c>
      <c r="R72" s="2">
        <f ca="1">IFERROR(__xludf.DUMMYFUNCTION("""COMPUTED_VALUE"""),206.67)</f>
        <v>206.67</v>
      </c>
      <c r="S72" s="3">
        <f ca="1">IFERROR(__xludf.DUMMYFUNCTION("""COMPUTED_VALUE"""),43566.6666666666)</f>
        <v>43566.666666666599</v>
      </c>
      <c r="T72" s="2">
        <f ca="1">IFERROR(__xludf.DUMMYFUNCTION("""COMPUTED_VALUE"""),135.21)</f>
        <v>135.21</v>
      </c>
    </row>
    <row r="73" spans="1:20">
      <c r="A73" s="3">
        <f ca="1">IFERROR(__xludf.DUMMYFUNCTION("""COMPUTED_VALUE"""),43567.6666666666)</f>
        <v>43567.666666666599</v>
      </c>
      <c r="B73" s="2">
        <f ca="1">IFERROR(__xludf.DUMMYFUNCTION("""COMPUTED_VALUE"""),49.72)</f>
        <v>49.72</v>
      </c>
      <c r="C73" s="3">
        <f ca="1">IFERROR(__xludf.DUMMYFUNCTION("""COMPUTED_VALUE"""),43567.6666666666)</f>
        <v>43567.666666666599</v>
      </c>
      <c r="D73" s="2">
        <f ca="1">IFERROR(__xludf.DUMMYFUNCTION("""COMPUTED_VALUE"""),120.95)</f>
        <v>120.95</v>
      </c>
      <c r="E73" s="3">
        <f ca="1">IFERROR(__xludf.DUMMYFUNCTION("""COMPUTED_VALUE"""),43567.6666666666)</f>
        <v>43567.666666666599</v>
      </c>
      <c r="F73" s="2">
        <f ca="1">IFERROR(__xludf.DUMMYFUNCTION("""COMPUTED_VALUE"""),1843.06)</f>
        <v>1843.06</v>
      </c>
      <c r="G73" s="3">
        <f ca="1">IFERROR(__xludf.DUMMYFUNCTION("""COMPUTED_VALUE"""),43567.6666666666)</f>
        <v>43567.666666666599</v>
      </c>
      <c r="H73" s="2">
        <f ca="1">IFERROR(__xludf.DUMMYFUNCTION("""COMPUTED_VALUE"""),1222.73)</f>
        <v>1222.73</v>
      </c>
      <c r="I73" s="3">
        <f ca="1">IFERROR(__xludf.DUMMYFUNCTION("""COMPUTED_VALUE"""),43567.6666666666)</f>
        <v>43567.666666666599</v>
      </c>
      <c r="J73" s="2">
        <f ca="1">IFERROR(__xludf.DUMMYFUNCTION("""COMPUTED_VALUE"""),1217.87)</f>
        <v>1217.8699999999999</v>
      </c>
      <c r="K73" s="3">
        <f ca="1">IFERROR(__xludf.DUMMYFUNCTION("""COMPUTED_VALUE"""),43567.6666666666)</f>
        <v>43567.666666666599</v>
      </c>
      <c r="L73" s="2">
        <f ca="1">IFERROR(__xludf.DUMMYFUNCTION("""COMPUTED_VALUE"""),179.1)</f>
        <v>179.1</v>
      </c>
      <c r="M73" s="3">
        <f ca="1">IFERROR(__xludf.DUMMYFUNCTION("""COMPUTED_VALUE"""),43567.6666666666)</f>
        <v>43567.666666666599</v>
      </c>
      <c r="N73" s="2">
        <f ca="1">IFERROR(__xludf.DUMMYFUNCTION("""COMPUTED_VALUE"""),53.54)</f>
        <v>53.54</v>
      </c>
      <c r="O73" s="3">
        <f ca="1">IFERROR(__xludf.DUMMYFUNCTION("""COMPUTED_VALUE"""),43567.6666666666)</f>
        <v>43567.666666666599</v>
      </c>
      <c r="P73" s="2">
        <f ca="1">IFERROR(__xludf.DUMMYFUNCTION("""COMPUTED_VALUE"""),47.5)</f>
        <v>47.5</v>
      </c>
      <c r="Q73" s="3">
        <f ca="1">IFERROR(__xludf.DUMMYFUNCTION("""COMPUTED_VALUE"""),43567.6666666666)</f>
        <v>43567.666666666599</v>
      </c>
      <c r="R73" s="2">
        <f ca="1">IFERROR(__xludf.DUMMYFUNCTION("""COMPUTED_VALUE"""),210.56)</f>
        <v>210.56</v>
      </c>
      <c r="S73" s="3">
        <f ca="1">IFERROR(__xludf.DUMMYFUNCTION("""COMPUTED_VALUE"""),43567.6666666666)</f>
        <v>43567.666666666599</v>
      </c>
      <c r="T73" s="2">
        <f ca="1">IFERROR(__xludf.DUMMYFUNCTION("""COMPUTED_VALUE"""),135.98)</f>
        <v>135.97999999999999</v>
      </c>
    </row>
    <row r="74" spans="1:20">
      <c r="A74" s="3">
        <f ca="1">IFERROR(__xludf.DUMMYFUNCTION("""COMPUTED_VALUE"""),43570.6666666666)</f>
        <v>43570.666666666599</v>
      </c>
      <c r="B74" s="2">
        <f ca="1">IFERROR(__xludf.DUMMYFUNCTION("""COMPUTED_VALUE"""),49.81)</f>
        <v>49.81</v>
      </c>
      <c r="C74" s="3">
        <f ca="1">IFERROR(__xludf.DUMMYFUNCTION("""COMPUTED_VALUE"""),43570.6666666666)</f>
        <v>43570.666666666599</v>
      </c>
      <c r="D74" s="2">
        <f ca="1">IFERROR(__xludf.DUMMYFUNCTION("""COMPUTED_VALUE"""),121.05)</f>
        <v>121.05</v>
      </c>
      <c r="E74" s="3">
        <f ca="1">IFERROR(__xludf.DUMMYFUNCTION("""COMPUTED_VALUE"""),43570.6666666666)</f>
        <v>43570.666666666599</v>
      </c>
      <c r="F74" s="2">
        <f ca="1">IFERROR(__xludf.DUMMYFUNCTION("""COMPUTED_VALUE"""),1844.87)</f>
        <v>1844.87</v>
      </c>
      <c r="G74" s="3">
        <f ca="1">IFERROR(__xludf.DUMMYFUNCTION("""COMPUTED_VALUE"""),43570.6666666666)</f>
        <v>43570.666666666599</v>
      </c>
      <c r="H74" s="2">
        <f ca="1">IFERROR(__xludf.DUMMYFUNCTION("""COMPUTED_VALUE"""),1226.53)</f>
        <v>1226.53</v>
      </c>
      <c r="I74" s="3">
        <f ca="1">IFERROR(__xludf.DUMMYFUNCTION("""COMPUTED_VALUE"""),43570.6666666666)</f>
        <v>43570.666666666599</v>
      </c>
      <c r="J74" s="2">
        <f ca="1">IFERROR(__xludf.DUMMYFUNCTION("""COMPUTED_VALUE"""),1221.1)</f>
        <v>1221.0999999999999</v>
      </c>
      <c r="K74" s="3">
        <f ca="1">IFERROR(__xludf.DUMMYFUNCTION("""COMPUTED_VALUE"""),43570.6666666666)</f>
        <v>43570.666666666599</v>
      </c>
      <c r="L74" s="2">
        <f ca="1">IFERROR(__xludf.DUMMYFUNCTION("""COMPUTED_VALUE"""),179.65)</f>
        <v>179.65</v>
      </c>
      <c r="M74" s="3">
        <f ca="1">IFERROR(__xludf.DUMMYFUNCTION("""COMPUTED_VALUE"""),43570.6666666666)</f>
        <v>43570.666666666599</v>
      </c>
      <c r="N74" s="2">
        <f ca="1">IFERROR(__xludf.DUMMYFUNCTION("""COMPUTED_VALUE"""),53.28)</f>
        <v>53.28</v>
      </c>
      <c r="O74" s="3">
        <f ca="1">IFERROR(__xludf.DUMMYFUNCTION("""COMPUTED_VALUE"""),43570.6666666666)</f>
        <v>43570.666666666599</v>
      </c>
      <c r="P74" s="2">
        <f ca="1">IFERROR(__xludf.DUMMYFUNCTION("""COMPUTED_VALUE"""),46.18)</f>
        <v>46.18</v>
      </c>
      <c r="Q74" s="3">
        <f ca="1">IFERROR(__xludf.DUMMYFUNCTION("""COMPUTED_VALUE"""),43570.6666666666)</f>
        <v>43570.666666666599</v>
      </c>
      <c r="R74" s="2">
        <f ca="1">IFERROR(__xludf.DUMMYFUNCTION("""COMPUTED_VALUE"""),209.74)</f>
        <v>209.74</v>
      </c>
      <c r="S74" s="3">
        <f ca="1">IFERROR(__xludf.DUMMYFUNCTION("""COMPUTED_VALUE"""),43570.6666666666)</f>
        <v>43570.666666666599</v>
      </c>
      <c r="T74" s="2">
        <f ca="1">IFERROR(__xludf.DUMMYFUNCTION("""COMPUTED_VALUE"""),136.52)</f>
        <v>136.52000000000001</v>
      </c>
    </row>
    <row r="75" spans="1:20">
      <c r="A75" s="3">
        <f ca="1">IFERROR(__xludf.DUMMYFUNCTION("""COMPUTED_VALUE"""),43571.6666666666)</f>
        <v>43571.666666666599</v>
      </c>
      <c r="B75" s="2">
        <f ca="1">IFERROR(__xludf.DUMMYFUNCTION("""COMPUTED_VALUE"""),49.81)</f>
        <v>49.81</v>
      </c>
      <c r="C75" s="3">
        <f ca="1">IFERROR(__xludf.DUMMYFUNCTION("""COMPUTED_VALUE"""),43571.6666666666)</f>
        <v>43571.666666666599</v>
      </c>
      <c r="D75" s="2">
        <f ca="1">IFERROR(__xludf.DUMMYFUNCTION("""COMPUTED_VALUE"""),120.77)</f>
        <v>120.77</v>
      </c>
      <c r="E75" s="3">
        <f ca="1">IFERROR(__xludf.DUMMYFUNCTION("""COMPUTED_VALUE"""),43571.6666666666)</f>
        <v>43571.666666666599</v>
      </c>
      <c r="F75" s="2">
        <f ca="1">IFERROR(__xludf.DUMMYFUNCTION("""COMPUTED_VALUE"""),1863.04)</f>
        <v>1863.04</v>
      </c>
      <c r="G75" s="3">
        <f ca="1">IFERROR(__xludf.DUMMYFUNCTION("""COMPUTED_VALUE"""),43571.6666666666)</f>
        <v>43571.666666666599</v>
      </c>
      <c r="H75" s="2">
        <f ca="1">IFERROR(__xludf.DUMMYFUNCTION("""COMPUTED_VALUE"""),1231.91)</f>
        <v>1231.9100000000001</v>
      </c>
      <c r="I75" s="3">
        <f ca="1">IFERROR(__xludf.DUMMYFUNCTION("""COMPUTED_VALUE"""),43571.6666666666)</f>
        <v>43571.666666666599</v>
      </c>
      <c r="J75" s="2">
        <f ca="1">IFERROR(__xludf.DUMMYFUNCTION("""COMPUTED_VALUE"""),1227.13)</f>
        <v>1227.1300000000001</v>
      </c>
      <c r="K75" s="3">
        <f ca="1">IFERROR(__xludf.DUMMYFUNCTION("""COMPUTED_VALUE"""),43571.6666666666)</f>
        <v>43571.666666666599</v>
      </c>
      <c r="L75" s="2">
        <f ca="1">IFERROR(__xludf.DUMMYFUNCTION("""COMPUTED_VALUE"""),178.87)</f>
        <v>178.87</v>
      </c>
      <c r="M75" s="3">
        <f ca="1">IFERROR(__xludf.DUMMYFUNCTION("""COMPUTED_VALUE"""),43571.6666666666)</f>
        <v>43571.666666666599</v>
      </c>
      <c r="N75" s="2">
        <f ca="1">IFERROR(__xludf.DUMMYFUNCTION("""COMPUTED_VALUE"""),54.67)</f>
        <v>54.67</v>
      </c>
      <c r="O75" s="3">
        <f ca="1">IFERROR(__xludf.DUMMYFUNCTION("""COMPUTED_VALUE"""),43571.6666666666)</f>
        <v>43571.666666666599</v>
      </c>
      <c r="P75" s="2">
        <f ca="1">IFERROR(__xludf.DUMMYFUNCTION("""COMPUTED_VALUE"""),47.05)</f>
        <v>47.05</v>
      </c>
      <c r="Q75" s="3">
        <f ca="1">IFERROR(__xludf.DUMMYFUNCTION("""COMPUTED_VALUE"""),43571.6666666666)</f>
        <v>43571.666666666599</v>
      </c>
      <c r="R75" s="2">
        <f ca="1">IFERROR(__xludf.DUMMYFUNCTION("""COMPUTED_VALUE"""),211.8)</f>
        <v>211.8</v>
      </c>
      <c r="S75" s="3">
        <f ca="1">IFERROR(__xludf.DUMMYFUNCTION("""COMPUTED_VALUE"""),43571.6666666666)</f>
        <v>43571.666666666599</v>
      </c>
      <c r="T75" s="2">
        <f ca="1">IFERROR(__xludf.DUMMYFUNCTION("""COMPUTED_VALUE"""),138.02)</f>
        <v>138.02000000000001</v>
      </c>
    </row>
    <row r="76" spans="1:20">
      <c r="A76" s="3">
        <f ca="1">IFERROR(__xludf.DUMMYFUNCTION("""COMPUTED_VALUE"""),43572.6666666666)</f>
        <v>43572.666666666599</v>
      </c>
      <c r="B76" s="2">
        <f ca="1">IFERROR(__xludf.DUMMYFUNCTION("""COMPUTED_VALUE"""),50.78)</f>
        <v>50.78</v>
      </c>
      <c r="C76" s="3">
        <f ca="1">IFERROR(__xludf.DUMMYFUNCTION("""COMPUTED_VALUE"""),43572.6666666666)</f>
        <v>43572.666666666599</v>
      </c>
      <c r="D76" s="2">
        <f ca="1">IFERROR(__xludf.DUMMYFUNCTION("""COMPUTED_VALUE"""),121.77)</f>
        <v>121.77</v>
      </c>
      <c r="E76" s="3">
        <f ca="1">IFERROR(__xludf.DUMMYFUNCTION("""COMPUTED_VALUE"""),43572.6666666666)</f>
        <v>43572.666666666599</v>
      </c>
      <c r="F76" s="2">
        <f ca="1">IFERROR(__xludf.DUMMYFUNCTION("""COMPUTED_VALUE"""),1864.82)</f>
        <v>1864.82</v>
      </c>
      <c r="G76" s="3">
        <f ca="1">IFERROR(__xludf.DUMMYFUNCTION("""COMPUTED_VALUE"""),43572.6666666666)</f>
        <v>43572.666666666599</v>
      </c>
      <c r="H76" s="2">
        <f ca="1">IFERROR(__xludf.DUMMYFUNCTION("""COMPUTED_VALUE"""),1240.14)</f>
        <v>1240.1400000000001</v>
      </c>
      <c r="I76" s="3">
        <f ca="1">IFERROR(__xludf.DUMMYFUNCTION("""COMPUTED_VALUE"""),43572.6666666666)</f>
        <v>43572.666666666599</v>
      </c>
      <c r="J76" s="2">
        <f ca="1">IFERROR(__xludf.DUMMYFUNCTION("""COMPUTED_VALUE"""),1236.34)</f>
        <v>1236.3399999999999</v>
      </c>
      <c r="K76" s="3">
        <f ca="1">IFERROR(__xludf.DUMMYFUNCTION("""COMPUTED_VALUE"""),43572.6666666666)</f>
        <v>43572.666666666599</v>
      </c>
      <c r="L76" s="2">
        <f ca="1">IFERROR(__xludf.DUMMYFUNCTION("""COMPUTED_VALUE"""),178.78)</f>
        <v>178.78</v>
      </c>
      <c r="M76" s="3">
        <f ca="1">IFERROR(__xludf.DUMMYFUNCTION("""COMPUTED_VALUE"""),43572.6666666666)</f>
        <v>43572.666666666599</v>
      </c>
      <c r="N76" s="2">
        <f ca="1">IFERROR(__xludf.DUMMYFUNCTION("""COMPUTED_VALUE"""),54.25)</f>
        <v>54.25</v>
      </c>
      <c r="O76" s="3">
        <f ca="1">IFERROR(__xludf.DUMMYFUNCTION("""COMPUTED_VALUE"""),43572.6666666666)</f>
        <v>43572.666666666599</v>
      </c>
      <c r="P76" s="2">
        <f ca="1">IFERROR(__xludf.DUMMYFUNCTION("""COMPUTED_VALUE"""),46.82)</f>
        <v>46.82</v>
      </c>
      <c r="Q76" s="3">
        <f ca="1">IFERROR(__xludf.DUMMYFUNCTION("""COMPUTED_VALUE"""),43572.6666666666)</f>
        <v>43572.666666666599</v>
      </c>
      <c r="R76" s="2">
        <f ca="1">IFERROR(__xludf.DUMMYFUNCTION("""COMPUTED_VALUE"""),210.37)</f>
        <v>210.37</v>
      </c>
      <c r="S76" s="3">
        <f ca="1">IFERROR(__xludf.DUMMYFUNCTION("""COMPUTED_VALUE"""),43572.6666666666)</f>
        <v>43572.666666666599</v>
      </c>
      <c r="T76" s="2">
        <f ca="1">IFERROR(__xludf.DUMMYFUNCTION("""COMPUTED_VALUE"""),138.52)</f>
        <v>138.52000000000001</v>
      </c>
    </row>
    <row r="77" spans="1:20">
      <c r="A77" s="3">
        <f ca="1">IFERROR(__xludf.DUMMYFUNCTION("""COMPUTED_VALUE"""),43573.6666666666)</f>
        <v>43573.666666666599</v>
      </c>
      <c r="B77" s="2">
        <f ca="1">IFERROR(__xludf.DUMMYFUNCTION("""COMPUTED_VALUE"""),50.97)</f>
        <v>50.97</v>
      </c>
      <c r="C77" s="3">
        <f ca="1">IFERROR(__xludf.DUMMYFUNCTION("""COMPUTED_VALUE"""),43573.6666666666)</f>
        <v>43573.666666666599</v>
      </c>
      <c r="D77" s="2">
        <f ca="1">IFERROR(__xludf.DUMMYFUNCTION("""COMPUTED_VALUE"""),123.37)</f>
        <v>123.37</v>
      </c>
      <c r="E77" s="3">
        <f ca="1">IFERROR(__xludf.DUMMYFUNCTION("""COMPUTED_VALUE"""),43573.6666666666)</f>
        <v>43573.666666666599</v>
      </c>
      <c r="F77" s="2">
        <f ca="1">IFERROR(__xludf.DUMMYFUNCTION("""COMPUTED_VALUE"""),1861.69)</f>
        <v>1861.69</v>
      </c>
      <c r="G77" s="3">
        <f ca="1">IFERROR(__xludf.DUMMYFUNCTION("""COMPUTED_VALUE"""),43573.6666666666)</f>
        <v>43573.666666666599</v>
      </c>
      <c r="H77" s="2">
        <f ca="1">IFERROR(__xludf.DUMMYFUNCTION("""COMPUTED_VALUE"""),1241.47)</f>
        <v>1241.47</v>
      </c>
      <c r="I77" s="3">
        <f ca="1">IFERROR(__xludf.DUMMYFUNCTION("""COMPUTED_VALUE"""),43573.6666666666)</f>
        <v>43573.666666666599</v>
      </c>
      <c r="J77" s="2">
        <f ca="1">IFERROR(__xludf.DUMMYFUNCTION("""COMPUTED_VALUE"""),1236.37)</f>
        <v>1236.3699999999999</v>
      </c>
      <c r="K77" s="3">
        <f ca="1">IFERROR(__xludf.DUMMYFUNCTION("""COMPUTED_VALUE"""),43573.6666666666)</f>
        <v>43573.666666666599</v>
      </c>
      <c r="L77" s="2">
        <f ca="1">IFERROR(__xludf.DUMMYFUNCTION("""COMPUTED_VALUE"""),178.28)</f>
        <v>178.28</v>
      </c>
      <c r="M77" s="3">
        <f ca="1">IFERROR(__xludf.DUMMYFUNCTION("""COMPUTED_VALUE"""),43573.6666666666)</f>
        <v>43573.666666666599</v>
      </c>
      <c r="N77" s="2">
        <f ca="1">IFERROR(__xludf.DUMMYFUNCTION("""COMPUTED_VALUE"""),54.65)</f>
        <v>54.65</v>
      </c>
      <c r="O77" s="3">
        <f ca="1">IFERROR(__xludf.DUMMYFUNCTION("""COMPUTED_VALUE"""),43573.6666666666)</f>
        <v>43573.666666666599</v>
      </c>
      <c r="P77" s="2">
        <f ca="1">IFERROR(__xludf.DUMMYFUNCTION("""COMPUTED_VALUE"""),46.58)</f>
        <v>46.58</v>
      </c>
      <c r="Q77" s="3">
        <f ca="1">IFERROR(__xludf.DUMMYFUNCTION("""COMPUTED_VALUE"""),43573.6666666666)</f>
        <v>43573.666666666599</v>
      </c>
      <c r="R77" s="2">
        <f ca="1">IFERROR(__xludf.DUMMYFUNCTION("""COMPUTED_VALUE"""),209.99)</f>
        <v>209.99</v>
      </c>
      <c r="S77" s="3">
        <f ca="1">IFERROR(__xludf.DUMMYFUNCTION("""COMPUTED_VALUE"""),43573.6666666666)</f>
        <v>43573.666666666599</v>
      </c>
      <c r="T77" s="2">
        <f ca="1">IFERROR(__xludf.DUMMYFUNCTION("""COMPUTED_VALUE"""),137.52)</f>
        <v>137.52000000000001</v>
      </c>
    </row>
    <row r="78" spans="1:20">
      <c r="A78" s="3">
        <f ca="1">IFERROR(__xludf.DUMMYFUNCTION("""COMPUTED_VALUE"""),43577.6666666666)</f>
        <v>43577.666666666599</v>
      </c>
      <c r="B78" s="2">
        <f ca="1">IFERROR(__xludf.DUMMYFUNCTION("""COMPUTED_VALUE"""),51.13)</f>
        <v>51.13</v>
      </c>
      <c r="C78" s="3">
        <f ca="1">IFERROR(__xludf.DUMMYFUNCTION("""COMPUTED_VALUE"""),43577.6666666666)</f>
        <v>43577.666666666599</v>
      </c>
      <c r="D78" s="2">
        <f ca="1">IFERROR(__xludf.DUMMYFUNCTION("""COMPUTED_VALUE"""),123.76)</f>
        <v>123.76</v>
      </c>
      <c r="E78" s="3">
        <f ca="1">IFERROR(__xludf.DUMMYFUNCTION("""COMPUTED_VALUE"""),43577.6666666666)</f>
        <v>43577.666666666599</v>
      </c>
      <c r="F78" s="2">
        <f ca="1">IFERROR(__xludf.DUMMYFUNCTION("""COMPUTED_VALUE"""),1887.31)</f>
        <v>1887.31</v>
      </c>
      <c r="G78" s="3">
        <f ca="1">IFERROR(__xludf.DUMMYFUNCTION("""COMPUTED_VALUE"""),43577.6666666666)</f>
        <v>43577.666666666599</v>
      </c>
      <c r="H78" s="2">
        <f ca="1">IFERROR(__xludf.DUMMYFUNCTION("""COMPUTED_VALUE"""),1253.76)</f>
        <v>1253.76</v>
      </c>
      <c r="I78" s="3">
        <f ca="1">IFERROR(__xludf.DUMMYFUNCTION("""COMPUTED_VALUE"""),43577.6666666666)</f>
        <v>43577.666666666599</v>
      </c>
      <c r="J78" s="2">
        <f ca="1">IFERROR(__xludf.DUMMYFUNCTION("""COMPUTED_VALUE"""),1248.84)</f>
        <v>1248.8399999999999</v>
      </c>
      <c r="K78" s="3">
        <f ca="1">IFERROR(__xludf.DUMMYFUNCTION("""COMPUTED_VALUE"""),43577.6666666666)</f>
        <v>43577.666666666599</v>
      </c>
      <c r="L78" s="2">
        <f ca="1">IFERROR(__xludf.DUMMYFUNCTION("""COMPUTED_VALUE"""),181.44)</f>
        <v>181.44</v>
      </c>
      <c r="M78" s="3">
        <f ca="1">IFERROR(__xludf.DUMMYFUNCTION("""COMPUTED_VALUE"""),43577.6666666666)</f>
        <v>43577.666666666599</v>
      </c>
      <c r="N78" s="2">
        <f ca="1">IFERROR(__xludf.DUMMYFUNCTION("""COMPUTED_VALUE"""),52.55)</f>
        <v>52.55</v>
      </c>
      <c r="O78" s="3">
        <f ca="1">IFERROR(__xludf.DUMMYFUNCTION("""COMPUTED_VALUE"""),43577.6666666666)</f>
        <v>43577.666666666599</v>
      </c>
      <c r="P78" s="2">
        <f ca="1">IFERROR(__xludf.DUMMYFUNCTION("""COMPUTED_VALUE"""),47.12)</f>
        <v>47.12</v>
      </c>
      <c r="Q78" s="3">
        <f ca="1">IFERROR(__xludf.DUMMYFUNCTION("""COMPUTED_VALUE"""),43577.6666666666)</f>
        <v>43577.666666666599</v>
      </c>
      <c r="R78" s="2">
        <f ca="1">IFERROR(__xludf.DUMMYFUNCTION("""COMPUTED_VALUE"""),209.49)</f>
        <v>209.49</v>
      </c>
      <c r="S78" s="3">
        <f ca="1">IFERROR(__xludf.DUMMYFUNCTION("""COMPUTED_VALUE"""),43577.6666666666)</f>
        <v>43577.666666666599</v>
      </c>
      <c r="T78" s="2">
        <f ca="1">IFERROR(__xludf.DUMMYFUNCTION("""COMPUTED_VALUE"""),137.83)</f>
        <v>137.83000000000001</v>
      </c>
    </row>
    <row r="79" spans="1:20">
      <c r="A79" s="3">
        <f ca="1">IFERROR(__xludf.DUMMYFUNCTION("""COMPUTED_VALUE"""),43578.6666666666)</f>
        <v>43578.666666666599</v>
      </c>
      <c r="B79" s="2">
        <f ca="1">IFERROR(__xludf.DUMMYFUNCTION("""COMPUTED_VALUE"""),51.87)</f>
        <v>51.87</v>
      </c>
      <c r="C79" s="3">
        <f ca="1">IFERROR(__xludf.DUMMYFUNCTION("""COMPUTED_VALUE"""),43578.6666666666)</f>
        <v>43578.666666666599</v>
      </c>
      <c r="D79" s="2">
        <f ca="1">IFERROR(__xludf.DUMMYFUNCTION("""COMPUTED_VALUE"""),125.44)</f>
        <v>125.44</v>
      </c>
      <c r="E79" s="3">
        <f ca="1">IFERROR(__xludf.DUMMYFUNCTION("""COMPUTED_VALUE"""),43578.6666666666)</f>
        <v>43578.666666666599</v>
      </c>
      <c r="F79" s="2">
        <f ca="1">IFERROR(__xludf.DUMMYFUNCTION("""COMPUTED_VALUE"""),1923.77)</f>
        <v>1923.77</v>
      </c>
      <c r="G79" s="3">
        <f ca="1">IFERROR(__xludf.DUMMYFUNCTION("""COMPUTED_VALUE"""),43578.6666666666)</f>
        <v>43578.666666666599</v>
      </c>
      <c r="H79" s="2">
        <f ca="1">IFERROR(__xludf.DUMMYFUNCTION("""COMPUTED_VALUE"""),1270.59)</f>
        <v>1270.5899999999999</v>
      </c>
      <c r="I79" s="3">
        <f ca="1">IFERROR(__xludf.DUMMYFUNCTION("""COMPUTED_VALUE"""),43578.6666666666)</f>
        <v>43578.666666666599</v>
      </c>
      <c r="J79" s="2">
        <f ca="1">IFERROR(__xludf.DUMMYFUNCTION("""COMPUTED_VALUE"""),1264.55)</f>
        <v>1264.55</v>
      </c>
      <c r="K79" s="3">
        <f ca="1">IFERROR(__xludf.DUMMYFUNCTION("""COMPUTED_VALUE"""),43578.6666666666)</f>
        <v>43578.666666666599</v>
      </c>
      <c r="L79" s="2">
        <f ca="1">IFERROR(__xludf.DUMMYFUNCTION("""COMPUTED_VALUE"""),183.78)</f>
        <v>183.78</v>
      </c>
      <c r="M79" s="3">
        <f ca="1">IFERROR(__xludf.DUMMYFUNCTION("""COMPUTED_VALUE"""),43578.6666666666)</f>
        <v>43578.666666666599</v>
      </c>
      <c r="N79" s="2">
        <f ca="1">IFERROR(__xludf.DUMMYFUNCTION("""COMPUTED_VALUE"""),52.78)</f>
        <v>52.78</v>
      </c>
      <c r="O79" s="3">
        <f ca="1">IFERROR(__xludf.DUMMYFUNCTION("""COMPUTED_VALUE"""),43578.6666666666)</f>
        <v>43578.666666666599</v>
      </c>
      <c r="P79" s="2">
        <f ca="1">IFERROR(__xludf.DUMMYFUNCTION("""COMPUTED_VALUE"""),47.67)</f>
        <v>47.67</v>
      </c>
      <c r="Q79" s="3">
        <f ca="1">IFERROR(__xludf.DUMMYFUNCTION("""COMPUTED_VALUE"""),43578.6666666666)</f>
        <v>43578.666666666599</v>
      </c>
      <c r="R79" s="2">
        <f ca="1">IFERROR(__xludf.DUMMYFUNCTION("""COMPUTED_VALUE"""),211.61)</f>
        <v>211.61</v>
      </c>
      <c r="S79" s="3">
        <f ca="1">IFERROR(__xludf.DUMMYFUNCTION("""COMPUTED_VALUE"""),43578.6666666666)</f>
        <v>43578.666666666599</v>
      </c>
      <c r="T79" s="2">
        <f ca="1">IFERROR(__xludf.DUMMYFUNCTION("""COMPUTED_VALUE"""),139.9)</f>
        <v>139.9</v>
      </c>
    </row>
    <row r="80" spans="1:20">
      <c r="A80" s="3">
        <f ca="1">IFERROR(__xludf.DUMMYFUNCTION("""COMPUTED_VALUE"""),43579.6666666666)</f>
        <v>43579.666666666599</v>
      </c>
      <c r="B80" s="2">
        <f ca="1">IFERROR(__xludf.DUMMYFUNCTION("""COMPUTED_VALUE"""),51.79)</f>
        <v>51.79</v>
      </c>
      <c r="C80" s="3">
        <f ca="1">IFERROR(__xludf.DUMMYFUNCTION("""COMPUTED_VALUE"""),43579.6666666666)</f>
        <v>43579.666666666599</v>
      </c>
      <c r="D80" s="2">
        <f ca="1">IFERROR(__xludf.DUMMYFUNCTION("""COMPUTED_VALUE"""),125.01)</f>
        <v>125.01</v>
      </c>
      <c r="E80" s="3">
        <f ca="1">IFERROR(__xludf.DUMMYFUNCTION("""COMPUTED_VALUE"""),43579.6666666666)</f>
        <v>43579.666666666599</v>
      </c>
      <c r="F80" s="2">
        <f ca="1">IFERROR(__xludf.DUMMYFUNCTION("""COMPUTED_VALUE"""),1901.75)</f>
        <v>1901.75</v>
      </c>
      <c r="G80" s="3">
        <f ca="1">IFERROR(__xludf.DUMMYFUNCTION("""COMPUTED_VALUE"""),43579.6666666666)</f>
        <v>43579.666666666599</v>
      </c>
      <c r="H80" s="2">
        <f ca="1">IFERROR(__xludf.DUMMYFUNCTION("""COMPUTED_VALUE"""),1260.05)</f>
        <v>1260.05</v>
      </c>
      <c r="I80" s="3">
        <f ca="1">IFERROR(__xludf.DUMMYFUNCTION("""COMPUTED_VALUE"""),43579.6666666666)</f>
        <v>43579.666666666599</v>
      </c>
      <c r="J80" s="2">
        <f ca="1">IFERROR(__xludf.DUMMYFUNCTION("""COMPUTED_VALUE"""),1256)</f>
        <v>1256</v>
      </c>
      <c r="K80" s="3">
        <f ca="1">IFERROR(__xludf.DUMMYFUNCTION("""COMPUTED_VALUE"""),43579.6666666666)</f>
        <v>43579.666666666599</v>
      </c>
      <c r="L80" s="2">
        <f ca="1">IFERROR(__xludf.DUMMYFUNCTION("""COMPUTED_VALUE"""),182.58)</f>
        <v>182.58</v>
      </c>
      <c r="M80" s="3">
        <f ca="1">IFERROR(__xludf.DUMMYFUNCTION("""COMPUTED_VALUE"""),43579.6666666666)</f>
        <v>43579.666666666599</v>
      </c>
      <c r="N80" s="2">
        <f ca="1">IFERROR(__xludf.DUMMYFUNCTION("""COMPUTED_VALUE"""),51.73)</f>
        <v>51.73</v>
      </c>
      <c r="O80" s="3">
        <f ca="1">IFERROR(__xludf.DUMMYFUNCTION("""COMPUTED_VALUE"""),43579.6666666666)</f>
        <v>43579.666666666599</v>
      </c>
      <c r="P80" s="2">
        <f ca="1">IFERROR(__xludf.DUMMYFUNCTION("""COMPUTED_VALUE"""),47.79)</f>
        <v>47.79</v>
      </c>
      <c r="Q80" s="3">
        <f ca="1">IFERROR(__xludf.DUMMYFUNCTION("""COMPUTED_VALUE"""),43579.6666666666)</f>
        <v>43579.666666666599</v>
      </c>
      <c r="R80" s="2">
        <f ca="1">IFERROR(__xludf.DUMMYFUNCTION("""COMPUTED_VALUE"""),210.57)</f>
        <v>210.57</v>
      </c>
      <c r="S80" s="3">
        <f ca="1">IFERROR(__xludf.DUMMYFUNCTION("""COMPUTED_VALUE"""),43579.6666666666)</f>
        <v>43579.666666666599</v>
      </c>
      <c r="T80" s="2">
        <f ca="1">IFERROR(__xludf.DUMMYFUNCTION("""COMPUTED_VALUE"""),139.2)</f>
        <v>139.19999999999999</v>
      </c>
    </row>
    <row r="81" spans="1:20">
      <c r="A81" s="3">
        <f ca="1">IFERROR(__xludf.DUMMYFUNCTION("""COMPUTED_VALUE"""),43580.6666666666)</f>
        <v>43580.666666666599</v>
      </c>
      <c r="B81" s="2">
        <f ca="1">IFERROR(__xludf.DUMMYFUNCTION("""COMPUTED_VALUE"""),51.32)</f>
        <v>51.32</v>
      </c>
      <c r="C81" s="3">
        <f ca="1">IFERROR(__xludf.DUMMYFUNCTION("""COMPUTED_VALUE"""),43580.6666666666)</f>
        <v>43580.666666666599</v>
      </c>
      <c r="D81" s="2">
        <f ca="1">IFERROR(__xludf.DUMMYFUNCTION("""COMPUTED_VALUE"""),129.15)</f>
        <v>129.15</v>
      </c>
      <c r="E81" s="3">
        <f ca="1">IFERROR(__xludf.DUMMYFUNCTION("""COMPUTED_VALUE"""),43580.6666666666)</f>
        <v>43580.666666666599</v>
      </c>
      <c r="F81" s="2">
        <f ca="1">IFERROR(__xludf.DUMMYFUNCTION("""COMPUTED_VALUE"""),1902.25)</f>
        <v>1902.25</v>
      </c>
      <c r="G81" s="3">
        <f ca="1">IFERROR(__xludf.DUMMYFUNCTION("""COMPUTED_VALUE"""),43580.6666666666)</f>
        <v>43580.666666666599</v>
      </c>
      <c r="H81" s="2">
        <f ca="1">IFERROR(__xludf.DUMMYFUNCTION("""COMPUTED_VALUE"""),1267.34)</f>
        <v>1267.3399999999999</v>
      </c>
      <c r="I81" s="3">
        <f ca="1">IFERROR(__xludf.DUMMYFUNCTION("""COMPUTED_VALUE"""),43580.6666666666)</f>
        <v>43580.666666666599</v>
      </c>
      <c r="J81" s="2">
        <f ca="1">IFERROR(__xludf.DUMMYFUNCTION("""COMPUTED_VALUE"""),1263.45)</f>
        <v>1263.45</v>
      </c>
      <c r="K81" s="3">
        <f ca="1">IFERROR(__xludf.DUMMYFUNCTION("""COMPUTED_VALUE"""),43580.6666666666)</f>
        <v>43580.666666666599</v>
      </c>
      <c r="L81" s="2">
        <f ca="1">IFERROR(__xludf.DUMMYFUNCTION("""COMPUTED_VALUE"""),193.26)</f>
        <v>193.26</v>
      </c>
      <c r="M81" s="3">
        <f ca="1">IFERROR(__xludf.DUMMYFUNCTION("""COMPUTED_VALUE"""),43580.6666666666)</f>
        <v>43580.666666666599</v>
      </c>
      <c r="N81" s="2">
        <f ca="1">IFERROR(__xludf.DUMMYFUNCTION("""COMPUTED_VALUE"""),49.53)</f>
        <v>49.53</v>
      </c>
      <c r="O81" s="3">
        <f ca="1">IFERROR(__xludf.DUMMYFUNCTION("""COMPUTED_VALUE"""),43580.6666666666)</f>
        <v>43580.666666666599</v>
      </c>
      <c r="P81" s="2">
        <f ca="1">IFERROR(__xludf.DUMMYFUNCTION("""COMPUTED_VALUE"""),46.73)</f>
        <v>46.73</v>
      </c>
      <c r="Q81" s="3">
        <f ca="1">IFERROR(__xludf.DUMMYFUNCTION("""COMPUTED_VALUE"""),43580.6666666666)</f>
        <v>43580.666666666599</v>
      </c>
      <c r="R81" s="2">
        <f ca="1">IFERROR(__xludf.DUMMYFUNCTION("""COMPUTED_VALUE"""),211.95)</f>
        <v>211.95</v>
      </c>
      <c r="S81" s="3">
        <f ca="1">IFERROR(__xludf.DUMMYFUNCTION("""COMPUTED_VALUE"""),43580.6666666666)</f>
        <v>43580.666666666599</v>
      </c>
      <c r="T81" s="2">
        <f ca="1">IFERROR(__xludf.DUMMYFUNCTION("""COMPUTED_VALUE"""),139.65)</f>
        <v>139.65</v>
      </c>
    </row>
    <row r="82" spans="1:20">
      <c r="A82" s="3">
        <f ca="1">IFERROR(__xludf.DUMMYFUNCTION("""COMPUTED_VALUE"""),43581.6666666666)</f>
        <v>43581.666666666599</v>
      </c>
      <c r="B82" s="2">
        <f ca="1">IFERROR(__xludf.DUMMYFUNCTION("""COMPUTED_VALUE"""),51.08)</f>
        <v>51.08</v>
      </c>
      <c r="C82" s="3">
        <f ca="1">IFERROR(__xludf.DUMMYFUNCTION("""COMPUTED_VALUE"""),43581.6666666666)</f>
        <v>43581.666666666599</v>
      </c>
      <c r="D82" s="2">
        <f ca="1">IFERROR(__xludf.DUMMYFUNCTION("""COMPUTED_VALUE"""),129.89)</f>
        <v>129.88999999999999</v>
      </c>
      <c r="E82" s="3">
        <f ca="1">IFERROR(__xludf.DUMMYFUNCTION("""COMPUTED_VALUE"""),43581.6666666666)</f>
        <v>43581.666666666599</v>
      </c>
      <c r="F82" s="2">
        <f ca="1">IFERROR(__xludf.DUMMYFUNCTION("""COMPUTED_VALUE"""),1950.63)</f>
        <v>1950.63</v>
      </c>
      <c r="G82" s="3">
        <f ca="1">IFERROR(__xludf.DUMMYFUNCTION("""COMPUTED_VALUE"""),43581.6666666666)</f>
        <v>43581.666666666599</v>
      </c>
      <c r="H82" s="2">
        <f ca="1">IFERROR(__xludf.DUMMYFUNCTION("""COMPUTED_VALUE"""),1277.42)</f>
        <v>1277.42</v>
      </c>
      <c r="I82" s="3">
        <f ca="1">IFERROR(__xludf.DUMMYFUNCTION("""COMPUTED_VALUE"""),43581.6666666666)</f>
        <v>43581.666666666599</v>
      </c>
      <c r="J82" s="2">
        <f ca="1">IFERROR(__xludf.DUMMYFUNCTION("""COMPUTED_VALUE"""),1272.18)</f>
        <v>1272.18</v>
      </c>
      <c r="K82" s="3">
        <f ca="1">IFERROR(__xludf.DUMMYFUNCTION("""COMPUTED_VALUE"""),43581.6666666666)</f>
        <v>43581.666666666599</v>
      </c>
      <c r="L82" s="2">
        <f ca="1">IFERROR(__xludf.DUMMYFUNCTION("""COMPUTED_VALUE"""),191.49)</f>
        <v>191.49</v>
      </c>
      <c r="M82" s="3">
        <f ca="1">IFERROR(__xludf.DUMMYFUNCTION("""COMPUTED_VALUE"""),43581.6666666666)</f>
        <v>43581.666666666599</v>
      </c>
      <c r="N82" s="2">
        <f ca="1">IFERROR(__xludf.DUMMYFUNCTION("""COMPUTED_VALUE"""),47.03)</f>
        <v>47.03</v>
      </c>
      <c r="O82" s="3">
        <f ca="1">IFERROR(__xludf.DUMMYFUNCTION("""COMPUTED_VALUE"""),43581.6666666666)</f>
        <v>43581.666666666599</v>
      </c>
      <c r="P82" s="2">
        <f ca="1">IFERROR(__xludf.DUMMYFUNCTION("""COMPUTED_VALUE"""),44.52)</f>
        <v>44.52</v>
      </c>
      <c r="Q82" s="3">
        <f ca="1">IFERROR(__xludf.DUMMYFUNCTION("""COMPUTED_VALUE"""),43581.6666666666)</f>
        <v>43581.666666666599</v>
      </c>
      <c r="R82" s="2">
        <f ca="1">IFERROR(__xludf.DUMMYFUNCTION("""COMPUTED_VALUE"""),214.22)</f>
        <v>214.22</v>
      </c>
      <c r="S82" s="3">
        <f ca="1">IFERROR(__xludf.DUMMYFUNCTION("""COMPUTED_VALUE"""),43581.6666666666)</f>
        <v>43581.666666666599</v>
      </c>
      <c r="T82" s="2">
        <f ca="1">IFERROR(__xludf.DUMMYFUNCTION("""COMPUTED_VALUE"""),140.39)</f>
        <v>140.38999999999999</v>
      </c>
    </row>
    <row r="83" spans="1:20">
      <c r="A83" s="3">
        <f ca="1">IFERROR(__xludf.DUMMYFUNCTION("""COMPUTED_VALUE"""),43584.6666666666)</f>
        <v>43584.666666666599</v>
      </c>
      <c r="B83" s="2">
        <f ca="1">IFERROR(__xludf.DUMMYFUNCTION("""COMPUTED_VALUE"""),51.15)</f>
        <v>51.15</v>
      </c>
      <c r="C83" s="3">
        <f ca="1">IFERROR(__xludf.DUMMYFUNCTION("""COMPUTED_VALUE"""),43584.6666666666)</f>
        <v>43584.666666666599</v>
      </c>
      <c r="D83" s="2">
        <f ca="1">IFERROR(__xludf.DUMMYFUNCTION("""COMPUTED_VALUE"""),129.77)</f>
        <v>129.77000000000001</v>
      </c>
      <c r="E83" s="3">
        <f ca="1">IFERROR(__xludf.DUMMYFUNCTION("""COMPUTED_VALUE"""),43584.6666666666)</f>
        <v>43584.666666666599</v>
      </c>
      <c r="F83" s="2">
        <f ca="1">IFERROR(__xludf.DUMMYFUNCTION("""COMPUTED_VALUE"""),1938.43)</f>
        <v>1938.43</v>
      </c>
      <c r="G83" s="3">
        <f ca="1">IFERROR(__xludf.DUMMYFUNCTION("""COMPUTED_VALUE"""),43584.6666666666)</f>
        <v>43584.666666666599</v>
      </c>
      <c r="H83" s="2">
        <f ca="1">IFERROR(__xludf.DUMMYFUNCTION("""COMPUTED_VALUE"""),1296.2)</f>
        <v>1296.2</v>
      </c>
      <c r="I83" s="3">
        <f ca="1">IFERROR(__xludf.DUMMYFUNCTION("""COMPUTED_VALUE"""),43584.6666666666)</f>
        <v>43584.666666666599</v>
      </c>
      <c r="J83" s="2">
        <f ca="1">IFERROR(__xludf.DUMMYFUNCTION("""COMPUTED_VALUE"""),1287.58)</f>
        <v>1287.58</v>
      </c>
      <c r="K83" s="3">
        <f ca="1">IFERROR(__xludf.DUMMYFUNCTION("""COMPUTED_VALUE"""),43584.6666666666)</f>
        <v>43584.666666666599</v>
      </c>
      <c r="L83" s="2">
        <f ca="1">IFERROR(__xludf.DUMMYFUNCTION("""COMPUTED_VALUE"""),194.78)</f>
        <v>194.78</v>
      </c>
      <c r="M83" s="3">
        <f ca="1">IFERROR(__xludf.DUMMYFUNCTION("""COMPUTED_VALUE"""),43584.6666666666)</f>
        <v>43584.666666666599</v>
      </c>
      <c r="N83" s="2">
        <f ca="1">IFERROR(__xludf.DUMMYFUNCTION("""COMPUTED_VALUE"""),48.29)</f>
        <v>48.29</v>
      </c>
      <c r="O83" s="3">
        <f ca="1">IFERROR(__xludf.DUMMYFUNCTION("""COMPUTED_VALUE"""),43584.6666666666)</f>
        <v>43584.666666666599</v>
      </c>
      <c r="P83" s="2">
        <f ca="1">IFERROR(__xludf.DUMMYFUNCTION("""COMPUTED_VALUE"""),44.83)</f>
        <v>44.83</v>
      </c>
      <c r="Q83" s="3">
        <f ca="1">IFERROR(__xludf.DUMMYFUNCTION("""COMPUTED_VALUE"""),43584.6666666666)</f>
        <v>43584.666666666599</v>
      </c>
      <c r="R83" s="2">
        <f ca="1">IFERROR(__xludf.DUMMYFUNCTION("""COMPUTED_VALUE"""),216.58)</f>
        <v>216.58</v>
      </c>
      <c r="S83" s="3">
        <f ca="1">IFERROR(__xludf.DUMMYFUNCTION("""COMPUTED_VALUE"""),43584.6666666666)</f>
        <v>43584.666666666599</v>
      </c>
      <c r="T83" s="2">
        <f ca="1">IFERROR(__xludf.DUMMYFUNCTION("""COMPUTED_VALUE"""),139.84)</f>
        <v>139.84</v>
      </c>
    </row>
    <row r="84" spans="1:20">
      <c r="A84" s="3">
        <f ca="1">IFERROR(__xludf.DUMMYFUNCTION("""COMPUTED_VALUE"""),43585.6666666666)</f>
        <v>43585.666666666599</v>
      </c>
      <c r="B84" s="2">
        <f ca="1">IFERROR(__xludf.DUMMYFUNCTION("""COMPUTED_VALUE"""),50.17)</f>
        <v>50.17</v>
      </c>
      <c r="C84" s="3">
        <f ca="1">IFERROR(__xludf.DUMMYFUNCTION("""COMPUTED_VALUE"""),43585.6666666666)</f>
        <v>43585.666666666599</v>
      </c>
      <c r="D84" s="2">
        <f ca="1">IFERROR(__xludf.DUMMYFUNCTION("""COMPUTED_VALUE"""),130.6)</f>
        <v>130.6</v>
      </c>
      <c r="E84" s="3">
        <f ca="1">IFERROR(__xludf.DUMMYFUNCTION("""COMPUTED_VALUE"""),43585.6666666666)</f>
        <v>43585.666666666599</v>
      </c>
      <c r="F84" s="2">
        <f ca="1">IFERROR(__xludf.DUMMYFUNCTION("""COMPUTED_VALUE"""),1926.52)</f>
        <v>1926.52</v>
      </c>
      <c r="G84" s="3">
        <f ca="1">IFERROR(__xludf.DUMMYFUNCTION("""COMPUTED_VALUE"""),43585.6666666666)</f>
        <v>43585.666666666599</v>
      </c>
      <c r="H84" s="2">
        <f ca="1">IFERROR(__xludf.DUMMYFUNCTION("""COMPUTED_VALUE"""),1198.96)</f>
        <v>1198.96</v>
      </c>
      <c r="I84" s="3">
        <f ca="1">IFERROR(__xludf.DUMMYFUNCTION("""COMPUTED_VALUE"""),43585.6666666666)</f>
        <v>43585.666666666599</v>
      </c>
      <c r="J84" s="2">
        <f ca="1">IFERROR(__xludf.DUMMYFUNCTION("""COMPUTED_VALUE"""),1188.48)</f>
        <v>1188.48</v>
      </c>
      <c r="K84" s="3">
        <f ca="1">IFERROR(__xludf.DUMMYFUNCTION("""COMPUTED_VALUE"""),43585.6666666666)</f>
        <v>43585.666666666599</v>
      </c>
      <c r="L84" s="2">
        <f ca="1">IFERROR(__xludf.DUMMYFUNCTION("""COMPUTED_VALUE"""),193.4)</f>
        <v>193.4</v>
      </c>
      <c r="M84" s="3">
        <f ca="1">IFERROR(__xludf.DUMMYFUNCTION("""COMPUTED_VALUE"""),43585.6666666666)</f>
        <v>43585.666666666599</v>
      </c>
      <c r="N84" s="2">
        <f ca="1">IFERROR(__xludf.DUMMYFUNCTION("""COMPUTED_VALUE"""),47.74)</f>
        <v>47.74</v>
      </c>
      <c r="O84" s="3">
        <f ca="1">IFERROR(__xludf.DUMMYFUNCTION("""COMPUTED_VALUE"""),43585.6666666666)</f>
        <v>43585.666666666599</v>
      </c>
      <c r="P84" s="2">
        <f ca="1">IFERROR(__xludf.DUMMYFUNCTION("""COMPUTED_VALUE"""),45.25)</f>
        <v>45.25</v>
      </c>
      <c r="Q84" s="3">
        <f ca="1">IFERROR(__xludf.DUMMYFUNCTION("""COMPUTED_VALUE"""),43585.6666666666)</f>
        <v>43585.666666666599</v>
      </c>
      <c r="R84" s="2">
        <f ca="1">IFERROR(__xludf.DUMMYFUNCTION("""COMPUTED_VALUE"""),216.71)</f>
        <v>216.71</v>
      </c>
      <c r="S84" s="3">
        <f ca="1">IFERROR(__xludf.DUMMYFUNCTION("""COMPUTED_VALUE"""),43585.6666666666)</f>
        <v>43585.666666666599</v>
      </c>
      <c r="T84" s="2">
        <f ca="1">IFERROR(__xludf.DUMMYFUNCTION("""COMPUTED_VALUE"""),141.2)</f>
        <v>141.19999999999999</v>
      </c>
    </row>
    <row r="85" spans="1:20">
      <c r="A85" s="3">
        <f ca="1">IFERROR(__xludf.DUMMYFUNCTION("""COMPUTED_VALUE"""),43586.6666666666)</f>
        <v>43586.666666666599</v>
      </c>
      <c r="B85" s="2">
        <f ca="1">IFERROR(__xludf.DUMMYFUNCTION("""COMPUTED_VALUE"""),52.63)</f>
        <v>52.63</v>
      </c>
      <c r="C85" s="3">
        <f ca="1">IFERROR(__xludf.DUMMYFUNCTION("""COMPUTED_VALUE"""),43586.6666666666)</f>
        <v>43586.666666666599</v>
      </c>
      <c r="D85" s="2">
        <f ca="1">IFERROR(__xludf.DUMMYFUNCTION("""COMPUTED_VALUE"""),127.88)</f>
        <v>127.88</v>
      </c>
      <c r="E85" s="3">
        <f ca="1">IFERROR(__xludf.DUMMYFUNCTION("""COMPUTED_VALUE"""),43586.6666666666)</f>
        <v>43586.666666666599</v>
      </c>
      <c r="F85" s="2">
        <f ca="1">IFERROR(__xludf.DUMMYFUNCTION("""COMPUTED_VALUE"""),1911.52)</f>
        <v>1911.52</v>
      </c>
      <c r="G85" s="3">
        <f ca="1">IFERROR(__xludf.DUMMYFUNCTION("""COMPUTED_VALUE"""),43586.6666666666)</f>
        <v>43586.666666666599</v>
      </c>
      <c r="H85" s="2">
        <f ca="1">IFERROR(__xludf.DUMMYFUNCTION("""COMPUTED_VALUE"""),1173.32)</f>
        <v>1173.32</v>
      </c>
      <c r="I85" s="3">
        <f ca="1">IFERROR(__xludf.DUMMYFUNCTION("""COMPUTED_VALUE"""),43586.6666666666)</f>
        <v>43586.666666666599</v>
      </c>
      <c r="J85" s="2">
        <f ca="1">IFERROR(__xludf.DUMMYFUNCTION("""COMPUTED_VALUE"""),1168.08)</f>
        <v>1168.08</v>
      </c>
      <c r="K85" s="3">
        <f ca="1">IFERROR(__xludf.DUMMYFUNCTION("""COMPUTED_VALUE"""),43586.6666666666)</f>
        <v>43586.666666666599</v>
      </c>
      <c r="L85" s="2">
        <f ca="1">IFERROR(__xludf.DUMMYFUNCTION("""COMPUTED_VALUE"""),193.03)</f>
        <v>193.03</v>
      </c>
      <c r="M85" s="3">
        <f ca="1">IFERROR(__xludf.DUMMYFUNCTION("""COMPUTED_VALUE"""),43586.6666666666)</f>
        <v>43586.666666666599</v>
      </c>
      <c r="N85" s="2">
        <f ca="1">IFERROR(__xludf.DUMMYFUNCTION("""COMPUTED_VALUE"""),46.8)</f>
        <v>46.8</v>
      </c>
      <c r="O85" s="3">
        <f ca="1">IFERROR(__xludf.DUMMYFUNCTION("""COMPUTED_VALUE"""),43586.6666666666)</f>
        <v>43586.666666666599</v>
      </c>
      <c r="P85" s="2">
        <f ca="1">IFERROR(__xludf.DUMMYFUNCTION("""COMPUTED_VALUE"""),45.12)</f>
        <v>45.12</v>
      </c>
      <c r="Q85" s="3">
        <f ca="1">IFERROR(__xludf.DUMMYFUNCTION("""COMPUTED_VALUE"""),43586.6666666666)</f>
        <v>43586.666666666599</v>
      </c>
      <c r="R85" s="2">
        <f ca="1">IFERROR(__xludf.DUMMYFUNCTION("""COMPUTED_VALUE"""),216.71)</f>
        <v>216.71</v>
      </c>
      <c r="S85" s="3">
        <f ca="1">IFERROR(__xludf.DUMMYFUNCTION("""COMPUTED_VALUE"""),43586.6666666666)</f>
        <v>43586.666666666599</v>
      </c>
      <c r="T85" s="2">
        <f ca="1">IFERROR(__xludf.DUMMYFUNCTION("""COMPUTED_VALUE"""),141.95)</f>
        <v>141.94999999999999</v>
      </c>
    </row>
    <row r="86" spans="1:20">
      <c r="A86" s="3">
        <f ca="1">IFERROR(__xludf.DUMMYFUNCTION("""COMPUTED_VALUE"""),43587.6666666666)</f>
        <v>43587.666666666599</v>
      </c>
      <c r="B86" s="2">
        <f ca="1">IFERROR(__xludf.DUMMYFUNCTION("""COMPUTED_VALUE"""),52.29)</f>
        <v>52.29</v>
      </c>
      <c r="C86" s="3">
        <f ca="1">IFERROR(__xludf.DUMMYFUNCTION("""COMPUTED_VALUE"""),43587.6666666666)</f>
        <v>43587.666666666599</v>
      </c>
      <c r="D86" s="2">
        <f ca="1">IFERROR(__xludf.DUMMYFUNCTION("""COMPUTED_VALUE"""),126.21)</f>
        <v>126.21</v>
      </c>
      <c r="E86" s="3">
        <f ca="1">IFERROR(__xludf.DUMMYFUNCTION("""COMPUTED_VALUE"""),43587.6666666666)</f>
        <v>43587.666666666599</v>
      </c>
      <c r="F86" s="2">
        <f ca="1">IFERROR(__xludf.DUMMYFUNCTION("""COMPUTED_VALUE"""),1900.82)</f>
        <v>1900.82</v>
      </c>
      <c r="G86" s="3">
        <f ca="1">IFERROR(__xludf.DUMMYFUNCTION("""COMPUTED_VALUE"""),43587.6666666666)</f>
        <v>43587.666666666599</v>
      </c>
      <c r="H86" s="2">
        <f ca="1">IFERROR(__xludf.DUMMYFUNCTION("""COMPUTED_VALUE"""),1166.51)</f>
        <v>1166.51</v>
      </c>
      <c r="I86" s="3">
        <f ca="1">IFERROR(__xludf.DUMMYFUNCTION("""COMPUTED_VALUE"""),43587.6666666666)</f>
        <v>43587.666666666599</v>
      </c>
      <c r="J86" s="2">
        <f ca="1">IFERROR(__xludf.DUMMYFUNCTION("""COMPUTED_VALUE"""),1162.61)</f>
        <v>1162.6099999999999</v>
      </c>
      <c r="K86" s="3">
        <f ca="1">IFERROR(__xludf.DUMMYFUNCTION("""COMPUTED_VALUE"""),43587.6666666666)</f>
        <v>43587.666666666599</v>
      </c>
      <c r="L86" s="2">
        <f ca="1">IFERROR(__xludf.DUMMYFUNCTION("""COMPUTED_VALUE"""),192.53)</f>
        <v>192.53</v>
      </c>
      <c r="M86" s="3">
        <f ca="1">IFERROR(__xludf.DUMMYFUNCTION("""COMPUTED_VALUE"""),43587.6666666666)</f>
        <v>43587.666666666599</v>
      </c>
      <c r="N86" s="2">
        <f ca="1">IFERROR(__xludf.DUMMYFUNCTION("""COMPUTED_VALUE"""),48.82)</f>
        <v>48.82</v>
      </c>
      <c r="O86" s="3">
        <f ca="1">IFERROR(__xludf.DUMMYFUNCTION("""COMPUTED_VALUE"""),43587.6666666666)</f>
        <v>43587.666666666599</v>
      </c>
      <c r="P86" s="2">
        <f ca="1">IFERROR(__xludf.DUMMYFUNCTION("""COMPUTED_VALUE"""),45.8)</f>
        <v>45.8</v>
      </c>
      <c r="Q86" s="3">
        <f ca="1">IFERROR(__xludf.DUMMYFUNCTION("""COMPUTED_VALUE"""),43587.6666666666)</f>
        <v>43587.666666666599</v>
      </c>
      <c r="R86" s="2">
        <f ca="1">IFERROR(__xludf.DUMMYFUNCTION("""COMPUTED_VALUE"""),215.93)</f>
        <v>215.93</v>
      </c>
      <c r="S86" s="3">
        <f ca="1">IFERROR(__xludf.DUMMYFUNCTION("""COMPUTED_VALUE"""),43587.6666666666)</f>
        <v>43587.666666666599</v>
      </c>
      <c r="T86" s="2">
        <f ca="1">IFERROR(__xludf.DUMMYFUNCTION("""COMPUTED_VALUE"""),141.28)</f>
        <v>141.28</v>
      </c>
    </row>
    <row r="87" spans="1:20">
      <c r="A87" s="3">
        <f ca="1">IFERROR(__xludf.DUMMYFUNCTION("""COMPUTED_VALUE"""),43588.6666666666)</f>
        <v>43588.666666666599</v>
      </c>
      <c r="B87" s="2">
        <f ca="1">IFERROR(__xludf.DUMMYFUNCTION("""COMPUTED_VALUE"""),52.94)</f>
        <v>52.94</v>
      </c>
      <c r="C87" s="3">
        <f ca="1">IFERROR(__xludf.DUMMYFUNCTION("""COMPUTED_VALUE"""),43588.6666666666)</f>
        <v>43588.666666666599</v>
      </c>
      <c r="D87" s="2">
        <f ca="1">IFERROR(__xludf.DUMMYFUNCTION("""COMPUTED_VALUE"""),128.9)</f>
        <v>128.9</v>
      </c>
      <c r="E87" s="3">
        <f ca="1">IFERROR(__xludf.DUMMYFUNCTION("""COMPUTED_VALUE"""),43588.6666666666)</f>
        <v>43588.666666666599</v>
      </c>
      <c r="F87" s="2">
        <f ca="1">IFERROR(__xludf.DUMMYFUNCTION("""COMPUTED_VALUE"""),1962.46)</f>
        <v>1962.46</v>
      </c>
      <c r="G87" s="3">
        <f ca="1">IFERROR(__xludf.DUMMYFUNCTION("""COMPUTED_VALUE"""),43588.6666666666)</f>
        <v>43588.666666666599</v>
      </c>
      <c r="H87" s="2">
        <f ca="1">IFERROR(__xludf.DUMMYFUNCTION("""COMPUTED_VALUE"""),1189.55)</f>
        <v>1189.55</v>
      </c>
      <c r="I87" s="3">
        <f ca="1">IFERROR(__xludf.DUMMYFUNCTION("""COMPUTED_VALUE"""),43588.6666666666)</f>
        <v>43588.666666666599</v>
      </c>
      <c r="J87" s="2">
        <f ca="1">IFERROR(__xludf.DUMMYFUNCTION("""COMPUTED_VALUE"""),1185.4)</f>
        <v>1185.4000000000001</v>
      </c>
      <c r="K87" s="3">
        <f ca="1">IFERROR(__xludf.DUMMYFUNCTION("""COMPUTED_VALUE"""),43588.6666666666)</f>
        <v>43588.666666666599</v>
      </c>
      <c r="L87" s="2">
        <f ca="1">IFERROR(__xludf.DUMMYFUNCTION("""COMPUTED_VALUE"""),195.47)</f>
        <v>195.47</v>
      </c>
      <c r="M87" s="3">
        <f ca="1">IFERROR(__xludf.DUMMYFUNCTION("""COMPUTED_VALUE"""),43588.6666666666)</f>
        <v>43588.666666666599</v>
      </c>
      <c r="N87" s="2">
        <f ca="1">IFERROR(__xludf.DUMMYFUNCTION("""COMPUTED_VALUE"""),51.01)</f>
        <v>51.01</v>
      </c>
      <c r="O87" s="3">
        <f ca="1">IFERROR(__xludf.DUMMYFUNCTION("""COMPUTED_VALUE"""),43588.6666666666)</f>
        <v>43588.666666666599</v>
      </c>
      <c r="P87" s="2">
        <f ca="1">IFERROR(__xludf.DUMMYFUNCTION("""COMPUTED_VALUE"""),45.75)</f>
        <v>45.75</v>
      </c>
      <c r="Q87" s="3">
        <f ca="1">IFERROR(__xludf.DUMMYFUNCTION("""COMPUTED_VALUE"""),43588.6666666666)</f>
        <v>43588.666666666599</v>
      </c>
      <c r="R87" s="2">
        <f ca="1">IFERROR(__xludf.DUMMYFUNCTION("""COMPUTED_VALUE"""),218.6)</f>
        <v>218.6</v>
      </c>
      <c r="S87" s="3">
        <f ca="1">IFERROR(__xludf.DUMMYFUNCTION("""COMPUTED_VALUE"""),43588.6666666666)</f>
        <v>43588.666666666599</v>
      </c>
      <c r="T87" s="2">
        <f ca="1">IFERROR(__xludf.DUMMYFUNCTION("""COMPUTED_VALUE"""),142.01)</f>
        <v>142.01</v>
      </c>
    </row>
    <row r="88" spans="1:20">
      <c r="A88" s="3">
        <f ca="1">IFERROR(__xludf.DUMMYFUNCTION("""COMPUTED_VALUE"""),43591.6666666666)</f>
        <v>43591.666666666599</v>
      </c>
      <c r="B88" s="2">
        <f ca="1">IFERROR(__xludf.DUMMYFUNCTION("""COMPUTED_VALUE"""),52.12)</f>
        <v>52.12</v>
      </c>
      <c r="C88" s="3">
        <f ca="1">IFERROR(__xludf.DUMMYFUNCTION("""COMPUTED_VALUE"""),43591.6666666666)</f>
        <v>43591.666666666599</v>
      </c>
      <c r="D88" s="2">
        <f ca="1">IFERROR(__xludf.DUMMYFUNCTION("""COMPUTED_VALUE"""),128.15)</f>
        <v>128.15</v>
      </c>
      <c r="E88" s="3">
        <f ca="1">IFERROR(__xludf.DUMMYFUNCTION("""COMPUTED_VALUE"""),43591.6666666666)</f>
        <v>43591.666666666599</v>
      </c>
      <c r="F88" s="2">
        <f ca="1">IFERROR(__xludf.DUMMYFUNCTION("""COMPUTED_VALUE"""),1950.55)</f>
        <v>1950.55</v>
      </c>
      <c r="G88" s="3">
        <f ca="1">IFERROR(__xludf.DUMMYFUNCTION("""COMPUTED_VALUE"""),43591.6666666666)</f>
        <v>43591.666666666599</v>
      </c>
      <c r="H88" s="2">
        <f ca="1">IFERROR(__xludf.DUMMYFUNCTION("""COMPUTED_VALUE"""),1193.46)</f>
        <v>1193.46</v>
      </c>
      <c r="I88" s="3">
        <f ca="1">IFERROR(__xludf.DUMMYFUNCTION("""COMPUTED_VALUE"""),43591.6666666666)</f>
        <v>43591.666666666599</v>
      </c>
      <c r="J88" s="2">
        <f ca="1">IFERROR(__xludf.DUMMYFUNCTION("""COMPUTED_VALUE"""),1189.39)</f>
        <v>1189.3900000000001</v>
      </c>
      <c r="K88" s="3">
        <f ca="1">IFERROR(__xludf.DUMMYFUNCTION("""COMPUTED_VALUE"""),43591.6666666666)</f>
        <v>43591.666666666599</v>
      </c>
      <c r="L88" s="2">
        <f ca="1">IFERROR(__xludf.DUMMYFUNCTION("""COMPUTED_VALUE"""),193.88)</f>
        <v>193.88</v>
      </c>
      <c r="M88" s="3">
        <f ca="1">IFERROR(__xludf.DUMMYFUNCTION("""COMPUTED_VALUE"""),43591.6666666666)</f>
        <v>43591.666666666599</v>
      </c>
      <c r="N88" s="2">
        <f ca="1">IFERROR(__xludf.DUMMYFUNCTION("""COMPUTED_VALUE"""),51.07)</f>
        <v>51.07</v>
      </c>
      <c r="O88" s="3">
        <f ca="1">IFERROR(__xludf.DUMMYFUNCTION("""COMPUTED_VALUE"""),43591.6666666666)</f>
        <v>43591.666666666599</v>
      </c>
      <c r="P88" s="2">
        <f ca="1">IFERROR(__xludf.DUMMYFUNCTION("""COMPUTED_VALUE"""),44.96)</f>
        <v>44.96</v>
      </c>
      <c r="Q88" s="3">
        <f ca="1">IFERROR(__xludf.DUMMYFUNCTION("""COMPUTED_VALUE"""),43591.6666666666)</f>
        <v>43591.666666666599</v>
      </c>
      <c r="R88" s="2">
        <f ca="1">IFERROR(__xludf.DUMMYFUNCTION("""COMPUTED_VALUE"""),213.16)</f>
        <v>213.16</v>
      </c>
      <c r="S88" s="3">
        <f ca="1">IFERROR(__xludf.DUMMYFUNCTION("""COMPUTED_VALUE"""),43591.6666666666)</f>
        <v>43591.666666666599</v>
      </c>
      <c r="T88" s="2">
        <f ca="1">IFERROR(__xludf.DUMMYFUNCTION("""COMPUTED_VALUE"""),142.09)</f>
        <v>142.09</v>
      </c>
    </row>
    <row r="89" spans="1:20">
      <c r="A89" s="3">
        <f ca="1">IFERROR(__xludf.DUMMYFUNCTION("""COMPUTED_VALUE"""),43592.6666666666)</f>
        <v>43592.666666666599</v>
      </c>
      <c r="B89" s="2">
        <f ca="1">IFERROR(__xludf.DUMMYFUNCTION("""COMPUTED_VALUE"""),50.72)</f>
        <v>50.72</v>
      </c>
      <c r="C89" s="3">
        <f ca="1">IFERROR(__xludf.DUMMYFUNCTION("""COMPUTED_VALUE"""),43592.6666666666)</f>
        <v>43592.666666666599</v>
      </c>
      <c r="D89" s="2">
        <f ca="1">IFERROR(__xludf.DUMMYFUNCTION("""COMPUTED_VALUE"""),125.52)</f>
        <v>125.52</v>
      </c>
      <c r="E89" s="3">
        <f ca="1">IFERROR(__xludf.DUMMYFUNCTION("""COMPUTED_VALUE"""),43592.6666666666)</f>
        <v>43592.666666666599</v>
      </c>
      <c r="F89" s="2">
        <f ca="1">IFERROR(__xludf.DUMMYFUNCTION("""COMPUTED_VALUE"""),1921)</f>
        <v>1921</v>
      </c>
      <c r="G89" s="3">
        <f ca="1">IFERROR(__xludf.DUMMYFUNCTION("""COMPUTED_VALUE"""),43592.6666666666)</f>
        <v>43592.666666666599</v>
      </c>
      <c r="H89" s="2">
        <f ca="1">IFERROR(__xludf.DUMMYFUNCTION("""COMPUTED_VALUE"""),1178.86)</f>
        <v>1178.8599999999999</v>
      </c>
      <c r="I89" s="3">
        <f ca="1">IFERROR(__xludf.DUMMYFUNCTION("""COMPUTED_VALUE"""),43592.6666666666)</f>
        <v>43592.666666666599</v>
      </c>
      <c r="J89" s="2">
        <f ca="1">IFERROR(__xludf.DUMMYFUNCTION("""COMPUTED_VALUE"""),1174.1)</f>
        <v>1174.0999999999999</v>
      </c>
      <c r="K89" s="3">
        <f ca="1">IFERROR(__xludf.DUMMYFUNCTION("""COMPUTED_VALUE"""),43592.6666666666)</f>
        <v>43592.666666666599</v>
      </c>
      <c r="L89" s="2">
        <f ca="1">IFERROR(__xludf.DUMMYFUNCTION("""COMPUTED_VALUE"""),189.77)</f>
        <v>189.77</v>
      </c>
      <c r="M89" s="3">
        <f ca="1">IFERROR(__xludf.DUMMYFUNCTION("""COMPUTED_VALUE"""),43592.6666666666)</f>
        <v>43592.666666666599</v>
      </c>
      <c r="N89" s="2">
        <f ca="1">IFERROR(__xludf.DUMMYFUNCTION("""COMPUTED_VALUE"""),49.41)</f>
        <v>49.41</v>
      </c>
      <c r="O89" s="3">
        <f ca="1">IFERROR(__xludf.DUMMYFUNCTION("""COMPUTED_VALUE"""),43592.6666666666)</f>
        <v>43592.666666666599</v>
      </c>
      <c r="P89" s="2">
        <f ca="1">IFERROR(__xludf.DUMMYFUNCTION("""COMPUTED_VALUE"""),43.28)</f>
        <v>43.28</v>
      </c>
      <c r="Q89" s="3">
        <f ca="1">IFERROR(__xludf.DUMMYFUNCTION("""COMPUTED_VALUE"""),43592.6666666666)</f>
        <v>43592.666666666599</v>
      </c>
      <c r="R89" s="2">
        <f ca="1">IFERROR(__xludf.DUMMYFUNCTION("""COMPUTED_VALUE"""),209.43)</f>
        <v>209.43</v>
      </c>
      <c r="S89" s="3">
        <f ca="1">IFERROR(__xludf.DUMMYFUNCTION("""COMPUTED_VALUE"""),43592.6666666666)</f>
        <v>43592.666666666599</v>
      </c>
      <c r="T89" s="2">
        <f ca="1">IFERROR(__xludf.DUMMYFUNCTION("""COMPUTED_VALUE"""),139.97)</f>
        <v>139.97</v>
      </c>
    </row>
    <row r="90" spans="1:20">
      <c r="A90" s="3">
        <f ca="1">IFERROR(__xludf.DUMMYFUNCTION("""COMPUTED_VALUE"""),43593.6666666666)</f>
        <v>43593.666666666599</v>
      </c>
      <c r="B90" s="2">
        <f ca="1">IFERROR(__xludf.DUMMYFUNCTION("""COMPUTED_VALUE"""),50.73)</f>
        <v>50.73</v>
      </c>
      <c r="C90" s="3">
        <f ca="1">IFERROR(__xludf.DUMMYFUNCTION("""COMPUTED_VALUE"""),43593.6666666666)</f>
        <v>43593.666666666599</v>
      </c>
      <c r="D90" s="2">
        <f ca="1">IFERROR(__xludf.DUMMYFUNCTION("""COMPUTED_VALUE"""),125.51)</f>
        <v>125.51</v>
      </c>
      <c r="E90" s="3">
        <f ca="1">IFERROR(__xludf.DUMMYFUNCTION("""COMPUTED_VALUE"""),43593.6666666666)</f>
        <v>43593.666666666599</v>
      </c>
      <c r="F90" s="2">
        <f ca="1">IFERROR(__xludf.DUMMYFUNCTION("""COMPUTED_VALUE"""),1917.77)</f>
        <v>1917.77</v>
      </c>
      <c r="G90" s="3">
        <f ca="1">IFERROR(__xludf.DUMMYFUNCTION("""COMPUTED_VALUE"""),43593.6666666666)</f>
        <v>43593.666666666599</v>
      </c>
      <c r="H90" s="2">
        <f ca="1">IFERROR(__xludf.DUMMYFUNCTION("""COMPUTED_VALUE"""),1170.78)</f>
        <v>1170.78</v>
      </c>
      <c r="I90" s="3">
        <f ca="1">IFERROR(__xludf.DUMMYFUNCTION("""COMPUTED_VALUE"""),43593.6666666666)</f>
        <v>43593.666666666599</v>
      </c>
      <c r="J90" s="2">
        <f ca="1">IFERROR(__xludf.DUMMYFUNCTION("""COMPUTED_VALUE"""),1166.27)</f>
        <v>1166.27</v>
      </c>
      <c r="K90" s="3">
        <f ca="1">IFERROR(__xludf.DUMMYFUNCTION("""COMPUTED_VALUE"""),43593.6666666666)</f>
        <v>43593.666666666599</v>
      </c>
      <c r="L90" s="2">
        <f ca="1">IFERROR(__xludf.DUMMYFUNCTION("""COMPUTED_VALUE"""),189.54)</f>
        <v>189.54</v>
      </c>
      <c r="M90" s="3">
        <f ca="1">IFERROR(__xludf.DUMMYFUNCTION("""COMPUTED_VALUE"""),43593.6666666666)</f>
        <v>43593.666666666599</v>
      </c>
      <c r="N90" s="2">
        <f ca="1">IFERROR(__xludf.DUMMYFUNCTION("""COMPUTED_VALUE"""),48.97)</f>
        <v>48.97</v>
      </c>
      <c r="O90" s="3">
        <f ca="1">IFERROR(__xludf.DUMMYFUNCTION("""COMPUTED_VALUE"""),43593.6666666666)</f>
        <v>43593.666666666599</v>
      </c>
      <c r="P90" s="2">
        <f ca="1">IFERROR(__xludf.DUMMYFUNCTION("""COMPUTED_VALUE"""),43.48)</f>
        <v>43.48</v>
      </c>
      <c r="Q90" s="3">
        <f ca="1">IFERROR(__xludf.DUMMYFUNCTION("""COMPUTED_VALUE"""),43593.6666666666)</f>
        <v>43593.666666666599</v>
      </c>
      <c r="R90" s="2">
        <f ca="1">IFERROR(__xludf.DUMMYFUNCTION("""COMPUTED_VALUE"""),209.29)</f>
        <v>209.29</v>
      </c>
      <c r="S90" s="3">
        <f ca="1">IFERROR(__xludf.DUMMYFUNCTION("""COMPUTED_VALUE"""),43593.6666666666)</f>
        <v>43593.666666666599</v>
      </c>
      <c r="T90" s="2">
        <f ca="1">IFERROR(__xludf.DUMMYFUNCTION("""COMPUTED_VALUE"""),139.79)</f>
        <v>139.79</v>
      </c>
    </row>
    <row r="91" spans="1:20">
      <c r="A91" s="3">
        <f ca="1">IFERROR(__xludf.DUMMYFUNCTION("""COMPUTED_VALUE"""),43594.6666666666)</f>
        <v>43594.666666666599</v>
      </c>
      <c r="B91" s="2">
        <f ca="1">IFERROR(__xludf.DUMMYFUNCTION("""COMPUTED_VALUE"""),50.18)</f>
        <v>50.18</v>
      </c>
      <c r="C91" s="3">
        <f ca="1">IFERROR(__xludf.DUMMYFUNCTION("""COMPUTED_VALUE"""),43594.6666666666)</f>
        <v>43594.666666666599</v>
      </c>
      <c r="D91" s="2">
        <f ca="1">IFERROR(__xludf.DUMMYFUNCTION("""COMPUTED_VALUE"""),125.5)</f>
        <v>125.5</v>
      </c>
      <c r="E91" s="3">
        <f ca="1">IFERROR(__xludf.DUMMYFUNCTION("""COMPUTED_VALUE"""),43594.6666666666)</f>
        <v>43594.666666666599</v>
      </c>
      <c r="F91" s="2">
        <f ca="1">IFERROR(__xludf.DUMMYFUNCTION("""COMPUTED_VALUE"""),1899.87)</f>
        <v>1899.87</v>
      </c>
      <c r="G91" s="3">
        <f ca="1">IFERROR(__xludf.DUMMYFUNCTION("""COMPUTED_VALUE"""),43594.6666666666)</f>
        <v>43594.666666666599</v>
      </c>
      <c r="H91" s="2">
        <f ca="1">IFERROR(__xludf.DUMMYFUNCTION("""COMPUTED_VALUE"""),1167.97)</f>
        <v>1167.97</v>
      </c>
      <c r="I91" s="3">
        <f ca="1">IFERROR(__xludf.DUMMYFUNCTION("""COMPUTED_VALUE"""),43594.6666666666)</f>
        <v>43594.666666666599</v>
      </c>
      <c r="J91" s="2">
        <f ca="1">IFERROR(__xludf.DUMMYFUNCTION("""COMPUTED_VALUE"""),1162.38)</f>
        <v>1162.3800000000001</v>
      </c>
      <c r="K91" s="3">
        <f ca="1">IFERROR(__xludf.DUMMYFUNCTION("""COMPUTED_VALUE"""),43594.6666666666)</f>
        <v>43594.666666666599</v>
      </c>
      <c r="L91" s="2">
        <f ca="1">IFERROR(__xludf.DUMMYFUNCTION("""COMPUTED_VALUE"""),188.65)</f>
        <v>188.65</v>
      </c>
      <c r="M91" s="3">
        <f ca="1">IFERROR(__xludf.DUMMYFUNCTION("""COMPUTED_VALUE"""),43594.6666666666)</f>
        <v>43594.666666666599</v>
      </c>
      <c r="N91" s="2">
        <f ca="1">IFERROR(__xludf.DUMMYFUNCTION("""COMPUTED_VALUE"""),48.4)</f>
        <v>48.4</v>
      </c>
      <c r="O91" s="3">
        <f ca="1">IFERROR(__xludf.DUMMYFUNCTION("""COMPUTED_VALUE"""),43594.6666666666)</f>
        <v>43594.666666666599</v>
      </c>
      <c r="P91" s="2">
        <f ca="1">IFERROR(__xludf.DUMMYFUNCTION("""COMPUTED_VALUE"""),42.55)</f>
        <v>42.55</v>
      </c>
      <c r="Q91" s="3">
        <f ca="1">IFERROR(__xludf.DUMMYFUNCTION("""COMPUTED_VALUE"""),43594.6666666666)</f>
        <v>43594.666666666599</v>
      </c>
      <c r="R91" s="2">
        <f ca="1">IFERROR(__xludf.DUMMYFUNCTION("""COMPUTED_VALUE"""),208.56)</f>
        <v>208.56</v>
      </c>
      <c r="S91" s="3">
        <f ca="1">IFERROR(__xludf.DUMMYFUNCTION("""COMPUTED_VALUE"""),43594.6666666666)</f>
        <v>43594.666666666599</v>
      </c>
      <c r="T91" s="2">
        <f ca="1">IFERROR(__xludf.DUMMYFUNCTION("""COMPUTED_VALUE"""),138.73)</f>
        <v>138.72999999999999</v>
      </c>
    </row>
    <row r="92" spans="1:20">
      <c r="A92" s="3">
        <f ca="1">IFERROR(__xludf.DUMMYFUNCTION("""COMPUTED_VALUE"""),43595.6666666666)</f>
        <v>43595.666666666599</v>
      </c>
      <c r="B92" s="2">
        <f ca="1">IFERROR(__xludf.DUMMYFUNCTION("""COMPUTED_VALUE"""),49.3)</f>
        <v>49.3</v>
      </c>
      <c r="C92" s="3">
        <f ca="1">IFERROR(__xludf.DUMMYFUNCTION("""COMPUTED_VALUE"""),43595.6666666666)</f>
        <v>43595.666666666599</v>
      </c>
      <c r="D92" s="2">
        <f ca="1">IFERROR(__xludf.DUMMYFUNCTION("""COMPUTED_VALUE"""),127.13)</f>
        <v>127.13</v>
      </c>
      <c r="E92" s="3">
        <f ca="1">IFERROR(__xludf.DUMMYFUNCTION("""COMPUTED_VALUE"""),43595.6666666666)</f>
        <v>43595.666666666599</v>
      </c>
      <c r="F92" s="2">
        <f ca="1">IFERROR(__xludf.DUMMYFUNCTION("""COMPUTED_VALUE"""),1889.98)</f>
        <v>1889.98</v>
      </c>
      <c r="G92" s="3">
        <f ca="1">IFERROR(__xludf.DUMMYFUNCTION("""COMPUTED_VALUE"""),43595.6666666666)</f>
        <v>43595.666666666599</v>
      </c>
      <c r="H92" s="2">
        <f ca="1">IFERROR(__xludf.DUMMYFUNCTION("""COMPUTED_VALUE"""),1167.64)</f>
        <v>1167.6400000000001</v>
      </c>
      <c r="I92" s="3">
        <f ca="1">IFERROR(__xludf.DUMMYFUNCTION("""COMPUTED_VALUE"""),43595.6666666666)</f>
        <v>43595.666666666599</v>
      </c>
      <c r="J92" s="2">
        <f ca="1">IFERROR(__xludf.DUMMYFUNCTION("""COMPUTED_VALUE"""),1164.27)</f>
        <v>1164.27</v>
      </c>
      <c r="K92" s="3">
        <f ca="1">IFERROR(__xludf.DUMMYFUNCTION("""COMPUTED_VALUE"""),43595.6666666666)</f>
        <v>43595.666666666599</v>
      </c>
      <c r="L92" s="2">
        <f ca="1">IFERROR(__xludf.DUMMYFUNCTION("""COMPUTED_VALUE"""),188.34)</f>
        <v>188.34</v>
      </c>
      <c r="M92" s="3">
        <f ca="1">IFERROR(__xludf.DUMMYFUNCTION("""COMPUTED_VALUE"""),43595.6666666666)</f>
        <v>43595.666666666599</v>
      </c>
      <c r="N92" s="2">
        <f ca="1">IFERROR(__xludf.DUMMYFUNCTION("""COMPUTED_VALUE"""),47.9)</f>
        <v>47.9</v>
      </c>
      <c r="O92" s="3">
        <f ca="1">IFERROR(__xludf.DUMMYFUNCTION("""COMPUTED_VALUE"""),43595.6666666666)</f>
        <v>43595.666666666599</v>
      </c>
      <c r="P92" s="2">
        <f ca="1">IFERROR(__xludf.DUMMYFUNCTION("""COMPUTED_VALUE"""),42.21)</f>
        <v>42.21</v>
      </c>
      <c r="Q92" s="3">
        <f ca="1">IFERROR(__xludf.DUMMYFUNCTION("""COMPUTED_VALUE"""),43595.6666666666)</f>
        <v>43595.666666666599</v>
      </c>
      <c r="R92" s="2">
        <f ca="1">IFERROR(__xludf.DUMMYFUNCTION("""COMPUTED_VALUE"""),209.02)</f>
        <v>209.02</v>
      </c>
      <c r="S92" s="3">
        <f ca="1">IFERROR(__xludf.DUMMYFUNCTION("""COMPUTED_VALUE"""),43595.6666666666)</f>
        <v>43595.666666666599</v>
      </c>
      <c r="T92" s="2">
        <f ca="1">IFERROR(__xludf.DUMMYFUNCTION("""COMPUTED_VALUE"""),139.05)</f>
        <v>139.05000000000001</v>
      </c>
    </row>
    <row r="93" spans="1:20">
      <c r="A93" s="3">
        <f ca="1">IFERROR(__xludf.DUMMYFUNCTION("""COMPUTED_VALUE"""),43598.6666666666)</f>
        <v>43598.666666666599</v>
      </c>
      <c r="B93" s="2">
        <f ca="1">IFERROR(__xludf.DUMMYFUNCTION("""COMPUTED_VALUE"""),46.43)</f>
        <v>46.43</v>
      </c>
      <c r="C93" s="3">
        <f ca="1">IFERROR(__xludf.DUMMYFUNCTION("""COMPUTED_VALUE"""),43598.6666666666)</f>
        <v>43598.666666666599</v>
      </c>
      <c r="D93" s="2">
        <f ca="1">IFERROR(__xludf.DUMMYFUNCTION("""COMPUTED_VALUE"""),123.35)</f>
        <v>123.35</v>
      </c>
      <c r="E93" s="3">
        <f ca="1">IFERROR(__xludf.DUMMYFUNCTION("""COMPUTED_VALUE"""),43598.6666666666)</f>
        <v>43598.666666666599</v>
      </c>
      <c r="F93" s="2">
        <f ca="1">IFERROR(__xludf.DUMMYFUNCTION("""COMPUTED_VALUE"""),1822.68)</f>
        <v>1822.68</v>
      </c>
      <c r="G93" s="3">
        <f ca="1">IFERROR(__xludf.DUMMYFUNCTION("""COMPUTED_VALUE"""),43598.6666666666)</f>
        <v>43598.666666666599</v>
      </c>
      <c r="H93" s="2">
        <f ca="1">IFERROR(__xludf.DUMMYFUNCTION("""COMPUTED_VALUE"""),1136.59)</f>
        <v>1136.5899999999999</v>
      </c>
      <c r="I93" s="3">
        <f ca="1">IFERROR(__xludf.DUMMYFUNCTION("""COMPUTED_VALUE"""),43598.6666666666)</f>
        <v>43598.666666666599</v>
      </c>
      <c r="J93" s="2">
        <f ca="1">IFERROR(__xludf.DUMMYFUNCTION("""COMPUTED_VALUE"""),1132.03)</f>
        <v>1132.03</v>
      </c>
      <c r="K93" s="3">
        <f ca="1">IFERROR(__xludf.DUMMYFUNCTION("""COMPUTED_VALUE"""),43598.6666666666)</f>
        <v>43598.666666666599</v>
      </c>
      <c r="L93" s="2">
        <f ca="1">IFERROR(__xludf.DUMMYFUNCTION("""COMPUTED_VALUE"""),181.54)</f>
        <v>181.54</v>
      </c>
      <c r="M93" s="3">
        <f ca="1">IFERROR(__xludf.DUMMYFUNCTION("""COMPUTED_VALUE"""),43598.6666666666)</f>
        <v>43598.666666666599</v>
      </c>
      <c r="N93" s="2">
        <f ca="1">IFERROR(__xludf.DUMMYFUNCTION("""COMPUTED_VALUE"""),45.4)</f>
        <v>45.4</v>
      </c>
      <c r="O93" s="3">
        <f ca="1">IFERROR(__xludf.DUMMYFUNCTION("""COMPUTED_VALUE"""),43598.6666666666)</f>
        <v>43598.666666666599</v>
      </c>
      <c r="P93" s="2">
        <f ca="1">IFERROR(__xludf.DUMMYFUNCTION("""COMPUTED_VALUE"""),39.61)</f>
        <v>39.61</v>
      </c>
      <c r="Q93" s="3">
        <f ca="1">IFERROR(__xludf.DUMMYFUNCTION("""COMPUTED_VALUE"""),43598.6666666666)</f>
        <v>43598.666666666599</v>
      </c>
      <c r="R93" s="2">
        <f ca="1">IFERROR(__xludf.DUMMYFUNCTION("""COMPUTED_VALUE"""),205.01)</f>
        <v>205.01</v>
      </c>
      <c r="S93" s="3">
        <f ca="1">IFERROR(__xludf.DUMMYFUNCTION("""COMPUTED_VALUE"""),43598.6666666666)</f>
        <v>43598.666666666599</v>
      </c>
      <c r="T93" s="2">
        <f ca="1">IFERROR(__xludf.DUMMYFUNCTION("""COMPUTED_VALUE"""),137.2)</f>
        <v>137.19999999999999</v>
      </c>
    </row>
    <row r="94" spans="1:20">
      <c r="A94" s="3">
        <f ca="1">IFERROR(__xludf.DUMMYFUNCTION("""COMPUTED_VALUE"""),43599.6666666666)</f>
        <v>43599.666666666599</v>
      </c>
      <c r="B94" s="2">
        <f ca="1">IFERROR(__xludf.DUMMYFUNCTION("""COMPUTED_VALUE"""),47.17)</f>
        <v>47.17</v>
      </c>
      <c r="C94" s="3">
        <f ca="1">IFERROR(__xludf.DUMMYFUNCTION("""COMPUTED_VALUE"""),43599.6666666666)</f>
        <v>43599.666666666599</v>
      </c>
      <c r="D94" s="2">
        <f ca="1">IFERROR(__xludf.DUMMYFUNCTION("""COMPUTED_VALUE"""),124.73)</f>
        <v>124.73</v>
      </c>
      <c r="E94" s="3">
        <f ca="1">IFERROR(__xludf.DUMMYFUNCTION("""COMPUTED_VALUE"""),43599.6666666666)</f>
        <v>43599.666666666599</v>
      </c>
      <c r="F94" s="2">
        <f ca="1">IFERROR(__xludf.DUMMYFUNCTION("""COMPUTED_VALUE"""),1840.12)</f>
        <v>1840.12</v>
      </c>
      <c r="G94" s="3">
        <f ca="1">IFERROR(__xludf.DUMMYFUNCTION("""COMPUTED_VALUE"""),43599.6666666666)</f>
        <v>43599.666666666599</v>
      </c>
      <c r="H94" s="2">
        <f ca="1">IFERROR(__xludf.DUMMYFUNCTION("""COMPUTED_VALUE"""),1124.86)</f>
        <v>1124.8599999999999</v>
      </c>
      <c r="I94" s="3">
        <f ca="1">IFERROR(__xludf.DUMMYFUNCTION("""COMPUTED_VALUE"""),43599.6666666666)</f>
        <v>43599.666666666599</v>
      </c>
      <c r="J94" s="2">
        <f ca="1">IFERROR(__xludf.DUMMYFUNCTION("""COMPUTED_VALUE"""),1120.44)</f>
        <v>1120.44</v>
      </c>
      <c r="K94" s="3">
        <f ca="1">IFERROR(__xludf.DUMMYFUNCTION("""COMPUTED_VALUE"""),43599.6666666666)</f>
        <v>43599.666666666599</v>
      </c>
      <c r="L94" s="2">
        <f ca="1">IFERROR(__xludf.DUMMYFUNCTION("""COMPUTED_VALUE"""),180.73)</f>
        <v>180.73</v>
      </c>
      <c r="M94" s="3">
        <f ca="1">IFERROR(__xludf.DUMMYFUNCTION("""COMPUTED_VALUE"""),43599.6666666666)</f>
        <v>43599.666666666599</v>
      </c>
      <c r="N94" s="2">
        <f ca="1">IFERROR(__xludf.DUMMYFUNCTION("""COMPUTED_VALUE"""),46.46)</f>
        <v>46.46</v>
      </c>
      <c r="O94" s="3">
        <f ca="1">IFERROR(__xludf.DUMMYFUNCTION("""COMPUTED_VALUE"""),43599.6666666666)</f>
        <v>43599.666666666599</v>
      </c>
      <c r="P94" s="2">
        <f ca="1">IFERROR(__xludf.DUMMYFUNCTION("""COMPUTED_VALUE"""),40.51)</f>
        <v>40.51</v>
      </c>
      <c r="Q94" s="3">
        <f ca="1">IFERROR(__xludf.DUMMYFUNCTION("""COMPUTED_VALUE"""),43599.6666666666)</f>
        <v>43599.666666666599</v>
      </c>
      <c r="R94" s="2">
        <f ca="1">IFERROR(__xludf.DUMMYFUNCTION("""COMPUTED_VALUE"""),203.69)</f>
        <v>203.69</v>
      </c>
      <c r="S94" s="3">
        <f ca="1">IFERROR(__xludf.DUMMYFUNCTION("""COMPUTED_VALUE"""),43599.6666666666)</f>
        <v>43599.666666666599</v>
      </c>
      <c r="T94" s="2">
        <f ca="1">IFERROR(__xludf.DUMMYFUNCTION("""COMPUTED_VALUE"""),136.82)</f>
        <v>136.82</v>
      </c>
    </row>
    <row r="95" spans="1:20">
      <c r="A95" s="3">
        <f ca="1">IFERROR(__xludf.DUMMYFUNCTION("""COMPUTED_VALUE"""),43600.6666666666)</f>
        <v>43600.666666666599</v>
      </c>
      <c r="B95" s="2">
        <f ca="1">IFERROR(__xludf.DUMMYFUNCTION("""COMPUTED_VALUE"""),47.73)</f>
        <v>47.73</v>
      </c>
      <c r="C95" s="3">
        <f ca="1">IFERROR(__xludf.DUMMYFUNCTION("""COMPUTED_VALUE"""),43600.6666666666)</f>
        <v>43600.666666666599</v>
      </c>
      <c r="D95" s="2">
        <f ca="1">IFERROR(__xludf.DUMMYFUNCTION("""COMPUTED_VALUE"""),126.02)</f>
        <v>126.02</v>
      </c>
      <c r="E95" s="3">
        <f ca="1">IFERROR(__xludf.DUMMYFUNCTION("""COMPUTED_VALUE"""),43600.6666666666)</f>
        <v>43600.666666666599</v>
      </c>
      <c r="F95" s="2">
        <f ca="1">IFERROR(__xludf.DUMMYFUNCTION("""COMPUTED_VALUE"""),1871.15)</f>
        <v>1871.15</v>
      </c>
      <c r="G95" s="3">
        <f ca="1">IFERROR(__xludf.DUMMYFUNCTION("""COMPUTED_VALUE"""),43600.6666666666)</f>
        <v>43600.666666666599</v>
      </c>
      <c r="H95" s="2">
        <f ca="1">IFERROR(__xludf.DUMMYFUNCTION("""COMPUTED_VALUE"""),1170.8)</f>
        <v>1170.8</v>
      </c>
      <c r="I95" s="3">
        <f ca="1">IFERROR(__xludf.DUMMYFUNCTION("""COMPUTED_VALUE"""),43600.6666666666)</f>
        <v>43600.666666666599</v>
      </c>
      <c r="J95" s="2">
        <f ca="1">IFERROR(__xludf.DUMMYFUNCTION("""COMPUTED_VALUE"""),1164.21)</f>
        <v>1164.21</v>
      </c>
      <c r="K95" s="3">
        <f ca="1">IFERROR(__xludf.DUMMYFUNCTION("""COMPUTED_VALUE"""),43600.6666666666)</f>
        <v>43600.666666666599</v>
      </c>
      <c r="L95" s="2">
        <f ca="1">IFERROR(__xludf.DUMMYFUNCTION("""COMPUTED_VALUE"""),186.27)</f>
        <v>186.27</v>
      </c>
      <c r="M95" s="3">
        <f ca="1">IFERROR(__xludf.DUMMYFUNCTION("""COMPUTED_VALUE"""),43600.6666666666)</f>
        <v>43600.666666666599</v>
      </c>
      <c r="N95" s="2">
        <f ca="1">IFERROR(__xludf.DUMMYFUNCTION("""COMPUTED_VALUE"""),46.39)</f>
        <v>46.39</v>
      </c>
      <c r="O95" s="3">
        <f ca="1">IFERROR(__xludf.DUMMYFUNCTION("""COMPUTED_VALUE"""),43600.6666666666)</f>
        <v>43600.666666666599</v>
      </c>
      <c r="P95" s="2">
        <f ca="1">IFERROR(__xludf.DUMMYFUNCTION("""COMPUTED_VALUE"""),39.9)</f>
        <v>39.9</v>
      </c>
      <c r="Q95" s="3">
        <f ca="1">IFERROR(__xludf.DUMMYFUNCTION("""COMPUTED_VALUE"""),43600.6666666666)</f>
        <v>43600.666666666599</v>
      </c>
      <c r="R95" s="2">
        <f ca="1">IFERROR(__xludf.DUMMYFUNCTION("""COMPUTED_VALUE"""),202.98)</f>
        <v>202.98</v>
      </c>
      <c r="S95" s="3">
        <f ca="1">IFERROR(__xludf.DUMMYFUNCTION("""COMPUTED_VALUE"""),43600.6666666666)</f>
        <v>43600.666666666599</v>
      </c>
      <c r="T95" s="2">
        <f ca="1">IFERROR(__xludf.DUMMYFUNCTION("""COMPUTED_VALUE"""),136.91)</f>
        <v>136.91</v>
      </c>
    </row>
    <row r="96" spans="1:20">
      <c r="A96" s="3">
        <f ca="1">IFERROR(__xludf.DUMMYFUNCTION("""COMPUTED_VALUE"""),43601.6666666666)</f>
        <v>43601.666666666599</v>
      </c>
      <c r="B96" s="2">
        <f ca="1">IFERROR(__xludf.DUMMYFUNCTION("""COMPUTED_VALUE"""),47.52)</f>
        <v>47.52</v>
      </c>
      <c r="C96" s="3">
        <f ca="1">IFERROR(__xludf.DUMMYFUNCTION("""COMPUTED_VALUE"""),43601.6666666666)</f>
        <v>43601.666666666599</v>
      </c>
      <c r="D96" s="2">
        <f ca="1">IFERROR(__xludf.DUMMYFUNCTION("""COMPUTED_VALUE"""),128.93)</f>
        <v>128.93</v>
      </c>
      <c r="E96" s="3">
        <f ca="1">IFERROR(__xludf.DUMMYFUNCTION("""COMPUTED_VALUE"""),43601.6666666666)</f>
        <v>43601.666666666599</v>
      </c>
      <c r="F96" s="2">
        <f ca="1">IFERROR(__xludf.DUMMYFUNCTION("""COMPUTED_VALUE"""),1907.57)</f>
        <v>1907.57</v>
      </c>
      <c r="G96" s="3">
        <f ca="1">IFERROR(__xludf.DUMMYFUNCTION("""COMPUTED_VALUE"""),43601.6666666666)</f>
        <v>43601.666666666599</v>
      </c>
      <c r="H96" s="2">
        <f ca="1">IFERROR(__xludf.DUMMYFUNCTION("""COMPUTED_VALUE"""),1184.5)</f>
        <v>1184.5</v>
      </c>
      <c r="I96" s="3">
        <f ca="1">IFERROR(__xludf.DUMMYFUNCTION("""COMPUTED_VALUE"""),43601.6666666666)</f>
        <v>43601.666666666599</v>
      </c>
      <c r="J96" s="2">
        <f ca="1">IFERROR(__xludf.DUMMYFUNCTION("""COMPUTED_VALUE"""),1178.98)</f>
        <v>1178.98</v>
      </c>
      <c r="K96" s="3">
        <f ca="1">IFERROR(__xludf.DUMMYFUNCTION("""COMPUTED_VALUE"""),43601.6666666666)</f>
        <v>43601.666666666599</v>
      </c>
      <c r="L96" s="2">
        <f ca="1">IFERROR(__xludf.DUMMYFUNCTION("""COMPUTED_VALUE"""),186.99)</f>
        <v>186.99</v>
      </c>
      <c r="M96" s="3">
        <f ca="1">IFERROR(__xludf.DUMMYFUNCTION("""COMPUTED_VALUE"""),43601.6666666666)</f>
        <v>43601.666666666599</v>
      </c>
      <c r="N96" s="2">
        <f ca="1">IFERROR(__xludf.DUMMYFUNCTION("""COMPUTED_VALUE"""),45.67)</f>
        <v>45.67</v>
      </c>
      <c r="O96" s="3">
        <f ca="1">IFERROR(__xludf.DUMMYFUNCTION("""COMPUTED_VALUE"""),43601.6666666666)</f>
        <v>43601.666666666599</v>
      </c>
      <c r="P96" s="2">
        <f ca="1">IFERROR(__xludf.DUMMYFUNCTION("""COMPUTED_VALUE"""),40.05)</f>
        <v>40.049999999999997</v>
      </c>
      <c r="Q96" s="3">
        <f ca="1">IFERROR(__xludf.DUMMYFUNCTION("""COMPUTED_VALUE"""),43601.6666666666)</f>
        <v>43601.666666666599</v>
      </c>
      <c r="R96" s="2">
        <f ca="1">IFERROR(__xludf.DUMMYFUNCTION("""COMPUTED_VALUE"""),204.63)</f>
        <v>204.63</v>
      </c>
      <c r="S96" s="3">
        <f ca="1">IFERROR(__xludf.DUMMYFUNCTION("""COMPUTED_VALUE"""),43601.6666666666)</f>
        <v>43601.666666666599</v>
      </c>
      <c r="T96" s="2">
        <f ca="1">IFERROR(__xludf.DUMMYFUNCTION("""COMPUTED_VALUE"""),138.21)</f>
        <v>138.21</v>
      </c>
    </row>
    <row r="97" spans="1:20">
      <c r="A97" s="3">
        <f ca="1">IFERROR(__xludf.DUMMYFUNCTION("""COMPUTED_VALUE"""),43602.6666666666)</f>
        <v>43602.666666666599</v>
      </c>
      <c r="B97" s="2">
        <f ca="1">IFERROR(__xludf.DUMMYFUNCTION("""COMPUTED_VALUE"""),47.25)</f>
        <v>47.25</v>
      </c>
      <c r="C97" s="3">
        <f ca="1">IFERROR(__xludf.DUMMYFUNCTION("""COMPUTED_VALUE"""),43602.6666666666)</f>
        <v>43602.666666666599</v>
      </c>
      <c r="D97" s="2">
        <f ca="1">IFERROR(__xludf.DUMMYFUNCTION("""COMPUTED_VALUE"""),128.07)</f>
        <v>128.07</v>
      </c>
      <c r="E97" s="3">
        <f ca="1">IFERROR(__xludf.DUMMYFUNCTION("""COMPUTED_VALUE"""),43602.6666666666)</f>
        <v>43602.666666666599</v>
      </c>
      <c r="F97" s="2">
        <f ca="1">IFERROR(__xludf.DUMMYFUNCTION("""COMPUTED_VALUE"""),1869)</f>
        <v>1869</v>
      </c>
      <c r="G97" s="3">
        <f ca="1">IFERROR(__xludf.DUMMYFUNCTION("""COMPUTED_VALUE"""),43602.6666666666)</f>
        <v>43602.666666666599</v>
      </c>
      <c r="H97" s="2">
        <f ca="1">IFERROR(__xludf.DUMMYFUNCTION("""COMPUTED_VALUE"""),1168.78)</f>
        <v>1168.78</v>
      </c>
      <c r="I97" s="3">
        <f ca="1">IFERROR(__xludf.DUMMYFUNCTION("""COMPUTED_VALUE"""),43602.6666666666)</f>
        <v>43602.666666666599</v>
      </c>
      <c r="J97" s="2">
        <f ca="1">IFERROR(__xludf.DUMMYFUNCTION("""COMPUTED_VALUE"""),1162.3)</f>
        <v>1162.3</v>
      </c>
      <c r="K97" s="3">
        <f ca="1">IFERROR(__xludf.DUMMYFUNCTION("""COMPUTED_VALUE"""),43602.6666666666)</f>
        <v>43602.666666666599</v>
      </c>
      <c r="L97" s="2">
        <f ca="1">IFERROR(__xludf.DUMMYFUNCTION("""COMPUTED_VALUE"""),185.3)</f>
        <v>185.3</v>
      </c>
      <c r="M97" s="3">
        <f ca="1">IFERROR(__xludf.DUMMYFUNCTION("""COMPUTED_VALUE"""),43602.6666666666)</f>
        <v>43602.666666666599</v>
      </c>
      <c r="N97" s="2">
        <f ca="1">IFERROR(__xludf.DUMMYFUNCTION("""COMPUTED_VALUE"""),42.21)</f>
        <v>42.21</v>
      </c>
      <c r="O97" s="3">
        <f ca="1">IFERROR(__xludf.DUMMYFUNCTION("""COMPUTED_VALUE"""),43602.6666666666)</f>
        <v>43602.666666666599</v>
      </c>
      <c r="P97" s="2">
        <f ca="1">IFERROR(__xludf.DUMMYFUNCTION("""COMPUTED_VALUE"""),39.13)</f>
        <v>39.130000000000003</v>
      </c>
      <c r="Q97" s="3">
        <f ca="1">IFERROR(__xludf.DUMMYFUNCTION("""COMPUTED_VALUE"""),43602.6666666666)</f>
        <v>43602.666666666599</v>
      </c>
      <c r="R97" s="2">
        <f ca="1">IFERROR(__xludf.DUMMYFUNCTION("""COMPUTED_VALUE"""),203.27)</f>
        <v>203.27</v>
      </c>
      <c r="S97" s="3">
        <f ca="1">IFERROR(__xludf.DUMMYFUNCTION("""COMPUTED_VALUE"""),43602.6666666666)</f>
        <v>43602.666666666599</v>
      </c>
      <c r="T97" s="2">
        <f ca="1">IFERROR(__xludf.DUMMYFUNCTION("""COMPUTED_VALUE"""),138.61)</f>
        <v>138.61000000000001</v>
      </c>
    </row>
    <row r="98" spans="1:20">
      <c r="A98" s="3">
        <f ca="1">IFERROR(__xludf.DUMMYFUNCTION("""COMPUTED_VALUE"""),43605.6666666666)</f>
        <v>43605.666666666599</v>
      </c>
      <c r="B98" s="2">
        <f ca="1">IFERROR(__xludf.DUMMYFUNCTION("""COMPUTED_VALUE"""),45.77)</f>
        <v>45.77</v>
      </c>
      <c r="C98" s="3">
        <f ca="1">IFERROR(__xludf.DUMMYFUNCTION("""COMPUTED_VALUE"""),43605.6666666666)</f>
        <v>43605.666666666599</v>
      </c>
      <c r="D98" s="2">
        <f ca="1">IFERROR(__xludf.DUMMYFUNCTION("""COMPUTED_VALUE"""),126.22)</f>
        <v>126.22</v>
      </c>
      <c r="E98" s="3">
        <f ca="1">IFERROR(__xludf.DUMMYFUNCTION("""COMPUTED_VALUE"""),43605.6666666666)</f>
        <v>43605.666666666599</v>
      </c>
      <c r="F98" s="2">
        <f ca="1">IFERROR(__xludf.DUMMYFUNCTION("""COMPUTED_VALUE"""),1858.97)</f>
        <v>1858.97</v>
      </c>
      <c r="G98" s="3">
        <f ca="1">IFERROR(__xludf.DUMMYFUNCTION("""COMPUTED_VALUE"""),43605.6666666666)</f>
        <v>43605.666666666599</v>
      </c>
      <c r="H98" s="2">
        <f ca="1">IFERROR(__xludf.DUMMYFUNCTION("""COMPUTED_VALUE"""),1144.66)</f>
        <v>1144.6600000000001</v>
      </c>
      <c r="I98" s="3">
        <f ca="1">IFERROR(__xludf.DUMMYFUNCTION("""COMPUTED_VALUE"""),43605.6666666666)</f>
        <v>43605.666666666599</v>
      </c>
      <c r="J98" s="2">
        <f ca="1">IFERROR(__xludf.DUMMYFUNCTION("""COMPUTED_VALUE"""),1138.85)</f>
        <v>1138.8499999999999</v>
      </c>
      <c r="K98" s="3">
        <f ca="1">IFERROR(__xludf.DUMMYFUNCTION("""COMPUTED_VALUE"""),43605.6666666666)</f>
        <v>43605.666666666599</v>
      </c>
      <c r="L98" s="2">
        <f ca="1">IFERROR(__xludf.DUMMYFUNCTION("""COMPUTED_VALUE"""),182.72)</f>
        <v>182.72</v>
      </c>
      <c r="M98" s="3">
        <f ca="1">IFERROR(__xludf.DUMMYFUNCTION("""COMPUTED_VALUE"""),43605.6666666666)</f>
        <v>43605.666666666599</v>
      </c>
      <c r="N98" s="2">
        <f ca="1">IFERROR(__xludf.DUMMYFUNCTION("""COMPUTED_VALUE"""),41.07)</f>
        <v>41.07</v>
      </c>
      <c r="O98" s="3">
        <f ca="1">IFERROR(__xludf.DUMMYFUNCTION("""COMPUTED_VALUE"""),43605.6666666666)</f>
        <v>43605.666666666599</v>
      </c>
      <c r="P98" s="2">
        <f ca="1">IFERROR(__xludf.DUMMYFUNCTION("""COMPUTED_VALUE"""),37.94)</f>
        <v>37.94</v>
      </c>
      <c r="Q98" s="3">
        <f ca="1">IFERROR(__xludf.DUMMYFUNCTION("""COMPUTED_VALUE"""),43605.6666666666)</f>
        <v>43605.666666666599</v>
      </c>
      <c r="R98" s="2">
        <f ca="1">IFERROR(__xludf.DUMMYFUNCTION("""COMPUTED_VALUE"""),202.73)</f>
        <v>202.73</v>
      </c>
      <c r="S98" s="3">
        <f ca="1">IFERROR(__xludf.DUMMYFUNCTION("""COMPUTED_VALUE"""),43605.6666666666)</f>
        <v>43605.666666666599</v>
      </c>
      <c r="T98" s="2">
        <f ca="1">IFERROR(__xludf.DUMMYFUNCTION("""COMPUTED_VALUE"""),138.42)</f>
        <v>138.41999999999999</v>
      </c>
    </row>
    <row r="99" spans="1:20">
      <c r="A99" s="3">
        <f ca="1">IFERROR(__xludf.DUMMYFUNCTION("""COMPUTED_VALUE"""),43606.6666666666)</f>
        <v>43606.666666666599</v>
      </c>
      <c r="B99" s="2">
        <f ca="1">IFERROR(__xludf.DUMMYFUNCTION("""COMPUTED_VALUE"""),46.65)</f>
        <v>46.65</v>
      </c>
      <c r="C99" s="3">
        <f ca="1">IFERROR(__xludf.DUMMYFUNCTION("""COMPUTED_VALUE"""),43606.6666666666)</f>
        <v>43606.666666666599</v>
      </c>
      <c r="D99" s="2">
        <f ca="1">IFERROR(__xludf.DUMMYFUNCTION("""COMPUTED_VALUE"""),126.9)</f>
        <v>126.9</v>
      </c>
      <c r="E99" s="3">
        <f ca="1">IFERROR(__xludf.DUMMYFUNCTION("""COMPUTED_VALUE"""),43606.6666666666)</f>
        <v>43606.666666666599</v>
      </c>
      <c r="F99" s="2">
        <f ca="1">IFERROR(__xludf.DUMMYFUNCTION("""COMPUTED_VALUE"""),1857.52)</f>
        <v>1857.52</v>
      </c>
      <c r="G99" s="3">
        <f ca="1">IFERROR(__xludf.DUMMYFUNCTION("""COMPUTED_VALUE"""),43606.6666666666)</f>
        <v>43606.666666666599</v>
      </c>
      <c r="H99" s="2">
        <f ca="1">IFERROR(__xludf.DUMMYFUNCTION("""COMPUTED_VALUE"""),1154.44)</f>
        <v>1154.44</v>
      </c>
      <c r="I99" s="3">
        <f ca="1">IFERROR(__xludf.DUMMYFUNCTION("""COMPUTED_VALUE"""),43606.6666666666)</f>
        <v>43606.666666666599</v>
      </c>
      <c r="J99" s="2">
        <f ca="1">IFERROR(__xludf.DUMMYFUNCTION("""COMPUTED_VALUE"""),1149.63)</f>
        <v>1149.6300000000001</v>
      </c>
      <c r="K99" s="3">
        <f ca="1">IFERROR(__xludf.DUMMYFUNCTION("""COMPUTED_VALUE"""),43606.6666666666)</f>
        <v>43606.666666666599</v>
      </c>
      <c r="L99" s="2">
        <f ca="1">IFERROR(__xludf.DUMMYFUNCTION("""COMPUTED_VALUE"""),184.82)</f>
        <v>184.82</v>
      </c>
      <c r="M99" s="3">
        <f ca="1">IFERROR(__xludf.DUMMYFUNCTION("""COMPUTED_VALUE"""),43606.6666666666)</f>
        <v>43606.666666666599</v>
      </c>
      <c r="N99" s="2">
        <f ca="1">IFERROR(__xludf.DUMMYFUNCTION("""COMPUTED_VALUE"""),41.02)</f>
        <v>41.02</v>
      </c>
      <c r="O99" s="3">
        <f ca="1">IFERROR(__xludf.DUMMYFUNCTION("""COMPUTED_VALUE"""),43606.6666666666)</f>
        <v>43606.666666666599</v>
      </c>
      <c r="P99" s="2">
        <f ca="1">IFERROR(__xludf.DUMMYFUNCTION("""COMPUTED_VALUE"""),38.77)</f>
        <v>38.770000000000003</v>
      </c>
      <c r="Q99" s="3">
        <f ca="1">IFERROR(__xludf.DUMMYFUNCTION("""COMPUTED_VALUE"""),43606.6666666666)</f>
        <v>43606.666666666599</v>
      </c>
      <c r="R99" s="2">
        <f ca="1">IFERROR(__xludf.DUMMYFUNCTION("""COMPUTED_VALUE"""),203.36)</f>
        <v>203.36</v>
      </c>
      <c r="S99" s="3">
        <f ca="1">IFERROR(__xludf.DUMMYFUNCTION("""COMPUTED_VALUE"""),43606.6666666666)</f>
        <v>43606.666666666599</v>
      </c>
      <c r="T99" s="2">
        <f ca="1">IFERROR(__xludf.DUMMYFUNCTION("""COMPUTED_VALUE"""),138.12)</f>
        <v>138.12</v>
      </c>
    </row>
    <row r="100" spans="1:20">
      <c r="A100" s="3">
        <f ca="1">IFERROR(__xludf.DUMMYFUNCTION("""COMPUTED_VALUE"""),43607.6666666666)</f>
        <v>43607.666666666599</v>
      </c>
      <c r="B100" s="2">
        <f ca="1">IFERROR(__xludf.DUMMYFUNCTION("""COMPUTED_VALUE"""),45.7)</f>
        <v>45.7</v>
      </c>
      <c r="C100" s="3">
        <f ca="1">IFERROR(__xludf.DUMMYFUNCTION("""COMPUTED_VALUE"""),43607.6666666666)</f>
        <v>43607.666666666599</v>
      </c>
      <c r="D100" s="2">
        <f ca="1">IFERROR(__xludf.DUMMYFUNCTION("""COMPUTED_VALUE"""),127.67)</f>
        <v>127.67</v>
      </c>
      <c r="E100" s="3">
        <f ca="1">IFERROR(__xludf.DUMMYFUNCTION("""COMPUTED_VALUE"""),43607.6666666666)</f>
        <v>43607.666666666599</v>
      </c>
      <c r="F100" s="2">
        <f ca="1">IFERROR(__xludf.DUMMYFUNCTION("""COMPUTED_VALUE"""),1859.68)</f>
        <v>1859.68</v>
      </c>
      <c r="G100" s="3">
        <f ca="1">IFERROR(__xludf.DUMMYFUNCTION("""COMPUTED_VALUE"""),43607.6666666666)</f>
        <v>43607.666666666599</v>
      </c>
      <c r="H100" s="2">
        <f ca="1">IFERROR(__xludf.DUMMYFUNCTION("""COMPUTED_VALUE"""),1155.85)</f>
        <v>1155.8499999999999</v>
      </c>
      <c r="I100" s="3">
        <f ca="1">IFERROR(__xludf.DUMMYFUNCTION("""COMPUTED_VALUE"""),43607.6666666666)</f>
        <v>43607.666666666599</v>
      </c>
      <c r="J100" s="2">
        <f ca="1">IFERROR(__xludf.DUMMYFUNCTION("""COMPUTED_VALUE"""),1151.42)</f>
        <v>1151.42</v>
      </c>
      <c r="K100" s="3">
        <f ca="1">IFERROR(__xludf.DUMMYFUNCTION("""COMPUTED_VALUE"""),43607.6666666666)</f>
        <v>43607.666666666599</v>
      </c>
      <c r="L100" s="2">
        <f ca="1">IFERROR(__xludf.DUMMYFUNCTION("""COMPUTED_VALUE"""),185.32)</f>
        <v>185.32</v>
      </c>
      <c r="M100" s="3">
        <f ca="1">IFERROR(__xludf.DUMMYFUNCTION("""COMPUTED_VALUE"""),43607.6666666666)</f>
        <v>43607.666666666599</v>
      </c>
      <c r="N100" s="2">
        <f ca="1">IFERROR(__xludf.DUMMYFUNCTION("""COMPUTED_VALUE"""),38.55)</f>
        <v>38.549999999999997</v>
      </c>
      <c r="O100" s="3">
        <f ca="1">IFERROR(__xludf.DUMMYFUNCTION("""COMPUTED_VALUE"""),43607.6666666666)</f>
        <v>43607.666666666599</v>
      </c>
      <c r="P100" s="2">
        <f ca="1">IFERROR(__xludf.DUMMYFUNCTION("""COMPUTED_VALUE"""),38.05)</f>
        <v>38.049999999999997</v>
      </c>
      <c r="Q100" s="3">
        <f ca="1">IFERROR(__xludf.DUMMYFUNCTION("""COMPUTED_VALUE"""),43607.6666666666)</f>
        <v>43607.666666666599</v>
      </c>
      <c r="R100" s="2">
        <f ca="1">IFERROR(__xludf.DUMMYFUNCTION("""COMPUTED_VALUE"""),202.6)</f>
        <v>202.6</v>
      </c>
      <c r="S100" s="3">
        <f ca="1">IFERROR(__xludf.DUMMYFUNCTION("""COMPUTED_VALUE"""),43607.6666666666)</f>
        <v>43607.666666666599</v>
      </c>
      <c r="T100" s="2">
        <f ca="1">IFERROR(__xludf.DUMMYFUNCTION("""COMPUTED_VALUE"""),138.76)</f>
        <v>138.76</v>
      </c>
    </row>
    <row r="101" spans="1:20">
      <c r="A101" s="3">
        <f ca="1">IFERROR(__xludf.DUMMYFUNCTION("""COMPUTED_VALUE"""),43608.6666666666)</f>
        <v>43608.666666666599</v>
      </c>
      <c r="B101" s="2">
        <f ca="1">IFERROR(__xludf.DUMMYFUNCTION("""COMPUTED_VALUE"""),44.92)</f>
        <v>44.92</v>
      </c>
      <c r="C101" s="3">
        <f ca="1">IFERROR(__xludf.DUMMYFUNCTION("""COMPUTED_VALUE"""),43608.6666666666)</f>
        <v>43608.666666666599</v>
      </c>
      <c r="D101" s="2">
        <f ca="1">IFERROR(__xludf.DUMMYFUNCTION("""COMPUTED_VALUE"""),126.18)</f>
        <v>126.18</v>
      </c>
      <c r="E101" s="3">
        <f ca="1">IFERROR(__xludf.DUMMYFUNCTION("""COMPUTED_VALUE"""),43608.6666666666)</f>
        <v>43608.666666666599</v>
      </c>
      <c r="F101" s="2">
        <f ca="1">IFERROR(__xludf.DUMMYFUNCTION("""COMPUTED_VALUE"""),1815.48)</f>
        <v>1815.48</v>
      </c>
      <c r="G101" s="3">
        <f ca="1">IFERROR(__xludf.DUMMYFUNCTION("""COMPUTED_VALUE"""),43608.6666666666)</f>
        <v>43608.666666666599</v>
      </c>
      <c r="H101" s="2">
        <f ca="1">IFERROR(__xludf.DUMMYFUNCTION("""COMPUTED_VALUE"""),1145.34)</f>
        <v>1145.3399999999999</v>
      </c>
      <c r="I101" s="3">
        <f ca="1">IFERROR(__xludf.DUMMYFUNCTION("""COMPUTED_VALUE"""),43608.6666666666)</f>
        <v>43608.666666666599</v>
      </c>
      <c r="J101" s="2">
        <f ca="1">IFERROR(__xludf.DUMMYFUNCTION("""COMPUTED_VALUE"""),1140.77)</f>
        <v>1140.77</v>
      </c>
      <c r="K101" s="3">
        <f ca="1">IFERROR(__xludf.DUMMYFUNCTION("""COMPUTED_VALUE"""),43608.6666666666)</f>
        <v>43608.666666666599</v>
      </c>
      <c r="L101" s="2">
        <f ca="1">IFERROR(__xludf.DUMMYFUNCTION("""COMPUTED_VALUE"""),180.87)</f>
        <v>180.87</v>
      </c>
      <c r="M101" s="3">
        <f ca="1">IFERROR(__xludf.DUMMYFUNCTION("""COMPUTED_VALUE"""),43608.6666666666)</f>
        <v>43608.666666666599</v>
      </c>
      <c r="N101" s="2">
        <f ca="1">IFERROR(__xludf.DUMMYFUNCTION("""COMPUTED_VALUE"""),39.1)</f>
        <v>39.1</v>
      </c>
      <c r="O101" s="3">
        <f ca="1">IFERROR(__xludf.DUMMYFUNCTION("""COMPUTED_VALUE"""),43608.6666666666)</f>
        <v>43608.666666666599</v>
      </c>
      <c r="P101" s="2">
        <f ca="1">IFERROR(__xludf.DUMMYFUNCTION("""COMPUTED_VALUE"""),36.83)</f>
        <v>36.83</v>
      </c>
      <c r="Q101" s="3">
        <f ca="1">IFERROR(__xludf.DUMMYFUNCTION("""COMPUTED_VALUE"""),43608.6666666666)</f>
        <v>43608.666666666599</v>
      </c>
      <c r="R101" s="2">
        <f ca="1">IFERROR(__xludf.DUMMYFUNCTION("""COMPUTED_VALUE"""),201.3)</f>
        <v>201.3</v>
      </c>
      <c r="S101" s="3">
        <f ca="1">IFERROR(__xludf.DUMMYFUNCTION("""COMPUTED_VALUE"""),43608.6666666666)</f>
        <v>43608.666666666599</v>
      </c>
      <c r="T101" s="2">
        <f ca="1">IFERROR(__xludf.DUMMYFUNCTION("""COMPUTED_VALUE"""),139.79)</f>
        <v>139.79</v>
      </c>
    </row>
    <row r="102" spans="1:20">
      <c r="A102" s="3">
        <f ca="1">IFERROR(__xludf.DUMMYFUNCTION("""COMPUTED_VALUE"""),43609.6666666666)</f>
        <v>43609.666666666599</v>
      </c>
      <c r="B102" s="2">
        <f ca="1">IFERROR(__xludf.DUMMYFUNCTION("""COMPUTED_VALUE"""),44.74)</f>
        <v>44.74</v>
      </c>
      <c r="C102" s="3">
        <f ca="1">IFERROR(__xludf.DUMMYFUNCTION("""COMPUTED_VALUE"""),43609.6666666666)</f>
        <v>43609.666666666599</v>
      </c>
      <c r="D102" s="2">
        <f ca="1">IFERROR(__xludf.DUMMYFUNCTION("""COMPUTED_VALUE"""),126.24)</f>
        <v>126.24</v>
      </c>
      <c r="E102" s="3">
        <f ca="1">IFERROR(__xludf.DUMMYFUNCTION("""COMPUTED_VALUE"""),43609.6666666666)</f>
        <v>43609.666666666599</v>
      </c>
      <c r="F102" s="2">
        <f ca="1">IFERROR(__xludf.DUMMYFUNCTION("""COMPUTED_VALUE"""),1823.28)</f>
        <v>1823.28</v>
      </c>
      <c r="G102" s="3">
        <f ca="1">IFERROR(__xludf.DUMMYFUNCTION("""COMPUTED_VALUE"""),43609.6666666666)</f>
        <v>43609.666666666599</v>
      </c>
      <c r="H102" s="2">
        <f ca="1">IFERROR(__xludf.DUMMYFUNCTION("""COMPUTED_VALUE"""),1138.61)</f>
        <v>1138.6099999999999</v>
      </c>
      <c r="I102" s="3">
        <f ca="1">IFERROR(__xludf.DUMMYFUNCTION("""COMPUTED_VALUE"""),43609.6666666666)</f>
        <v>43609.666666666599</v>
      </c>
      <c r="J102" s="2">
        <f ca="1">IFERROR(__xludf.DUMMYFUNCTION("""COMPUTED_VALUE"""),1133.47)</f>
        <v>1133.47</v>
      </c>
      <c r="K102" s="3">
        <f ca="1">IFERROR(__xludf.DUMMYFUNCTION("""COMPUTED_VALUE"""),43609.6666666666)</f>
        <v>43609.666666666599</v>
      </c>
      <c r="L102" s="2">
        <f ca="1">IFERROR(__xludf.DUMMYFUNCTION("""COMPUTED_VALUE"""),181.06)</f>
        <v>181.06</v>
      </c>
      <c r="M102" s="3">
        <f ca="1">IFERROR(__xludf.DUMMYFUNCTION("""COMPUTED_VALUE"""),43609.6666666666)</f>
        <v>43609.666666666599</v>
      </c>
      <c r="N102" s="2">
        <f ca="1">IFERROR(__xludf.DUMMYFUNCTION("""COMPUTED_VALUE"""),38.13)</f>
        <v>38.130000000000003</v>
      </c>
      <c r="O102" s="3">
        <f ca="1">IFERROR(__xludf.DUMMYFUNCTION("""COMPUTED_VALUE"""),43609.6666666666)</f>
        <v>43609.666666666599</v>
      </c>
      <c r="P102" s="2">
        <f ca="1">IFERROR(__xludf.DUMMYFUNCTION("""COMPUTED_VALUE"""),36.29)</f>
        <v>36.29</v>
      </c>
      <c r="Q102" s="3">
        <f ca="1">IFERROR(__xludf.DUMMYFUNCTION("""COMPUTED_VALUE"""),43609.6666666666)</f>
        <v>43609.666666666599</v>
      </c>
      <c r="R102" s="2">
        <f ca="1">IFERROR(__xludf.DUMMYFUNCTION("""COMPUTED_VALUE"""),201.69)</f>
        <v>201.69</v>
      </c>
      <c r="S102" s="3">
        <f ca="1">IFERROR(__xludf.DUMMYFUNCTION("""COMPUTED_VALUE"""),43609.6666666666)</f>
        <v>43609.666666666599</v>
      </c>
      <c r="T102" s="2">
        <f ca="1">IFERROR(__xludf.DUMMYFUNCTION("""COMPUTED_VALUE"""),138.85)</f>
        <v>138.85</v>
      </c>
    </row>
    <row r="103" spans="1:20">
      <c r="A103" s="3">
        <f ca="1">IFERROR(__xludf.DUMMYFUNCTION("""COMPUTED_VALUE"""),43613.6666666666)</f>
        <v>43613.666666666599</v>
      </c>
      <c r="B103" s="2">
        <f ca="1">IFERROR(__xludf.DUMMYFUNCTION("""COMPUTED_VALUE"""),44.56)</f>
        <v>44.56</v>
      </c>
      <c r="C103" s="3">
        <f ca="1">IFERROR(__xludf.DUMMYFUNCTION("""COMPUTED_VALUE"""),43613.6666666666)</f>
        <v>43613.666666666599</v>
      </c>
      <c r="D103" s="2">
        <f ca="1">IFERROR(__xludf.DUMMYFUNCTION("""COMPUTED_VALUE"""),126.16)</f>
        <v>126.16</v>
      </c>
      <c r="E103" s="3">
        <f ca="1">IFERROR(__xludf.DUMMYFUNCTION("""COMPUTED_VALUE"""),43613.6666666666)</f>
        <v>43613.666666666599</v>
      </c>
      <c r="F103" s="2">
        <f ca="1">IFERROR(__xludf.DUMMYFUNCTION("""COMPUTED_VALUE"""),1836.43)</f>
        <v>1836.43</v>
      </c>
      <c r="G103" s="3">
        <f ca="1">IFERROR(__xludf.DUMMYFUNCTION("""COMPUTED_VALUE"""),43613.6666666666)</f>
        <v>43613.666666666599</v>
      </c>
      <c r="H103" s="2">
        <f ca="1">IFERROR(__xludf.DUMMYFUNCTION("""COMPUTED_VALUE"""),1139.56)</f>
        <v>1139.56</v>
      </c>
      <c r="I103" s="3">
        <f ca="1">IFERROR(__xludf.DUMMYFUNCTION("""COMPUTED_VALUE"""),43613.6666666666)</f>
        <v>43613.666666666599</v>
      </c>
      <c r="J103" s="2">
        <f ca="1">IFERROR(__xludf.DUMMYFUNCTION("""COMPUTED_VALUE"""),1134.15)</f>
        <v>1134.1500000000001</v>
      </c>
      <c r="K103" s="3">
        <f ca="1">IFERROR(__xludf.DUMMYFUNCTION("""COMPUTED_VALUE"""),43613.6666666666)</f>
        <v>43613.666666666599</v>
      </c>
      <c r="L103" s="2">
        <f ca="1">IFERROR(__xludf.DUMMYFUNCTION("""COMPUTED_VALUE"""),184.31)</f>
        <v>184.31</v>
      </c>
      <c r="M103" s="3">
        <f ca="1">IFERROR(__xludf.DUMMYFUNCTION("""COMPUTED_VALUE"""),43613.6666666666)</f>
        <v>43613.666666666599</v>
      </c>
      <c r="N103" s="2">
        <f ca="1">IFERROR(__xludf.DUMMYFUNCTION("""COMPUTED_VALUE"""),37.74)</f>
        <v>37.74</v>
      </c>
      <c r="O103" s="3">
        <f ca="1">IFERROR(__xludf.DUMMYFUNCTION("""COMPUTED_VALUE"""),43613.6666666666)</f>
        <v>43613.666666666599</v>
      </c>
      <c r="P103" s="2">
        <f ca="1">IFERROR(__xludf.DUMMYFUNCTION("""COMPUTED_VALUE"""),35.83)</f>
        <v>35.83</v>
      </c>
      <c r="Q103" s="3">
        <f ca="1">IFERROR(__xludf.DUMMYFUNCTION("""COMPUTED_VALUE"""),43613.6666666666)</f>
        <v>43613.666666666599</v>
      </c>
      <c r="R103" s="2">
        <f ca="1">IFERROR(__xludf.DUMMYFUNCTION("""COMPUTED_VALUE"""),199.7)</f>
        <v>199.7</v>
      </c>
      <c r="S103" s="3">
        <f ca="1">IFERROR(__xludf.DUMMYFUNCTION("""COMPUTED_VALUE"""),43613.6666666666)</f>
        <v>43613.666666666599</v>
      </c>
      <c r="T103" s="2">
        <f ca="1">IFERROR(__xludf.DUMMYFUNCTION("""COMPUTED_VALUE"""),137.07)</f>
        <v>137.07</v>
      </c>
    </row>
    <row r="104" spans="1:20">
      <c r="A104" s="3">
        <f ca="1">IFERROR(__xludf.DUMMYFUNCTION("""COMPUTED_VALUE"""),43614.6666666666)</f>
        <v>43614.666666666599</v>
      </c>
      <c r="B104" s="2">
        <f ca="1">IFERROR(__xludf.DUMMYFUNCTION("""COMPUTED_VALUE"""),44.35)</f>
        <v>44.35</v>
      </c>
      <c r="C104" s="3">
        <f ca="1">IFERROR(__xludf.DUMMYFUNCTION("""COMPUTED_VALUE"""),43614.6666666666)</f>
        <v>43614.666666666599</v>
      </c>
      <c r="D104" s="2">
        <f ca="1">IFERROR(__xludf.DUMMYFUNCTION("""COMPUTED_VALUE"""),124.94)</f>
        <v>124.94</v>
      </c>
      <c r="E104" s="3">
        <f ca="1">IFERROR(__xludf.DUMMYFUNCTION("""COMPUTED_VALUE"""),43614.6666666666)</f>
        <v>43614.666666666599</v>
      </c>
      <c r="F104" s="2">
        <f ca="1">IFERROR(__xludf.DUMMYFUNCTION("""COMPUTED_VALUE"""),1819.19)</f>
        <v>1819.19</v>
      </c>
      <c r="G104" s="3">
        <f ca="1">IFERROR(__xludf.DUMMYFUNCTION("""COMPUTED_VALUE"""),43614.6666666666)</f>
        <v>43614.666666666599</v>
      </c>
      <c r="H104" s="2">
        <f ca="1">IFERROR(__xludf.DUMMYFUNCTION("""COMPUTED_VALUE"""),1119.94)</f>
        <v>1119.94</v>
      </c>
      <c r="I104" s="3">
        <f ca="1">IFERROR(__xludf.DUMMYFUNCTION("""COMPUTED_VALUE"""),43614.6666666666)</f>
        <v>43614.666666666599</v>
      </c>
      <c r="J104" s="2">
        <f ca="1">IFERROR(__xludf.DUMMYFUNCTION("""COMPUTED_VALUE"""),1116.46)</f>
        <v>1116.46</v>
      </c>
      <c r="K104" s="3">
        <f ca="1">IFERROR(__xludf.DUMMYFUNCTION("""COMPUTED_VALUE"""),43614.6666666666)</f>
        <v>43614.666666666599</v>
      </c>
      <c r="L104" s="2">
        <f ca="1">IFERROR(__xludf.DUMMYFUNCTION("""COMPUTED_VALUE"""),182.19)</f>
        <v>182.19</v>
      </c>
      <c r="M104" s="3">
        <f ca="1">IFERROR(__xludf.DUMMYFUNCTION("""COMPUTED_VALUE"""),43614.6666666666)</f>
        <v>43614.666666666599</v>
      </c>
      <c r="N104" s="2">
        <f ca="1">IFERROR(__xludf.DUMMYFUNCTION("""COMPUTED_VALUE"""),37.97)</f>
        <v>37.97</v>
      </c>
      <c r="O104" s="3">
        <f ca="1">IFERROR(__xludf.DUMMYFUNCTION("""COMPUTED_VALUE"""),43614.6666666666)</f>
        <v>43614.666666666599</v>
      </c>
      <c r="P104" s="2">
        <f ca="1">IFERROR(__xludf.DUMMYFUNCTION("""COMPUTED_VALUE"""),35.09)</f>
        <v>35.090000000000003</v>
      </c>
      <c r="Q104" s="3">
        <f ca="1">IFERROR(__xludf.DUMMYFUNCTION("""COMPUTED_VALUE"""),43614.6666666666)</f>
        <v>43614.666666666599</v>
      </c>
      <c r="R104" s="2">
        <f ca="1">IFERROR(__xludf.DUMMYFUNCTION("""COMPUTED_VALUE"""),198.52)</f>
        <v>198.52</v>
      </c>
      <c r="S104" s="3">
        <f ca="1">IFERROR(__xludf.DUMMYFUNCTION("""COMPUTED_VALUE"""),43614.6666666666)</f>
        <v>43614.666666666599</v>
      </c>
      <c r="T104" s="2">
        <f ca="1">IFERROR(__xludf.DUMMYFUNCTION("""COMPUTED_VALUE"""),131.33)</f>
        <v>131.33000000000001</v>
      </c>
    </row>
    <row r="105" spans="1:20">
      <c r="A105" s="3">
        <f ca="1">IFERROR(__xludf.DUMMYFUNCTION("""COMPUTED_VALUE"""),43615.6666666666)</f>
        <v>43615.666666666599</v>
      </c>
      <c r="B105" s="2">
        <f ca="1">IFERROR(__xludf.DUMMYFUNCTION("""COMPUTED_VALUE"""),44.58)</f>
        <v>44.58</v>
      </c>
      <c r="C105" s="3">
        <f ca="1">IFERROR(__xludf.DUMMYFUNCTION("""COMPUTED_VALUE"""),43615.6666666666)</f>
        <v>43615.666666666599</v>
      </c>
      <c r="D105" s="2">
        <f ca="1">IFERROR(__xludf.DUMMYFUNCTION("""COMPUTED_VALUE"""),125.73)</f>
        <v>125.73</v>
      </c>
      <c r="E105" s="3">
        <f ca="1">IFERROR(__xludf.DUMMYFUNCTION("""COMPUTED_VALUE"""),43615.6666666666)</f>
        <v>43615.666666666599</v>
      </c>
      <c r="F105" s="2">
        <f ca="1">IFERROR(__xludf.DUMMYFUNCTION("""COMPUTED_VALUE"""),1816.32)</f>
        <v>1816.32</v>
      </c>
      <c r="G105" s="3">
        <f ca="1">IFERROR(__xludf.DUMMYFUNCTION("""COMPUTED_VALUE"""),43615.6666666666)</f>
        <v>43615.666666666599</v>
      </c>
      <c r="H105" s="2">
        <f ca="1">IFERROR(__xludf.DUMMYFUNCTION("""COMPUTED_VALUE"""),1121.41)</f>
        <v>1121.4100000000001</v>
      </c>
      <c r="I105" s="3">
        <f ca="1">IFERROR(__xludf.DUMMYFUNCTION("""COMPUTED_VALUE"""),43615.6666666666)</f>
        <v>43615.666666666599</v>
      </c>
      <c r="J105" s="2">
        <f ca="1">IFERROR(__xludf.DUMMYFUNCTION("""COMPUTED_VALUE"""),1117.95)</f>
        <v>1117.95</v>
      </c>
      <c r="K105" s="3">
        <f ca="1">IFERROR(__xludf.DUMMYFUNCTION("""COMPUTED_VALUE"""),43615.6666666666)</f>
        <v>43615.666666666599</v>
      </c>
      <c r="L105" s="2">
        <f ca="1">IFERROR(__xludf.DUMMYFUNCTION("""COMPUTED_VALUE"""),183.01)</f>
        <v>183.01</v>
      </c>
      <c r="M105" s="3">
        <f ca="1">IFERROR(__xludf.DUMMYFUNCTION("""COMPUTED_VALUE"""),43615.6666666666)</f>
        <v>43615.666666666599</v>
      </c>
      <c r="N105" s="2">
        <f ca="1">IFERROR(__xludf.DUMMYFUNCTION("""COMPUTED_VALUE"""),37.64)</f>
        <v>37.64</v>
      </c>
      <c r="O105" s="3">
        <f ca="1">IFERROR(__xludf.DUMMYFUNCTION("""COMPUTED_VALUE"""),43615.6666666666)</f>
        <v>43615.666666666599</v>
      </c>
      <c r="P105" s="2">
        <f ca="1">IFERROR(__xludf.DUMMYFUNCTION("""COMPUTED_VALUE"""),34.78)</f>
        <v>34.78</v>
      </c>
      <c r="Q105" s="3">
        <f ca="1">IFERROR(__xludf.DUMMYFUNCTION("""COMPUTED_VALUE"""),43615.6666666666)</f>
        <v>43615.666666666599</v>
      </c>
      <c r="R105" s="2">
        <f ca="1">IFERROR(__xludf.DUMMYFUNCTION("""COMPUTED_VALUE"""),199.74)</f>
        <v>199.74</v>
      </c>
      <c r="S105" s="3">
        <f ca="1">IFERROR(__xludf.DUMMYFUNCTION("""COMPUTED_VALUE"""),43615.6666666666)</f>
        <v>43615.666666666599</v>
      </c>
      <c r="T105" s="2">
        <f ca="1">IFERROR(__xludf.DUMMYFUNCTION("""COMPUTED_VALUE"""),132.11)</f>
        <v>132.11000000000001</v>
      </c>
    </row>
    <row r="106" spans="1:20">
      <c r="A106" s="3">
        <f ca="1">IFERROR(__xludf.DUMMYFUNCTION("""COMPUTED_VALUE"""),43616.6666666666)</f>
        <v>43616.666666666599</v>
      </c>
      <c r="B106" s="2">
        <f ca="1">IFERROR(__xludf.DUMMYFUNCTION("""COMPUTED_VALUE"""),43.77)</f>
        <v>43.77</v>
      </c>
      <c r="C106" s="3">
        <f ca="1">IFERROR(__xludf.DUMMYFUNCTION("""COMPUTED_VALUE"""),43616.6666666666)</f>
        <v>43616.666666666599</v>
      </c>
      <c r="D106" s="2">
        <f ca="1">IFERROR(__xludf.DUMMYFUNCTION("""COMPUTED_VALUE"""),123.68)</f>
        <v>123.68</v>
      </c>
      <c r="E106" s="3">
        <f ca="1">IFERROR(__xludf.DUMMYFUNCTION("""COMPUTED_VALUE"""),43616.6666666666)</f>
        <v>43616.666666666599</v>
      </c>
      <c r="F106" s="2">
        <f ca="1">IFERROR(__xludf.DUMMYFUNCTION("""COMPUTED_VALUE"""),1775.07)</f>
        <v>1775.07</v>
      </c>
      <c r="G106" s="3">
        <f ca="1">IFERROR(__xludf.DUMMYFUNCTION("""COMPUTED_VALUE"""),43616.6666666666)</f>
        <v>43616.666666666599</v>
      </c>
      <c r="H106" s="2">
        <f ca="1">IFERROR(__xludf.DUMMYFUNCTION("""COMPUTED_VALUE"""),1106.5)</f>
        <v>1106.5</v>
      </c>
      <c r="I106" s="3">
        <f ca="1">IFERROR(__xludf.DUMMYFUNCTION("""COMPUTED_VALUE"""),43616.6666666666)</f>
        <v>43616.666666666599</v>
      </c>
      <c r="J106" s="2">
        <f ca="1">IFERROR(__xludf.DUMMYFUNCTION("""COMPUTED_VALUE"""),1103.63)</f>
        <v>1103.6300000000001</v>
      </c>
      <c r="K106" s="3">
        <f ca="1">IFERROR(__xludf.DUMMYFUNCTION("""COMPUTED_VALUE"""),43616.6666666666)</f>
        <v>43616.666666666599</v>
      </c>
      <c r="L106" s="2">
        <f ca="1">IFERROR(__xludf.DUMMYFUNCTION("""COMPUTED_VALUE"""),177.47)</f>
        <v>177.47</v>
      </c>
      <c r="M106" s="3">
        <f ca="1">IFERROR(__xludf.DUMMYFUNCTION("""COMPUTED_VALUE"""),43616.6666666666)</f>
        <v>43616.666666666599</v>
      </c>
      <c r="N106" s="2">
        <f ca="1">IFERROR(__xludf.DUMMYFUNCTION("""COMPUTED_VALUE"""),37.03)</f>
        <v>37.03</v>
      </c>
      <c r="O106" s="3">
        <f ca="1">IFERROR(__xludf.DUMMYFUNCTION("""COMPUTED_VALUE"""),43616.6666666666)</f>
        <v>43616.666666666599</v>
      </c>
      <c r="P106" s="2">
        <f ca="1">IFERROR(__xludf.DUMMYFUNCTION("""COMPUTED_VALUE"""),33.87)</f>
        <v>33.869999999999997</v>
      </c>
      <c r="Q106" s="3">
        <f ca="1">IFERROR(__xludf.DUMMYFUNCTION("""COMPUTED_VALUE"""),43616.6666666666)</f>
        <v>43616.666666666599</v>
      </c>
      <c r="R106" s="2">
        <f ca="1">IFERROR(__xludf.DUMMYFUNCTION("""COMPUTED_VALUE"""),197.42)</f>
        <v>197.42</v>
      </c>
      <c r="S106" s="3">
        <f ca="1">IFERROR(__xludf.DUMMYFUNCTION("""COMPUTED_VALUE"""),43616.6666666666)</f>
        <v>43616.666666666599</v>
      </c>
      <c r="T106" s="2">
        <f ca="1">IFERROR(__xludf.DUMMYFUNCTION("""COMPUTED_VALUE"""),131.15)</f>
        <v>131.15</v>
      </c>
    </row>
    <row r="107" spans="1:20">
      <c r="A107" s="3">
        <f ca="1">IFERROR(__xludf.DUMMYFUNCTION("""COMPUTED_VALUE"""),43619.6666666666)</f>
        <v>43619.666666666599</v>
      </c>
      <c r="B107" s="2">
        <f ca="1">IFERROR(__xludf.DUMMYFUNCTION("""COMPUTED_VALUE"""),43.33)</f>
        <v>43.33</v>
      </c>
      <c r="C107" s="3">
        <f ca="1">IFERROR(__xludf.DUMMYFUNCTION("""COMPUTED_VALUE"""),43619.6666666666)</f>
        <v>43619.666666666599</v>
      </c>
      <c r="D107" s="2">
        <f ca="1">IFERROR(__xludf.DUMMYFUNCTION("""COMPUTED_VALUE"""),119.84)</f>
        <v>119.84</v>
      </c>
      <c r="E107" s="3">
        <f ca="1">IFERROR(__xludf.DUMMYFUNCTION("""COMPUTED_VALUE"""),43619.6666666666)</f>
        <v>43619.666666666599</v>
      </c>
      <c r="F107" s="2">
        <f ca="1">IFERROR(__xludf.DUMMYFUNCTION("""COMPUTED_VALUE"""),1692.69)</f>
        <v>1692.69</v>
      </c>
      <c r="G107" s="3">
        <f ca="1">IFERROR(__xludf.DUMMYFUNCTION("""COMPUTED_VALUE"""),43619.6666666666)</f>
        <v>43619.666666666599</v>
      </c>
      <c r="H107" s="2">
        <f ca="1">IFERROR(__xludf.DUMMYFUNCTION("""COMPUTED_VALUE"""),1038.74)</f>
        <v>1038.74</v>
      </c>
      <c r="I107" s="3">
        <f ca="1">IFERROR(__xludf.DUMMYFUNCTION("""COMPUTED_VALUE"""),43619.6666666666)</f>
        <v>43619.666666666599</v>
      </c>
      <c r="J107" s="2">
        <f ca="1">IFERROR(__xludf.DUMMYFUNCTION("""COMPUTED_VALUE"""),1036.23)</f>
        <v>1036.23</v>
      </c>
      <c r="K107" s="3">
        <f ca="1">IFERROR(__xludf.DUMMYFUNCTION("""COMPUTED_VALUE"""),43619.6666666666)</f>
        <v>43619.666666666599</v>
      </c>
      <c r="L107" s="2">
        <f ca="1">IFERROR(__xludf.DUMMYFUNCTION("""COMPUTED_VALUE"""),164.15)</f>
        <v>164.15</v>
      </c>
      <c r="M107" s="3">
        <f ca="1">IFERROR(__xludf.DUMMYFUNCTION("""COMPUTED_VALUE"""),43619.6666666666)</f>
        <v>43619.666666666599</v>
      </c>
      <c r="N107" s="2">
        <f ca="1">IFERROR(__xludf.DUMMYFUNCTION("""COMPUTED_VALUE"""),35.79)</f>
        <v>35.79</v>
      </c>
      <c r="O107" s="3">
        <f ca="1">IFERROR(__xludf.DUMMYFUNCTION("""COMPUTED_VALUE"""),43619.6666666666)</f>
        <v>43619.666666666599</v>
      </c>
      <c r="P107" s="2">
        <f ca="1">IFERROR(__xludf.DUMMYFUNCTION("""COMPUTED_VALUE"""),33.45)</f>
        <v>33.450000000000003</v>
      </c>
      <c r="Q107" s="3">
        <f ca="1">IFERROR(__xludf.DUMMYFUNCTION("""COMPUTED_VALUE"""),43619.6666666666)</f>
        <v>43619.666666666599</v>
      </c>
      <c r="R107" s="2">
        <f ca="1">IFERROR(__xludf.DUMMYFUNCTION("""COMPUTED_VALUE"""),198.56)</f>
        <v>198.56</v>
      </c>
      <c r="S107" s="3">
        <f ca="1">IFERROR(__xludf.DUMMYFUNCTION("""COMPUTED_VALUE"""),43619.6666666666)</f>
        <v>43619.666666666599</v>
      </c>
      <c r="T107" s="2">
        <f ca="1">IFERROR(__xludf.DUMMYFUNCTION("""COMPUTED_VALUE"""),131.44)</f>
        <v>131.44</v>
      </c>
    </row>
    <row r="108" spans="1:20">
      <c r="A108" s="3">
        <f ca="1">IFERROR(__xludf.DUMMYFUNCTION("""COMPUTED_VALUE"""),43620.6666666666)</f>
        <v>43620.666666666599</v>
      </c>
      <c r="B108" s="2">
        <f ca="1">IFERROR(__xludf.DUMMYFUNCTION("""COMPUTED_VALUE"""),44.91)</f>
        <v>44.91</v>
      </c>
      <c r="C108" s="3">
        <f ca="1">IFERROR(__xludf.DUMMYFUNCTION("""COMPUTED_VALUE"""),43620.6666666666)</f>
        <v>43620.666666666599</v>
      </c>
      <c r="D108" s="2">
        <f ca="1">IFERROR(__xludf.DUMMYFUNCTION("""COMPUTED_VALUE"""),123.16)</f>
        <v>123.16</v>
      </c>
      <c r="E108" s="3">
        <f ca="1">IFERROR(__xludf.DUMMYFUNCTION("""COMPUTED_VALUE"""),43620.6666666666)</f>
        <v>43620.666666666599</v>
      </c>
      <c r="F108" s="2">
        <f ca="1">IFERROR(__xludf.DUMMYFUNCTION("""COMPUTED_VALUE"""),1729.56)</f>
        <v>1729.56</v>
      </c>
      <c r="G108" s="3">
        <f ca="1">IFERROR(__xludf.DUMMYFUNCTION("""COMPUTED_VALUE"""),43620.6666666666)</f>
        <v>43620.666666666599</v>
      </c>
      <c r="H108" s="2">
        <f ca="1">IFERROR(__xludf.DUMMYFUNCTION("""COMPUTED_VALUE"""),1054.49)</f>
        <v>1054.49</v>
      </c>
      <c r="I108" s="3">
        <f ca="1">IFERROR(__xludf.DUMMYFUNCTION("""COMPUTED_VALUE"""),43620.6666666666)</f>
        <v>43620.666666666599</v>
      </c>
      <c r="J108" s="2">
        <f ca="1">IFERROR(__xludf.DUMMYFUNCTION("""COMPUTED_VALUE"""),1053.05)</f>
        <v>1053.05</v>
      </c>
      <c r="K108" s="3">
        <f ca="1">IFERROR(__xludf.DUMMYFUNCTION("""COMPUTED_VALUE"""),43620.6666666666)</f>
        <v>43620.666666666599</v>
      </c>
      <c r="L108" s="2">
        <f ca="1">IFERROR(__xludf.DUMMYFUNCTION("""COMPUTED_VALUE"""),167.5)</f>
        <v>167.5</v>
      </c>
      <c r="M108" s="3">
        <f ca="1">IFERROR(__xludf.DUMMYFUNCTION("""COMPUTED_VALUE"""),43620.6666666666)</f>
        <v>43620.666666666599</v>
      </c>
      <c r="N108" s="2">
        <f ca="1">IFERROR(__xludf.DUMMYFUNCTION("""COMPUTED_VALUE"""),38.72)</f>
        <v>38.72</v>
      </c>
      <c r="O108" s="3">
        <f ca="1">IFERROR(__xludf.DUMMYFUNCTION("""COMPUTED_VALUE"""),43620.6666666666)</f>
        <v>43620.666666666599</v>
      </c>
      <c r="P108" s="2">
        <f ca="1">IFERROR(__xludf.DUMMYFUNCTION("""COMPUTED_VALUE"""),35.75)</f>
        <v>35.75</v>
      </c>
      <c r="Q108" s="3">
        <f ca="1">IFERROR(__xludf.DUMMYFUNCTION("""COMPUTED_VALUE"""),43620.6666666666)</f>
        <v>43620.666666666599</v>
      </c>
      <c r="R108" s="2">
        <f ca="1">IFERROR(__xludf.DUMMYFUNCTION("""COMPUTED_VALUE"""),201.59)</f>
        <v>201.59</v>
      </c>
      <c r="S108" s="3">
        <f ca="1">IFERROR(__xludf.DUMMYFUNCTION("""COMPUTED_VALUE"""),43620.6666666666)</f>
        <v>43620.666666666599</v>
      </c>
      <c r="T108" s="2">
        <f ca="1">IFERROR(__xludf.DUMMYFUNCTION("""COMPUTED_VALUE"""),133.73)</f>
        <v>133.72999999999999</v>
      </c>
    </row>
    <row r="109" spans="1:20">
      <c r="A109" s="3">
        <f ca="1">IFERROR(__xludf.DUMMYFUNCTION("""COMPUTED_VALUE"""),43621.6666666666)</f>
        <v>43621.666666666599</v>
      </c>
      <c r="B109" s="2">
        <f ca="1">IFERROR(__xludf.DUMMYFUNCTION("""COMPUTED_VALUE"""),45.64)</f>
        <v>45.64</v>
      </c>
      <c r="C109" s="3">
        <f ca="1">IFERROR(__xludf.DUMMYFUNCTION("""COMPUTED_VALUE"""),43621.6666666666)</f>
        <v>43621.666666666599</v>
      </c>
      <c r="D109" s="2">
        <f ca="1">IFERROR(__xludf.DUMMYFUNCTION("""COMPUTED_VALUE"""),125.83)</f>
        <v>125.83</v>
      </c>
      <c r="E109" s="3">
        <f ca="1">IFERROR(__xludf.DUMMYFUNCTION("""COMPUTED_VALUE"""),43621.6666666666)</f>
        <v>43621.666666666599</v>
      </c>
      <c r="F109" s="2">
        <f ca="1">IFERROR(__xludf.DUMMYFUNCTION("""COMPUTED_VALUE"""),1738.5)</f>
        <v>1738.5</v>
      </c>
      <c r="G109" s="3">
        <f ca="1">IFERROR(__xludf.DUMMYFUNCTION("""COMPUTED_VALUE"""),43621.6666666666)</f>
        <v>43621.666666666599</v>
      </c>
      <c r="H109" s="2">
        <f ca="1">IFERROR(__xludf.DUMMYFUNCTION("""COMPUTED_VALUE"""),1044.64)</f>
        <v>1044.6400000000001</v>
      </c>
      <c r="I109" s="3">
        <f ca="1">IFERROR(__xludf.DUMMYFUNCTION("""COMPUTED_VALUE"""),43621.6666666666)</f>
        <v>43621.666666666599</v>
      </c>
      <c r="J109" s="2">
        <f ca="1">IFERROR(__xludf.DUMMYFUNCTION("""COMPUTED_VALUE"""),1042.22)</f>
        <v>1042.22</v>
      </c>
      <c r="K109" s="3">
        <f ca="1">IFERROR(__xludf.DUMMYFUNCTION("""COMPUTED_VALUE"""),43621.6666666666)</f>
        <v>43621.666666666599</v>
      </c>
      <c r="L109" s="2">
        <f ca="1">IFERROR(__xludf.DUMMYFUNCTION("""COMPUTED_VALUE"""),168.17)</f>
        <v>168.17</v>
      </c>
      <c r="M109" s="3">
        <f ca="1">IFERROR(__xludf.DUMMYFUNCTION("""COMPUTED_VALUE"""),43621.6666666666)</f>
        <v>43621.666666666599</v>
      </c>
      <c r="N109" s="2">
        <f ca="1">IFERROR(__xludf.DUMMYFUNCTION("""COMPUTED_VALUE"""),39.32)</f>
        <v>39.32</v>
      </c>
      <c r="O109" s="3">
        <f ca="1">IFERROR(__xludf.DUMMYFUNCTION("""COMPUTED_VALUE"""),43621.6666666666)</f>
        <v>43621.666666666599</v>
      </c>
      <c r="P109" s="2">
        <f ca="1">IFERROR(__xludf.DUMMYFUNCTION("""COMPUTED_VALUE"""),35.32)</f>
        <v>35.32</v>
      </c>
      <c r="Q109" s="3">
        <f ca="1">IFERROR(__xludf.DUMMYFUNCTION("""COMPUTED_VALUE"""),43621.6666666666)</f>
        <v>43621.666666666599</v>
      </c>
      <c r="R109" s="2">
        <f ca="1">IFERROR(__xludf.DUMMYFUNCTION("""COMPUTED_VALUE"""),203.3)</f>
        <v>203.3</v>
      </c>
      <c r="S109" s="3">
        <f ca="1">IFERROR(__xludf.DUMMYFUNCTION("""COMPUTED_VALUE"""),43621.6666666666)</f>
        <v>43621.666666666599</v>
      </c>
      <c r="T109" s="2">
        <f ca="1">IFERROR(__xludf.DUMMYFUNCTION("""COMPUTED_VALUE"""),134.38)</f>
        <v>134.38</v>
      </c>
    </row>
    <row r="110" spans="1:20">
      <c r="A110" s="3">
        <f ca="1">IFERROR(__xludf.DUMMYFUNCTION("""COMPUTED_VALUE"""),43622.6666666666)</f>
        <v>43622.666666666599</v>
      </c>
      <c r="B110" s="2">
        <f ca="1">IFERROR(__xludf.DUMMYFUNCTION("""COMPUTED_VALUE"""),46.31)</f>
        <v>46.31</v>
      </c>
      <c r="C110" s="3">
        <f ca="1">IFERROR(__xludf.DUMMYFUNCTION("""COMPUTED_VALUE"""),43622.6666666666)</f>
        <v>43622.666666666599</v>
      </c>
      <c r="D110" s="2">
        <f ca="1">IFERROR(__xludf.DUMMYFUNCTION("""COMPUTED_VALUE"""),127.82)</f>
        <v>127.82</v>
      </c>
      <c r="E110" s="3">
        <f ca="1">IFERROR(__xludf.DUMMYFUNCTION("""COMPUTED_VALUE"""),43622.6666666666)</f>
        <v>43622.666666666599</v>
      </c>
      <c r="F110" s="2">
        <f ca="1">IFERROR(__xludf.DUMMYFUNCTION("""COMPUTED_VALUE"""),1754.36)</f>
        <v>1754.36</v>
      </c>
      <c r="G110" s="3">
        <f ca="1">IFERROR(__xludf.DUMMYFUNCTION("""COMPUTED_VALUE"""),43622.6666666666)</f>
        <v>43622.666666666599</v>
      </c>
      <c r="H110" s="2">
        <f ca="1">IFERROR(__xludf.DUMMYFUNCTION("""COMPUTED_VALUE"""),1047.76)</f>
        <v>1047.76</v>
      </c>
      <c r="I110" s="3">
        <f ca="1">IFERROR(__xludf.DUMMYFUNCTION("""COMPUTED_VALUE"""),43622.6666666666)</f>
        <v>43622.666666666599</v>
      </c>
      <c r="J110" s="2">
        <f ca="1">IFERROR(__xludf.DUMMYFUNCTION("""COMPUTED_VALUE"""),1044.34)</f>
        <v>1044.3399999999999</v>
      </c>
      <c r="K110" s="3">
        <f ca="1">IFERROR(__xludf.DUMMYFUNCTION("""COMPUTED_VALUE"""),43622.6666666666)</f>
        <v>43622.666666666599</v>
      </c>
      <c r="L110" s="2">
        <f ca="1">IFERROR(__xludf.DUMMYFUNCTION("""COMPUTED_VALUE"""),168.33)</f>
        <v>168.33</v>
      </c>
      <c r="M110" s="3">
        <f ca="1">IFERROR(__xludf.DUMMYFUNCTION("""COMPUTED_VALUE"""),43622.6666666666)</f>
        <v>43622.666666666599</v>
      </c>
      <c r="N110" s="2">
        <f ca="1">IFERROR(__xludf.DUMMYFUNCTION("""COMPUTED_VALUE"""),41.19)</f>
        <v>41.19</v>
      </c>
      <c r="O110" s="3">
        <f ca="1">IFERROR(__xludf.DUMMYFUNCTION("""COMPUTED_VALUE"""),43622.6666666666)</f>
        <v>43622.666666666599</v>
      </c>
      <c r="P110" s="2">
        <f ca="1">IFERROR(__xludf.DUMMYFUNCTION("""COMPUTED_VALUE"""),35.95)</f>
        <v>35.950000000000003</v>
      </c>
      <c r="Q110" s="3">
        <f ca="1">IFERROR(__xludf.DUMMYFUNCTION("""COMPUTED_VALUE"""),43622.6666666666)</f>
        <v>43622.666666666599</v>
      </c>
      <c r="R110" s="2">
        <f ca="1">IFERROR(__xludf.DUMMYFUNCTION("""COMPUTED_VALUE"""),204.77)</f>
        <v>204.77</v>
      </c>
      <c r="S110" s="3">
        <f ca="1">IFERROR(__xludf.DUMMYFUNCTION("""COMPUTED_VALUE"""),43622.6666666666)</f>
        <v>43622.666666666599</v>
      </c>
      <c r="T110" s="2">
        <f ca="1">IFERROR(__xludf.DUMMYFUNCTION("""COMPUTED_VALUE"""),136.68)</f>
        <v>136.68</v>
      </c>
    </row>
    <row r="111" spans="1:20">
      <c r="A111" s="3">
        <f ca="1">IFERROR(__xludf.DUMMYFUNCTION("""COMPUTED_VALUE"""),43623.6666666666)</f>
        <v>43623.666666666599</v>
      </c>
      <c r="B111" s="2">
        <f ca="1">IFERROR(__xludf.DUMMYFUNCTION("""COMPUTED_VALUE"""),47.54)</f>
        <v>47.54</v>
      </c>
      <c r="C111" s="3">
        <f ca="1">IFERROR(__xludf.DUMMYFUNCTION("""COMPUTED_VALUE"""),43623.6666666666)</f>
        <v>43623.666666666599</v>
      </c>
      <c r="D111" s="2">
        <f ca="1">IFERROR(__xludf.DUMMYFUNCTION("""COMPUTED_VALUE"""),131.4)</f>
        <v>131.4</v>
      </c>
      <c r="E111" s="3">
        <f ca="1">IFERROR(__xludf.DUMMYFUNCTION("""COMPUTED_VALUE"""),43623.6666666666)</f>
        <v>43623.666666666599</v>
      </c>
      <c r="F111" s="2">
        <f ca="1">IFERROR(__xludf.DUMMYFUNCTION("""COMPUTED_VALUE"""),1804.03)</f>
        <v>1804.03</v>
      </c>
      <c r="G111" s="3">
        <f ca="1">IFERROR(__xludf.DUMMYFUNCTION("""COMPUTED_VALUE"""),43623.6666666666)</f>
        <v>43623.666666666599</v>
      </c>
      <c r="H111" s="2">
        <f ca="1">IFERROR(__xludf.DUMMYFUNCTION("""COMPUTED_VALUE"""),1068.37)</f>
        <v>1068.3699999999999</v>
      </c>
      <c r="I111" s="3">
        <f ca="1">IFERROR(__xludf.DUMMYFUNCTION("""COMPUTED_VALUE"""),43623.6666666666)</f>
        <v>43623.666666666599</v>
      </c>
      <c r="J111" s="2">
        <f ca="1">IFERROR(__xludf.DUMMYFUNCTION("""COMPUTED_VALUE"""),1066.04)</f>
        <v>1066.04</v>
      </c>
      <c r="K111" s="3">
        <f ca="1">IFERROR(__xludf.DUMMYFUNCTION("""COMPUTED_VALUE"""),43623.6666666666)</f>
        <v>43623.666666666599</v>
      </c>
      <c r="L111" s="2">
        <f ca="1">IFERROR(__xludf.DUMMYFUNCTION("""COMPUTED_VALUE"""),173.35)</f>
        <v>173.35</v>
      </c>
      <c r="M111" s="3">
        <f ca="1">IFERROR(__xludf.DUMMYFUNCTION("""COMPUTED_VALUE"""),43623.6666666666)</f>
        <v>43623.666666666599</v>
      </c>
      <c r="N111" s="2">
        <f ca="1">IFERROR(__xludf.DUMMYFUNCTION("""COMPUTED_VALUE"""),40.9)</f>
        <v>40.9</v>
      </c>
      <c r="O111" s="3">
        <f ca="1">IFERROR(__xludf.DUMMYFUNCTION("""COMPUTED_VALUE"""),43623.6666666666)</f>
        <v>43623.666666666599</v>
      </c>
      <c r="P111" s="2">
        <f ca="1">IFERROR(__xludf.DUMMYFUNCTION("""COMPUTED_VALUE"""),36.38)</f>
        <v>36.380000000000003</v>
      </c>
      <c r="Q111" s="3">
        <f ca="1">IFERROR(__xludf.DUMMYFUNCTION("""COMPUTED_VALUE"""),43623.6666666666)</f>
        <v>43623.666666666599</v>
      </c>
      <c r="R111" s="2">
        <f ca="1">IFERROR(__xludf.DUMMYFUNCTION("""COMPUTED_VALUE"""),205.81)</f>
        <v>205.81</v>
      </c>
      <c r="S111" s="3">
        <f ca="1">IFERROR(__xludf.DUMMYFUNCTION("""COMPUTED_VALUE"""),43623.6666666666)</f>
        <v>43623.666666666599</v>
      </c>
      <c r="T111" s="2">
        <f ca="1">IFERROR(__xludf.DUMMYFUNCTION("""COMPUTED_VALUE"""),138.55)</f>
        <v>138.55000000000001</v>
      </c>
    </row>
    <row r="112" spans="1:20">
      <c r="A112" s="3">
        <f ca="1">IFERROR(__xludf.DUMMYFUNCTION("""COMPUTED_VALUE"""),43626.6666666666)</f>
        <v>43626.666666666599</v>
      </c>
      <c r="B112" s="2">
        <f ca="1">IFERROR(__xludf.DUMMYFUNCTION("""COMPUTED_VALUE"""),48.15)</f>
        <v>48.15</v>
      </c>
      <c r="C112" s="3">
        <f ca="1">IFERROR(__xludf.DUMMYFUNCTION("""COMPUTED_VALUE"""),43626.6666666666)</f>
        <v>43626.666666666599</v>
      </c>
      <c r="D112" s="2">
        <f ca="1">IFERROR(__xludf.DUMMYFUNCTION("""COMPUTED_VALUE"""),132.6)</f>
        <v>132.6</v>
      </c>
      <c r="E112" s="3">
        <f ca="1">IFERROR(__xludf.DUMMYFUNCTION("""COMPUTED_VALUE"""),43626.6666666666)</f>
        <v>43626.666666666599</v>
      </c>
      <c r="F112" s="2">
        <f ca="1">IFERROR(__xludf.DUMMYFUNCTION("""COMPUTED_VALUE"""),1860.63)</f>
        <v>1860.63</v>
      </c>
      <c r="G112" s="3">
        <f ca="1">IFERROR(__xludf.DUMMYFUNCTION("""COMPUTED_VALUE"""),43626.6666666666)</f>
        <v>43626.666666666599</v>
      </c>
      <c r="H112" s="2">
        <f ca="1">IFERROR(__xludf.DUMMYFUNCTION("""COMPUTED_VALUE"""),1082.76)</f>
        <v>1082.76</v>
      </c>
      <c r="I112" s="3">
        <f ca="1">IFERROR(__xludf.DUMMYFUNCTION("""COMPUTED_VALUE"""),43626.6666666666)</f>
        <v>43626.666666666599</v>
      </c>
      <c r="J112" s="2">
        <f ca="1">IFERROR(__xludf.DUMMYFUNCTION("""COMPUTED_VALUE"""),1080.38)</f>
        <v>1080.3800000000001</v>
      </c>
      <c r="K112" s="3">
        <f ca="1">IFERROR(__xludf.DUMMYFUNCTION("""COMPUTED_VALUE"""),43626.6666666666)</f>
        <v>43626.666666666599</v>
      </c>
      <c r="L112" s="2">
        <f ca="1">IFERROR(__xludf.DUMMYFUNCTION("""COMPUTED_VALUE"""),174.82)</f>
        <v>174.82</v>
      </c>
      <c r="M112" s="3">
        <f ca="1">IFERROR(__xludf.DUMMYFUNCTION("""COMPUTED_VALUE"""),43626.6666666666)</f>
        <v>43626.666666666599</v>
      </c>
      <c r="N112" s="2">
        <f ca="1">IFERROR(__xludf.DUMMYFUNCTION("""COMPUTED_VALUE"""),42.58)</f>
        <v>42.58</v>
      </c>
      <c r="O112" s="3">
        <f ca="1">IFERROR(__xludf.DUMMYFUNCTION("""COMPUTED_VALUE"""),43626.6666666666)</f>
        <v>43626.666666666599</v>
      </c>
      <c r="P112" s="2">
        <f ca="1">IFERROR(__xludf.DUMMYFUNCTION("""COMPUTED_VALUE"""),37.11)</f>
        <v>37.11</v>
      </c>
      <c r="Q112" s="3">
        <f ca="1">IFERROR(__xludf.DUMMYFUNCTION("""COMPUTED_VALUE"""),43626.6666666666)</f>
        <v>43626.666666666599</v>
      </c>
      <c r="R112" s="2">
        <f ca="1">IFERROR(__xludf.DUMMYFUNCTION("""COMPUTED_VALUE"""),207.16)</f>
        <v>207.16</v>
      </c>
      <c r="S112" s="3">
        <f ca="1">IFERROR(__xludf.DUMMYFUNCTION("""COMPUTED_VALUE"""),43626.6666666666)</f>
        <v>43626.666666666599</v>
      </c>
      <c r="T112" s="2">
        <f ca="1">IFERROR(__xludf.DUMMYFUNCTION("""COMPUTED_VALUE"""),139.02)</f>
        <v>139.02000000000001</v>
      </c>
    </row>
    <row r="113" spans="1:20">
      <c r="A113" s="3">
        <f ca="1">IFERROR(__xludf.DUMMYFUNCTION("""COMPUTED_VALUE"""),43627.6666666666)</f>
        <v>43627.666666666599</v>
      </c>
      <c r="B113" s="2">
        <f ca="1">IFERROR(__xludf.DUMMYFUNCTION("""COMPUTED_VALUE"""),48.7)</f>
        <v>48.7</v>
      </c>
      <c r="C113" s="3">
        <f ca="1">IFERROR(__xludf.DUMMYFUNCTION("""COMPUTED_VALUE"""),43627.6666666666)</f>
        <v>43627.666666666599</v>
      </c>
      <c r="D113" s="2">
        <f ca="1">IFERROR(__xludf.DUMMYFUNCTION("""COMPUTED_VALUE"""),132.1)</f>
        <v>132.1</v>
      </c>
      <c r="E113" s="3">
        <f ca="1">IFERROR(__xludf.DUMMYFUNCTION("""COMPUTED_VALUE"""),43627.6666666666)</f>
        <v>43627.666666666599</v>
      </c>
      <c r="F113" s="2">
        <f ca="1">IFERROR(__xludf.DUMMYFUNCTION("""COMPUTED_VALUE"""),1863.7)</f>
        <v>1863.7</v>
      </c>
      <c r="G113" s="3">
        <f ca="1">IFERROR(__xludf.DUMMYFUNCTION("""COMPUTED_VALUE"""),43627.6666666666)</f>
        <v>43627.666666666599</v>
      </c>
      <c r="H113" s="2">
        <f ca="1">IFERROR(__xludf.DUMMYFUNCTION("""COMPUTED_VALUE"""),1081.04)</f>
        <v>1081.04</v>
      </c>
      <c r="I113" s="3">
        <f ca="1">IFERROR(__xludf.DUMMYFUNCTION("""COMPUTED_VALUE"""),43627.6666666666)</f>
        <v>43627.666666666599</v>
      </c>
      <c r="J113" s="2">
        <f ca="1">IFERROR(__xludf.DUMMYFUNCTION("""COMPUTED_VALUE"""),1078.72)</f>
        <v>1078.72</v>
      </c>
      <c r="K113" s="3">
        <f ca="1">IFERROR(__xludf.DUMMYFUNCTION("""COMPUTED_VALUE"""),43627.6666666666)</f>
        <v>43627.666666666599</v>
      </c>
      <c r="L113" s="2">
        <f ca="1">IFERROR(__xludf.DUMMYFUNCTION("""COMPUTED_VALUE"""),178.1)</f>
        <v>178.1</v>
      </c>
      <c r="M113" s="3">
        <f ca="1">IFERROR(__xludf.DUMMYFUNCTION("""COMPUTED_VALUE"""),43627.6666666666)</f>
        <v>43627.666666666599</v>
      </c>
      <c r="N113" s="2">
        <f ca="1">IFERROR(__xludf.DUMMYFUNCTION("""COMPUTED_VALUE"""),43.42)</f>
        <v>43.42</v>
      </c>
      <c r="O113" s="3">
        <f ca="1">IFERROR(__xludf.DUMMYFUNCTION("""COMPUTED_VALUE"""),43627.6666666666)</f>
        <v>43627.666666666599</v>
      </c>
      <c r="P113" s="2">
        <f ca="1">IFERROR(__xludf.DUMMYFUNCTION("""COMPUTED_VALUE"""),37.69)</f>
        <v>37.69</v>
      </c>
      <c r="Q113" s="3">
        <f ca="1">IFERROR(__xludf.DUMMYFUNCTION("""COMPUTED_VALUE"""),43627.6666666666)</f>
        <v>43627.666666666599</v>
      </c>
      <c r="R113" s="2">
        <f ca="1">IFERROR(__xludf.DUMMYFUNCTION("""COMPUTED_VALUE"""),206.63)</f>
        <v>206.63</v>
      </c>
      <c r="S113" s="3">
        <f ca="1">IFERROR(__xludf.DUMMYFUNCTION("""COMPUTED_VALUE"""),43627.6666666666)</f>
        <v>43627.666666666599</v>
      </c>
      <c r="T113" s="2">
        <f ca="1">IFERROR(__xludf.DUMMYFUNCTION("""COMPUTED_VALUE"""),139.78)</f>
        <v>139.78</v>
      </c>
    </row>
    <row r="114" spans="1:20">
      <c r="A114" s="3">
        <f ca="1">IFERROR(__xludf.DUMMYFUNCTION("""COMPUTED_VALUE"""),43628.6666666666)</f>
        <v>43628.666666666599</v>
      </c>
      <c r="B114" s="2">
        <f ca="1">IFERROR(__xludf.DUMMYFUNCTION("""COMPUTED_VALUE"""),48.55)</f>
        <v>48.55</v>
      </c>
      <c r="C114" s="3">
        <f ca="1">IFERROR(__xludf.DUMMYFUNCTION("""COMPUTED_VALUE"""),43628.6666666666)</f>
        <v>43628.666666666599</v>
      </c>
      <c r="D114" s="2">
        <f ca="1">IFERROR(__xludf.DUMMYFUNCTION("""COMPUTED_VALUE"""),131.49)</f>
        <v>131.49</v>
      </c>
      <c r="E114" s="3">
        <f ca="1">IFERROR(__xludf.DUMMYFUNCTION("""COMPUTED_VALUE"""),43628.6666666666)</f>
        <v>43628.666666666599</v>
      </c>
      <c r="F114" s="2">
        <f ca="1">IFERROR(__xludf.DUMMYFUNCTION("""COMPUTED_VALUE"""),1855.32)</f>
        <v>1855.32</v>
      </c>
      <c r="G114" s="3">
        <f ca="1">IFERROR(__xludf.DUMMYFUNCTION("""COMPUTED_VALUE"""),43628.6666666666)</f>
        <v>43628.666666666599</v>
      </c>
      <c r="H114" s="2">
        <f ca="1">IFERROR(__xludf.DUMMYFUNCTION("""COMPUTED_VALUE"""),1079.1)</f>
        <v>1079.0999999999999</v>
      </c>
      <c r="I114" s="3">
        <f ca="1">IFERROR(__xludf.DUMMYFUNCTION("""COMPUTED_VALUE"""),43628.6666666666)</f>
        <v>43628.666666666599</v>
      </c>
      <c r="J114" s="2">
        <f ca="1">IFERROR(__xludf.DUMMYFUNCTION("""COMPUTED_VALUE"""),1077.03)</f>
        <v>1077.03</v>
      </c>
      <c r="K114" s="3">
        <f ca="1">IFERROR(__xludf.DUMMYFUNCTION("""COMPUTED_VALUE"""),43628.6666666666)</f>
        <v>43628.666666666599</v>
      </c>
      <c r="L114" s="2">
        <f ca="1">IFERROR(__xludf.DUMMYFUNCTION("""COMPUTED_VALUE"""),175.04)</f>
        <v>175.04</v>
      </c>
      <c r="M114" s="3">
        <f ca="1">IFERROR(__xludf.DUMMYFUNCTION("""COMPUTED_VALUE"""),43628.6666666666)</f>
        <v>43628.666666666599</v>
      </c>
      <c r="N114" s="2">
        <f ca="1">IFERROR(__xludf.DUMMYFUNCTION("""COMPUTED_VALUE"""),41.85)</f>
        <v>41.85</v>
      </c>
      <c r="O114" s="3">
        <f ca="1">IFERROR(__xludf.DUMMYFUNCTION("""COMPUTED_VALUE"""),43628.6666666666)</f>
        <v>43628.666666666599</v>
      </c>
      <c r="P114" s="2">
        <f ca="1">IFERROR(__xludf.DUMMYFUNCTION("""COMPUTED_VALUE"""),36.55)</f>
        <v>36.549999999999997</v>
      </c>
      <c r="Q114" s="3">
        <f ca="1">IFERROR(__xludf.DUMMYFUNCTION("""COMPUTED_VALUE"""),43628.6666666666)</f>
        <v>43628.666666666599</v>
      </c>
      <c r="R114" s="2">
        <f ca="1">IFERROR(__xludf.DUMMYFUNCTION("""COMPUTED_VALUE"""),204.57)</f>
        <v>204.57</v>
      </c>
      <c r="S114" s="3">
        <f ca="1">IFERROR(__xludf.DUMMYFUNCTION("""COMPUTED_VALUE"""),43628.6666666666)</f>
        <v>43628.666666666599</v>
      </c>
      <c r="T114" s="2">
        <f ca="1">IFERROR(__xludf.DUMMYFUNCTION("""COMPUTED_VALUE"""),141.68)</f>
        <v>141.68</v>
      </c>
    </row>
    <row r="115" spans="1:20">
      <c r="A115" s="3">
        <f ca="1">IFERROR(__xludf.DUMMYFUNCTION("""COMPUTED_VALUE"""),43629.6666666666)</f>
        <v>43629.666666666599</v>
      </c>
      <c r="B115" s="2">
        <f ca="1">IFERROR(__xludf.DUMMYFUNCTION("""COMPUTED_VALUE"""),48.54)</f>
        <v>48.54</v>
      </c>
      <c r="C115" s="3">
        <f ca="1">IFERROR(__xludf.DUMMYFUNCTION("""COMPUTED_VALUE"""),43629.6666666666)</f>
        <v>43629.666666666599</v>
      </c>
      <c r="D115" s="2">
        <f ca="1">IFERROR(__xludf.DUMMYFUNCTION("""COMPUTED_VALUE"""),132.32)</f>
        <v>132.32</v>
      </c>
      <c r="E115" s="3">
        <f ca="1">IFERROR(__xludf.DUMMYFUNCTION("""COMPUTED_VALUE"""),43629.6666666666)</f>
        <v>43629.666666666599</v>
      </c>
      <c r="F115" s="2">
        <f ca="1">IFERROR(__xludf.DUMMYFUNCTION("""COMPUTED_VALUE"""),1870.3)</f>
        <v>1870.3</v>
      </c>
      <c r="G115" s="3">
        <f ca="1">IFERROR(__xludf.DUMMYFUNCTION("""COMPUTED_VALUE"""),43629.6666666666)</f>
        <v>43629.666666666599</v>
      </c>
      <c r="H115" s="2">
        <f ca="1">IFERROR(__xludf.DUMMYFUNCTION("""COMPUTED_VALUE"""),1091.01)</f>
        <v>1091.01</v>
      </c>
      <c r="I115" s="3">
        <f ca="1">IFERROR(__xludf.DUMMYFUNCTION("""COMPUTED_VALUE"""),43629.6666666666)</f>
        <v>43629.666666666599</v>
      </c>
      <c r="J115" s="2">
        <f ca="1">IFERROR(__xludf.DUMMYFUNCTION("""COMPUTED_VALUE"""),1088.77)</f>
        <v>1088.77</v>
      </c>
      <c r="K115" s="3">
        <f ca="1">IFERROR(__xludf.DUMMYFUNCTION("""COMPUTED_VALUE"""),43629.6666666666)</f>
        <v>43629.666666666599</v>
      </c>
      <c r="L115" s="2">
        <f ca="1">IFERROR(__xludf.DUMMYFUNCTION("""COMPUTED_VALUE"""),177.47)</f>
        <v>177.47</v>
      </c>
      <c r="M115" s="3">
        <f ca="1">IFERROR(__xludf.DUMMYFUNCTION("""COMPUTED_VALUE"""),43629.6666666666)</f>
        <v>43629.666666666599</v>
      </c>
      <c r="N115" s="2">
        <f ca="1">IFERROR(__xludf.DUMMYFUNCTION("""COMPUTED_VALUE"""),42.78)</f>
        <v>42.78</v>
      </c>
      <c r="O115" s="3">
        <f ca="1">IFERROR(__xludf.DUMMYFUNCTION("""COMPUTED_VALUE"""),43629.6666666666)</f>
        <v>43629.666666666599</v>
      </c>
      <c r="P115" s="2">
        <f ca="1">IFERROR(__xludf.DUMMYFUNCTION("""COMPUTED_VALUE"""),37.07)</f>
        <v>37.07</v>
      </c>
      <c r="Q115" s="3">
        <f ca="1">IFERROR(__xludf.DUMMYFUNCTION("""COMPUTED_VALUE"""),43629.6666666666)</f>
        <v>43629.666666666599</v>
      </c>
      <c r="R115" s="2">
        <f ca="1">IFERROR(__xludf.DUMMYFUNCTION("""COMPUTED_VALUE"""),204.99)</f>
        <v>204.99</v>
      </c>
      <c r="S115" s="3">
        <f ca="1">IFERROR(__xludf.DUMMYFUNCTION("""COMPUTED_VALUE"""),43629.6666666666)</f>
        <v>43629.666666666599</v>
      </c>
      <c r="T115" s="2">
        <f ca="1">IFERROR(__xludf.DUMMYFUNCTION("""COMPUTED_VALUE"""),140.71)</f>
        <v>140.71</v>
      </c>
    </row>
    <row r="116" spans="1:20">
      <c r="A116" s="3">
        <f ca="1">IFERROR(__xludf.DUMMYFUNCTION("""COMPUTED_VALUE"""),43630.6666666666)</f>
        <v>43630.666666666599</v>
      </c>
      <c r="B116" s="2">
        <f ca="1">IFERROR(__xludf.DUMMYFUNCTION("""COMPUTED_VALUE"""),48.19)</f>
        <v>48.19</v>
      </c>
      <c r="C116" s="3">
        <f ca="1">IFERROR(__xludf.DUMMYFUNCTION("""COMPUTED_VALUE"""),43630.6666666666)</f>
        <v>43630.666666666599</v>
      </c>
      <c r="D116" s="2">
        <f ca="1">IFERROR(__xludf.DUMMYFUNCTION("""COMPUTED_VALUE"""),132.45)</f>
        <v>132.44999999999999</v>
      </c>
      <c r="E116" s="3">
        <f ca="1">IFERROR(__xludf.DUMMYFUNCTION("""COMPUTED_VALUE"""),43630.6666666666)</f>
        <v>43630.666666666599</v>
      </c>
      <c r="F116" s="2">
        <f ca="1">IFERROR(__xludf.DUMMYFUNCTION("""COMPUTED_VALUE"""),1869.67)</f>
        <v>1869.67</v>
      </c>
      <c r="G116" s="3">
        <f ca="1">IFERROR(__xludf.DUMMYFUNCTION("""COMPUTED_VALUE"""),43630.6666666666)</f>
        <v>43630.666666666599</v>
      </c>
      <c r="H116" s="2">
        <f ca="1">IFERROR(__xludf.DUMMYFUNCTION("""COMPUTED_VALUE"""),1086.3)</f>
        <v>1086.3</v>
      </c>
      <c r="I116" s="3">
        <f ca="1">IFERROR(__xludf.DUMMYFUNCTION("""COMPUTED_VALUE"""),43630.6666666666)</f>
        <v>43630.666666666599</v>
      </c>
      <c r="J116" s="2">
        <f ca="1">IFERROR(__xludf.DUMMYFUNCTION("""COMPUTED_VALUE"""),1085.35)</f>
        <v>1085.3499999999999</v>
      </c>
      <c r="K116" s="3">
        <f ca="1">IFERROR(__xludf.DUMMYFUNCTION("""COMPUTED_VALUE"""),43630.6666666666)</f>
        <v>43630.666666666599</v>
      </c>
      <c r="L116" s="2">
        <f ca="1">IFERROR(__xludf.DUMMYFUNCTION("""COMPUTED_VALUE"""),181.33)</f>
        <v>181.33</v>
      </c>
      <c r="M116" s="3">
        <f ca="1">IFERROR(__xludf.DUMMYFUNCTION("""COMPUTED_VALUE"""),43630.6666666666)</f>
        <v>43630.666666666599</v>
      </c>
      <c r="N116" s="2">
        <f ca="1">IFERROR(__xludf.DUMMYFUNCTION("""COMPUTED_VALUE"""),42.98)</f>
        <v>42.98</v>
      </c>
      <c r="O116" s="3">
        <f ca="1">IFERROR(__xludf.DUMMYFUNCTION("""COMPUTED_VALUE"""),43630.6666666666)</f>
        <v>43630.666666666599</v>
      </c>
      <c r="P116" s="2">
        <f ca="1">IFERROR(__xludf.DUMMYFUNCTION("""COMPUTED_VALUE"""),36.16)</f>
        <v>36.159999999999997</v>
      </c>
      <c r="Q116" s="3">
        <f ca="1">IFERROR(__xludf.DUMMYFUNCTION("""COMPUTED_VALUE"""),43630.6666666666)</f>
        <v>43630.666666666599</v>
      </c>
      <c r="R116" s="2">
        <f ca="1">IFERROR(__xludf.DUMMYFUNCTION("""COMPUTED_VALUE"""),205.16)</f>
        <v>205.16</v>
      </c>
      <c r="S116" s="3">
        <f ca="1">IFERROR(__xludf.DUMMYFUNCTION("""COMPUTED_VALUE"""),43630.6666666666)</f>
        <v>43630.666666666599</v>
      </c>
      <c r="T116" s="2">
        <f ca="1">IFERROR(__xludf.DUMMYFUNCTION("""COMPUTED_VALUE"""),140.09)</f>
        <v>140.09</v>
      </c>
    </row>
    <row r="117" spans="1:20">
      <c r="A117" s="3">
        <f ca="1">IFERROR(__xludf.DUMMYFUNCTION("""COMPUTED_VALUE"""),43633.6666666666)</f>
        <v>43633.666666666599</v>
      </c>
      <c r="B117" s="2">
        <f ca="1">IFERROR(__xludf.DUMMYFUNCTION("""COMPUTED_VALUE"""),48.47)</f>
        <v>48.47</v>
      </c>
      <c r="C117" s="3">
        <f ca="1">IFERROR(__xludf.DUMMYFUNCTION("""COMPUTED_VALUE"""),43633.6666666666)</f>
        <v>43633.666666666599</v>
      </c>
      <c r="D117" s="2">
        <f ca="1">IFERROR(__xludf.DUMMYFUNCTION("""COMPUTED_VALUE"""),132.85)</f>
        <v>132.85</v>
      </c>
      <c r="E117" s="3">
        <f ca="1">IFERROR(__xludf.DUMMYFUNCTION("""COMPUTED_VALUE"""),43633.6666666666)</f>
        <v>43633.666666666599</v>
      </c>
      <c r="F117" s="2">
        <f ca="1">IFERROR(__xludf.DUMMYFUNCTION("""COMPUTED_VALUE"""),1886.03)</f>
        <v>1886.03</v>
      </c>
      <c r="G117" s="3">
        <f ca="1">IFERROR(__xludf.DUMMYFUNCTION("""COMPUTED_VALUE"""),43633.6666666666)</f>
        <v>43633.666666666599</v>
      </c>
      <c r="H117" s="2">
        <f ca="1">IFERROR(__xludf.DUMMYFUNCTION("""COMPUTED_VALUE"""),1093.89)</f>
        <v>1093.8900000000001</v>
      </c>
      <c r="I117" s="3">
        <f ca="1">IFERROR(__xludf.DUMMYFUNCTION("""COMPUTED_VALUE"""),43633.6666666666)</f>
        <v>43633.666666666599</v>
      </c>
      <c r="J117" s="2">
        <f ca="1">IFERROR(__xludf.DUMMYFUNCTION("""COMPUTED_VALUE"""),1092.5)</f>
        <v>1092.5</v>
      </c>
      <c r="K117" s="3">
        <f ca="1">IFERROR(__xludf.DUMMYFUNCTION("""COMPUTED_VALUE"""),43633.6666666666)</f>
        <v>43633.666666666599</v>
      </c>
      <c r="L117" s="2">
        <f ca="1">IFERROR(__xludf.DUMMYFUNCTION("""COMPUTED_VALUE"""),189.01)</f>
        <v>189.01</v>
      </c>
      <c r="M117" s="3">
        <f ca="1">IFERROR(__xludf.DUMMYFUNCTION("""COMPUTED_VALUE"""),43633.6666666666)</f>
        <v>43633.666666666599</v>
      </c>
      <c r="N117" s="2">
        <f ca="1">IFERROR(__xludf.DUMMYFUNCTION("""COMPUTED_VALUE"""),45.01)</f>
        <v>45.01</v>
      </c>
      <c r="O117" s="3">
        <f ca="1">IFERROR(__xludf.DUMMYFUNCTION("""COMPUTED_VALUE"""),43633.6666666666)</f>
        <v>43633.666666666599</v>
      </c>
      <c r="P117" s="2">
        <f ca="1">IFERROR(__xludf.DUMMYFUNCTION("""COMPUTED_VALUE"""),36.26)</f>
        <v>36.26</v>
      </c>
      <c r="Q117" s="3">
        <f ca="1">IFERROR(__xludf.DUMMYFUNCTION("""COMPUTED_VALUE"""),43633.6666666666)</f>
        <v>43633.666666666599</v>
      </c>
      <c r="R117" s="2">
        <f ca="1">IFERROR(__xludf.DUMMYFUNCTION("""COMPUTED_VALUE"""),203.48)</f>
        <v>203.48</v>
      </c>
      <c r="S117" s="3">
        <f ca="1">IFERROR(__xludf.DUMMYFUNCTION("""COMPUTED_VALUE"""),43633.6666666666)</f>
        <v>43633.666666666599</v>
      </c>
      <c r="T117" s="2">
        <f ca="1">IFERROR(__xludf.DUMMYFUNCTION("""COMPUTED_VALUE"""),139.44)</f>
        <v>139.44</v>
      </c>
    </row>
    <row r="118" spans="1:20">
      <c r="A118" s="3">
        <f ca="1">IFERROR(__xludf.DUMMYFUNCTION("""COMPUTED_VALUE"""),43634.6666666666)</f>
        <v>43634.666666666599</v>
      </c>
      <c r="B118" s="2">
        <f ca="1">IFERROR(__xludf.DUMMYFUNCTION("""COMPUTED_VALUE"""),49.61)</f>
        <v>49.61</v>
      </c>
      <c r="C118" s="3">
        <f ca="1">IFERROR(__xludf.DUMMYFUNCTION("""COMPUTED_VALUE"""),43634.6666666666)</f>
        <v>43634.666666666599</v>
      </c>
      <c r="D118" s="2">
        <f ca="1">IFERROR(__xludf.DUMMYFUNCTION("""COMPUTED_VALUE"""),135.16)</f>
        <v>135.16</v>
      </c>
      <c r="E118" s="3">
        <f ca="1">IFERROR(__xludf.DUMMYFUNCTION("""COMPUTED_VALUE"""),43634.6666666666)</f>
        <v>43634.666666666599</v>
      </c>
      <c r="F118" s="2">
        <f ca="1">IFERROR(__xludf.DUMMYFUNCTION("""COMPUTED_VALUE"""),1901.37)</f>
        <v>1901.37</v>
      </c>
      <c r="G118" s="3">
        <f ca="1">IFERROR(__xludf.DUMMYFUNCTION("""COMPUTED_VALUE"""),43634.6666666666)</f>
        <v>43634.666666666599</v>
      </c>
      <c r="H118" s="2">
        <f ca="1">IFERROR(__xludf.DUMMYFUNCTION("""COMPUTED_VALUE"""),1105.24)</f>
        <v>1105.24</v>
      </c>
      <c r="I118" s="3">
        <f ca="1">IFERROR(__xludf.DUMMYFUNCTION("""COMPUTED_VALUE"""),43634.6666666666)</f>
        <v>43634.666666666599</v>
      </c>
      <c r="J118" s="2">
        <f ca="1">IFERROR(__xludf.DUMMYFUNCTION("""COMPUTED_VALUE"""),1103.6)</f>
        <v>1103.5999999999999</v>
      </c>
      <c r="K118" s="3">
        <f ca="1">IFERROR(__xludf.DUMMYFUNCTION("""COMPUTED_VALUE"""),43634.6666666666)</f>
        <v>43634.666666666599</v>
      </c>
      <c r="L118" s="2">
        <f ca="1">IFERROR(__xludf.DUMMYFUNCTION("""COMPUTED_VALUE"""),188.47)</f>
        <v>188.47</v>
      </c>
      <c r="M118" s="3">
        <f ca="1">IFERROR(__xludf.DUMMYFUNCTION("""COMPUTED_VALUE"""),43634.6666666666)</f>
        <v>43634.666666666599</v>
      </c>
      <c r="N118" s="2">
        <f ca="1">IFERROR(__xludf.DUMMYFUNCTION("""COMPUTED_VALUE"""),44.95)</f>
        <v>44.95</v>
      </c>
      <c r="O118" s="3">
        <f ca="1">IFERROR(__xludf.DUMMYFUNCTION("""COMPUTED_VALUE"""),43634.6666666666)</f>
        <v>43634.666666666599</v>
      </c>
      <c r="P118" s="2">
        <f ca="1">IFERROR(__xludf.DUMMYFUNCTION("""COMPUTED_VALUE"""),38.22)</f>
        <v>38.22</v>
      </c>
      <c r="Q118" s="3">
        <f ca="1">IFERROR(__xludf.DUMMYFUNCTION("""COMPUTED_VALUE"""),43634.6666666666)</f>
        <v>43634.666666666599</v>
      </c>
      <c r="R118" s="2">
        <f ca="1">IFERROR(__xludf.DUMMYFUNCTION("""COMPUTED_VALUE"""),206.01)</f>
        <v>206.01</v>
      </c>
      <c r="S118" s="3">
        <f ca="1">IFERROR(__xludf.DUMMYFUNCTION("""COMPUTED_VALUE"""),43634.6666666666)</f>
        <v>43634.666666666599</v>
      </c>
      <c r="T118" s="2">
        <f ca="1">IFERROR(__xludf.DUMMYFUNCTION("""COMPUTED_VALUE"""),140.23)</f>
        <v>140.22999999999999</v>
      </c>
    </row>
    <row r="119" spans="1:20">
      <c r="A119" s="3">
        <f ca="1">IFERROR(__xludf.DUMMYFUNCTION("""COMPUTED_VALUE"""),43635.6666666666)</f>
        <v>43635.666666666599</v>
      </c>
      <c r="B119" s="2">
        <f ca="1">IFERROR(__xludf.DUMMYFUNCTION("""COMPUTED_VALUE"""),49.47)</f>
        <v>49.47</v>
      </c>
      <c r="C119" s="3">
        <f ca="1">IFERROR(__xludf.DUMMYFUNCTION("""COMPUTED_VALUE"""),43635.6666666666)</f>
        <v>43635.666666666599</v>
      </c>
      <c r="D119" s="2">
        <f ca="1">IFERROR(__xludf.DUMMYFUNCTION("""COMPUTED_VALUE"""),135.69)</f>
        <v>135.69</v>
      </c>
      <c r="E119" s="3">
        <f ca="1">IFERROR(__xludf.DUMMYFUNCTION("""COMPUTED_VALUE"""),43635.6666666666)</f>
        <v>43635.666666666599</v>
      </c>
      <c r="F119" s="2">
        <f ca="1">IFERROR(__xludf.DUMMYFUNCTION("""COMPUTED_VALUE"""),1908.79)</f>
        <v>1908.79</v>
      </c>
      <c r="G119" s="3">
        <f ca="1">IFERROR(__xludf.DUMMYFUNCTION("""COMPUTED_VALUE"""),43635.6666666666)</f>
        <v>43635.666666666599</v>
      </c>
      <c r="H119" s="2">
        <f ca="1">IFERROR(__xludf.DUMMYFUNCTION("""COMPUTED_VALUE"""),1104.51)</f>
        <v>1104.51</v>
      </c>
      <c r="I119" s="3">
        <f ca="1">IFERROR(__xludf.DUMMYFUNCTION("""COMPUTED_VALUE"""),43635.6666666666)</f>
        <v>43635.666666666599</v>
      </c>
      <c r="J119" s="2">
        <f ca="1">IFERROR(__xludf.DUMMYFUNCTION("""COMPUTED_VALUE"""),1102.33)</f>
        <v>1102.33</v>
      </c>
      <c r="K119" s="3">
        <f ca="1">IFERROR(__xludf.DUMMYFUNCTION("""COMPUTED_VALUE"""),43635.6666666666)</f>
        <v>43635.666666666599</v>
      </c>
      <c r="L119" s="2">
        <f ca="1">IFERROR(__xludf.DUMMYFUNCTION("""COMPUTED_VALUE"""),187.48)</f>
        <v>187.48</v>
      </c>
      <c r="M119" s="3">
        <f ca="1">IFERROR(__xludf.DUMMYFUNCTION("""COMPUTED_VALUE"""),43635.6666666666)</f>
        <v>43635.666666666599</v>
      </c>
      <c r="N119" s="2">
        <f ca="1">IFERROR(__xludf.DUMMYFUNCTION("""COMPUTED_VALUE"""),45.29)</f>
        <v>45.29</v>
      </c>
      <c r="O119" s="3">
        <f ca="1">IFERROR(__xludf.DUMMYFUNCTION("""COMPUTED_VALUE"""),43635.6666666666)</f>
        <v>43635.666666666599</v>
      </c>
      <c r="P119" s="2">
        <f ca="1">IFERROR(__xludf.DUMMYFUNCTION("""COMPUTED_VALUE"""),38.28)</f>
        <v>38.28</v>
      </c>
      <c r="Q119" s="3">
        <f ca="1">IFERROR(__xludf.DUMMYFUNCTION("""COMPUTED_VALUE"""),43635.6666666666)</f>
        <v>43635.666666666599</v>
      </c>
      <c r="R119" s="2">
        <f ca="1">IFERROR(__xludf.DUMMYFUNCTION("""COMPUTED_VALUE"""),206.75)</f>
        <v>206.75</v>
      </c>
      <c r="S119" s="3">
        <f ca="1">IFERROR(__xludf.DUMMYFUNCTION("""COMPUTED_VALUE"""),43635.6666666666)</f>
        <v>43635.666666666599</v>
      </c>
      <c r="T119" s="2">
        <f ca="1">IFERROR(__xludf.DUMMYFUNCTION("""COMPUTED_VALUE"""),140.45)</f>
        <v>140.44999999999999</v>
      </c>
    </row>
    <row r="120" spans="1:20">
      <c r="A120" s="3">
        <f ca="1">IFERROR(__xludf.DUMMYFUNCTION("""COMPUTED_VALUE"""),43636.6666666666)</f>
        <v>43636.666666666599</v>
      </c>
      <c r="B120" s="2">
        <f ca="1">IFERROR(__xludf.DUMMYFUNCTION("""COMPUTED_VALUE"""),49.87)</f>
        <v>49.87</v>
      </c>
      <c r="C120" s="3">
        <f ca="1">IFERROR(__xludf.DUMMYFUNCTION("""COMPUTED_VALUE"""),43636.6666666666)</f>
        <v>43636.666666666599</v>
      </c>
      <c r="D120" s="2">
        <f ca="1">IFERROR(__xludf.DUMMYFUNCTION("""COMPUTED_VALUE"""),136.95)</f>
        <v>136.94999999999999</v>
      </c>
      <c r="E120" s="3">
        <f ca="1">IFERROR(__xludf.DUMMYFUNCTION("""COMPUTED_VALUE"""),43636.6666666666)</f>
        <v>43636.666666666599</v>
      </c>
      <c r="F120" s="2">
        <f ca="1">IFERROR(__xludf.DUMMYFUNCTION("""COMPUTED_VALUE"""),1918.19)</f>
        <v>1918.19</v>
      </c>
      <c r="G120" s="3">
        <f ca="1">IFERROR(__xludf.DUMMYFUNCTION("""COMPUTED_VALUE"""),43636.6666666666)</f>
        <v>43636.666666666599</v>
      </c>
      <c r="H120" s="2">
        <f ca="1">IFERROR(__xludf.DUMMYFUNCTION("""COMPUTED_VALUE"""),1113.2)</f>
        <v>1113.2</v>
      </c>
      <c r="I120" s="3">
        <f ca="1">IFERROR(__xludf.DUMMYFUNCTION("""COMPUTED_VALUE"""),43636.6666666666)</f>
        <v>43636.666666666599</v>
      </c>
      <c r="J120" s="2">
        <f ca="1">IFERROR(__xludf.DUMMYFUNCTION("""COMPUTED_VALUE"""),1111.42)</f>
        <v>1111.42</v>
      </c>
      <c r="K120" s="3">
        <f ca="1">IFERROR(__xludf.DUMMYFUNCTION("""COMPUTED_VALUE"""),43636.6666666666)</f>
        <v>43636.666666666599</v>
      </c>
      <c r="L120" s="2">
        <f ca="1">IFERROR(__xludf.DUMMYFUNCTION("""COMPUTED_VALUE"""),189.53)</f>
        <v>189.53</v>
      </c>
      <c r="M120" s="3">
        <f ca="1">IFERROR(__xludf.DUMMYFUNCTION("""COMPUTED_VALUE"""),43636.6666666666)</f>
        <v>43636.666666666599</v>
      </c>
      <c r="N120" s="2">
        <f ca="1">IFERROR(__xludf.DUMMYFUNCTION("""COMPUTED_VALUE"""),43.92)</f>
        <v>43.92</v>
      </c>
      <c r="O120" s="3">
        <f ca="1">IFERROR(__xludf.DUMMYFUNCTION("""COMPUTED_VALUE"""),43636.6666666666)</f>
        <v>43636.666666666599</v>
      </c>
      <c r="P120" s="2">
        <f ca="1">IFERROR(__xludf.DUMMYFUNCTION("""COMPUTED_VALUE"""),38.53)</f>
        <v>38.53</v>
      </c>
      <c r="Q120" s="3">
        <f ca="1">IFERROR(__xludf.DUMMYFUNCTION("""COMPUTED_VALUE"""),43636.6666666666)</f>
        <v>43636.666666666599</v>
      </c>
      <c r="R120" s="2">
        <f ca="1">IFERROR(__xludf.DUMMYFUNCTION("""COMPUTED_VALUE"""),208.04)</f>
        <v>208.04</v>
      </c>
      <c r="S120" s="3">
        <f ca="1">IFERROR(__xludf.DUMMYFUNCTION("""COMPUTED_VALUE"""),43636.6666666666)</f>
        <v>43636.666666666599</v>
      </c>
      <c r="T120" s="2">
        <f ca="1">IFERROR(__xludf.DUMMYFUNCTION("""COMPUTED_VALUE"""),142.21)</f>
        <v>142.21</v>
      </c>
    </row>
    <row r="121" spans="1:20">
      <c r="A121" s="3">
        <f ca="1">IFERROR(__xludf.DUMMYFUNCTION("""COMPUTED_VALUE"""),43637.6666666666)</f>
        <v>43637.666666666599</v>
      </c>
      <c r="B121" s="2">
        <f ca="1">IFERROR(__xludf.DUMMYFUNCTION("""COMPUTED_VALUE"""),49.7)</f>
        <v>49.7</v>
      </c>
      <c r="C121" s="3">
        <f ca="1">IFERROR(__xludf.DUMMYFUNCTION("""COMPUTED_VALUE"""),43637.6666666666)</f>
        <v>43637.666666666599</v>
      </c>
      <c r="D121" s="2">
        <f ca="1">IFERROR(__xludf.DUMMYFUNCTION("""COMPUTED_VALUE"""),136.97)</f>
        <v>136.97</v>
      </c>
      <c r="E121" s="3">
        <f ca="1">IFERROR(__xludf.DUMMYFUNCTION("""COMPUTED_VALUE"""),43637.6666666666)</f>
        <v>43637.666666666599</v>
      </c>
      <c r="F121" s="2">
        <f ca="1">IFERROR(__xludf.DUMMYFUNCTION("""COMPUTED_VALUE"""),1911.3)</f>
        <v>1911.3</v>
      </c>
      <c r="G121" s="3">
        <f ca="1">IFERROR(__xludf.DUMMYFUNCTION("""COMPUTED_VALUE"""),43637.6666666666)</f>
        <v>43637.666666666599</v>
      </c>
      <c r="H121" s="2">
        <f ca="1">IFERROR(__xludf.DUMMYFUNCTION("""COMPUTED_VALUE"""),1125.37)</f>
        <v>1125.3699999999999</v>
      </c>
      <c r="I121" s="3">
        <f ca="1">IFERROR(__xludf.DUMMYFUNCTION("""COMPUTED_VALUE"""),43637.6666666666)</f>
        <v>43637.666666666599</v>
      </c>
      <c r="J121" s="2">
        <f ca="1">IFERROR(__xludf.DUMMYFUNCTION("""COMPUTED_VALUE"""),1121.88)</f>
        <v>1121.8800000000001</v>
      </c>
      <c r="K121" s="3">
        <f ca="1">IFERROR(__xludf.DUMMYFUNCTION("""COMPUTED_VALUE"""),43637.6666666666)</f>
        <v>43637.666666666599</v>
      </c>
      <c r="L121" s="2">
        <f ca="1">IFERROR(__xludf.DUMMYFUNCTION("""COMPUTED_VALUE"""),191.14)</f>
        <v>191.14</v>
      </c>
      <c r="M121" s="3">
        <f ca="1">IFERROR(__xludf.DUMMYFUNCTION("""COMPUTED_VALUE"""),43637.6666666666)</f>
        <v>43637.666666666599</v>
      </c>
      <c r="N121" s="2">
        <f ca="1">IFERROR(__xludf.DUMMYFUNCTION("""COMPUTED_VALUE"""),44.37)</f>
        <v>44.37</v>
      </c>
      <c r="O121" s="3">
        <f ca="1">IFERROR(__xludf.DUMMYFUNCTION("""COMPUTED_VALUE"""),43637.6666666666)</f>
        <v>43637.666666666599</v>
      </c>
      <c r="P121" s="2">
        <f ca="1">IFERROR(__xludf.DUMMYFUNCTION("""COMPUTED_VALUE"""),37.94)</f>
        <v>37.94</v>
      </c>
      <c r="Q121" s="3">
        <f ca="1">IFERROR(__xludf.DUMMYFUNCTION("""COMPUTED_VALUE"""),43637.6666666666)</f>
        <v>43637.666666666599</v>
      </c>
      <c r="R121" s="2">
        <f ca="1">IFERROR(__xludf.DUMMYFUNCTION("""COMPUTED_VALUE"""),206.21)</f>
        <v>206.21</v>
      </c>
      <c r="S121" s="3">
        <f ca="1">IFERROR(__xludf.DUMMYFUNCTION("""COMPUTED_VALUE"""),43637.6666666666)</f>
        <v>43637.666666666599</v>
      </c>
      <c r="T121" s="2">
        <f ca="1">IFERROR(__xludf.DUMMYFUNCTION("""COMPUTED_VALUE"""),142.09)</f>
        <v>142.09</v>
      </c>
    </row>
    <row r="122" spans="1:20">
      <c r="A122" s="3">
        <f ca="1">IFERROR(__xludf.DUMMYFUNCTION("""COMPUTED_VALUE"""),43640.6666666666)</f>
        <v>43640.666666666599</v>
      </c>
      <c r="B122" s="2">
        <f ca="1">IFERROR(__xludf.DUMMYFUNCTION("""COMPUTED_VALUE"""),49.65)</f>
        <v>49.65</v>
      </c>
      <c r="C122" s="3">
        <f ca="1">IFERROR(__xludf.DUMMYFUNCTION("""COMPUTED_VALUE"""),43640.6666666666)</f>
        <v>43640.666666666599</v>
      </c>
      <c r="D122" s="2">
        <f ca="1">IFERROR(__xludf.DUMMYFUNCTION("""COMPUTED_VALUE"""),137.78)</f>
        <v>137.78</v>
      </c>
      <c r="E122" s="3">
        <f ca="1">IFERROR(__xludf.DUMMYFUNCTION("""COMPUTED_VALUE"""),43640.6666666666)</f>
        <v>43640.666666666599</v>
      </c>
      <c r="F122" s="2">
        <f ca="1">IFERROR(__xludf.DUMMYFUNCTION("""COMPUTED_VALUE"""),1913.9)</f>
        <v>1913.9</v>
      </c>
      <c r="G122" s="3">
        <f ca="1">IFERROR(__xludf.DUMMYFUNCTION("""COMPUTED_VALUE"""),43640.6666666666)</f>
        <v>43640.666666666599</v>
      </c>
      <c r="H122" s="2">
        <f ca="1">IFERROR(__xludf.DUMMYFUNCTION("""COMPUTED_VALUE"""),1116.7)</f>
        <v>1116.7</v>
      </c>
      <c r="I122" s="3">
        <f ca="1">IFERROR(__xludf.DUMMYFUNCTION("""COMPUTED_VALUE"""),43640.6666666666)</f>
        <v>43640.666666666599</v>
      </c>
      <c r="J122" s="2">
        <f ca="1">IFERROR(__xludf.DUMMYFUNCTION("""COMPUTED_VALUE"""),1115.52)</f>
        <v>1115.52</v>
      </c>
      <c r="K122" s="3">
        <f ca="1">IFERROR(__xludf.DUMMYFUNCTION("""COMPUTED_VALUE"""),43640.6666666666)</f>
        <v>43640.666666666599</v>
      </c>
      <c r="L122" s="2">
        <f ca="1">IFERROR(__xludf.DUMMYFUNCTION("""COMPUTED_VALUE"""),192.6)</f>
        <v>192.6</v>
      </c>
      <c r="M122" s="3">
        <f ca="1">IFERROR(__xludf.DUMMYFUNCTION("""COMPUTED_VALUE"""),43640.6666666666)</f>
        <v>43640.666666666599</v>
      </c>
      <c r="N122" s="2">
        <f ca="1">IFERROR(__xludf.DUMMYFUNCTION("""COMPUTED_VALUE"""),44.73)</f>
        <v>44.73</v>
      </c>
      <c r="O122" s="3">
        <f ca="1">IFERROR(__xludf.DUMMYFUNCTION("""COMPUTED_VALUE"""),43640.6666666666)</f>
        <v>43640.666666666599</v>
      </c>
      <c r="P122" s="2">
        <f ca="1">IFERROR(__xludf.DUMMYFUNCTION("""COMPUTED_VALUE"""),38.17)</f>
        <v>38.17</v>
      </c>
      <c r="Q122" s="3">
        <f ca="1">IFERROR(__xludf.DUMMYFUNCTION("""COMPUTED_VALUE"""),43640.6666666666)</f>
        <v>43640.666666666599</v>
      </c>
      <c r="R122" s="2">
        <f ca="1">IFERROR(__xludf.DUMMYFUNCTION("""COMPUTED_VALUE"""),206.85)</f>
        <v>206.85</v>
      </c>
      <c r="S122" s="3">
        <f ca="1">IFERROR(__xludf.DUMMYFUNCTION("""COMPUTED_VALUE"""),43640.6666666666)</f>
        <v>43640.666666666599</v>
      </c>
      <c r="T122" s="2">
        <f ca="1">IFERROR(__xludf.DUMMYFUNCTION("""COMPUTED_VALUE"""),143.06)</f>
        <v>143.06</v>
      </c>
    </row>
    <row r="123" spans="1:20">
      <c r="A123" s="3">
        <f ca="1">IFERROR(__xludf.DUMMYFUNCTION("""COMPUTED_VALUE"""),43641.6666666666)</f>
        <v>43641.666666666599</v>
      </c>
      <c r="B123" s="2">
        <f ca="1">IFERROR(__xludf.DUMMYFUNCTION("""COMPUTED_VALUE"""),48.89)</f>
        <v>48.89</v>
      </c>
      <c r="C123" s="3">
        <f ca="1">IFERROR(__xludf.DUMMYFUNCTION("""COMPUTED_VALUE"""),43641.6666666666)</f>
        <v>43641.666666666599</v>
      </c>
      <c r="D123" s="2">
        <f ca="1">IFERROR(__xludf.DUMMYFUNCTION("""COMPUTED_VALUE"""),133.43)</f>
        <v>133.43</v>
      </c>
      <c r="E123" s="3">
        <f ca="1">IFERROR(__xludf.DUMMYFUNCTION("""COMPUTED_VALUE"""),43641.6666666666)</f>
        <v>43641.666666666599</v>
      </c>
      <c r="F123" s="2">
        <f ca="1">IFERROR(__xludf.DUMMYFUNCTION("""COMPUTED_VALUE"""),1878.27)</f>
        <v>1878.27</v>
      </c>
      <c r="G123" s="3">
        <f ca="1">IFERROR(__xludf.DUMMYFUNCTION("""COMPUTED_VALUE"""),43641.6666666666)</f>
        <v>43641.666666666599</v>
      </c>
      <c r="H123" s="2">
        <f ca="1">IFERROR(__xludf.DUMMYFUNCTION("""COMPUTED_VALUE"""),1087.58)</f>
        <v>1087.58</v>
      </c>
      <c r="I123" s="3">
        <f ca="1">IFERROR(__xludf.DUMMYFUNCTION("""COMPUTED_VALUE"""),43641.6666666666)</f>
        <v>43641.666666666599</v>
      </c>
      <c r="J123" s="2">
        <f ca="1">IFERROR(__xludf.DUMMYFUNCTION("""COMPUTED_VALUE"""),1086.35)</f>
        <v>1086.3499999999999</v>
      </c>
      <c r="K123" s="3">
        <f ca="1">IFERROR(__xludf.DUMMYFUNCTION("""COMPUTED_VALUE"""),43641.6666666666)</f>
        <v>43641.666666666599</v>
      </c>
      <c r="L123" s="2">
        <f ca="1">IFERROR(__xludf.DUMMYFUNCTION("""COMPUTED_VALUE"""),188.84)</f>
        <v>188.84</v>
      </c>
      <c r="M123" s="3">
        <f ca="1">IFERROR(__xludf.DUMMYFUNCTION("""COMPUTED_VALUE"""),43641.6666666666)</f>
        <v>43641.666666666599</v>
      </c>
      <c r="N123" s="2">
        <f ca="1">IFERROR(__xludf.DUMMYFUNCTION("""COMPUTED_VALUE"""),43.95)</f>
        <v>43.95</v>
      </c>
      <c r="O123" s="3">
        <f ca="1">IFERROR(__xludf.DUMMYFUNCTION("""COMPUTED_VALUE"""),43641.6666666666)</f>
        <v>43641.666666666599</v>
      </c>
      <c r="P123" s="2">
        <f ca="1">IFERROR(__xludf.DUMMYFUNCTION("""COMPUTED_VALUE"""),37.87)</f>
        <v>37.869999999999997</v>
      </c>
      <c r="Q123" s="3">
        <f ca="1">IFERROR(__xludf.DUMMYFUNCTION("""COMPUTED_VALUE"""),43641.6666666666)</f>
        <v>43641.666666666599</v>
      </c>
      <c r="R123" s="2">
        <f ca="1">IFERROR(__xludf.DUMMYFUNCTION("""COMPUTED_VALUE"""),208.07)</f>
        <v>208.07</v>
      </c>
      <c r="S123" s="3">
        <f ca="1">IFERROR(__xludf.DUMMYFUNCTION("""COMPUTED_VALUE"""),43641.6666666666)</f>
        <v>43641.666666666599</v>
      </c>
      <c r="T123" s="2">
        <f ca="1">IFERROR(__xludf.DUMMYFUNCTION("""COMPUTED_VALUE"""),144.24)</f>
        <v>144.24</v>
      </c>
    </row>
    <row r="124" spans="1:20">
      <c r="A124" s="3">
        <f ca="1">IFERROR(__xludf.DUMMYFUNCTION("""COMPUTED_VALUE"""),43642.6666666666)</f>
        <v>43642.666666666599</v>
      </c>
      <c r="B124" s="2">
        <f ca="1">IFERROR(__xludf.DUMMYFUNCTION("""COMPUTED_VALUE"""),49.95)</f>
        <v>49.95</v>
      </c>
      <c r="C124" s="3">
        <f ca="1">IFERROR(__xludf.DUMMYFUNCTION("""COMPUTED_VALUE"""),43642.6666666666)</f>
        <v>43642.666666666599</v>
      </c>
      <c r="D124" s="2">
        <f ca="1">IFERROR(__xludf.DUMMYFUNCTION("""COMPUTED_VALUE"""),133.93)</f>
        <v>133.93</v>
      </c>
      <c r="E124" s="3">
        <f ca="1">IFERROR(__xludf.DUMMYFUNCTION("""COMPUTED_VALUE"""),43642.6666666666)</f>
        <v>43642.666666666599</v>
      </c>
      <c r="F124" s="2">
        <f ca="1">IFERROR(__xludf.DUMMYFUNCTION("""COMPUTED_VALUE"""),1897.83)</f>
        <v>1897.83</v>
      </c>
      <c r="G124" s="3">
        <f ca="1">IFERROR(__xludf.DUMMYFUNCTION("""COMPUTED_VALUE"""),43642.6666666666)</f>
        <v>43642.666666666599</v>
      </c>
      <c r="H124" s="2">
        <f ca="1">IFERROR(__xludf.DUMMYFUNCTION("""COMPUTED_VALUE"""),1080.32)</f>
        <v>1080.32</v>
      </c>
      <c r="I124" s="3">
        <f ca="1">IFERROR(__xludf.DUMMYFUNCTION("""COMPUTED_VALUE"""),43642.6666666666)</f>
        <v>43642.666666666599</v>
      </c>
      <c r="J124" s="2">
        <f ca="1">IFERROR(__xludf.DUMMYFUNCTION("""COMPUTED_VALUE"""),1079.8)</f>
        <v>1079.8</v>
      </c>
      <c r="K124" s="3">
        <f ca="1">IFERROR(__xludf.DUMMYFUNCTION("""COMPUTED_VALUE"""),43642.6666666666)</f>
        <v>43642.666666666599</v>
      </c>
      <c r="L124" s="2">
        <f ca="1">IFERROR(__xludf.DUMMYFUNCTION("""COMPUTED_VALUE"""),187.66)</f>
        <v>187.66</v>
      </c>
      <c r="M124" s="3">
        <f ca="1">IFERROR(__xludf.DUMMYFUNCTION("""COMPUTED_VALUE"""),43642.6666666666)</f>
        <v>43642.666666666599</v>
      </c>
      <c r="N124" s="2">
        <f ca="1">IFERROR(__xludf.DUMMYFUNCTION("""COMPUTED_VALUE"""),43.85)</f>
        <v>43.85</v>
      </c>
      <c r="O124" s="3">
        <f ca="1">IFERROR(__xludf.DUMMYFUNCTION("""COMPUTED_VALUE"""),43642.6666666666)</f>
        <v>43642.666666666599</v>
      </c>
      <c r="P124" s="2">
        <f ca="1">IFERROR(__xludf.DUMMYFUNCTION("""COMPUTED_VALUE"""),39.82)</f>
        <v>39.82</v>
      </c>
      <c r="Q124" s="3">
        <f ca="1">IFERROR(__xludf.DUMMYFUNCTION("""COMPUTED_VALUE"""),43642.6666666666)</f>
        <v>43642.666666666599</v>
      </c>
      <c r="R124" s="2">
        <f ca="1">IFERROR(__xludf.DUMMYFUNCTION("""COMPUTED_VALUE"""),208.51)</f>
        <v>208.51</v>
      </c>
      <c r="S124" s="3">
        <f ca="1">IFERROR(__xludf.DUMMYFUNCTION("""COMPUTED_VALUE"""),43642.6666666666)</f>
        <v>43642.666666666599</v>
      </c>
      <c r="T124" s="2">
        <f ca="1">IFERROR(__xludf.DUMMYFUNCTION("""COMPUTED_VALUE"""),141.85)</f>
        <v>141.85</v>
      </c>
    </row>
    <row r="125" spans="1:20">
      <c r="A125" s="3">
        <f ca="1">IFERROR(__xludf.DUMMYFUNCTION("""COMPUTED_VALUE"""),43643.6666666666)</f>
        <v>43643.666666666599</v>
      </c>
      <c r="B125" s="2">
        <f ca="1">IFERROR(__xludf.DUMMYFUNCTION("""COMPUTED_VALUE"""),49.94)</f>
        <v>49.94</v>
      </c>
      <c r="C125" s="3">
        <f ca="1">IFERROR(__xludf.DUMMYFUNCTION("""COMPUTED_VALUE"""),43643.6666666666)</f>
        <v>43643.666666666599</v>
      </c>
      <c r="D125" s="2">
        <f ca="1">IFERROR(__xludf.DUMMYFUNCTION("""COMPUTED_VALUE"""),134.15)</f>
        <v>134.15</v>
      </c>
      <c r="E125" s="3">
        <f ca="1">IFERROR(__xludf.DUMMYFUNCTION("""COMPUTED_VALUE"""),43643.6666666666)</f>
        <v>43643.666666666599</v>
      </c>
      <c r="F125" s="2">
        <f ca="1">IFERROR(__xludf.DUMMYFUNCTION("""COMPUTED_VALUE"""),1904.28)</f>
        <v>1904.28</v>
      </c>
      <c r="G125" s="3">
        <f ca="1">IFERROR(__xludf.DUMMYFUNCTION("""COMPUTED_VALUE"""),43643.6666666666)</f>
        <v>43643.666666666599</v>
      </c>
      <c r="H125" s="2">
        <f ca="1">IFERROR(__xludf.DUMMYFUNCTION("""COMPUTED_VALUE"""),1076.63)</f>
        <v>1076.6300000000001</v>
      </c>
      <c r="I125" s="3">
        <f ca="1">IFERROR(__xludf.DUMMYFUNCTION("""COMPUTED_VALUE"""),43643.6666666666)</f>
        <v>43643.666666666599</v>
      </c>
      <c r="J125" s="2">
        <f ca="1">IFERROR(__xludf.DUMMYFUNCTION("""COMPUTED_VALUE"""),1076.01)</f>
        <v>1076.01</v>
      </c>
      <c r="K125" s="3">
        <f ca="1">IFERROR(__xludf.DUMMYFUNCTION("""COMPUTED_VALUE"""),43643.6666666666)</f>
        <v>43643.666666666599</v>
      </c>
      <c r="L125" s="2">
        <f ca="1">IFERROR(__xludf.DUMMYFUNCTION("""COMPUTED_VALUE"""),189.5)</f>
        <v>189.5</v>
      </c>
      <c r="M125" s="3">
        <f ca="1">IFERROR(__xludf.DUMMYFUNCTION("""COMPUTED_VALUE"""),43643.6666666666)</f>
        <v>43643.666666666599</v>
      </c>
      <c r="N125" s="2">
        <f ca="1">IFERROR(__xludf.DUMMYFUNCTION("""COMPUTED_VALUE"""),44.57)</f>
        <v>44.57</v>
      </c>
      <c r="O125" s="3">
        <f ca="1">IFERROR(__xludf.DUMMYFUNCTION("""COMPUTED_VALUE"""),43643.6666666666)</f>
        <v>43643.666666666599</v>
      </c>
      <c r="P125" s="2">
        <f ca="1">IFERROR(__xludf.DUMMYFUNCTION("""COMPUTED_VALUE"""),40.81)</f>
        <v>40.81</v>
      </c>
      <c r="Q125" s="3">
        <f ca="1">IFERROR(__xludf.DUMMYFUNCTION("""COMPUTED_VALUE"""),43643.6666666666)</f>
        <v>43643.666666666599</v>
      </c>
      <c r="R125" s="2">
        <f ca="1">IFERROR(__xludf.DUMMYFUNCTION("""COMPUTED_VALUE"""),212.02)</f>
        <v>212.02</v>
      </c>
      <c r="S125" s="3">
        <f ca="1">IFERROR(__xludf.DUMMYFUNCTION("""COMPUTED_VALUE"""),43643.6666666666)</f>
        <v>43643.666666666599</v>
      </c>
      <c r="T125" s="2">
        <f ca="1">IFERROR(__xludf.DUMMYFUNCTION("""COMPUTED_VALUE"""),140.69)</f>
        <v>140.69</v>
      </c>
    </row>
    <row r="126" spans="1:20">
      <c r="A126" s="3">
        <f ca="1">IFERROR(__xludf.DUMMYFUNCTION("""COMPUTED_VALUE"""),43644.6666666666)</f>
        <v>43644.666666666599</v>
      </c>
      <c r="B126" s="2">
        <f ca="1">IFERROR(__xludf.DUMMYFUNCTION("""COMPUTED_VALUE"""),49.48)</f>
        <v>49.48</v>
      </c>
      <c r="C126" s="3">
        <f ca="1">IFERROR(__xludf.DUMMYFUNCTION("""COMPUTED_VALUE"""),43644.6666666666)</f>
        <v>43644.666666666599</v>
      </c>
      <c r="D126" s="2">
        <f ca="1">IFERROR(__xludf.DUMMYFUNCTION("""COMPUTED_VALUE"""),133.96)</f>
        <v>133.96</v>
      </c>
      <c r="E126" s="3">
        <f ca="1">IFERROR(__xludf.DUMMYFUNCTION("""COMPUTED_VALUE"""),43644.6666666666)</f>
        <v>43644.666666666599</v>
      </c>
      <c r="F126" s="2">
        <f ca="1">IFERROR(__xludf.DUMMYFUNCTION("""COMPUTED_VALUE"""),1893.63)</f>
        <v>1893.63</v>
      </c>
      <c r="G126" s="3">
        <f ca="1">IFERROR(__xludf.DUMMYFUNCTION("""COMPUTED_VALUE"""),43644.6666666666)</f>
        <v>43644.666666666599</v>
      </c>
      <c r="H126" s="2">
        <f ca="1">IFERROR(__xludf.DUMMYFUNCTION("""COMPUTED_VALUE"""),1082.8)</f>
        <v>1082.8</v>
      </c>
      <c r="I126" s="3">
        <f ca="1">IFERROR(__xludf.DUMMYFUNCTION("""COMPUTED_VALUE"""),43644.6666666666)</f>
        <v>43644.666666666599</v>
      </c>
      <c r="J126" s="2">
        <f ca="1">IFERROR(__xludf.DUMMYFUNCTION("""COMPUTED_VALUE"""),1080.91)</f>
        <v>1080.9100000000001</v>
      </c>
      <c r="K126" s="3">
        <f ca="1">IFERROR(__xludf.DUMMYFUNCTION("""COMPUTED_VALUE"""),43644.6666666666)</f>
        <v>43644.666666666599</v>
      </c>
      <c r="L126" s="2">
        <f ca="1">IFERROR(__xludf.DUMMYFUNCTION("""COMPUTED_VALUE"""),193)</f>
        <v>193</v>
      </c>
      <c r="M126" s="3">
        <f ca="1">IFERROR(__xludf.DUMMYFUNCTION("""COMPUTED_VALUE"""),43644.6666666666)</f>
        <v>43644.666666666599</v>
      </c>
      <c r="N126" s="2">
        <f ca="1">IFERROR(__xludf.DUMMYFUNCTION("""COMPUTED_VALUE"""),44.69)</f>
        <v>44.69</v>
      </c>
      <c r="O126" s="3">
        <f ca="1">IFERROR(__xludf.DUMMYFUNCTION("""COMPUTED_VALUE"""),43644.6666666666)</f>
        <v>43644.666666666599</v>
      </c>
      <c r="P126" s="2">
        <f ca="1">IFERROR(__xludf.DUMMYFUNCTION("""COMPUTED_VALUE"""),41.06)</f>
        <v>41.06</v>
      </c>
      <c r="Q126" s="3">
        <f ca="1">IFERROR(__xludf.DUMMYFUNCTION("""COMPUTED_VALUE"""),43644.6666666666)</f>
        <v>43644.666666666599</v>
      </c>
      <c r="R126" s="2">
        <f ca="1">IFERROR(__xludf.DUMMYFUNCTION("""COMPUTED_VALUE"""),213.17)</f>
        <v>213.17</v>
      </c>
      <c r="S126" s="3">
        <f ca="1">IFERROR(__xludf.DUMMYFUNCTION("""COMPUTED_VALUE"""),43644.6666666666)</f>
        <v>43644.666666666599</v>
      </c>
      <c r="T126" s="2">
        <f ca="1">IFERROR(__xludf.DUMMYFUNCTION("""COMPUTED_VALUE"""),139.28)</f>
        <v>139.28</v>
      </c>
    </row>
    <row r="127" spans="1:20">
      <c r="A127" s="3">
        <f ca="1">IFERROR(__xludf.DUMMYFUNCTION("""COMPUTED_VALUE"""),43647.6666666666)</f>
        <v>43647.666666666599</v>
      </c>
      <c r="B127" s="2">
        <f ca="1">IFERROR(__xludf.DUMMYFUNCTION("""COMPUTED_VALUE"""),50.39)</f>
        <v>50.39</v>
      </c>
      <c r="C127" s="3">
        <f ca="1">IFERROR(__xludf.DUMMYFUNCTION("""COMPUTED_VALUE"""),43647.6666666666)</f>
        <v>43647.666666666599</v>
      </c>
      <c r="D127" s="2">
        <f ca="1">IFERROR(__xludf.DUMMYFUNCTION("""COMPUTED_VALUE"""),135.68)</f>
        <v>135.68</v>
      </c>
      <c r="E127" s="3">
        <f ca="1">IFERROR(__xludf.DUMMYFUNCTION("""COMPUTED_VALUE"""),43647.6666666666)</f>
        <v>43647.666666666599</v>
      </c>
      <c r="F127" s="2">
        <f ca="1">IFERROR(__xludf.DUMMYFUNCTION("""COMPUTED_VALUE"""),1922.19)</f>
        <v>1922.19</v>
      </c>
      <c r="G127" s="3">
        <f ca="1">IFERROR(__xludf.DUMMYFUNCTION("""COMPUTED_VALUE"""),43647.6666666666)</f>
        <v>43647.666666666599</v>
      </c>
      <c r="H127" s="2">
        <f ca="1">IFERROR(__xludf.DUMMYFUNCTION("""COMPUTED_VALUE"""),1100)</f>
        <v>1100</v>
      </c>
      <c r="I127" s="3">
        <f ca="1">IFERROR(__xludf.DUMMYFUNCTION("""COMPUTED_VALUE"""),43647.6666666666)</f>
        <v>43647.666666666599</v>
      </c>
      <c r="J127" s="2">
        <f ca="1">IFERROR(__xludf.DUMMYFUNCTION("""COMPUTED_VALUE"""),1097.95)</f>
        <v>1097.95</v>
      </c>
      <c r="K127" s="3">
        <f ca="1">IFERROR(__xludf.DUMMYFUNCTION("""COMPUTED_VALUE"""),43647.6666666666)</f>
        <v>43647.666666666599</v>
      </c>
      <c r="L127" s="2">
        <f ca="1">IFERROR(__xludf.DUMMYFUNCTION("""COMPUTED_VALUE"""),193)</f>
        <v>193</v>
      </c>
      <c r="M127" s="3">
        <f ca="1">IFERROR(__xludf.DUMMYFUNCTION("""COMPUTED_VALUE"""),43647.6666666666)</f>
        <v>43647.666666666599</v>
      </c>
      <c r="N127" s="2">
        <f ca="1">IFERROR(__xludf.DUMMYFUNCTION("""COMPUTED_VALUE"""),45.43)</f>
        <v>45.43</v>
      </c>
      <c r="O127" s="3">
        <f ca="1">IFERROR(__xludf.DUMMYFUNCTION("""COMPUTED_VALUE"""),43647.6666666666)</f>
        <v>43647.666666666599</v>
      </c>
      <c r="P127" s="2">
        <f ca="1">IFERROR(__xludf.DUMMYFUNCTION("""COMPUTED_VALUE"""),41.54)</f>
        <v>41.54</v>
      </c>
      <c r="Q127" s="3">
        <f ca="1">IFERROR(__xludf.DUMMYFUNCTION("""COMPUTED_VALUE"""),43647.6666666666)</f>
        <v>43647.666666666599</v>
      </c>
      <c r="R127" s="2">
        <f ca="1">IFERROR(__xludf.DUMMYFUNCTION("""COMPUTED_VALUE"""),214.62)</f>
        <v>214.62</v>
      </c>
      <c r="S127" s="3">
        <f ca="1">IFERROR(__xludf.DUMMYFUNCTION("""COMPUTED_VALUE"""),43647.6666666666)</f>
        <v>43647.666666666599</v>
      </c>
      <c r="T127" s="2">
        <f ca="1">IFERROR(__xludf.DUMMYFUNCTION("""COMPUTED_VALUE"""),139.36)</f>
        <v>139.36000000000001</v>
      </c>
    </row>
    <row r="128" spans="1:20">
      <c r="A128" s="3">
        <f ca="1">IFERROR(__xludf.DUMMYFUNCTION("""COMPUTED_VALUE"""),43648.6666666666)</f>
        <v>43648.666666666599</v>
      </c>
      <c r="B128" s="2">
        <f ca="1">IFERROR(__xludf.DUMMYFUNCTION("""COMPUTED_VALUE"""),50.68)</f>
        <v>50.68</v>
      </c>
      <c r="C128" s="3">
        <f ca="1">IFERROR(__xludf.DUMMYFUNCTION("""COMPUTED_VALUE"""),43648.6666666666)</f>
        <v>43648.666666666599</v>
      </c>
      <c r="D128" s="2">
        <f ca="1">IFERROR(__xludf.DUMMYFUNCTION("""COMPUTED_VALUE"""),136.58)</f>
        <v>136.58000000000001</v>
      </c>
      <c r="E128" s="3">
        <f ca="1">IFERROR(__xludf.DUMMYFUNCTION("""COMPUTED_VALUE"""),43648.6666666666)</f>
        <v>43648.666666666599</v>
      </c>
      <c r="F128" s="2">
        <f ca="1">IFERROR(__xludf.DUMMYFUNCTION("""COMPUTED_VALUE"""),1934.31)</f>
        <v>1934.31</v>
      </c>
      <c r="G128" s="3">
        <f ca="1">IFERROR(__xludf.DUMMYFUNCTION("""COMPUTED_VALUE"""),43648.6666666666)</f>
        <v>43648.666666666599</v>
      </c>
      <c r="H128" s="2">
        <f ca="1">IFERROR(__xludf.DUMMYFUNCTION("""COMPUTED_VALUE"""),1112.6)</f>
        <v>1112.5999999999999</v>
      </c>
      <c r="I128" s="3">
        <f ca="1">IFERROR(__xludf.DUMMYFUNCTION("""COMPUTED_VALUE"""),43648.6666666666)</f>
        <v>43648.666666666599</v>
      </c>
      <c r="J128" s="2">
        <f ca="1">IFERROR(__xludf.DUMMYFUNCTION("""COMPUTED_VALUE"""),1111.25)</f>
        <v>1111.25</v>
      </c>
      <c r="K128" s="3">
        <f ca="1">IFERROR(__xludf.DUMMYFUNCTION("""COMPUTED_VALUE"""),43648.6666666666)</f>
        <v>43648.666666666599</v>
      </c>
      <c r="L128" s="2">
        <f ca="1">IFERROR(__xludf.DUMMYFUNCTION("""COMPUTED_VALUE"""),195)</f>
        <v>195</v>
      </c>
      <c r="M128" s="3">
        <f ca="1">IFERROR(__xludf.DUMMYFUNCTION("""COMPUTED_VALUE"""),43648.6666666666)</f>
        <v>43648.666666666599</v>
      </c>
      <c r="N128" s="2">
        <f ca="1">IFERROR(__xludf.DUMMYFUNCTION("""COMPUTED_VALUE"""),44.91)</f>
        <v>44.91</v>
      </c>
      <c r="O128" s="3">
        <f ca="1">IFERROR(__xludf.DUMMYFUNCTION("""COMPUTED_VALUE"""),43648.6666666666)</f>
        <v>43648.666666666599</v>
      </c>
      <c r="P128" s="2">
        <f ca="1">IFERROR(__xludf.DUMMYFUNCTION("""COMPUTED_VALUE"""),40.56)</f>
        <v>40.56</v>
      </c>
      <c r="Q128" s="3">
        <f ca="1">IFERROR(__xludf.DUMMYFUNCTION("""COMPUTED_VALUE"""),43648.6666666666)</f>
        <v>43648.666666666599</v>
      </c>
      <c r="R128" s="2">
        <f ca="1">IFERROR(__xludf.DUMMYFUNCTION("""COMPUTED_VALUE"""),214.54)</f>
        <v>214.54</v>
      </c>
      <c r="S128" s="3">
        <f ca="1">IFERROR(__xludf.DUMMYFUNCTION("""COMPUTED_VALUE"""),43648.6666666666)</f>
        <v>43648.666666666599</v>
      </c>
      <c r="T128" s="2">
        <f ca="1">IFERROR(__xludf.DUMMYFUNCTION("""COMPUTED_VALUE"""),140.03)</f>
        <v>140.03</v>
      </c>
    </row>
    <row r="129" spans="1:20">
      <c r="A129" s="3">
        <f ca="1">IFERROR(__xludf.DUMMYFUNCTION("""COMPUTED_VALUE"""),43649.5416666666)</f>
        <v>43649.541666666599</v>
      </c>
      <c r="B129" s="2">
        <f ca="1">IFERROR(__xludf.DUMMYFUNCTION("""COMPUTED_VALUE"""),51.1)</f>
        <v>51.1</v>
      </c>
      <c r="C129" s="3">
        <f ca="1">IFERROR(__xludf.DUMMYFUNCTION("""COMPUTED_VALUE"""),43649.5416666666)</f>
        <v>43649.541666666599</v>
      </c>
      <c r="D129" s="2">
        <f ca="1">IFERROR(__xludf.DUMMYFUNCTION("""COMPUTED_VALUE"""),137.46)</f>
        <v>137.46</v>
      </c>
      <c r="E129" s="3">
        <f ca="1">IFERROR(__xludf.DUMMYFUNCTION("""COMPUTED_VALUE"""),43649.5416666666)</f>
        <v>43649.541666666599</v>
      </c>
      <c r="F129" s="2">
        <f ca="1">IFERROR(__xludf.DUMMYFUNCTION("""COMPUTED_VALUE"""),1939)</f>
        <v>1939</v>
      </c>
      <c r="G129" s="3">
        <f ca="1">IFERROR(__xludf.DUMMYFUNCTION("""COMPUTED_VALUE"""),43649.5416666666)</f>
        <v>43649.541666666599</v>
      </c>
      <c r="H129" s="2">
        <f ca="1">IFERROR(__xludf.DUMMYFUNCTION("""COMPUTED_VALUE"""),1122.99)</f>
        <v>1122.99</v>
      </c>
      <c r="I129" s="3">
        <f ca="1">IFERROR(__xludf.DUMMYFUNCTION("""COMPUTED_VALUE"""),43649.5416666666)</f>
        <v>43649.541666666599</v>
      </c>
      <c r="J129" s="2">
        <f ca="1">IFERROR(__xludf.DUMMYFUNCTION("""COMPUTED_VALUE"""),1121.58)</f>
        <v>1121.58</v>
      </c>
      <c r="K129" s="3">
        <f ca="1">IFERROR(__xludf.DUMMYFUNCTION("""COMPUTED_VALUE"""),43649.5416666666)</f>
        <v>43649.541666666599</v>
      </c>
      <c r="L129" s="2">
        <f ca="1">IFERROR(__xludf.DUMMYFUNCTION("""COMPUTED_VALUE"""),197.2)</f>
        <v>197.2</v>
      </c>
      <c r="M129" s="3">
        <f ca="1">IFERROR(__xludf.DUMMYFUNCTION("""COMPUTED_VALUE"""),43649.5416666666)</f>
        <v>43649.541666666599</v>
      </c>
      <c r="N129" s="2">
        <f ca="1">IFERROR(__xludf.DUMMYFUNCTION("""COMPUTED_VALUE"""),46.98)</f>
        <v>46.98</v>
      </c>
      <c r="O129" s="3">
        <f ca="1">IFERROR(__xludf.DUMMYFUNCTION("""COMPUTED_VALUE"""),43649.5416666666)</f>
        <v>43649.541666666599</v>
      </c>
      <c r="P129" s="2">
        <f ca="1">IFERROR(__xludf.DUMMYFUNCTION("""COMPUTED_VALUE"""),40.69)</f>
        <v>40.69</v>
      </c>
      <c r="Q129" s="3">
        <f ca="1">IFERROR(__xludf.DUMMYFUNCTION("""COMPUTED_VALUE"""),43649.5416666666)</f>
        <v>43649.541666666599</v>
      </c>
      <c r="R129" s="2">
        <f ca="1">IFERROR(__xludf.DUMMYFUNCTION("""COMPUTED_VALUE"""),215.16)</f>
        <v>215.16</v>
      </c>
      <c r="S129" s="3">
        <f ca="1">IFERROR(__xludf.DUMMYFUNCTION("""COMPUTED_VALUE"""),43649.5416666666)</f>
        <v>43649.541666666599</v>
      </c>
      <c r="T129" s="2">
        <f ca="1">IFERROR(__xludf.DUMMYFUNCTION("""COMPUTED_VALUE"""),142.14)</f>
        <v>142.13999999999999</v>
      </c>
    </row>
    <row r="130" spans="1:20">
      <c r="A130" s="3">
        <f ca="1">IFERROR(__xludf.DUMMYFUNCTION("""COMPUTED_VALUE"""),43651.6666666666)</f>
        <v>43651.666666666599</v>
      </c>
      <c r="B130" s="2">
        <f ca="1">IFERROR(__xludf.DUMMYFUNCTION("""COMPUTED_VALUE"""),51.06)</f>
        <v>51.06</v>
      </c>
      <c r="C130" s="3">
        <f ca="1">IFERROR(__xludf.DUMMYFUNCTION("""COMPUTED_VALUE"""),43651.6666666666)</f>
        <v>43651.666666666599</v>
      </c>
      <c r="D130" s="2">
        <f ca="1">IFERROR(__xludf.DUMMYFUNCTION("""COMPUTED_VALUE"""),137.06)</f>
        <v>137.06</v>
      </c>
      <c r="E130" s="3">
        <f ca="1">IFERROR(__xludf.DUMMYFUNCTION("""COMPUTED_VALUE"""),43651.6666666666)</f>
        <v>43651.666666666599</v>
      </c>
      <c r="F130" s="2">
        <f ca="1">IFERROR(__xludf.DUMMYFUNCTION("""COMPUTED_VALUE"""),1942.91)</f>
        <v>1942.91</v>
      </c>
      <c r="G130" s="3">
        <f ca="1">IFERROR(__xludf.DUMMYFUNCTION("""COMPUTED_VALUE"""),43651.6666666666)</f>
        <v>43651.666666666599</v>
      </c>
      <c r="H130" s="2">
        <f ca="1">IFERROR(__xludf.DUMMYFUNCTION("""COMPUTED_VALUE"""),1132.67)</f>
        <v>1132.67</v>
      </c>
      <c r="I130" s="3">
        <f ca="1">IFERROR(__xludf.DUMMYFUNCTION("""COMPUTED_VALUE"""),43651.6666666666)</f>
        <v>43651.666666666599</v>
      </c>
      <c r="J130" s="2">
        <f ca="1">IFERROR(__xludf.DUMMYFUNCTION("""COMPUTED_VALUE"""),1131.59)</f>
        <v>1131.5899999999999</v>
      </c>
      <c r="K130" s="3">
        <f ca="1">IFERROR(__xludf.DUMMYFUNCTION("""COMPUTED_VALUE"""),43651.6666666666)</f>
        <v>43651.666666666599</v>
      </c>
      <c r="L130" s="2">
        <f ca="1">IFERROR(__xludf.DUMMYFUNCTION("""COMPUTED_VALUE"""),196.4)</f>
        <v>196.4</v>
      </c>
      <c r="M130" s="3">
        <f ca="1">IFERROR(__xludf.DUMMYFUNCTION("""COMPUTED_VALUE"""),43651.6666666666)</f>
        <v>43651.666666666599</v>
      </c>
      <c r="N130" s="2">
        <f ca="1">IFERROR(__xludf.DUMMYFUNCTION("""COMPUTED_VALUE"""),46.62)</f>
        <v>46.62</v>
      </c>
      <c r="O130" s="3">
        <f ca="1">IFERROR(__xludf.DUMMYFUNCTION("""COMPUTED_VALUE"""),43651.6666666666)</f>
        <v>43651.666666666599</v>
      </c>
      <c r="P130" s="2">
        <f ca="1">IFERROR(__xludf.DUMMYFUNCTION("""COMPUTED_VALUE"""),40.06)</f>
        <v>40.06</v>
      </c>
      <c r="Q130" s="3">
        <f ca="1">IFERROR(__xludf.DUMMYFUNCTION("""COMPUTED_VALUE"""),43651.6666666666)</f>
        <v>43651.666666666599</v>
      </c>
      <c r="R130" s="2">
        <f ca="1">IFERROR(__xludf.DUMMYFUNCTION("""COMPUTED_VALUE"""),215.25)</f>
        <v>215.25</v>
      </c>
      <c r="S130" s="3">
        <f ca="1">IFERROR(__xludf.DUMMYFUNCTION("""COMPUTED_VALUE"""),43651.6666666666)</f>
        <v>43651.666666666599</v>
      </c>
      <c r="T130" s="2">
        <f ca="1">IFERROR(__xludf.DUMMYFUNCTION("""COMPUTED_VALUE"""),140.57)</f>
        <v>140.57</v>
      </c>
    </row>
    <row r="131" spans="1:20">
      <c r="A131" s="3">
        <f ca="1">IFERROR(__xludf.DUMMYFUNCTION("""COMPUTED_VALUE"""),43654.6666666666)</f>
        <v>43654.666666666599</v>
      </c>
      <c r="B131" s="2">
        <f ca="1">IFERROR(__xludf.DUMMYFUNCTION("""COMPUTED_VALUE"""),50.01)</f>
        <v>50.01</v>
      </c>
      <c r="C131" s="3">
        <f ca="1">IFERROR(__xludf.DUMMYFUNCTION("""COMPUTED_VALUE"""),43654.6666666666)</f>
        <v>43654.666666666599</v>
      </c>
      <c r="D131" s="2">
        <f ca="1">IFERROR(__xludf.DUMMYFUNCTION("""COMPUTED_VALUE"""),136.96)</f>
        <v>136.96</v>
      </c>
      <c r="E131" s="3">
        <f ca="1">IFERROR(__xludf.DUMMYFUNCTION("""COMPUTED_VALUE"""),43654.6666666666)</f>
        <v>43654.666666666599</v>
      </c>
      <c r="F131" s="2">
        <f ca="1">IFERROR(__xludf.DUMMYFUNCTION("""COMPUTED_VALUE"""),1952.32)</f>
        <v>1952.32</v>
      </c>
      <c r="G131" s="3">
        <f ca="1">IFERROR(__xludf.DUMMYFUNCTION("""COMPUTED_VALUE"""),43654.6666666666)</f>
        <v>43654.666666666599</v>
      </c>
      <c r="H131" s="2">
        <f ca="1">IFERROR(__xludf.DUMMYFUNCTION("""COMPUTED_VALUE"""),1116.79)</f>
        <v>1116.79</v>
      </c>
      <c r="I131" s="3">
        <f ca="1">IFERROR(__xludf.DUMMYFUNCTION("""COMPUTED_VALUE"""),43654.6666666666)</f>
        <v>43654.666666666599</v>
      </c>
      <c r="J131" s="2">
        <f ca="1">IFERROR(__xludf.DUMMYFUNCTION("""COMPUTED_VALUE"""),1116.35)</f>
        <v>1116.3499999999999</v>
      </c>
      <c r="K131" s="3">
        <f ca="1">IFERROR(__xludf.DUMMYFUNCTION("""COMPUTED_VALUE"""),43654.6666666666)</f>
        <v>43654.666666666599</v>
      </c>
      <c r="L131" s="2">
        <f ca="1">IFERROR(__xludf.DUMMYFUNCTION("""COMPUTED_VALUE"""),195.76)</f>
        <v>195.76</v>
      </c>
      <c r="M131" s="3">
        <f ca="1">IFERROR(__xludf.DUMMYFUNCTION("""COMPUTED_VALUE"""),43654.6666666666)</f>
        <v>43654.666666666599</v>
      </c>
      <c r="N131" s="2">
        <f ca="1">IFERROR(__xludf.DUMMYFUNCTION("""COMPUTED_VALUE"""),46.07)</f>
        <v>46.07</v>
      </c>
      <c r="O131" s="3">
        <f ca="1">IFERROR(__xludf.DUMMYFUNCTION("""COMPUTED_VALUE"""),43654.6666666666)</f>
        <v>43654.666666666599</v>
      </c>
      <c r="P131" s="2">
        <f ca="1">IFERROR(__xludf.DUMMYFUNCTION("""COMPUTED_VALUE"""),39.3)</f>
        <v>39.299999999999997</v>
      </c>
      <c r="Q131" s="3">
        <f ca="1">IFERROR(__xludf.DUMMYFUNCTION("""COMPUTED_VALUE"""),43654.6666666666)</f>
        <v>43654.666666666599</v>
      </c>
      <c r="R131" s="2">
        <f ca="1">IFERROR(__xludf.DUMMYFUNCTION("""COMPUTED_VALUE"""),215.13)</f>
        <v>215.13</v>
      </c>
      <c r="S131" s="3">
        <f ca="1">IFERROR(__xludf.DUMMYFUNCTION("""COMPUTED_VALUE"""),43654.6666666666)</f>
        <v>43654.666666666599</v>
      </c>
      <c r="T131" s="2">
        <f ca="1">IFERROR(__xludf.DUMMYFUNCTION("""COMPUTED_VALUE"""),140.97)</f>
        <v>140.97</v>
      </c>
    </row>
    <row r="132" spans="1:20">
      <c r="A132" s="3">
        <f ca="1">IFERROR(__xludf.DUMMYFUNCTION("""COMPUTED_VALUE"""),43655.6666666666)</f>
        <v>43655.666666666599</v>
      </c>
      <c r="B132" s="2">
        <f ca="1">IFERROR(__xludf.DUMMYFUNCTION("""COMPUTED_VALUE"""),50.31)</f>
        <v>50.31</v>
      </c>
      <c r="C132" s="3">
        <f ca="1">IFERROR(__xludf.DUMMYFUNCTION("""COMPUTED_VALUE"""),43655.6666666666)</f>
        <v>43655.666666666599</v>
      </c>
      <c r="D132" s="2">
        <f ca="1">IFERROR(__xludf.DUMMYFUNCTION("""COMPUTED_VALUE"""),136.46)</f>
        <v>136.46</v>
      </c>
      <c r="E132" s="3">
        <f ca="1">IFERROR(__xludf.DUMMYFUNCTION("""COMPUTED_VALUE"""),43655.6666666666)</f>
        <v>43655.666666666599</v>
      </c>
      <c r="F132" s="2">
        <f ca="1">IFERROR(__xludf.DUMMYFUNCTION("""COMPUTED_VALUE"""),1988.3)</f>
        <v>1988.3</v>
      </c>
      <c r="G132" s="3">
        <f ca="1">IFERROR(__xludf.DUMMYFUNCTION("""COMPUTED_VALUE"""),43655.6666666666)</f>
        <v>43655.666666666599</v>
      </c>
      <c r="H132" s="2">
        <f ca="1">IFERROR(__xludf.DUMMYFUNCTION("""COMPUTED_VALUE"""),1124.29)</f>
        <v>1124.29</v>
      </c>
      <c r="I132" s="3">
        <f ca="1">IFERROR(__xludf.DUMMYFUNCTION("""COMPUTED_VALUE"""),43655.6666666666)</f>
        <v>43655.666666666599</v>
      </c>
      <c r="J132" s="2">
        <f ca="1">IFERROR(__xludf.DUMMYFUNCTION("""COMPUTED_VALUE"""),1124.83)</f>
        <v>1124.83</v>
      </c>
      <c r="K132" s="3">
        <f ca="1">IFERROR(__xludf.DUMMYFUNCTION("""COMPUTED_VALUE"""),43655.6666666666)</f>
        <v>43655.666666666599</v>
      </c>
      <c r="L132" s="2">
        <f ca="1">IFERROR(__xludf.DUMMYFUNCTION("""COMPUTED_VALUE"""),199.21)</f>
        <v>199.21</v>
      </c>
      <c r="M132" s="3">
        <f ca="1">IFERROR(__xludf.DUMMYFUNCTION("""COMPUTED_VALUE"""),43655.6666666666)</f>
        <v>43655.666666666599</v>
      </c>
      <c r="N132" s="2">
        <f ca="1">IFERROR(__xludf.DUMMYFUNCTION("""COMPUTED_VALUE"""),46.01)</f>
        <v>46.01</v>
      </c>
      <c r="O132" s="3">
        <f ca="1">IFERROR(__xludf.DUMMYFUNCTION("""COMPUTED_VALUE"""),43655.6666666666)</f>
        <v>43655.666666666599</v>
      </c>
      <c r="P132" s="2">
        <f ca="1">IFERROR(__xludf.DUMMYFUNCTION("""COMPUTED_VALUE"""),39.33)</f>
        <v>39.33</v>
      </c>
      <c r="Q132" s="3">
        <f ca="1">IFERROR(__xludf.DUMMYFUNCTION("""COMPUTED_VALUE"""),43655.6666666666)</f>
        <v>43655.666666666599</v>
      </c>
      <c r="R132" s="2">
        <f ca="1">IFERROR(__xludf.DUMMYFUNCTION("""COMPUTED_VALUE"""),214.75)</f>
        <v>214.75</v>
      </c>
      <c r="S132" s="3">
        <f ca="1">IFERROR(__xludf.DUMMYFUNCTION("""COMPUTED_VALUE"""),43655.6666666666)</f>
        <v>43655.666666666599</v>
      </c>
      <c r="T132" s="2">
        <f ca="1">IFERROR(__xludf.DUMMYFUNCTION("""COMPUTED_VALUE"""),141.41)</f>
        <v>141.41</v>
      </c>
    </row>
    <row r="133" spans="1:20">
      <c r="A133" s="3">
        <f ca="1">IFERROR(__xludf.DUMMYFUNCTION("""COMPUTED_VALUE"""),43656.6666666666)</f>
        <v>43656.666666666599</v>
      </c>
      <c r="B133" s="2">
        <f ca="1">IFERROR(__xludf.DUMMYFUNCTION("""COMPUTED_VALUE"""),50.81)</f>
        <v>50.81</v>
      </c>
      <c r="C133" s="3">
        <f ca="1">IFERROR(__xludf.DUMMYFUNCTION("""COMPUTED_VALUE"""),43656.6666666666)</f>
        <v>43656.666666666599</v>
      </c>
      <c r="D133" s="2">
        <f ca="1">IFERROR(__xludf.DUMMYFUNCTION("""COMPUTED_VALUE"""),137.85)</f>
        <v>137.85</v>
      </c>
      <c r="E133" s="3">
        <f ca="1">IFERROR(__xludf.DUMMYFUNCTION("""COMPUTED_VALUE"""),43656.6666666666)</f>
        <v>43656.666666666599</v>
      </c>
      <c r="F133" s="2">
        <f ca="1">IFERROR(__xludf.DUMMYFUNCTION("""COMPUTED_VALUE"""),2017.41)</f>
        <v>2017.41</v>
      </c>
      <c r="G133" s="3">
        <f ca="1">IFERROR(__xludf.DUMMYFUNCTION("""COMPUTED_VALUE"""),43656.6666666666)</f>
        <v>43656.666666666599</v>
      </c>
      <c r="H133" s="2">
        <f ca="1">IFERROR(__xludf.DUMMYFUNCTION("""COMPUTED_VALUE"""),1140.91)</f>
        <v>1140.9100000000001</v>
      </c>
      <c r="I133" s="3">
        <f ca="1">IFERROR(__xludf.DUMMYFUNCTION("""COMPUTED_VALUE"""),43656.6666666666)</f>
        <v>43656.666666666599</v>
      </c>
      <c r="J133" s="2">
        <f ca="1">IFERROR(__xludf.DUMMYFUNCTION("""COMPUTED_VALUE"""),1140.48)</f>
        <v>1140.48</v>
      </c>
      <c r="K133" s="3">
        <f ca="1">IFERROR(__xludf.DUMMYFUNCTION("""COMPUTED_VALUE"""),43656.6666666666)</f>
        <v>43656.666666666599</v>
      </c>
      <c r="L133" s="2">
        <f ca="1">IFERROR(__xludf.DUMMYFUNCTION("""COMPUTED_VALUE"""),202.73)</f>
        <v>202.73</v>
      </c>
      <c r="M133" s="3">
        <f ca="1">IFERROR(__xludf.DUMMYFUNCTION("""COMPUTED_VALUE"""),43656.6666666666)</f>
        <v>43656.666666666599</v>
      </c>
      <c r="N133" s="2">
        <f ca="1">IFERROR(__xludf.DUMMYFUNCTION("""COMPUTED_VALUE"""),47.78)</f>
        <v>47.78</v>
      </c>
      <c r="O133" s="3">
        <f ca="1">IFERROR(__xludf.DUMMYFUNCTION("""COMPUTED_VALUE"""),43656.6666666666)</f>
        <v>43656.666666666599</v>
      </c>
      <c r="P133" s="2">
        <f ca="1">IFERROR(__xludf.DUMMYFUNCTION("""COMPUTED_VALUE"""),40.02)</f>
        <v>40.020000000000003</v>
      </c>
      <c r="Q133" s="3">
        <f ca="1">IFERROR(__xludf.DUMMYFUNCTION("""COMPUTED_VALUE"""),43656.6666666666)</f>
        <v>43656.666666666599</v>
      </c>
      <c r="R133" s="2">
        <f ca="1">IFERROR(__xludf.DUMMYFUNCTION("""COMPUTED_VALUE"""),214.03)</f>
        <v>214.03</v>
      </c>
      <c r="S133" s="3">
        <f ca="1">IFERROR(__xludf.DUMMYFUNCTION("""COMPUTED_VALUE"""),43656.6666666666)</f>
        <v>43656.666666666599</v>
      </c>
      <c r="T133" s="2">
        <f ca="1">IFERROR(__xludf.DUMMYFUNCTION("""COMPUTED_VALUE"""),141.21)</f>
        <v>141.21</v>
      </c>
    </row>
    <row r="134" spans="1:20">
      <c r="A134" s="3">
        <f ca="1">IFERROR(__xludf.DUMMYFUNCTION("""COMPUTED_VALUE"""),43657.6666666666)</f>
        <v>43657.666666666599</v>
      </c>
      <c r="B134" s="2">
        <f ca="1">IFERROR(__xludf.DUMMYFUNCTION("""COMPUTED_VALUE"""),50.44)</f>
        <v>50.44</v>
      </c>
      <c r="C134" s="3">
        <f ca="1">IFERROR(__xludf.DUMMYFUNCTION("""COMPUTED_VALUE"""),43657.6666666666)</f>
        <v>43657.666666666599</v>
      </c>
      <c r="D134" s="2">
        <f ca="1">IFERROR(__xludf.DUMMYFUNCTION("""COMPUTED_VALUE"""),138.4)</f>
        <v>138.4</v>
      </c>
      <c r="E134" s="3">
        <f ca="1">IFERROR(__xludf.DUMMYFUNCTION("""COMPUTED_VALUE"""),43657.6666666666)</f>
        <v>43657.666666666599</v>
      </c>
      <c r="F134" s="2">
        <f ca="1">IFERROR(__xludf.DUMMYFUNCTION("""COMPUTED_VALUE"""),2001.07)</f>
        <v>2001.07</v>
      </c>
      <c r="G134" s="3">
        <f ca="1">IFERROR(__xludf.DUMMYFUNCTION("""COMPUTED_VALUE"""),43657.6666666666)</f>
        <v>43657.666666666599</v>
      </c>
      <c r="H134" s="2">
        <f ca="1">IFERROR(__xludf.DUMMYFUNCTION("""COMPUTED_VALUE"""),1144.08)</f>
        <v>1144.08</v>
      </c>
      <c r="I134" s="3">
        <f ca="1">IFERROR(__xludf.DUMMYFUNCTION("""COMPUTED_VALUE"""),43657.6666666666)</f>
        <v>43657.666666666599</v>
      </c>
      <c r="J134" s="2">
        <f ca="1">IFERROR(__xludf.DUMMYFUNCTION("""COMPUTED_VALUE"""),1144.21)</f>
        <v>1144.21</v>
      </c>
      <c r="K134" s="3">
        <f ca="1">IFERROR(__xludf.DUMMYFUNCTION("""COMPUTED_VALUE"""),43657.6666666666)</f>
        <v>43657.666666666599</v>
      </c>
      <c r="L134" s="2">
        <f ca="1">IFERROR(__xludf.DUMMYFUNCTION("""COMPUTED_VALUE"""),201.23)</f>
        <v>201.23</v>
      </c>
      <c r="M134" s="3">
        <f ca="1">IFERROR(__xludf.DUMMYFUNCTION("""COMPUTED_VALUE"""),43657.6666666666)</f>
        <v>43657.666666666599</v>
      </c>
      <c r="N134" s="2">
        <f ca="1">IFERROR(__xludf.DUMMYFUNCTION("""COMPUTED_VALUE"""),47.72)</f>
        <v>47.72</v>
      </c>
      <c r="O134" s="3">
        <f ca="1">IFERROR(__xludf.DUMMYFUNCTION("""COMPUTED_VALUE"""),43657.6666666666)</f>
        <v>43657.666666666599</v>
      </c>
      <c r="P134" s="2">
        <f ca="1">IFERROR(__xludf.DUMMYFUNCTION("""COMPUTED_VALUE"""),41.57)</f>
        <v>41.57</v>
      </c>
      <c r="Q134" s="3">
        <f ca="1">IFERROR(__xludf.DUMMYFUNCTION("""COMPUTED_VALUE"""),43657.6666666666)</f>
        <v>43657.666666666599</v>
      </c>
      <c r="R134" s="2">
        <f ca="1">IFERROR(__xludf.DUMMYFUNCTION("""COMPUTED_VALUE"""),213.17)</f>
        <v>213.17</v>
      </c>
      <c r="S134" s="3">
        <f ca="1">IFERROR(__xludf.DUMMYFUNCTION("""COMPUTED_VALUE"""),43657.6666666666)</f>
        <v>43657.666666666599</v>
      </c>
      <c r="T134" s="2">
        <f ca="1">IFERROR(__xludf.DUMMYFUNCTION("""COMPUTED_VALUE"""),140.11)</f>
        <v>140.11000000000001</v>
      </c>
    </row>
    <row r="135" spans="1:20">
      <c r="A135" s="3">
        <f ca="1">IFERROR(__xludf.DUMMYFUNCTION("""COMPUTED_VALUE"""),43658.6666666666)</f>
        <v>43658.666666666599</v>
      </c>
      <c r="B135" s="2">
        <f ca="1">IFERROR(__xludf.DUMMYFUNCTION("""COMPUTED_VALUE"""),50.83)</f>
        <v>50.83</v>
      </c>
      <c r="C135" s="3">
        <f ca="1">IFERROR(__xludf.DUMMYFUNCTION("""COMPUTED_VALUE"""),43658.6666666666)</f>
        <v>43658.666666666599</v>
      </c>
      <c r="D135" s="2">
        <f ca="1">IFERROR(__xludf.DUMMYFUNCTION("""COMPUTED_VALUE"""),138.9)</f>
        <v>138.9</v>
      </c>
      <c r="E135" s="3">
        <f ca="1">IFERROR(__xludf.DUMMYFUNCTION("""COMPUTED_VALUE"""),43658.6666666666)</f>
        <v>43658.666666666599</v>
      </c>
      <c r="F135" s="2">
        <f ca="1">IFERROR(__xludf.DUMMYFUNCTION("""COMPUTED_VALUE"""),2011)</f>
        <v>2011</v>
      </c>
      <c r="G135" s="3">
        <f ca="1">IFERROR(__xludf.DUMMYFUNCTION("""COMPUTED_VALUE"""),43658.6666666666)</f>
        <v>43658.666666666599</v>
      </c>
      <c r="H135" s="2">
        <f ca="1">IFERROR(__xludf.DUMMYFUNCTION("""COMPUTED_VALUE"""),1145.34)</f>
        <v>1145.3399999999999</v>
      </c>
      <c r="I135" s="3">
        <f ca="1">IFERROR(__xludf.DUMMYFUNCTION("""COMPUTED_VALUE"""),43658.6666666666)</f>
        <v>43658.666666666599</v>
      </c>
      <c r="J135" s="2">
        <f ca="1">IFERROR(__xludf.DUMMYFUNCTION("""COMPUTED_VALUE"""),1144.9)</f>
        <v>1144.9000000000001</v>
      </c>
      <c r="K135" s="3">
        <f ca="1">IFERROR(__xludf.DUMMYFUNCTION("""COMPUTED_VALUE"""),43658.6666666666)</f>
        <v>43658.666666666599</v>
      </c>
      <c r="L135" s="2">
        <f ca="1">IFERROR(__xludf.DUMMYFUNCTION("""COMPUTED_VALUE"""),204.87)</f>
        <v>204.87</v>
      </c>
      <c r="M135" s="3">
        <f ca="1">IFERROR(__xludf.DUMMYFUNCTION("""COMPUTED_VALUE"""),43658.6666666666)</f>
        <v>43658.666666666599</v>
      </c>
      <c r="N135" s="2">
        <f ca="1">IFERROR(__xludf.DUMMYFUNCTION("""COMPUTED_VALUE"""),49.02)</f>
        <v>49.02</v>
      </c>
      <c r="O135" s="3">
        <f ca="1">IFERROR(__xludf.DUMMYFUNCTION("""COMPUTED_VALUE"""),43658.6666666666)</f>
        <v>43658.666666666599</v>
      </c>
      <c r="P135" s="2">
        <f ca="1">IFERROR(__xludf.DUMMYFUNCTION("""COMPUTED_VALUE"""),41.9)</f>
        <v>41.9</v>
      </c>
      <c r="Q135" s="3">
        <f ca="1">IFERROR(__xludf.DUMMYFUNCTION("""COMPUTED_VALUE"""),43658.6666666666)</f>
        <v>43658.666666666599</v>
      </c>
      <c r="R135" s="2">
        <f ca="1">IFERROR(__xludf.DUMMYFUNCTION("""COMPUTED_VALUE"""),214.1)</f>
        <v>214.1</v>
      </c>
      <c r="S135" s="3">
        <f ca="1">IFERROR(__xludf.DUMMYFUNCTION("""COMPUTED_VALUE"""),43658.6666666666)</f>
        <v>43658.666666666599</v>
      </c>
      <c r="T135" s="2">
        <f ca="1">IFERROR(__xludf.DUMMYFUNCTION("""COMPUTED_VALUE"""),134.3)</f>
        <v>134.30000000000001</v>
      </c>
    </row>
    <row r="136" spans="1:20">
      <c r="A136" s="3">
        <f ca="1">IFERROR(__xludf.DUMMYFUNCTION("""COMPUTED_VALUE"""),43661.6666666666)</f>
        <v>43661.666666666599</v>
      </c>
      <c r="B136" s="2">
        <f ca="1">IFERROR(__xludf.DUMMYFUNCTION("""COMPUTED_VALUE"""),51.3)</f>
        <v>51.3</v>
      </c>
      <c r="C136" s="3">
        <f ca="1">IFERROR(__xludf.DUMMYFUNCTION("""COMPUTED_VALUE"""),43661.6666666666)</f>
        <v>43661.666666666599</v>
      </c>
      <c r="D136" s="2">
        <f ca="1">IFERROR(__xludf.DUMMYFUNCTION("""COMPUTED_VALUE"""),138.9)</f>
        <v>138.9</v>
      </c>
      <c r="E136" s="3">
        <f ca="1">IFERROR(__xludf.DUMMYFUNCTION("""COMPUTED_VALUE"""),43661.6666666666)</f>
        <v>43661.666666666599</v>
      </c>
      <c r="F136" s="2">
        <f ca="1">IFERROR(__xludf.DUMMYFUNCTION("""COMPUTED_VALUE"""),2020.99)</f>
        <v>2020.99</v>
      </c>
      <c r="G136" s="3">
        <f ca="1">IFERROR(__xludf.DUMMYFUNCTION("""COMPUTED_VALUE"""),43661.6666666666)</f>
        <v>43661.666666666599</v>
      </c>
      <c r="H136" s="2">
        <f ca="1">IFERROR(__xludf.DUMMYFUNCTION("""COMPUTED_VALUE"""),1150.51)</f>
        <v>1150.51</v>
      </c>
      <c r="I136" s="3">
        <f ca="1">IFERROR(__xludf.DUMMYFUNCTION("""COMPUTED_VALUE"""),43661.6666666666)</f>
        <v>43661.666666666599</v>
      </c>
      <c r="J136" s="2">
        <f ca="1">IFERROR(__xludf.DUMMYFUNCTION("""COMPUTED_VALUE"""),1150.34)</f>
        <v>1150.3399999999999</v>
      </c>
      <c r="K136" s="3">
        <f ca="1">IFERROR(__xludf.DUMMYFUNCTION("""COMPUTED_VALUE"""),43661.6666666666)</f>
        <v>43661.666666666599</v>
      </c>
      <c r="L136" s="2">
        <f ca="1">IFERROR(__xludf.DUMMYFUNCTION("""COMPUTED_VALUE"""),203.91)</f>
        <v>203.91</v>
      </c>
      <c r="M136" s="3">
        <f ca="1">IFERROR(__xludf.DUMMYFUNCTION("""COMPUTED_VALUE"""),43661.6666666666)</f>
        <v>43661.666666666599</v>
      </c>
      <c r="N136" s="2">
        <f ca="1">IFERROR(__xludf.DUMMYFUNCTION("""COMPUTED_VALUE"""),50.7)</f>
        <v>50.7</v>
      </c>
      <c r="O136" s="3">
        <f ca="1">IFERROR(__xludf.DUMMYFUNCTION("""COMPUTED_VALUE"""),43661.6666666666)</f>
        <v>43661.666666666599</v>
      </c>
      <c r="P136" s="2">
        <f ca="1">IFERROR(__xludf.DUMMYFUNCTION("""COMPUTED_VALUE"""),41.82)</f>
        <v>41.82</v>
      </c>
      <c r="Q136" s="3">
        <f ca="1">IFERROR(__xludf.DUMMYFUNCTION("""COMPUTED_VALUE"""),43661.6666666666)</f>
        <v>43661.666666666599</v>
      </c>
      <c r="R136" s="2">
        <f ca="1">IFERROR(__xludf.DUMMYFUNCTION("""COMPUTED_VALUE"""),213.54)</f>
        <v>213.54</v>
      </c>
      <c r="S136" s="3">
        <f ca="1">IFERROR(__xludf.DUMMYFUNCTION("""COMPUTED_VALUE"""),43661.6666666666)</f>
        <v>43661.666666666599</v>
      </c>
      <c r="T136" s="2">
        <f ca="1">IFERROR(__xludf.DUMMYFUNCTION("""COMPUTED_VALUE"""),134.71)</f>
        <v>134.71</v>
      </c>
    </row>
    <row r="137" spans="1:20">
      <c r="A137" s="3">
        <f ca="1">IFERROR(__xludf.DUMMYFUNCTION("""COMPUTED_VALUE"""),43662.6666666666)</f>
        <v>43662.666666666599</v>
      </c>
      <c r="B137" s="2">
        <f ca="1">IFERROR(__xludf.DUMMYFUNCTION("""COMPUTED_VALUE"""),51.13)</f>
        <v>51.13</v>
      </c>
      <c r="C137" s="3">
        <f ca="1">IFERROR(__xludf.DUMMYFUNCTION("""COMPUTED_VALUE"""),43662.6666666666)</f>
        <v>43662.666666666599</v>
      </c>
      <c r="D137" s="2">
        <f ca="1">IFERROR(__xludf.DUMMYFUNCTION("""COMPUTED_VALUE"""),137.08)</f>
        <v>137.08000000000001</v>
      </c>
      <c r="E137" s="3">
        <f ca="1">IFERROR(__xludf.DUMMYFUNCTION("""COMPUTED_VALUE"""),43662.6666666666)</f>
        <v>43662.666666666599</v>
      </c>
      <c r="F137" s="2">
        <f ca="1">IFERROR(__xludf.DUMMYFUNCTION("""COMPUTED_VALUE"""),2009.9)</f>
        <v>2009.9</v>
      </c>
      <c r="G137" s="3">
        <f ca="1">IFERROR(__xludf.DUMMYFUNCTION("""COMPUTED_VALUE"""),43662.6666666666)</f>
        <v>43662.666666666599</v>
      </c>
      <c r="H137" s="2">
        <f ca="1">IFERROR(__xludf.DUMMYFUNCTION("""COMPUTED_VALUE"""),1153.46)</f>
        <v>1153.46</v>
      </c>
      <c r="I137" s="3">
        <f ca="1">IFERROR(__xludf.DUMMYFUNCTION("""COMPUTED_VALUE"""),43662.6666666666)</f>
        <v>43662.666666666599</v>
      </c>
      <c r="J137" s="2">
        <f ca="1">IFERROR(__xludf.DUMMYFUNCTION("""COMPUTED_VALUE"""),1153.58)</f>
        <v>1153.58</v>
      </c>
      <c r="K137" s="3">
        <f ca="1">IFERROR(__xludf.DUMMYFUNCTION("""COMPUTED_VALUE"""),43662.6666666666)</f>
        <v>43662.666666666599</v>
      </c>
      <c r="L137" s="2">
        <f ca="1">IFERROR(__xludf.DUMMYFUNCTION("""COMPUTED_VALUE"""),203.84)</f>
        <v>203.84</v>
      </c>
      <c r="M137" s="3">
        <f ca="1">IFERROR(__xludf.DUMMYFUNCTION("""COMPUTED_VALUE"""),43662.6666666666)</f>
        <v>43662.666666666599</v>
      </c>
      <c r="N137" s="2">
        <f ca="1">IFERROR(__xludf.DUMMYFUNCTION("""COMPUTED_VALUE"""),50.48)</f>
        <v>50.48</v>
      </c>
      <c r="O137" s="3">
        <f ca="1">IFERROR(__xludf.DUMMYFUNCTION("""COMPUTED_VALUE"""),43662.6666666666)</f>
        <v>43662.666666666599</v>
      </c>
      <c r="P137" s="2">
        <f ca="1">IFERROR(__xludf.DUMMYFUNCTION("""COMPUTED_VALUE"""),41.77)</f>
        <v>41.77</v>
      </c>
      <c r="Q137" s="3">
        <f ca="1">IFERROR(__xludf.DUMMYFUNCTION("""COMPUTED_VALUE"""),43662.6666666666)</f>
        <v>43662.666666666599</v>
      </c>
      <c r="R137" s="2">
        <f ca="1">IFERROR(__xludf.DUMMYFUNCTION("""COMPUTED_VALUE"""),212.88)</f>
        <v>212.88</v>
      </c>
      <c r="S137" s="3">
        <f ca="1">IFERROR(__xludf.DUMMYFUNCTION("""COMPUTED_VALUE"""),43662.6666666666)</f>
        <v>43662.666666666599</v>
      </c>
      <c r="T137" s="2">
        <f ca="1">IFERROR(__xludf.DUMMYFUNCTION("""COMPUTED_VALUE"""),132.5)</f>
        <v>132.5</v>
      </c>
    </row>
    <row r="138" spans="1:20">
      <c r="A138" s="3">
        <f ca="1">IFERROR(__xludf.DUMMYFUNCTION("""COMPUTED_VALUE"""),43663.6666666666)</f>
        <v>43663.666666666599</v>
      </c>
      <c r="B138" s="2">
        <f ca="1">IFERROR(__xludf.DUMMYFUNCTION("""COMPUTED_VALUE"""),50.84)</f>
        <v>50.84</v>
      </c>
      <c r="C138" s="3">
        <f ca="1">IFERROR(__xludf.DUMMYFUNCTION("""COMPUTED_VALUE"""),43663.6666666666)</f>
        <v>43663.666666666599</v>
      </c>
      <c r="D138" s="2">
        <f ca="1">IFERROR(__xludf.DUMMYFUNCTION("""COMPUTED_VALUE"""),136.27)</f>
        <v>136.27000000000001</v>
      </c>
      <c r="E138" s="3">
        <f ca="1">IFERROR(__xludf.DUMMYFUNCTION("""COMPUTED_VALUE"""),43663.6666666666)</f>
        <v>43663.666666666599</v>
      </c>
      <c r="F138" s="2">
        <f ca="1">IFERROR(__xludf.DUMMYFUNCTION("""COMPUTED_VALUE"""),1992.03)</f>
        <v>1992.03</v>
      </c>
      <c r="G138" s="3">
        <f ca="1">IFERROR(__xludf.DUMMYFUNCTION("""COMPUTED_VALUE"""),43663.6666666666)</f>
        <v>43663.666666666599</v>
      </c>
      <c r="H138" s="2">
        <f ca="1">IFERROR(__xludf.DUMMYFUNCTION("""COMPUTED_VALUE"""),1146.74)</f>
        <v>1146.74</v>
      </c>
      <c r="I138" s="3">
        <f ca="1">IFERROR(__xludf.DUMMYFUNCTION("""COMPUTED_VALUE"""),43663.6666666666)</f>
        <v>43663.666666666599</v>
      </c>
      <c r="J138" s="2">
        <f ca="1">IFERROR(__xludf.DUMMYFUNCTION("""COMPUTED_VALUE"""),1146.35)</f>
        <v>1146.3499999999999</v>
      </c>
      <c r="K138" s="3">
        <f ca="1">IFERROR(__xludf.DUMMYFUNCTION("""COMPUTED_VALUE"""),43663.6666666666)</f>
        <v>43663.666666666599</v>
      </c>
      <c r="L138" s="2">
        <f ca="1">IFERROR(__xludf.DUMMYFUNCTION("""COMPUTED_VALUE"""),201.8)</f>
        <v>201.8</v>
      </c>
      <c r="M138" s="3">
        <f ca="1">IFERROR(__xludf.DUMMYFUNCTION("""COMPUTED_VALUE"""),43663.6666666666)</f>
        <v>43663.666666666599</v>
      </c>
      <c r="N138" s="2">
        <f ca="1">IFERROR(__xludf.DUMMYFUNCTION("""COMPUTED_VALUE"""),50.97)</f>
        <v>50.97</v>
      </c>
      <c r="O138" s="3">
        <f ca="1">IFERROR(__xludf.DUMMYFUNCTION("""COMPUTED_VALUE"""),43663.6666666666)</f>
        <v>43663.666666666599</v>
      </c>
      <c r="P138" s="2">
        <f ca="1">IFERROR(__xludf.DUMMYFUNCTION("""COMPUTED_VALUE"""),42.43)</f>
        <v>42.43</v>
      </c>
      <c r="Q138" s="3">
        <f ca="1">IFERROR(__xludf.DUMMYFUNCTION("""COMPUTED_VALUE"""),43663.6666666666)</f>
        <v>43663.666666666599</v>
      </c>
      <c r="R138" s="2">
        <f ca="1">IFERROR(__xludf.DUMMYFUNCTION("""COMPUTED_VALUE"""),207.45)</f>
        <v>207.45</v>
      </c>
      <c r="S138" s="3">
        <f ca="1">IFERROR(__xludf.DUMMYFUNCTION("""COMPUTED_VALUE"""),43663.6666666666)</f>
        <v>43663.666666666599</v>
      </c>
      <c r="T138" s="2">
        <f ca="1">IFERROR(__xludf.DUMMYFUNCTION("""COMPUTED_VALUE"""),131.86)</f>
        <v>131.86000000000001</v>
      </c>
    </row>
    <row r="139" spans="1:20">
      <c r="A139" s="3">
        <f ca="1">IFERROR(__xludf.DUMMYFUNCTION("""COMPUTED_VALUE"""),43664.6666666666)</f>
        <v>43664.666666666599</v>
      </c>
      <c r="B139" s="2">
        <f ca="1">IFERROR(__xludf.DUMMYFUNCTION("""COMPUTED_VALUE"""),51.42)</f>
        <v>51.42</v>
      </c>
      <c r="C139" s="3">
        <f ca="1">IFERROR(__xludf.DUMMYFUNCTION("""COMPUTED_VALUE"""),43664.6666666666)</f>
        <v>43664.666666666599</v>
      </c>
      <c r="D139" s="2">
        <f ca="1">IFERROR(__xludf.DUMMYFUNCTION("""COMPUTED_VALUE"""),136.42)</f>
        <v>136.41999999999999</v>
      </c>
      <c r="E139" s="3">
        <f ca="1">IFERROR(__xludf.DUMMYFUNCTION("""COMPUTED_VALUE"""),43664.6666666666)</f>
        <v>43664.666666666599</v>
      </c>
      <c r="F139" s="2">
        <f ca="1">IFERROR(__xludf.DUMMYFUNCTION("""COMPUTED_VALUE"""),1977.9)</f>
        <v>1977.9</v>
      </c>
      <c r="G139" s="3">
        <f ca="1">IFERROR(__xludf.DUMMYFUNCTION("""COMPUTED_VALUE"""),43664.6666666666)</f>
        <v>43664.666666666599</v>
      </c>
      <c r="H139" s="2">
        <f ca="1">IFERROR(__xludf.DUMMYFUNCTION("""COMPUTED_VALUE"""),1147.24)</f>
        <v>1147.24</v>
      </c>
      <c r="I139" s="3">
        <f ca="1">IFERROR(__xludf.DUMMYFUNCTION("""COMPUTED_VALUE"""),43664.6666666666)</f>
        <v>43664.666666666599</v>
      </c>
      <c r="J139" s="2">
        <f ca="1">IFERROR(__xludf.DUMMYFUNCTION("""COMPUTED_VALUE"""),1146.33)</f>
        <v>1146.33</v>
      </c>
      <c r="K139" s="3">
        <f ca="1">IFERROR(__xludf.DUMMYFUNCTION("""COMPUTED_VALUE"""),43664.6666666666)</f>
        <v>43664.666666666599</v>
      </c>
      <c r="L139" s="2">
        <f ca="1">IFERROR(__xludf.DUMMYFUNCTION("""COMPUTED_VALUE"""),200.78)</f>
        <v>200.78</v>
      </c>
      <c r="M139" s="3">
        <f ca="1">IFERROR(__xludf.DUMMYFUNCTION("""COMPUTED_VALUE"""),43664.6666666666)</f>
        <v>43664.666666666599</v>
      </c>
      <c r="N139" s="2">
        <f ca="1">IFERROR(__xludf.DUMMYFUNCTION("""COMPUTED_VALUE"""),50.71)</f>
        <v>50.71</v>
      </c>
      <c r="O139" s="3">
        <f ca="1">IFERROR(__xludf.DUMMYFUNCTION("""COMPUTED_VALUE"""),43664.6666666666)</f>
        <v>43664.666666666599</v>
      </c>
      <c r="P139" s="2">
        <f ca="1">IFERROR(__xludf.DUMMYFUNCTION("""COMPUTED_VALUE"""),42.55)</f>
        <v>42.55</v>
      </c>
      <c r="Q139" s="3">
        <f ca="1">IFERROR(__xludf.DUMMYFUNCTION("""COMPUTED_VALUE"""),43664.6666666666)</f>
        <v>43664.666666666599</v>
      </c>
      <c r="R139" s="2">
        <f ca="1">IFERROR(__xludf.DUMMYFUNCTION("""COMPUTED_VALUE"""),207.98)</f>
        <v>207.98</v>
      </c>
      <c r="S139" s="3">
        <f ca="1">IFERROR(__xludf.DUMMYFUNCTION("""COMPUTED_VALUE"""),43664.6666666666)</f>
        <v>43664.666666666599</v>
      </c>
      <c r="T139" s="2">
        <f ca="1">IFERROR(__xludf.DUMMYFUNCTION("""COMPUTED_VALUE"""),132.07)</f>
        <v>132.07</v>
      </c>
    </row>
    <row r="140" spans="1:20">
      <c r="A140" s="3">
        <f ca="1">IFERROR(__xludf.DUMMYFUNCTION("""COMPUTED_VALUE"""),43665.6666666666)</f>
        <v>43665.666666666599</v>
      </c>
      <c r="B140" s="2">
        <f ca="1">IFERROR(__xludf.DUMMYFUNCTION("""COMPUTED_VALUE"""),50.65)</f>
        <v>50.65</v>
      </c>
      <c r="C140" s="3">
        <f ca="1">IFERROR(__xludf.DUMMYFUNCTION("""COMPUTED_VALUE"""),43665.6666666666)</f>
        <v>43665.666666666599</v>
      </c>
      <c r="D140" s="2">
        <f ca="1">IFERROR(__xludf.DUMMYFUNCTION("""COMPUTED_VALUE"""),136.62)</f>
        <v>136.62</v>
      </c>
      <c r="E140" s="3">
        <f ca="1">IFERROR(__xludf.DUMMYFUNCTION("""COMPUTED_VALUE"""),43665.6666666666)</f>
        <v>43665.666666666599</v>
      </c>
      <c r="F140" s="2">
        <f ca="1">IFERROR(__xludf.DUMMYFUNCTION("""COMPUTED_VALUE"""),1964.52)</f>
        <v>1964.52</v>
      </c>
      <c r="G140" s="3">
        <f ca="1">IFERROR(__xludf.DUMMYFUNCTION("""COMPUTED_VALUE"""),43665.6666666666)</f>
        <v>43665.666666666599</v>
      </c>
      <c r="H140" s="2">
        <f ca="1">IFERROR(__xludf.DUMMYFUNCTION("""COMPUTED_VALUE"""),1131.55)</f>
        <v>1131.55</v>
      </c>
      <c r="I140" s="3">
        <f ca="1">IFERROR(__xludf.DUMMYFUNCTION("""COMPUTED_VALUE"""),43665.6666666666)</f>
        <v>43665.666666666599</v>
      </c>
      <c r="J140" s="2">
        <f ca="1">IFERROR(__xludf.DUMMYFUNCTION("""COMPUTED_VALUE"""),1130.1)</f>
        <v>1130.0999999999999</v>
      </c>
      <c r="K140" s="3">
        <f ca="1">IFERROR(__xludf.DUMMYFUNCTION("""COMPUTED_VALUE"""),43665.6666666666)</f>
        <v>43665.666666666599</v>
      </c>
      <c r="L140" s="2">
        <f ca="1">IFERROR(__xludf.DUMMYFUNCTION("""COMPUTED_VALUE"""),198.36)</f>
        <v>198.36</v>
      </c>
      <c r="M140" s="3">
        <f ca="1">IFERROR(__xludf.DUMMYFUNCTION("""COMPUTED_VALUE"""),43665.6666666666)</f>
        <v>43665.666666666599</v>
      </c>
      <c r="N140" s="2">
        <f ca="1">IFERROR(__xludf.DUMMYFUNCTION("""COMPUTED_VALUE"""),51.64)</f>
        <v>51.64</v>
      </c>
      <c r="O140" s="3">
        <f ca="1">IFERROR(__xludf.DUMMYFUNCTION("""COMPUTED_VALUE"""),43665.6666666666)</f>
        <v>43665.666666666599</v>
      </c>
      <c r="P140" s="2">
        <f ca="1">IFERROR(__xludf.DUMMYFUNCTION("""COMPUTED_VALUE"""),42.11)</f>
        <v>42.11</v>
      </c>
      <c r="Q140" s="3">
        <f ca="1">IFERROR(__xludf.DUMMYFUNCTION("""COMPUTED_VALUE"""),43665.6666666666)</f>
        <v>43665.666666666599</v>
      </c>
      <c r="R140" s="2">
        <f ca="1">IFERROR(__xludf.DUMMYFUNCTION("""COMPUTED_VALUE"""),205.97)</f>
        <v>205.97</v>
      </c>
      <c r="S140" s="3">
        <f ca="1">IFERROR(__xludf.DUMMYFUNCTION("""COMPUTED_VALUE"""),43665.6666666666)</f>
        <v>43665.666666666599</v>
      </c>
      <c r="T140" s="2">
        <f ca="1">IFERROR(__xludf.DUMMYFUNCTION("""COMPUTED_VALUE"""),130.31)</f>
        <v>130.31</v>
      </c>
    </row>
    <row r="141" spans="1:20">
      <c r="A141" s="3">
        <f ca="1">IFERROR(__xludf.DUMMYFUNCTION("""COMPUTED_VALUE"""),43668.6666666666)</f>
        <v>43668.666666666599</v>
      </c>
      <c r="B141" s="2">
        <f ca="1">IFERROR(__xludf.DUMMYFUNCTION("""COMPUTED_VALUE"""),51.81)</f>
        <v>51.81</v>
      </c>
      <c r="C141" s="3">
        <f ca="1">IFERROR(__xludf.DUMMYFUNCTION("""COMPUTED_VALUE"""),43668.6666666666)</f>
        <v>43668.666666666599</v>
      </c>
      <c r="D141" s="2">
        <f ca="1">IFERROR(__xludf.DUMMYFUNCTION("""COMPUTED_VALUE"""),138.43)</f>
        <v>138.43</v>
      </c>
      <c r="E141" s="3">
        <f ca="1">IFERROR(__xludf.DUMMYFUNCTION("""COMPUTED_VALUE"""),43668.6666666666)</f>
        <v>43668.666666666599</v>
      </c>
      <c r="F141" s="2">
        <f ca="1">IFERROR(__xludf.DUMMYFUNCTION("""COMPUTED_VALUE"""),1985.63)</f>
        <v>1985.63</v>
      </c>
      <c r="G141" s="3">
        <f ca="1">IFERROR(__xludf.DUMMYFUNCTION("""COMPUTED_VALUE"""),43668.6666666666)</f>
        <v>43668.666666666599</v>
      </c>
      <c r="H141" s="2">
        <f ca="1">IFERROR(__xludf.DUMMYFUNCTION("""COMPUTED_VALUE"""),1139.21)</f>
        <v>1139.21</v>
      </c>
      <c r="I141" s="3">
        <f ca="1">IFERROR(__xludf.DUMMYFUNCTION("""COMPUTED_VALUE"""),43668.6666666666)</f>
        <v>43668.666666666599</v>
      </c>
      <c r="J141" s="2">
        <f ca="1">IFERROR(__xludf.DUMMYFUNCTION("""COMPUTED_VALUE"""),1138.07)</f>
        <v>1138.07</v>
      </c>
      <c r="K141" s="3">
        <f ca="1">IFERROR(__xludf.DUMMYFUNCTION("""COMPUTED_VALUE"""),43668.6666666666)</f>
        <v>43668.666666666599</v>
      </c>
      <c r="L141" s="2">
        <f ca="1">IFERROR(__xludf.DUMMYFUNCTION("""COMPUTED_VALUE"""),202.32)</f>
        <v>202.32</v>
      </c>
      <c r="M141" s="3">
        <f ca="1">IFERROR(__xludf.DUMMYFUNCTION("""COMPUTED_VALUE"""),43668.6666666666)</f>
        <v>43668.666666666599</v>
      </c>
      <c r="N141" s="2">
        <f ca="1">IFERROR(__xludf.DUMMYFUNCTION("""COMPUTED_VALUE"""),51.14)</f>
        <v>51.14</v>
      </c>
      <c r="O141" s="3">
        <f ca="1">IFERROR(__xludf.DUMMYFUNCTION("""COMPUTED_VALUE"""),43668.6666666666)</f>
        <v>43668.666666666599</v>
      </c>
      <c r="P141" s="2">
        <f ca="1">IFERROR(__xludf.DUMMYFUNCTION("""COMPUTED_VALUE"""),42.83)</f>
        <v>42.83</v>
      </c>
      <c r="Q141" s="3">
        <f ca="1">IFERROR(__xludf.DUMMYFUNCTION("""COMPUTED_VALUE"""),43668.6666666666)</f>
        <v>43668.666666666599</v>
      </c>
      <c r="R141" s="2">
        <f ca="1">IFERROR(__xludf.DUMMYFUNCTION("""COMPUTED_VALUE"""),204.84)</f>
        <v>204.84</v>
      </c>
      <c r="S141" s="3">
        <f ca="1">IFERROR(__xludf.DUMMYFUNCTION("""COMPUTED_VALUE"""),43668.6666666666)</f>
        <v>43668.666666666599</v>
      </c>
      <c r="T141" s="2">
        <f ca="1">IFERROR(__xludf.DUMMYFUNCTION("""COMPUTED_VALUE"""),128.64)</f>
        <v>128.63999999999999</v>
      </c>
    </row>
    <row r="142" spans="1:20">
      <c r="A142" s="3">
        <f ca="1">IFERROR(__xludf.DUMMYFUNCTION("""COMPUTED_VALUE"""),43669.6666666666)</f>
        <v>43669.666666666599</v>
      </c>
      <c r="B142" s="2">
        <f ca="1">IFERROR(__xludf.DUMMYFUNCTION("""COMPUTED_VALUE"""),52.21)</f>
        <v>52.21</v>
      </c>
      <c r="C142" s="3">
        <f ca="1">IFERROR(__xludf.DUMMYFUNCTION("""COMPUTED_VALUE"""),43669.6666666666)</f>
        <v>43669.666666666599</v>
      </c>
      <c r="D142" s="2">
        <f ca="1">IFERROR(__xludf.DUMMYFUNCTION("""COMPUTED_VALUE"""),139.29)</f>
        <v>139.29</v>
      </c>
      <c r="E142" s="3">
        <f ca="1">IFERROR(__xludf.DUMMYFUNCTION("""COMPUTED_VALUE"""),43669.6666666666)</f>
        <v>43669.666666666599</v>
      </c>
      <c r="F142" s="2">
        <f ca="1">IFERROR(__xludf.DUMMYFUNCTION("""COMPUTED_VALUE"""),1994.49)</f>
        <v>1994.49</v>
      </c>
      <c r="G142" s="3">
        <f ca="1">IFERROR(__xludf.DUMMYFUNCTION("""COMPUTED_VALUE"""),43669.6666666666)</f>
        <v>43669.666666666599</v>
      </c>
      <c r="H142" s="2">
        <f ca="1">IFERROR(__xludf.DUMMYFUNCTION("""COMPUTED_VALUE"""),1148.05)</f>
        <v>1148.05</v>
      </c>
      <c r="I142" s="3">
        <f ca="1">IFERROR(__xludf.DUMMYFUNCTION("""COMPUTED_VALUE"""),43669.6666666666)</f>
        <v>43669.666666666599</v>
      </c>
      <c r="J142" s="2">
        <f ca="1">IFERROR(__xludf.DUMMYFUNCTION("""COMPUTED_VALUE"""),1146.21)</f>
        <v>1146.21</v>
      </c>
      <c r="K142" s="3">
        <f ca="1">IFERROR(__xludf.DUMMYFUNCTION("""COMPUTED_VALUE"""),43669.6666666666)</f>
        <v>43669.666666666599</v>
      </c>
      <c r="L142" s="2">
        <f ca="1">IFERROR(__xludf.DUMMYFUNCTION("""COMPUTED_VALUE"""),202.36)</f>
        <v>202.36</v>
      </c>
      <c r="M142" s="3">
        <f ca="1">IFERROR(__xludf.DUMMYFUNCTION("""COMPUTED_VALUE"""),43669.6666666666)</f>
        <v>43669.666666666599</v>
      </c>
      <c r="N142" s="2">
        <f ca="1">IFERROR(__xludf.DUMMYFUNCTION("""COMPUTED_VALUE"""),52.03)</f>
        <v>52.03</v>
      </c>
      <c r="O142" s="3">
        <f ca="1">IFERROR(__xludf.DUMMYFUNCTION("""COMPUTED_VALUE"""),43669.6666666666)</f>
        <v>43669.666666666599</v>
      </c>
      <c r="P142" s="2">
        <f ca="1">IFERROR(__xludf.DUMMYFUNCTION("""COMPUTED_VALUE"""),43.92)</f>
        <v>43.92</v>
      </c>
      <c r="Q142" s="3">
        <f ca="1">IFERROR(__xludf.DUMMYFUNCTION("""COMPUTED_VALUE"""),43669.6666666666)</f>
        <v>43669.666666666599</v>
      </c>
      <c r="R142" s="2">
        <f ca="1">IFERROR(__xludf.DUMMYFUNCTION("""COMPUTED_VALUE"""),206.46)</f>
        <v>206.46</v>
      </c>
      <c r="S142" s="3">
        <f ca="1">IFERROR(__xludf.DUMMYFUNCTION("""COMPUTED_VALUE"""),43669.6666666666)</f>
        <v>43669.666666666599</v>
      </c>
      <c r="T142" s="2">
        <f ca="1">IFERROR(__xludf.DUMMYFUNCTION("""COMPUTED_VALUE"""),128.84)</f>
        <v>128.84</v>
      </c>
    </row>
    <row r="143" spans="1:20">
      <c r="A143" s="3">
        <f ca="1">IFERROR(__xludf.DUMMYFUNCTION("""COMPUTED_VALUE"""),43670.6666666666)</f>
        <v>43670.666666666599</v>
      </c>
      <c r="B143" s="2">
        <f ca="1">IFERROR(__xludf.DUMMYFUNCTION("""COMPUTED_VALUE"""),52.17)</f>
        <v>52.17</v>
      </c>
      <c r="C143" s="3">
        <f ca="1">IFERROR(__xludf.DUMMYFUNCTION("""COMPUTED_VALUE"""),43670.6666666666)</f>
        <v>43670.666666666599</v>
      </c>
      <c r="D143" s="2">
        <f ca="1">IFERROR(__xludf.DUMMYFUNCTION("""COMPUTED_VALUE"""),140.72)</f>
        <v>140.72</v>
      </c>
      <c r="E143" s="3">
        <f ca="1">IFERROR(__xludf.DUMMYFUNCTION("""COMPUTED_VALUE"""),43670.6666666666)</f>
        <v>43670.666666666599</v>
      </c>
      <c r="F143" s="2">
        <f ca="1">IFERROR(__xludf.DUMMYFUNCTION("""COMPUTED_VALUE"""),2000.81)</f>
        <v>2000.81</v>
      </c>
      <c r="G143" s="3">
        <f ca="1">IFERROR(__xludf.DUMMYFUNCTION("""COMPUTED_VALUE"""),43670.6666666666)</f>
        <v>43670.666666666599</v>
      </c>
      <c r="H143" s="2">
        <f ca="1">IFERROR(__xludf.DUMMYFUNCTION("""COMPUTED_VALUE"""),1139.73)</f>
        <v>1139.73</v>
      </c>
      <c r="I143" s="3">
        <f ca="1">IFERROR(__xludf.DUMMYFUNCTION("""COMPUTED_VALUE"""),43670.6666666666)</f>
        <v>43670.666666666599</v>
      </c>
      <c r="J143" s="2">
        <f ca="1">IFERROR(__xludf.DUMMYFUNCTION("""COMPUTED_VALUE"""),1137.81)</f>
        <v>1137.81</v>
      </c>
      <c r="K143" s="3">
        <f ca="1">IFERROR(__xludf.DUMMYFUNCTION("""COMPUTED_VALUE"""),43670.6666666666)</f>
        <v>43670.666666666599</v>
      </c>
      <c r="L143" s="2">
        <f ca="1">IFERROR(__xludf.DUMMYFUNCTION("""COMPUTED_VALUE"""),204.66)</f>
        <v>204.66</v>
      </c>
      <c r="M143" s="3">
        <f ca="1">IFERROR(__xludf.DUMMYFUNCTION("""COMPUTED_VALUE"""),43670.6666666666)</f>
        <v>43670.666666666599</v>
      </c>
      <c r="N143" s="2">
        <f ca="1">IFERROR(__xludf.DUMMYFUNCTION("""COMPUTED_VALUE"""),52.98)</f>
        <v>52.98</v>
      </c>
      <c r="O143" s="3">
        <f ca="1">IFERROR(__xludf.DUMMYFUNCTION("""COMPUTED_VALUE"""),43670.6666666666)</f>
        <v>43670.666666666599</v>
      </c>
      <c r="P143" s="2">
        <f ca="1">IFERROR(__xludf.DUMMYFUNCTION("""COMPUTED_VALUE"""),44.67)</f>
        <v>44.67</v>
      </c>
      <c r="Q143" s="3">
        <f ca="1">IFERROR(__xludf.DUMMYFUNCTION("""COMPUTED_VALUE"""),43670.6666666666)</f>
        <v>43670.666666666599</v>
      </c>
      <c r="R143" s="2">
        <f ca="1">IFERROR(__xludf.DUMMYFUNCTION("""COMPUTED_VALUE"""),207.97)</f>
        <v>207.97</v>
      </c>
      <c r="S143" s="3">
        <f ca="1">IFERROR(__xludf.DUMMYFUNCTION("""COMPUTED_VALUE"""),43670.6666666666)</f>
        <v>43670.666666666599</v>
      </c>
      <c r="T143" s="2">
        <f ca="1">IFERROR(__xludf.DUMMYFUNCTION("""COMPUTED_VALUE"""),129.78)</f>
        <v>129.78</v>
      </c>
    </row>
    <row r="144" spans="1:20">
      <c r="A144" s="3">
        <f ca="1">IFERROR(__xludf.DUMMYFUNCTION("""COMPUTED_VALUE"""),43671.6666666666)</f>
        <v>43671.666666666599</v>
      </c>
      <c r="B144" s="2">
        <f ca="1">IFERROR(__xludf.DUMMYFUNCTION("""COMPUTED_VALUE"""),51.76)</f>
        <v>51.76</v>
      </c>
      <c r="C144" s="3">
        <f ca="1">IFERROR(__xludf.DUMMYFUNCTION("""COMPUTED_VALUE"""),43671.6666666666)</f>
        <v>43671.666666666599</v>
      </c>
      <c r="D144" s="2">
        <f ca="1">IFERROR(__xludf.DUMMYFUNCTION("""COMPUTED_VALUE"""),140.19)</f>
        <v>140.19</v>
      </c>
      <c r="E144" s="3">
        <f ca="1">IFERROR(__xludf.DUMMYFUNCTION("""COMPUTED_VALUE"""),43671.6666666666)</f>
        <v>43671.666666666599</v>
      </c>
      <c r="F144" s="2">
        <f ca="1">IFERROR(__xludf.DUMMYFUNCTION("""COMPUTED_VALUE"""),1973.82)</f>
        <v>1973.82</v>
      </c>
      <c r="G144" s="3">
        <f ca="1">IFERROR(__xludf.DUMMYFUNCTION("""COMPUTED_VALUE"""),43671.6666666666)</f>
        <v>43671.666666666599</v>
      </c>
      <c r="H144" s="2">
        <f ca="1">IFERROR(__xludf.DUMMYFUNCTION("""COMPUTED_VALUE"""),1135.94)</f>
        <v>1135.94</v>
      </c>
      <c r="I144" s="3">
        <f ca="1">IFERROR(__xludf.DUMMYFUNCTION("""COMPUTED_VALUE"""),43671.6666666666)</f>
        <v>43671.666666666599</v>
      </c>
      <c r="J144" s="2">
        <f ca="1">IFERROR(__xludf.DUMMYFUNCTION("""COMPUTED_VALUE"""),1132.12)</f>
        <v>1132.1199999999999</v>
      </c>
      <c r="K144" s="3">
        <f ca="1">IFERROR(__xludf.DUMMYFUNCTION("""COMPUTED_VALUE"""),43671.6666666666)</f>
        <v>43671.666666666599</v>
      </c>
      <c r="L144" s="2">
        <f ca="1">IFERROR(__xludf.DUMMYFUNCTION("""COMPUTED_VALUE"""),200.71)</f>
        <v>200.71</v>
      </c>
      <c r="M144" s="3">
        <f ca="1">IFERROR(__xludf.DUMMYFUNCTION("""COMPUTED_VALUE"""),43671.6666666666)</f>
        <v>43671.666666666599</v>
      </c>
      <c r="N144" s="2">
        <f ca="1">IFERROR(__xludf.DUMMYFUNCTION("""COMPUTED_VALUE"""),45.76)</f>
        <v>45.76</v>
      </c>
      <c r="O144" s="3">
        <f ca="1">IFERROR(__xludf.DUMMYFUNCTION("""COMPUTED_VALUE"""),43671.6666666666)</f>
        <v>43671.666666666599</v>
      </c>
      <c r="P144" s="2">
        <f ca="1">IFERROR(__xludf.DUMMYFUNCTION("""COMPUTED_VALUE"""),43.35)</f>
        <v>43.35</v>
      </c>
      <c r="Q144" s="3">
        <f ca="1">IFERROR(__xludf.DUMMYFUNCTION("""COMPUTED_VALUE"""),43671.6666666666)</f>
        <v>43671.666666666599</v>
      </c>
      <c r="R144" s="2">
        <f ca="1">IFERROR(__xludf.DUMMYFUNCTION("""COMPUTED_VALUE"""),207.9)</f>
        <v>207.9</v>
      </c>
      <c r="S144" s="3">
        <f ca="1">IFERROR(__xludf.DUMMYFUNCTION("""COMPUTED_VALUE"""),43671.6666666666)</f>
        <v>43671.666666666599</v>
      </c>
      <c r="T144" s="2">
        <f ca="1">IFERROR(__xludf.DUMMYFUNCTION("""COMPUTED_VALUE"""),131.12)</f>
        <v>131.12</v>
      </c>
    </row>
    <row r="145" spans="1:20">
      <c r="A145" s="3">
        <f ca="1">IFERROR(__xludf.DUMMYFUNCTION("""COMPUTED_VALUE"""),43672.6666666666)</f>
        <v>43672.666666666599</v>
      </c>
      <c r="B145" s="2">
        <f ca="1">IFERROR(__xludf.DUMMYFUNCTION("""COMPUTED_VALUE"""),51.94)</f>
        <v>51.94</v>
      </c>
      <c r="C145" s="3">
        <f ca="1">IFERROR(__xludf.DUMMYFUNCTION("""COMPUTED_VALUE"""),43672.6666666666)</f>
        <v>43672.666666666599</v>
      </c>
      <c r="D145" s="2">
        <f ca="1">IFERROR(__xludf.DUMMYFUNCTION("""COMPUTED_VALUE"""),141.34)</f>
        <v>141.34</v>
      </c>
      <c r="E145" s="3">
        <f ca="1">IFERROR(__xludf.DUMMYFUNCTION("""COMPUTED_VALUE"""),43672.6666666666)</f>
        <v>43672.666666666599</v>
      </c>
      <c r="F145" s="2">
        <f ca="1">IFERROR(__xludf.DUMMYFUNCTION("""COMPUTED_VALUE"""),1943.05)</f>
        <v>1943.05</v>
      </c>
      <c r="G145" s="3">
        <f ca="1">IFERROR(__xludf.DUMMYFUNCTION("""COMPUTED_VALUE"""),43672.6666666666)</f>
        <v>43672.666666666599</v>
      </c>
      <c r="H145" s="2">
        <f ca="1">IFERROR(__xludf.DUMMYFUNCTION("""COMPUTED_VALUE"""),1245.22)</f>
        <v>1245.22</v>
      </c>
      <c r="I145" s="3">
        <f ca="1">IFERROR(__xludf.DUMMYFUNCTION("""COMPUTED_VALUE"""),43672.6666666666)</f>
        <v>43672.666666666599</v>
      </c>
      <c r="J145" s="2">
        <f ca="1">IFERROR(__xludf.DUMMYFUNCTION("""COMPUTED_VALUE"""),1250.41)</f>
        <v>1250.4100000000001</v>
      </c>
      <c r="K145" s="3">
        <f ca="1">IFERROR(__xludf.DUMMYFUNCTION("""COMPUTED_VALUE"""),43672.6666666666)</f>
        <v>43672.666666666599</v>
      </c>
      <c r="L145" s="2">
        <f ca="1">IFERROR(__xludf.DUMMYFUNCTION("""COMPUTED_VALUE"""),199.75)</f>
        <v>199.75</v>
      </c>
      <c r="M145" s="3">
        <f ca="1">IFERROR(__xludf.DUMMYFUNCTION("""COMPUTED_VALUE"""),43672.6666666666)</f>
        <v>43672.666666666599</v>
      </c>
      <c r="N145" s="2">
        <f ca="1">IFERROR(__xludf.DUMMYFUNCTION("""COMPUTED_VALUE"""),45.61)</f>
        <v>45.61</v>
      </c>
      <c r="O145" s="3">
        <f ca="1">IFERROR(__xludf.DUMMYFUNCTION("""COMPUTED_VALUE"""),43672.6666666666)</f>
        <v>43672.666666666599</v>
      </c>
      <c r="P145" s="2">
        <f ca="1">IFERROR(__xludf.DUMMYFUNCTION("""COMPUTED_VALUE"""),43.77)</f>
        <v>43.77</v>
      </c>
      <c r="Q145" s="3">
        <f ca="1">IFERROR(__xludf.DUMMYFUNCTION("""COMPUTED_VALUE"""),43672.6666666666)</f>
        <v>43672.666666666599</v>
      </c>
      <c r="R145" s="2">
        <f ca="1">IFERROR(__xludf.DUMMYFUNCTION("""COMPUTED_VALUE"""),209.9)</f>
        <v>209.9</v>
      </c>
      <c r="S145" s="3">
        <f ca="1">IFERROR(__xludf.DUMMYFUNCTION("""COMPUTED_VALUE"""),43672.6666666666)</f>
        <v>43672.666666666599</v>
      </c>
      <c r="T145" s="2">
        <f ca="1">IFERROR(__xludf.DUMMYFUNCTION("""COMPUTED_VALUE"""),130.73)</f>
        <v>130.72999999999999</v>
      </c>
    </row>
    <row r="146" spans="1:20">
      <c r="A146" s="3">
        <f ca="1">IFERROR(__xludf.DUMMYFUNCTION("""COMPUTED_VALUE"""),43675.6666666666)</f>
        <v>43675.666666666599</v>
      </c>
      <c r="B146" s="2">
        <f ca="1">IFERROR(__xludf.DUMMYFUNCTION("""COMPUTED_VALUE"""),52.42)</f>
        <v>52.42</v>
      </c>
      <c r="C146" s="3">
        <f ca="1">IFERROR(__xludf.DUMMYFUNCTION("""COMPUTED_VALUE"""),43675.6666666666)</f>
        <v>43675.666666666599</v>
      </c>
      <c r="D146" s="2">
        <f ca="1">IFERROR(__xludf.DUMMYFUNCTION("""COMPUTED_VALUE"""),141.03)</f>
        <v>141.03</v>
      </c>
      <c r="E146" s="3">
        <f ca="1">IFERROR(__xludf.DUMMYFUNCTION("""COMPUTED_VALUE"""),43675.6666666666)</f>
        <v>43675.666666666599</v>
      </c>
      <c r="F146" s="2">
        <f ca="1">IFERROR(__xludf.DUMMYFUNCTION("""COMPUTED_VALUE"""),1912.45)</f>
        <v>1912.45</v>
      </c>
      <c r="G146" s="3">
        <f ca="1">IFERROR(__xludf.DUMMYFUNCTION("""COMPUTED_VALUE"""),43675.6666666666)</f>
        <v>43675.666666666599</v>
      </c>
      <c r="H146" s="2">
        <f ca="1">IFERROR(__xludf.DUMMYFUNCTION("""COMPUTED_VALUE"""),1241.84)</f>
        <v>1241.8399999999999</v>
      </c>
      <c r="I146" s="3">
        <f ca="1">IFERROR(__xludf.DUMMYFUNCTION("""COMPUTED_VALUE"""),43675.6666666666)</f>
        <v>43675.666666666599</v>
      </c>
      <c r="J146" s="2">
        <f ca="1">IFERROR(__xludf.DUMMYFUNCTION("""COMPUTED_VALUE"""),1239.41)</f>
        <v>1239.4100000000001</v>
      </c>
      <c r="K146" s="3">
        <f ca="1">IFERROR(__xludf.DUMMYFUNCTION("""COMPUTED_VALUE"""),43675.6666666666)</f>
        <v>43675.666666666599</v>
      </c>
      <c r="L146" s="2">
        <f ca="1">IFERROR(__xludf.DUMMYFUNCTION("""COMPUTED_VALUE"""),195.94)</f>
        <v>195.94</v>
      </c>
      <c r="M146" s="3">
        <f ca="1">IFERROR(__xludf.DUMMYFUNCTION("""COMPUTED_VALUE"""),43675.6666666666)</f>
        <v>43675.666666666599</v>
      </c>
      <c r="N146" s="2">
        <f ca="1">IFERROR(__xludf.DUMMYFUNCTION("""COMPUTED_VALUE"""),47.15)</f>
        <v>47.15</v>
      </c>
      <c r="O146" s="3">
        <f ca="1">IFERROR(__xludf.DUMMYFUNCTION("""COMPUTED_VALUE"""),43675.6666666666)</f>
        <v>43675.666666666599</v>
      </c>
      <c r="P146" s="2">
        <f ca="1">IFERROR(__xludf.DUMMYFUNCTION("""COMPUTED_VALUE"""),43.71)</f>
        <v>43.71</v>
      </c>
      <c r="Q146" s="3">
        <f ca="1">IFERROR(__xludf.DUMMYFUNCTION("""COMPUTED_VALUE"""),43675.6666666666)</f>
        <v>43675.666666666599</v>
      </c>
      <c r="R146" s="2">
        <f ca="1">IFERROR(__xludf.DUMMYFUNCTION("""COMPUTED_VALUE"""),208.61)</f>
        <v>208.61</v>
      </c>
      <c r="S146" s="3">
        <f ca="1">IFERROR(__xludf.DUMMYFUNCTION("""COMPUTED_VALUE"""),43675.6666666666)</f>
        <v>43675.666666666599</v>
      </c>
      <c r="T146" s="2">
        <f ca="1">IFERROR(__xludf.DUMMYFUNCTION("""COMPUTED_VALUE"""),133.02)</f>
        <v>133.02000000000001</v>
      </c>
    </row>
    <row r="147" spans="1:20">
      <c r="A147" s="3">
        <f ca="1">IFERROR(__xludf.DUMMYFUNCTION("""COMPUTED_VALUE"""),43676.6666666666)</f>
        <v>43676.666666666599</v>
      </c>
      <c r="B147" s="2">
        <f ca="1">IFERROR(__xludf.DUMMYFUNCTION("""COMPUTED_VALUE"""),52.2)</f>
        <v>52.2</v>
      </c>
      <c r="C147" s="3">
        <f ca="1">IFERROR(__xludf.DUMMYFUNCTION("""COMPUTED_VALUE"""),43676.6666666666)</f>
        <v>43676.666666666599</v>
      </c>
      <c r="D147" s="2">
        <f ca="1">IFERROR(__xludf.DUMMYFUNCTION("""COMPUTED_VALUE"""),140.35)</f>
        <v>140.35</v>
      </c>
      <c r="E147" s="3">
        <f ca="1">IFERROR(__xludf.DUMMYFUNCTION("""COMPUTED_VALUE"""),43676.6666666666)</f>
        <v>43676.666666666599</v>
      </c>
      <c r="F147" s="2">
        <f ca="1">IFERROR(__xludf.DUMMYFUNCTION("""COMPUTED_VALUE"""),1898.53)</f>
        <v>1898.53</v>
      </c>
      <c r="G147" s="3">
        <f ca="1">IFERROR(__xludf.DUMMYFUNCTION("""COMPUTED_VALUE"""),43676.6666666666)</f>
        <v>43676.666666666599</v>
      </c>
      <c r="H147" s="2">
        <f ca="1">IFERROR(__xludf.DUMMYFUNCTION("""COMPUTED_VALUE"""),1228)</f>
        <v>1228</v>
      </c>
      <c r="I147" s="3">
        <f ca="1">IFERROR(__xludf.DUMMYFUNCTION("""COMPUTED_VALUE"""),43676.6666666666)</f>
        <v>43676.666666666599</v>
      </c>
      <c r="J147" s="2">
        <f ca="1">IFERROR(__xludf.DUMMYFUNCTION("""COMPUTED_VALUE"""),1225.14)</f>
        <v>1225.1400000000001</v>
      </c>
      <c r="K147" s="3">
        <f ca="1">IFERROR(__xludf.DUMMYFUNCTION("""COMPUTED_VALUE"""),43676.6666666666)</f>
        <v>43676.666666666599</v>
      </c>
      <c r="L147" s="2">
        <f ca="1">IFERROR(__xludf.DUMMYFUNCTION("""COMPUTED_VALUE"""),197.04)</f>
        <v>197.04</v>
      </c>
      <c r="M147" s="3">
        <f ca="1">IFERROR(__xludf.DUMMYFUNCTION("""COMPUTED_VALUE"""),43676.6666666666)</f>
        <v>43676.666666666599</v>
      </c>
      <c r="N147" s="2">
        <f ca="1">IFERROR(__xludf.DUMMYFUNCTION("""COMPUTED_VALUE"""),48.45)</f>
        <v>48.45</v>
      </c>
      <c r="O147" s="3">
        <f ca="1">IFERROR(__xludf.DUMMYFUNCTION("""COMPUTED_VALUE"""),43676.6666666666)</f>
        <v>43676.666666666599</v>
      </c>
      <c r="P147" s="2">
        <f ca="1">IFERROR(__xludf.DUMMYFUNCTION("""COMPUTED_VALUE"""),43.86)</f>
        <v>43.86</v>
      </c>
      <c r="Q147" s="3">
        <f ca="1">IFERROR(__xludf.DUMMYFUNCTION("""COMPUTED_VALUE"""),43676.6666666666)</f>
        <v>43676.666666666599</v>
      </c>
      <c r="R147" s="2">
        <f ca="1">IFERROR(__xludf.DUMMYFUNCTION("""COMPUTED_VALUE"""),207.81)</f>
        <v>207.81</v>
      </c>
      <c r="S147" s="3">
        <f ca="1">IFERROR(__xludf.DUMMYFUNCTION("""COMPUTED_VALUE"""),43676.6666666666)</f>
        <v>43676.666666666599</v>
      </c>
      <c r="T147" s="2">
        <f ca="1">IFERROR(__xludf.DUMMYFUNCTION("""COMPUTED_VALUE"""),132.08)</f>
        <v>132.08000000000001</v>
      </c>
    </row>
    <row r="148" spans="1:20">
      <c r="A148" s="3">
        <f ca="1">IFERROR(__xludf.DUMMYFUNCTION("""COMPUTED_VALUE"""),43677.6666666666)</f>
        <v>43677.666666666599</v>
      </c>
      <c r="B148" s="2">
        <f ca="1">IFERROR(__xludf.DUMMYFUNCTION("""COMPUTED_VALUE"""),53.26)</f>
        <v>53.26</v>
      </c>
      <c r="C148" s="3">
        <f ca="1">IFERROR(__xludf.DUMMYFUNCTION("""COMPUTED_VALUE"""),43677.6666666666)</f>
        <v>43677.666666666599</v>
      </c>
      <c r="D148" s="2">
        <f ca="1">IFERROR(__xludf.DUMMYFUNCTION("""COMPUTED_VALUE"""),136.27)</f>
        <v>136.27000000000001</v>
      </c>
      <c r="E148" s="3">
        <f ca="1">IFERROR(__xludf.DUMMYFUNCTION("""COMPUTED_VALUE"""),43677.6666666666)</f>
        <v>43677.666666666599</v>
      </c>
      <c r="F148" s="2">
        <f ca="1">IFERROR(__xludf.DUMMYFUNCTION("""COMPUTED_VALUE"""),1866.78)</f>
        <v>1866.78</v>
      </c>
      <c r="G148" s="3">
        <f ca="1">IFERROR(__xludf.DUMMYFUNCTION("""COMPUTED_VALUE"""),43677.6666666666)</f>
        <v>43677.666666666599</v>
      </c>
      <c r="H148" s="2">
        <f ca="1">IFERROR(__xludf.DUMMYFUNCTION("""COMPUTED_VALUE"""),1218.2)</f>
        <v>1218.2</v>
      </c>
      <c r="I148" s="3">
        <f ca="1">IFERROR(__xludf.DUMMYFUNCTION("""COMPUTED_VALUE"""),43677.6666666666)</f>
        <v>43677.666666666599</v>
      </c>
      <c r="J148" s="2">
        <f ca="1">IFERROR(__xludf.DUMMYFUNCTION("""COMPUTED_VALUE"""),1216.68)</f>
        <v>1216.68</v>
      </c>
      <c r="K148" s="3">
        <f ca="1">IFERROR(__xludf.DUMMYFUNCTION("""COMPUTED_VALUE"""),43677.6666666666)</f>
        <v>43677.666666666599</v>
      </c>
      <c r="L148" s="2">
        <f ca="1">IFERROR(__xludf.DUMMYFUNCTION("""COMPUTED_VALUE"""),194.23)</f>
        <v>194.23</v>
      </c>
      <c r="M148" s="3">
        <f ca="1">IFERROR(__xludf.DUMMYFUNCTION("""COMPUTED_VALUE"""),43677.6666666666)</f>
        <v>43677.666666666599</v>
      </c>
      <c r="N148" s="2">
        <f ca="1">IFERROR(__xludf.DUMMYFUNCTION("""COMPUTED_VALUE"""),48.32)</f>
        <v>48.32</v>
      </c>
      <c r="O148" s="3">
        <f ca="1">IFERROR(__xludf.DUMMYFUNCTION("""COMPUTED_VALUE"""),43677.6666666666)</f>
        <v>43677.666666666599</v>
      </c>
      <c r="P148" s="2">
        <f ca="1">IFERROR(__xludf.DUMMYFUNCTION("""COMPUTED_VALUE"""),42.18)</f>
        <v>42.18</v>
      </c>
      <c r="Q148" s="3">
        <f ca="1">IFERROR(__xludf.DUMMYFUNCTION("""COMPUTED_VALUE"""),43677.6666666666)</f>
        <v>43677.666666666599</v>
      </c>
      <c r="R148" s="2">
        <f ca="1">IFERROR(__xludf.DUMMYFUNCTION("""COMPUTED_VALUE"""),205.43)</f>
        <v>205.43</v>
      </c>
      <c r="S148" s="3">
        <f ca="1">IFERROR(__xludf.DUMMYFUNCTION("""COMPUTED_VALUE"""),43677.6666666666)</f>
        <v>43677.666666666599</v>
      </c>
      <c r="T148" s="2">
        <f ca="1">IFERROR(__xludf.DUMMYFUNCTION("""COMPUTED_VALUE"""),130.22)</f>
        <v>130.22</v>
      </c>
    </row>
    <row r="149" spans="1:20">
      <c r="A149" s="3">
        <f ca="1">IFERROR(__xludf.DUMMYFUNCTION("""COMPUTED_VALUE"""),43678.6666666666)</f>
        <v>43678.666666666599</v>
      </c>
      <c r="B149" s="2">
        <f ca="1">IFERROR(__xludf.DUMMYFUNCTION("""COMPUTED_VALUE"""),52.11)</f>
        <v>52.11</v>
      </c>
      <c r="C149" s="3">
        <f ca="1">IFERROR(__xludf.DUMMYFUNCTION("""COMPUTED_VALUE"""),43678.6666666666)</f>
        <v>43678.666666666599</v>
      </c>
      <c r="D149" s="2">
        <f ca="1">IFERROR(__xludf.DUMMYFUNCTION("""COMPUTED_VALUE"""),138.06)</f>
        <v>138.06</v>
      </c>
      <c r="E149" s="3">
        <f ca="1">IFERROR(__xludf.DUMMYFUNCTION("""COMPUTED_VALUE"""),43678.6666666666)</f>
        <v>43678.666666666599</v>
      </c>
      <c r="F149" s="2">
        <f ca="1">IFERROR(__xludf.DUMMYFUNCTION("""COMPUTED_VALUE"""),1855.32)</f>
        <v>1855.32</v>
      </c>
      <c r="G149" s="3">
        <f ca="1">IFERROR(__xludf.DUMMYFUNCTION("""COMPUTED_VALUE"""),43678.6666666666)</f>
        <v>43678.666666666599</v>
      </c>
      <c r="H149" s="2">
        <f ca="1">IFERROR(__xludf.DUMMYFUNCTION("""COMPUTED_VALUE"""),1211.78)</f>
        <v>1211.78</v>
      </c>
      <c r="I149" s="3">
        <f ca="1">IFERROR(__xludf.DUMMYFUNCTION("""COMPUTED_VALUE"""),43678.6666666666)</f>
        <v>43678.666666666599</v>
      </c>
      <c r="J149" s="2">
        <f ca="1">IFERROR(__xludf.DUMMYFUNCTION("""COMPUTED_VALUE"""),1209.01)</f>
        <v>1209.01</v>
      </c>
      <c r="K149" s="3">
        <f ca="1">IFERROR(__xludf.DUMMYFUNCTION("""COMPUTED_VALUE"""),43678.6666666666)</f>
        <v>43678.666666666599</v>
      </c>
      <c r="L149" s="2">
        <f ca="1">IFERROR(__xludf.DUMMYFUNCTION("""COMPUTED_VALUE"""),192.73)</f>
        <v>192.73</v>
      </c>
      <c r="M149" s="3">
        <f ca="1">IFERROR(__xludf.DUMMYFUNCTION("""COMPUTED_VALUE"""),43678.6666666666)</f>
        <v>43678.666666666599</v>
      </c>
      <c r="N149" s="2">
        <f ca="1">IFERROR(__xludf.DUMMYFUNCTION("""COMPUTED_VALUE"""),46.77)</f>
        <v>46.77</v>
      </c>
      <c r="O149" s="3">
        <f ca="1">IFERROR(__xludf.DUMMYFUNCTION("""COMPUTED_VALUE"""),43678.6666666666)</f>
        <v>43678.666666666599</v>
      </c>
      <c r="P149" s="2">
        <f ca="1">IFERROR(__xludf.DUMMYFUNCTION("""COMPUTED_VALUE"""),41.23)</f>
        <v>41.23</v>
      </c>
      <c r="Q149" s="3">
        <f ca="1">IFERROR(__xludf.DUMMYFUNCTION("""COMPUTED_VALUE"""),43678.6666666666)</f>
        <v>43678.666666666599</v>
      </c>
      <c r="R149" s="2">
        <f ca="1">IFERROR(__xludf.DUMMYFUNCTION("""COMPUTED_VALUE"""),201.71)</f>
        <v>201.71</v>
      </c>
      <c r="S149" s="3">
        <f ca="1">IFERROR(__xludf.DUMMYFUNCTION("""COMPUTED_VALUE"""),43678.6666666666)</f>
        <v>43678.666666666599</v>
      </c>
      <c r="T149" s="2">
        <f ca="1">IFERROR(__xludf.DUMMYFUNCTION("""COMPUTED_VALUE"""),130.29)</f>
        <v>130.29</v>
      </c>
    </row>
    <row r="150" spans="1:20">
      <c r="A150" s="3">
        <f ca="1">IFERROR(__xludf.DUMMYFUNCTION("""COMPUTED_VALUE"""),43679.6666666666)</f>
        <v>43679.666666666599</v>
      </c>
      <c r="B150" s="2">
        <f ca="1">IFERROR(__xludf.DUMMYFUNCTION("""COMPUTED_VALUE"""),51.01)</f>
        <v>51.01</v>
      </c>
      <c r="C150" s="3">
        <f ca="1">IFERROR(__xludf.DUMMYFUNCTION("""COMPUTED_VALUE"""),43679.6666666666)</f>
        <v>43679.666666666599</v>
      </c>
      <c r="D150" s="2">
        <f ca="1">IFERROR(__xludf.DUMMYFUNCTION("""COMPUTED_VALUE"""),136.9)</f>
        <v>136.9</v>
      </c>
      <c r="E150" s="3">
        <f ca="1">IFERROR(__xludf.DUMMYFUNCTION("""COMPUTED_VALUE"""),43679.6666666666)</f>
        <v>43679.666666666599</v>
      </c>
      <c r="F150" s="2">
        <f ca="1">IFERROR(__xludf.DUMMYFUNCTION("""COMPUTED_VALUE"""),1823.24)</f>
        <v>1823.24</v>
      </c>
      <c r="G150" s="3">
        <f ca="1">IFERROR(__xludf.DUMMYFUNCTION("""COMPUTED_VALUE"""),43679.6666666666)</f>
        <v>43679.666666666599</v>
      </c>
      <c r="H150" s="2">
        <f ca="1">IFERROR(__xludf.DUMMYFUNCTION("""COMPUTED_VALUE"""),1196.32)</f>
        <v>1196.32</v>
      </c>
      <c r="I150" s="3">
        <f ca="1">IFERROR(__xludf.DUMMYFUNCTION("""COMPUTED_VALUE"""),43679.6666666666)</f>
        <v>43679.666666666599</v>
      </c>
      <c r="J150" s="2">
        <f ca="1">IFERROR(__xludf.DUMMYFUNCTION("""COMPUTED_VALUE"""),1193.99)</f>
        <v>1193.99</v>
      </c>
      <c r="K150" s="3">
        <f ca="1">IFERROR(__xludf.DUMMYFUNCTION("""COMPUTED_VALUE"""),43679.6666666666)</f>
        <v>43679.666666666599</v>
      </c>
      <c r="L150" s="2">
        <f ca="1">IFERROR(__xludf.DUMMYFUNCTION("""COMPUTED_VALUE"""),189.02)</f>
        <v>189.02</v>
      </c>
      <c r="M150" s="3">
        <f ca="1">IFERROR(__xludf.DUMMYFUNCTION("""COMPUTED_VALUE"""),43679.6666666666)</f>
        <v>43679.666666666599</v>
      </c>
      <c r="N150" s="2">
        <f ca="1">IFERROR(__xludf.DUMMYFUNCTION("""COMPUTED_VALUE"""),46.87)</f>
        <v>46.87</v>
      </c>
      <c r="O150" s="3">
        <f ca="1">IFERROR(__xludf.DUMMYFUNCTION("""COMPUTED_VALUE"""),43679.6666666666)</f>
        <v>43679.666666666599</v>
      </c>
      <c r="P150" s="2">
        <f ca="1">IFERROR(__xludf.DUMMYFUNCTION("""COMPUTED_VALUE"""),40.3)</f>
        <v>40.299999999999997</v>
      </c>
      <c r="Q150" s="3">
        <f ca="1">IFERROR(__xludf.DUMMYFUNCTION("""COMPUTED_VALUE"""),43679.6666666666)</f>
        <v>43679.666666666599</v>
      </c>
      <c r="R150" s="2">
        <f ca="1">IFERROR(__xludf.DUMMYFUNCTION("""COMPUTED_VALUE"""),202.67)</f>
        <v>202.67</v>
      </c>
      <c r="S150" s="3">
        <f ca="1">IFERROR(__xludf.DUMMYFUNCTION("""COMPUTED_VALUE"""),43679.6666666666)</f>
        <v>43679.666666666599</v>
      </c>
      <c r="T150" s="2">
        <f ca="1">IFERROR(__xludf.DUMMYFUNCTION("""COMPUTED_VALUE"""),131.07)</f>
        <v>131.07</v>
      </c>
    </row>
    <row r="151" spans="1:20">
      <c r="A151" s="3">
        <f ca="1">IFERROR(__xludf.DUMMYFUNCTION("""COMPUTED_VALUE"""),43682.6666666666)</f>
        <v>43682.666666666599</v>
      </c>
      <c r="B151" s="2">
        <f ca="1">IFERROR(__xludf.DUMMYFUNCTION("""COMPUTED_VALUE"""),48.34)</f>
        <v>48.34</v>
      </c>
      <c r="C151" s="3">
        <f ca="1">IFERROR(__xludf.DUMMYFUNCTION("""COMPUTED_VALUE"""),43682.6666666666)</f>
        <v>43682.666666666599</v>
      </c>
      <c r="D151" s="2">
        <f ca="1">IFERROR(__xludf.DUMMYFUNCTION("""COMPUTED_VALUE"""),132.21)</f>
        <v>132.21</v>
      </c>
      <c r="E151" s="3">
        <f ca="1">IFERROR(__xludf.DUMMYFUNCTION("""COMPUTED_VALUE"""),43682.6666666666)</f>
        <v>43682.666666666599</v>
      </c>
      <c r="F151" s="2">
        <f ca="1">IFERROR(__xludf.DUMMYFUNCTION("""COMPUTED_VALUE"""),1765.13)</f>
        <v>1765.13</v>
      </c>
      <c r="G151" s="3">
        <f ca="1">IFERROR(__xludf.DUMMYFUNCTION("""COMPUTED_VALUE"""),43682.6666666666)</f>
        <v>43682.666666666599</v>
      </c>
      <c r="H151" s="2">
        <f ca="1">IFERROR(__xludf.DUMMYFUNCTION("""COMPUTED_VALUE"""),1154.75)</f>
        <v>1154.75</v>
      </c>
      <c r="I151" s="3">
        <f ca="1">IFERROR(__xludf.DUMMYFUNCTION("""COMPUTED_VALUE"""),43682.6666666666)</f>
        <v>43682.666666666599</v>
      </c>
      <c r="J151" s="2">
        <f ca="1">IFERROR(__xludf.DUMMYFUNCTION("""COMPUTED_VALUE"""),1152.32)</f>
        <v>1152.32</v>
      </c>
      <c r="K151" s="3">
        <f ca="1">IFERROR(__xludf.DUMMYFUNCTION("""COMPUTED_VALUE"""),43682.6666666666)</f>
        <v>43682.666666666599</v>
      </c>
      <c r="L151" s="2">
        <f ca="1">IFERROR(__xludf.DUMMYFUNCTION("""COMPUTED_VALUE"""),181.73)</f>
        <v>181.73</v>
      </c>
      <c r="M151" s="3">
        <f ca="1">IFERROR(__xludf.DUMMYFUNCTION("""COMPUTED_VALUE"""),43682.6666666666)</f>
        <v>43682.666666666599</v>
      </c>
      <c r="N151" s="2">
        <f ca="1">IFERROR(__xludf.DUMMYFUNCTION("""COMPUTED_VALUE"""),45.66)</f>
        <v>45.66</v>
      </c>
      <c r="O151" s="3">
        <f ca="1">IFERROR(__xludf.DUMMYFUNCTION("""COMPUTED_VALUE"""),43682.6666666666)</f>
        <v>43682.666666666599</v>
      </c>
      <c r="P151" s="2">
        <f ca="1">IFERROR(__xludf.DUMMYFUNCTION("""COMPUTED_VALUE"""),37.7)</f>
        <v>37.700000000000003</v>
      </c>
      <c r="Q151" s="3">
        <f ca="1">IFERROR(__xludf.DUMMYFUNCTION("""COMPUTED_VALUE"""),43682.6666666666)</f>
        <v>43682.666666666599</v>
      </c>
      <c r="R151" s="2">
        <f ca="1">IFERROR(__xludf.DUMMYFUNCTION("""COMPUTED_VALUE"""),197.73)</f>
        <v>197.73</v>
      </c>
      <c r="S151" s="3">
        <f ca="1">IFERROR(__xludf.DUMMYFUNCTION("""COMPUTED_VALUE"""),43682.6666666666)</f>
        <v>43682.666666666599</v>
      </c>
      <c r="T151" s="2">
        <f ca="1">IFERROR(__xludf.DUMMYFUNCTION("""COMPUTED_VALUE"""),130.16)</f>
        <v>130.16</v>
      </c>
    </row>
    <row r="152" spans="1:20">
      <c r="A152" s="3">
        <f ca="1">IFERROR(__xludf.DUMMYFUNCTION("""COMPUTED_VALUE"""),43683.6666666666)</f>
        <v>43683.666666666599</v>
      </c>
      <c r="B152" s="2">
        <f ca="1">IFERROR(__xludf.DUMMYFUNCTION("""COMPUTED_VALUE"""),49.25)</f>
        <v>49.25</v>
      </c>
      <c r="C152" s="3">
        <f ca="1">IFERROR(__xludf.DUMMYFUNCTION("""COMPUTED_VALUE"""),43683.6666666666)</f>
        <v>43683.666666666599</v>
      </c>
      <c r="D152" s="2">
        <f ca="1">IFERROR(__xludf.DUMMYFUNCTION("""COMPUTED_VALUE"""),134.69)</f>
        <v>134.69</v>
      </c>
      <c r="E152" s="3">
        <f ca="1">IFERROR(__xludf.DUMMYFUNCTION("""COMPUTED_VALUE"""),43683.6666666666)</f>
        <v>43683.666666666599</v>
      </c>
      <c r="F152" s="2">
        <f ca="1">IFERROR(__xludf.DUMMYFUNCTION("""COMPUTED_VALUE"""),1787.83)</f>
        <v>1787.83</v>
      </c>
      <c r="G152" s="3">
        <f ca="1">IFERROR(__xludf.DUMMYFUNCTION("""COMPUTED_VALUE"""),43683.6666666666)</f>
        <v>43683.666666666599</v>
      </c>
      <c r="H152" s="2">
        <f ca="1">IFERROR(__xludf.DUMMYFUNCTION("""COMPUTED_VALUE"""),1171.08)</f>
        <v>1171.08</v>
      </c>
      <c r="I152" s="3">
        <f ca="1">IFERROR(__xludf.DUMMYFUNCTION("""COMPUTED_VALUE"""),43683.6666666666)</f>
        <v>43683.666666666599</v>
      </c>
      <c r="J152" s="2">
        <f ca="1">IFERROR(__xludf.DUMMYFUNCTION("""COMPUTED_VALUE"""),1169.95)</f>
        <v>1169.95</v>
      </c>
      <c r="K152" s="3">
        <f ca="1">IFERROR(__xludf.DUMMYFUNCTION("""COMPUTED_VALUE"""),43683.6666666666)</f>
        <v>43683.666666666599</v>
      </c>
      <c r="L152" s="2">
        <f ca="1">IFERROR(__xludf.DUMMYFUNCTION("""COMPUTED_VALUE"""),184.51)</f>
        <v>184.51</v>
      </c>
      <c r="M152" s="3">
        <f ca="1">IFERROR(__xludf.DUMMYFUNCTION("""COMPUTED_VALUE"""),43683.6666666666)</f>
        <v>43683.666666666599</v>
      </c>
      <c r="N152" s="2">
        <f ca="1">IFERROR(__xludf.DUMMYFUNCTION("""COMPUTED_VALUE"""),46.15)</f>
        <v>46.15</v>
      </c>
      <c r="O152" s="3">
        <f ca="1">IFERROR(__xludf.DUMMYFUNCTION("""COMPUTED_VALUE"""),43683.6666666666)</f>
        <v>43683.666666666599</v>
      </c>
      <c r="P152" s="2">
        <f ca="1">IFERROR(__xludf.DUMMYFUNCTION("""COMPUTED_VALUE"""),38.09)</f>
        <v>38.090000000000003</v>
      </c>
      <c r="Q152" s="3">
        <f ca="1">IFERROR(__xludf.DUMMYFUNCTION("""COMPUTED_VALUE"""),43683.6666666666)</f>
        <v>43683.666666666599</v>
      </c>
      <c r="R152" s="2">
        <f ca="1">IFERROR(__xludf.DUMMYFUNCTION("""COMPUTED_VALUE"""),200.55)</f>
        <v>200.55</v>
      </c>
      <c r="S152" s="3">
        <f ca="1">IFERROR(__xludf.DUMMYFUNCTION("""COMPUTED_VALUE"""),43683.6666666666)</f>
        <v>43683.666666666599</v>
      </c>
      <c r="T152" s="2">
        <f ca="1">IFERROR(__xludf.DUMMYFUNCTION("""COMPUTED_VALUE"""),130.77)</f>
        <v>130.77000000000001</v>
      </c>
    </row>
    <row r="153" spans="1:20">
      <c r="A153" s="3">
        <f ca="1">IFERROR(__xludf.DUMMYFUNCTION("""COMPUTED_VALUE"""),43684.6666666666)</f>
        <v>43684.666666666599</v>
      </c>
      <c r="B153" s="2">
        <f ca="1">IFERROR(__xludf.DUMMYFUNCTION("""COMPUTED_VALUE"""),49.76)</f>
        <v>49.76</v>
      </c>
      <c r="C153" s="3">
        <f ca="1">IFERROR(__xludf.DUMMYFUNCTION("""COMPUTED_VALUE"""),43684.6666666666)</f>
        <v>43684.666666666599</v>
      </c>
      <c r="D153" s="2">
        <f ca="1">IFERROR(__xludf.DUMMYFUNCTION("""COMPUTED_VALUE"""),135.28)</f>
        <v>135.28</v>
      </c>
      <c r="E153" s="3">
        <f ca="1">IFERROR(__xludf.DUMMYFUNCTION("""COMPUTED_VALUE"""),43684.6666666666)</f>
        <v>43684.666666666599</v>
      </c>
      <c r="F153" s="2">
        <f ca="1">IFERROR(__xludf.DUMMYFUNCTION("""COMPUTED_VALUE"""),1793.4)</f>
        <v>1793.4</v>
      </c>
      <c r="G153" s="3">
        <f ca="1">IFERROR(__xludf.DUMMYFUNCTION("""COMPUTED_VALUE"""),43684.6666666666)</f>
        <v>43684.666666666599</v>
      </c>
      <c r="H153" s="2">
        <f ca="1">IFERROR(__xludf.DUMMYFUNCTION("""COMPUTED_VALUE"""),1175.91)</f>
        <v>1175.9100000000001</v>
      </c>
      <c r="I153" s="3">
        <f ca="1">IFERROR(__xludf.DUMMYFUNCTION("""COMPUTED_VALUE"""),43684.6666666666)</f>
        <v>43684.666666666599</v>
      </c>
      <c r="J153" s="2">
        <f ca="1">IFERROR(__xludf.DUMMYFUNCTION("""COMPUTED_VALUE"""),1173.99)</f>
        <v>1173.99</v>
      </c>
      <c r="K153" s="3">
        <f ca="1">IFERROR(__xludf.DUMMYFUNCTION("""COMPUTED_VALUE"""),43684.6666666666)</f>
        <v>43684.666666666599</v>
      </c>
      <c r="L153" s="2">
        <f ca="1">IFERROR(__xludf.DUMMYFUNCTION("""COMPUTED_VALUE"""),185.15)</f>
        <v>185.15</v>
      </c>
      <c r="M153" s="3">
        <f ca="1">IFERROR(__xludf.DUMMYFUNCTION("""COMPUTED_VALUE"""),43684.6666666666)</f>
        <v>43684.666666666599</v>
      </c>
      <c r="N153" s="2">
        <f ca="1">IFERROR(__xludf.DUMMYFUNCTION("""COMPUTED_VALUE"""),46.68)</f>
        <v>46.68</v>
      </c>
      <c r="O153" s="3">
        <f ca="1">IFERROR(__xludf.DUMMYFUNCTION("""COMPUTED_VALUE"""),43684.6666666666)</f>
        <v>43684.666666666599</v>
      </c>
      <c r="P153" s="2">
        <f ca="1">IFERROR(__xludf.DUMMYFUNCTION("""COMPUTED_VALUE"""),38.47)</f>
        <v>38.47</v>
      </c>
      <c r="Q153" s="3">
        <f ca="1">IFERROR(__xludf.DUMMYFUNCTION("""COMPUTED_VALUE"""),43684.6666666666)</f>
        <v>43684.666666666599</v>
      </c>
      <c r="R153" s="2">
        <f ca="1">IFERROR(__xludf.DUMMYFUNCTION("""COMPUTED_VALUE"""),198.21)</f>
        <v>198.21</v>
      </c>
      <c r="S153" s="3">
        <f ca="1">IFERROR(__xludf.DUMMYFUNCTION("""COMPUTED_VALUE"""),43684.6666666666)</f>
        <v>43684.666666666599</v>
      </c>
      <c r="T153" s="2">
        <f ca="1">IFERROR(__xludf.DUMMYFUNCTION("""COMPUTED_VALUE"""),130.21)</f>
        <v>130.21</v>
      </c>
    </row>
    <row r="154" spans="1:20">
      <c r="A154" s="3">
        <f ca="1">IFERROR(__xludf.DUMMYFUNCTION("""COMPUTED_VALUE"""),43685.6666666666)</f>
        <v>43685.666666666599</v>
      </c>
      <c r="B154" s="2">
        <f ca="1">IFERROR(__xludf.DUMMYFUNCTION("""COMPUTED_VALUE"""),50.86)</f>
        <v>50.86</v>
      </c>
      <c r="C154" s="3">
        <f ca="1">IFERROR(__xludf.DUMMYFUNCTION("""COMPUTED_VALUE"""),43685.6666666666)</f>
        <v>43685.666666666599</v>
      </c>
      <c r="D154" s="2">
        <f ca="1">IFERROR(__xludf.DUMMYFUNCTION("""COMPUTED_VALUE"""),138.89)</f>
        <v>138.88999999999999</v>
      </c>
      <c r="E154" s="3">
        <f ca="1">IFERROR(__xludf.DUMMYFUNCTION("""COMPUTED_VALUE"""),43685.6666666666)</f>
        <v>43685.666666666599</v>
      </c>
      <c r="F154" s="2">
        <f ca="1">IFERROR(__xludf.DUMMYFUNCTION("""COMPUTED_VALUE"""),1832.89)</f>
        <v>1832.89</v>
      </c>
      <c r="G154" s="3">
        <f ca="1">IFERROR(__xludf.DUMMYFUNCTION("""COMPUTED_VALUE"""),43685.6666666666)</f>
        <v>43685.666666666599</v>
      </c>
      <c r="H154" s="2">
        <f ca="1">IFERROR(__xludf.DUMMYFUNCTION("""COMPUTED_VALUE"""),1206.19)</f>
        <v>1206.19</v>
      </c>
      <c r="I154" s="3">
        <f ca="1">IFERROR(__xludf.DUMMYFUNCTION("""COMPUTED_VALUE"""),43685.6666666666)</f>
        <v>43685.666666666599</v>
      </c>
      <c r="J154" s="2">
        <f ca="1">IFERROR(__xludf.DUMMYFUNCTION("""COMPUTED_VALUE"""),1204.8)</f>
        <v>1204.8</v>
      </c>
      <c r="K154" s="3">
        <f ca="1">IFERROR(__xludf.DUMMYFUNCTION("""COMPUTED_VALUE"""),43685.6666666666)</f>
        <v>43685.666666666599</v>
      </c>
      <c r="L154" s="2">
        <f ca="1">IFERROR(__xludf.DUMMYFUNCTION("""COMPUTED_VALUE"""),190.16)</f>
        <v>190.16</v>
      </c>
      <c r="M154" s="3">
        <f ca="1">IFERROR(__xludf.DUMMYFUNCTION("""COMPUTED_VALUE"""),43685.6666666666)</f>
        <v>43685.666666666599</v>
      </c>
      <c r="N154" s="2">
        <f ca="1">IFERROR(__xludf.DUMMYFUNCTION("""COMPUTED_VALUE"""),47.66)</f>
        <v>47.66</v>
      </c>
      <c r="O154" s="3">
        <f ca="1">IFERROR(__xludf.DUMMYFUNCTION("""COMPUTED_VALUE"""),43685.6666666666)</f>
        <v>43685.666666666599</v>
      </c>
      <c r="P154" s="2">
        <f ca="1">IFERROR(__xludf.DUMMYFUNCTION("""COMPUTED_VALUE"""),39.57)</f>
        <v>39.57</v>
      </c>
      <c r="Q154" s="3">
        <f ca="1">IFERROR(__xludf.DUMMYFUNCTION("""COMPUTED_VALUE"""),43685.6666666666)</f>
        <v>43685.666666666599</v>
      </c>
      <c r="R154" s="2">
        <f ca="1">IFERROR(__xludf.DUMMYFUNCTION("""COMPUTED_VALUE"""),200.52)</f>
        <v>200.52</v>
      </c>
      <c r="S154" s="3">
        <f ca="1">IFERROR(__xludf.DUMMYFUNCTION("""COMPUTED_VALUE"""),43685.6666666666)</f>
        <v>43685.666666666599</v>
      </c>
      <c r="T154" s="2">
        <f ca="1">IFERROR(__xludf.DUMMYFUNCTION("""COMPUTED_VALUE"""),131.68)</f>
        <v>131.68</v>
      </c>
    </row>
    <row r="155" spans="1:20">
      <c r="A155" s="3">
        <f ca="1">IFERROR(__xludf.DUMMYFUNCTION("""COMPUTED_VALUE"""),43686.6666666666)</f>
        <v>43686.666666666599</v>
      </c>
      <c r="B155" s="2">
        <f ca="1">IFERROR(__xludf.DUMMYFUNCTION("""COMPUTED_VALUE"""),50.25)</f>
        <v>50.25</v>
      </c>
      <c r="C155" s="3">
        <f ca="1">IFERROR(__xludf.DUMMYFUNCTION("""COMPUTED_VALUE"""),43686.6666666666)</f>
        <v>43686.666666666599</v>
      </c>
      <c r="D155" s="2">
        <f ca="1">IFERROR(__xludf.DUMMYFUNCTION("""COMPUTED_VALUE"""),137.71)</f>
        <v>137.71</v>
      </c>
      <c r="E155" s="3">
        <f ca="1">IFERROR(__xludf.DUMMYFUNCTION("""COMPUTED_VALUE"""),43686.6666666666)</f>
        <v>43686.666666666599</v>
      </c>
      <c r="F155" s="2">
        <f ca="1">IFERROR(__xludf.DUMMYFUNCTION("""COMPUTED_VALUE"""),1807.58)</f>
        <v>1807.58</v>
      </c>
      <c r="G155" s="3">
        <f ca="1">IFERROR(__xludf.DUMMYFUNCTION("""COMPUTED_VALUE"""),43686.6666666666)</f>
        <v>43686.666666666599</v>
      </c>
      <c r="H155" s="2">
        <f ca="1">IFERROR(__xludf.DUMMYFUNCTION("""COMPUTED_VALUE"""),1188.9)</f>
        <v>1188.9000000000001</v>
      </c>
      <c r="I155" s="3">
        <f ca="1">IFERROR(__xludf.DUMMYFUNCTION("""COMPUTED_VALUE"""),43686.6666666666)</f>
        <v>43686.666666666599</v>
      </c>
      <c r="J155" s="2">
        <f ca="1">IFERROR(__xludf.DUMMYFUNCTION("""COMPUTED_VALUE"""),1188.01)</f>
        <v>1188.01</v>
      </c>
      <c r="K155" s="3">
        <f ca="1">IFERROR(__xludf.DUMMYFUNCTION("""COMPUTED_VALUE"""),43686.6666666666)</f>
        <v>43686.666666666599</v>
      </c>
      <c r="L155" s="2">
        <f ca="1">IFERROR(__xludf.DUMMYFUNCTION("""COMPUTED_VALUE"""),187.85)</f>
        <v>187.85</v>
      </c>
      <c r="M155" s="3">
        <f ca="1">IFERROR(__xludf.DUMMYFUNCTION("""COMPUTED_VALUE"""),43686.6666666666)</f>
        <v>43686.666666666599</v>
      </c>
      <c r="N155" s="2">
        <f ca="1">IFERROR(__xludf.DUMMYFUNCTION("""COMPUTED_VALUE"""),47)</f>
        <v>47</v>
      </c>
      <c r="O155" s="3">
        <f ca="1">IFERROR(__xludf.DUMMYFUNCTION("""COMPUTED_VALUE"""),43686.6666666666)</f>
        <v>43686.666666666599</v>
      </c>
      <c r="P155" s="2">
        <f ca="1">IFERROR(__xludf.DUMMYFUNCTION("""COMPUTED_VALUE"""),38.55)</f>
        <v>38.549999999999997</v>
      </c>
      <c r="Q155" s="3">
        <f ca="1">IFERROR(__xludf.DUMMYFUNCTION("""COMPUTED_VALUE"""),43686.6666666666)</f>
        <v>43686.666666666599</v>
      </c>
      <c r="R155" s="2">
        <f ca="1">IFERROR(__xludf.DUMMYFUNCTION("""COMPUTED_VALUE"""),199.05)</f>
        <v>199.05</v>
      </c>
      <c r="S155" s="3">
        <f ca="1">IFERROR(__xludf.DUMMYFUNCTION("""COMPUTED_VALUE"""),43686.6666666666)</f>
        <v>43686.666666666599</v>
      </c>
      <c r="T155" s="2">
        <f ca="1">IFERROR(__xludf.DUMMYFUNCTION("""COMPUTED_VALUE"""),132.04)</f>
        <v>132.04</v>
      </c>
    </row>
    <row r="156" spans="1:20">
      <c r="A156" s="3">
        <f ca="1">IFERROR(__xludf.DUMMYFUNCTION("""COMPUTED_VALUE"""),43689.6666666666)</f>
        <v>43689.666666666599</v>
      </c>
      <c r="B156" s="2">
        <f ca="1">IFERROR(__xludf.DUMMYFUNCTION("""COMPUTED_VALUE"""),50.12)</f>
        <v>50.12</v>
      </c>
      <c r="C156" s="3">
        <f ca="1">IFERROR(__xludf.DUMMYFUNCTION("""COMPUTED_VALUE"""),43689.6666666666)</f>
        <v>43689.666666666599</v>
      </c>
      <c r="D156" s="2">
        <f ca="1">IFERROR(__xludf.DUMMYFUNCTION("""COMPUTED_VALUE"""),135.79)</f>
        <v>135.79</v>
      </c>
      <c r="E156" s="3">
        <f ca="1">IFERROR(__xludf.DUMMYFUNCTION("""COMPUTED_VALUE"""),43689.6666666666)</f>
        <v>43689.666666666599</v>
      </c>
      <c r="F156" s="2">
        <f ca="1">IFERROR(__xludf.DUMMYFUNCTION("""COMPUTED_VALUE"""),1784.92)</f>
        <v>1784.92</v>
      </c>
      <c r="G156" s="3">
        <f ca="1">IFERROR(__xludf.DUMMYFUNCTION("""COMPUTED_VALUE"""),43689.6666666666)</f>
        <v>43689.666666666599</v>
      </c>
      <c r="H156" s="2">
        <f ca="1">IFERROR(__xludf.DUMMYFUNCTION("""COMPUTED_VALUE"""),1174.5)</f>
        <v>1174.5</v>
      </c>
      <c r="I156" s="3">
        <f ca="1">IFERROR(__xludf.DUMMYFUNCTION("""COMPUTED_VALUE"""),43689.6666666666)</f>
        <v>43689.666666666599</v>
      </c>
      <c r="J156" s="2">
        <f ca="1">IFERROR(__xludf.DUMMYFUNCTION("""COMPUTED_VALUE"""),1174.71)</f>
        <v>1174.71</v>
      </c>
      <c r="K156" s="3">
        <f ca="1">IFERROR(__xludf.DUMMYFUNCTION("""COMPUTED_VALUE"""),43689.6666666666)</f>
        <v>43689.666666666599</v>
      </c>
      <c r="L156" s="2">
        <f ca="1">IFERROR(__xludf.DUMMYFUNCTION("""COMPUTED_VALUE"""),185.37)</f>
        <v>185.37</v>
      </c>
      <c r="M156" s="3">
        <f ca="1">IFERROR(__xludf.DUMMYFUNCTION("""COMPUTED_VALUE"""),43689.6666666666)</f>
        <v>43689.666666666599</v>
      </c>
      <c r="N156" s="2">
        <f ca="1">IFERROR(__xludf.DUMMYFUNCTION("""COMPUTED_VALUE"""),45.8)</f>
        <v>45.8</v>
      </c>
      <c r="O156" s="3">
        <f ca="1">IFERROR(__xludf.DUMMYFUNCTION("""COMPUTED_VALUE"""),43689.6666666666)</f>
        <v>43689.666666666599</v>
      </c>
      <c r="P156" s="2">
        <f ca="1">IFERROR(__xludf.DUMMYFUNCTION("""COMPUTED_VALUE"""),37.86)</f>
        <v>37.86</v>
      </c>
      <c r="Q156" s="3">
        <f ca="1">IFERROR(__xludf.DUMMYFUNCTION("""COMPUTED_VALUE"""),43689.6666666666)</f>
        <v>43689.666666666599</v>
      </c>
      <c r="R156" s="2">
        <f ca="1">IFERROR(__xludf.DUMMYFUNCTION("""COMPUTED_VALUE"""),197.2)</f>
        <v>197.2</v>
      </c>
      <c r="S156" s="3">
        <f ca="1">IFERROR(__xludf.DUMMYFUNCTION("""COMPUTED_VALUE"""),43689.6666666666)</f>
        <v>43689.666666666599</v>
      </c>
      <c r="T156" s="2">
        <f ca="1">IFERROR(__xludf.DUMMYFUNCTION("""COMPUTED_VALUE"""),131.93)</f>
        <v>131.93</v>
      </c>
    </row>
    <row r="157" spans="1:20">
      <c r="A157" s="3">
        <f ca="1">IFERROR(__xludf.DUMMYFUNCTION("""COMPUTED_VALUE"""),43690.6666666666)</f>
        <v>43690.666666666599</v>
      </c>
      <c r="B157" s="2">
        <f ca="1">IFERROR(__xludf.DUMMYFUNCTION("""COMPUTED_VALUE"""),52.24)</f>
        <v>52.24</v>
      </c>
      <c r="C157" s="3">
        <f ca="1">IFERROR(__xludf.DUMMYFUNCTION("""COMPUTED_VALUE"""),43690.6666666666)</f>
        <v>43690.666666666599</v>
      </c>
      <c r="D157" s="2">
        <f ca="1">IFERROR(__xludf.DUMMYFUNCTION("""COMPUTED_VALUE"""),138.6)</f>
        <v>138.6</v>
      </c>
      <c r="E157" s="3">
        <f ca="1">IFERROR(__xludf.DUMMYFUNCTION("""COMPUTED_VALUE"""),43690.6666666666)</f>
        <v>43690.666666666599</v>
      </c>
      <c r="F157" s="2">
        <f ca="1">IFERROR(__xludf.DUMMYFUNCTION("""COMPUTED_VALUE"""),1824.34)</f>
        <v>1824.34</v>
      </c>
      <c r="G157" s="3">
        <f ca="1">IFERROR(__xludf.DUMMYFUNCTION("""COMPUTED_VALUE"""),43690.6666666666)</f>
        <v>43690.666666666599</v>
      </c>
      <c r="H157" s="2">
        <f ca="1">IFERROR(__xludf.DUMMYFUNCTION("""COMPUTED_VALUE"""),1196.73)</f>
        <v>1196.73</v>
      </c>
      <c r="I157" s="3">
        <f ca="1">IFERROR(__xludf.DUMMYFUNCTION("""COMPUTED_VALUE"""),43690.6666666666)</f>
        <v>43690.666666666599</v>
      </c>
      <c r="J157" s="2">
        <f ca="1">IFERROR(__xludf.DUMMYFUNCTION("""COMPUTED_VALUE"""),1197.27)</f>
        <v>1197.27</v>
      </c>
      <c r="K157" s="3">
        <f ca="1">IFERROR(__xludf.DUMMYFUNCTION("""COMPUTED_VALUE"""),43690.6666666666)</f>
        <v>43690.666666666599</v>
      </c>
      <c r="L157" s="2">
        <f ca="1">IFERROR(__xludf.DUMMYFUNCTION("""COMPUTED_VALUE"""),188.45)</f>
        <v>188.45</v>
      </c>
      <c r="M157" s="3">
        <f ca="1">IFERROR(__xludf.DUMMYFUNCTION("""COMPUTED_VALUE"""),43690.6666666666)</f>
        <v>43690.666666666599</v>
      </c>
      <c r="N157" s="2">
        <f ca="1">IFERROR(__xludf.DUMMYFUNCTION("""COMPUTED_VALUE"""),47)</f>
        <v>47</v>
      </c>
      <c r="O157" s="3">
        <f ca="1">IFERROR(__xludf.DUMMYFUNCTION("""COMPUTED_VALUE"""),43690.6666666666)</f>
        <v>43690.666666666599</v>
      </c>
      <c r="P157" s="2">
        <f ca="1">IFERROR(__xludf.DUMMYFUNCTION("""COMPUTED_VALUE"""),39.01)</f>
        <v>39.01</v>
      </c>
      <c r="Q157" s="3">
        <f ca="1">IFERROR(__xludf.DUMMYFUNCTION("""COMPUTED_VALUE"""),43690.6666666666)</f>
        <v>43690.666666666599</v>
      </c>
      <c r="R157" s="2">
        <f ca="1">IFERROR(__xludf.DUMMYFUNCTION("""COMPUTED_VALUE"""),198.78)</f>
        <v>198.78</v>
      </c>
      <c r="S157" s="3">
        <f ca="1">IFERROR(__xludf.DUMMYFUNCTION("""COMPUTED_VALUE"""),43690.6666666666)</f>
        <v>43690.666666666599</v>
      </c>
      <c r="T157" s="2">
        <f ca="1">IFERROR(__xludf.DUMMYFUNCTION("""COMPUTED_VALUE"""),133.42)</f>
        <v>133.41999999999999</v>
      </c>
    </row>
    <row r="158" spans="1:20">
      <c r="A158" s="3">
        <f ca="1">IFERROR(__xludf.DUMMYFUNCTION("""COMPUTED_VALUE"""),43691.6666666666)</f>
        <v>43691.666666666599</v>
      </c>
      <c r="B158" s="2">
        <f ca="1">IFERROR(__xludf.DUMMYFUNCTION("""COMPUTED_VALUE"""),50.69)</f>
        <v>50.69</v>
      </c>
      <c r="C158" s="3">
        <f ca="1">IFERROR(__xludf.DUMMYFUNCTION("""COMPUTED_VALUE"""),43691.6666666666)</f>
        <v>43691.666666666599</v>
      </c>
      <c r="D158" s="2">
        <f ca="1">IFERROR(__xludf.DUMMYFUNCTION("""COMPUTED_VALUE"""),133.98)</f>
        <v>133.97999999999999</v>
      </c>
      <c r="E158" s="3">
        <f ca="1">IFERROR(__xludf.DUMMYFUNCTION("""COMPUTED_VALUE"""),43691.6666666666)</f>
        <v>43691.666666666599</v>
      </c>
      <c r="F158" s="2">
        <f ca="1">IFERROR(__xludf.DUMMYFUNCTION("""COMPUTED_VALUE"""),1762.96)</f>
        <v>1762.96</v>
      </c>
      <c r="G158" s="3">
        <f ca="1">IFERROR(__xludf.DUMMYFUNCTION("""COMPUTED_VALUE"""),43691.6666666666)</f>
        <v>43691.666666666599</v>
      </c>
      <c r="H158" s="2">
        <f ca="1">IFERROR(__xludf.DUMMYFUNCTION("""COMPUTED_VALUE"""),1164.25)</f>
        <v>1164.25</v>
      </c>
      <c r="I158" s="3">
        <f ca="1">IFERROR(__xludf.DUMMYFUNCTION("""COMPUTED_VALUE"""),43691.6666666666)</f>
        <v>43691.666666666599</v>
      </c>
      <c r="J158" s="2">
        <f ca="1">IFERROR(__xludf.DUMMYFUNCTION("""COMPUTED_VALUE"""),1164.29)</f>
        <v>1164.29</v>
      </c>
      <c r="K158" s="3">
        <f ca="1">IFERROR(__xludf.DUMMYFUNCTION("""COMPUTED_VALUE"""),43691.6666666666)</f>
        <v>43691.666666666599</v>
      </c>
      <c r="L158" s="2">
        <f ca="1">IFERROR(__xludf.DUMMYFUNCTION("""COMPUTED_VALUE"""),179.71)</f>
        <v>179.71</v>
      </c>
      <c r="M158" s="3">
        <f ca="1">IFERROR(__xludf.DUMMYFUNCTION("""COMPUTED_VALUE"""),43691.6666666666)</f>
        <v>43691.666666666599</v>
      </c>
      <c r="N158" s="2">
        <f ca="1">IFERROR(__xludf.DUMMYFUNCTION("""COMPUTED_VALUE"""),43.92)</f>
        <v>43.92</v>
      </c>
      <c r="O158" s="3">
        <f ca="1">IFERROR(__xludf.DUMMYFUNCTION("""COMPUTED_VALUE"""),43691.6666666666)</f>
        <v>43691.666666666599</v>
      </c>
      <c r="P158" s="2">
        <f ca="1">IFERROR(__xludf.DUMMYFUNCTION("""COMPUTED_VALUE"""),37.52)</f>
        <v>37.520000000000003</v>
      </c>
      <c r="Q158" s="3">
        <f ca="1">IFERROR(__xludf.DUMMYFUNCTION("""COMPUTED_VALUE"""),43691.6666666666)</f>
        <v>43691.666666666599</v>
      </c>
      <c r="R158" s="2">
        <f ca="1">IFERROR(__xludf.DUMMYFUNCTION("""COMPUTED_VALUE"""),195.81)</f>
        <v>195.81</v>
      </c>
      <c r="S158" s="3">
        <f ca="1">IFERROR(__xludf.DUMMYFUNCTION("""COMPUTED_VALUE"""),43691.6666666666)</f>
        <v>43691.666666666599</v>
      </c>
      <c r="T158" s="2">
        <f ca="1">IFERROR(__xludf.DUMMYFUNCTION("""COMPUTED_VALUE"""),130.26)</f>
        <v>130.26</v>
      </c>
    </row>
    <row r="159" spans="1:20">
      <c r="A159" s="3">
        <f ca="1">IFERROR(__xludf.DUMMYFUNCTION("""COMPUTED_VALUE"""),43692.6666666666)</f>
        <v>43692.666666666599</v>
      </c>
      <c r="B159" s="2">
        <f ca="1">IFERROR(__xludf.DUMMYFUNCTION("""COMPUTED_VALUE"""),50.44)</f>
        <v>50.44</v>
      </c>
      <c r="C159" s="3">
        <f ca="1">IFERROR(__xludf.DUMMYFUNCTION("""COMPUTED_VALUE"""),43692.6666666666)</f>
        <v>43692.666666666599</v>
      </c>
      <c r="D159" s="2">
        <f ca="1">IFERROR(__xludf.DUMMYFUNCTION("""COMPUTED_VALUE"""),133.68)</f>
        <v>133.68</v>
      </c>
      <c r="E159" s="3">
        <f ca="1">IFERROR(__xludf.DUMMYFUNCTION("""COMPUTED_VALUE"""),43692.6666666666)</f>
        <v>43692.666666666599</v>
      </c>
      <c r="F159" s="2">
        <f ca="1">IFERROR(__xludf.DUMMYFUNCTION("""COMPUTED_VALUE"""),1776.12)</f>
        <v>1776.12</v>
      </c>
      <c r="G159" s="3">
        <f ca="1">IFERROR(__xludf.DUMMYFUNCTION("""COMPUTED_VALUE"""),43692.6666666666)</f>
        <v>43692.666666666599</v>
      </c>
      <c r="H159" s="2">
        <f ca="1">IFERROR(__xludf.DUMMYFUNCTION("""COMPUTED_VALUE"""),1169.32)</f>
        <v>1169.32</v>
      </c>
      <c r="I159" s="3">
        <f ca="1">IFERROR(__xludf.DUMMYFUNCTION("""COMPUTED_VALUE"""),43692.6666666666)</f>
        <v>43692.666666666599</v>
      </c>
      <c r="J159" s="2">
        <f ca="1">IFERROR(__xludf.DUMMYFUNCTION("""COMPUTED_VALUE"""),1167.26)</f>
        <v>1167.26</v>
      </c>
      <c r="K159" s="3">
        <f ca="1">IFERROR(__xludf.DUMMYFUNCTION("""COMPUTED_VALUE"""),43692.6666666666)</f>
        <v>43692.666666666599</v>
      </c>
      <c r="L159" s="2">
        <f ca="1">IFERROR(__xludf.DUMMYFUNCTION("""COMPUTED_VALUE"""),182.59)</f>
        <v>182.59</v>
      </c>
      <c r="M159" s="3">
        <f ca="1">IFERROR(__xludf.DUMMYFUNCTION("""COMPUTED_VALUE"""),43692.6666666666)</f>
        <v>43692.666666666599</v>
      </c>
      <c r="N159" s="2">
        <f ca="1">IFERROR(__xludf.DUMMYFUNCTION("""COMPUTED_VALUE"""),43.13)</f>
        <v>43.13</v>
      </c>
      <c r="O159" s="3">
        <f ca="1">IFERROR(__xludf.DUMMYFUNCTION("""COMPUTED_VALUE"""),43692.6666666666)</f>
        <v>43692.666666666599</v>
      </c>
      <c r="P159" s="2">
        <f ca="1">IFERROR(__xludf.DUMMYFUNCTION("""COMPUTED_VALUE"""),37.19)</f>
        <v>37.19</v>
      </c>
      <c r="Q159" s="3">
        <f ca="1">IFERROR(__xludf.DUMMYFUNCTION("""COMPUTED_VALUE"""),43692.6666666666)</f>
        <v>43692.666666666599</v>
      </c>
      <c r="R159" s="2">
        <f ca="1">IFERROR(__xludf.DUMMYFUNCTION("""COMPUTED_VALUE"""),198.31)</f>
        <v>198.31</v>
      </c>
      <c r="S159" s="3">
        <f ca="1">IFERROR(__xludf.DUMMYFUNCTION("""COMPUTED_VALUE"""),43692.6666666666)</f>
        <v>43692.666666666599</v>
      </c>
      <c r="T159" s="2">
        <f ca="1">IFERROR(__xludf.DUMMYFUNCTION("""COMPUTED_VALUE"""),130.54)</f>
        <v>130.54</v>
      </c>
    </row>
    <row r="160" spans="1:20">
      <c r="A160" s="3">
        <f ca="1">IFERROR(__xludf.DUMMYFUNCTION("""COMPUTED_VALUE"""),43693.6666666666)</f>
        <v>43693.666666666599</v>
      </c>
      <c r="B160" s="2">
        <f ca="1">IFERROR(__xludf.DUMMYFUNCTION("""COMPUTED_VALUE"""),51.63)</f>
        <v>51.63</v>
      </c>
      <c r="C160" s="3">
        <f ca="1">IFERROR(__xludf.DUMMYFUNCTION("""COMPUTED_VALUE"""),43693.6666666666)</f>
        <v>43693.666666666599</v>
      </c>
      <c r="D160" s="2">
        <f ca="1">IFERROR(__xludf.DUMMYFUNCTION("""COMPUTED_VALUE"""),136.13)</f>
        <v>136.13</v>
      </c>
      <c r="E160" s="3">
        <f ca="1">IFERROR(__xludf.DUMMYFUNCTION("""COMPUTED_VALUE"""),43693.6666666666)</f>
        <v>43693.666666666599</v>
      </c>
      <c r="F160" s="2">
        <f ca="1">IFERROR(__xludf.DUMMYFUNCTION("""COMPUTED_VALUE"""),1792.57)</f>
        <v>1792.57</v>
      </c>
      <c r="G160" s="3">
        <f ca="1">IFERROR(__xludf.DUMMYFUNCTION("""COMPUTED_VALUE"""),43693.6666666666)</f>
        <v>43693.666666666599</v>
      </c>
      <c r="H160" s="2">
        <f ca="1">IFERROR(__xludf.DUMMYFUNCTION("""COMPUTED_VALUE"""),1179.21)</f>
        <v>1179.21</v>
      </c>
      <c r="I160" s="3">
        <f ca="1">IFERROR(__xludf.DUMMYFUNCTION("""COMPUTED_VALUE"""),43693.6666666666)</f>
        <v>43693.666666666599</v>
      </c>
      <c r="J160" s="2">
        <f ca="1">IFERROR(__xludf.DUMMYFUNCTION("""COMPUTED_VALUE"""),1177.6)</f>
        <v>1177.5999999999999</v>
      </c>
      <c r="K160" s="3">
        <f ca="1">IFERROR(__xludf.DUMMYFUNCTION("""COMPUTED_VALUE"""),43693.6666666666)</f>
        <v>43693.666666666599</v>
      </c>
      <c r="L160" s="2">
        <f ca="1">IFERROR(__xludf.DUMMYFUNCTION("""COMPUTED_VALUE"""),183.7)</f>
        <v>183.7</v>
      </c>
      <c r="M160" s="3">
        <f ca="1">IFERROR(__xludf.DUMMYFUNCTION("""COMPUTED_VALUE"""),43693.6666666666)</f>
        <v>43693.666666666599</v>
      </c>
      <c r="N160" s="2">
        <f ca="1">IFERROR(__xludf.DUMMYFUNCTION("""COMPUTED_VALUE"""),43.99)</f>
        <v>43.99</v>
      </c>
      <c r="O160" s="3">
        <f ca="1">IFERROR(__xludf.DUMMYFUNCTION("""COMPUTED_VALUE"""),43693.6666666666)</f>
        <v>43693.666666666599</v>
      </c>
      <c r="P160" s="2">
        <f ca="1">IFERROR(__xludf.DUMMYFUNCTION("""COMPUTED_VALUE"""),39.89)</f>
        <v>39.89</v>
      </c>
      <c r="Q160" s="3">
        <f ca="1">IFERROR(__xludf.DUMMYFUNCTION("""COMPUTED_VALUE"""),43693.6666666666)</f>
        <v>43693.666666666599</v>
      </c>
      <c r="R160" s="2">
        <f ca="1">IFERROR(__xludf.DUMMYFUNCTION("""COMPUTED_VALUE"""),199.72)</f>
        <v>199.72</v>
      </c>
      <c r="S160" s="3">
        <f ca="1">IFERROR(__xludf.DUMMYFUNCTION("""COMPUTED_VALUE"""),43693.6666666666)</f>
        <v>43693.666666666599</v>
      </c>
      <c r="T160" s="2">
        <f ca="1">IFERROR(__xludf.DUMMYFUNCTION("""COMPUTED_VALUE"""),131.36)</f>
        <v>131.36000000000001</v>
      </c>
    </row>
    <row r="161" spans="1:20">
      <c r="A161" s="3">
        <f ca="1">IFERROR(__xludf.DUMMYFUNCTION("""COMPUTED_VALUE"""),43696.6666666666)</f>
        <v>43696.666666666599</v>
      </c>
      <c r="B161" s="2">
        <f ca="1">IFERROR(__xludf.DUMMYFUNCTION("""COMPUTED_VALUE"""),52.59)</f>
        <v>52.59</v>
      </c>
      <c r="C161" s="3">
        <f ca="1">IFERROR(__xludf.DUMMYFUNCTION("""COMPUTED_VALUE"""),43696.6666666666)</f>
        <v>43696.666666666599</v>
      </c>
      <c r="D161" s="2">
        <f ca="1">IFERROR(__xludf.DUMMYFUNCTION("""COMPUTED_VALUE"""),138.41)</f>
        <v>138.41</v>
      </c>
      <c r="E161" s="3">
        <f ca="1">IFERROR(__xludf.DUMMYFUNCTION("""COMPUTED_VALUE"""),43696.6666666666)</f>
        <v>43696.666666666599</v>
      </c>
      <c r="F161" s="2">
        <f ca="1">IFERROR(__xludf.DUMMYFUNCTION("""COMPUTED_VALUE"""),1816.12)</f>
        <v>1816.12</v>
      </c>
      <c r="G161" s="3">
        <f ca="1">IFERROR(__xludf.DUMMYFUNCTION("""COMPUTED_VALUE"""),43696.6666666666)</f>
        <v>43696.666666666599</v>
      </c>
      <c r="H161" s="2">
        <f ca="1">IFERROR(__xludf.DUMMYFUNCTION("""COMPUTED_VALUE"""),1200.44)</f>
        <v>1200.44</v>
      </c>
      <c r="I161" s="3">
        <f ca="1">IFERROR(__xludf.DUMMYFUNCTION("""COMPUTED_VALUE"""),43696.6666666666)</f>
        <v>43696.666666666599</v>
      </c>
      <c r="J161" s="2">
        <f ca="1">IFERROR(__xludf.DUMMYFUNCTION("""COMPUTED_VALUE"""),1198.45)</f>
        <v>1198.45</v>
      </c>
      <c r="K161" s="3">
        <f ca="1">IFERROR(__xludf.DUMMYFUNCTION("""COMPUTED_VALUE"""),43696.6666666666)</f>
        <v>43696.666666666599</v>
      </c>
      <c r="L161" s="2">
        <f ca="1">IFERROR(__xludf.DUMMYFUNCTION("""COMPUTED_VALUE"""),186.17)</f>
        <v>186.17</v>
      </c>
      <c r="M161" s="3">
        <f ca="1">IFERROR(__xludf.DUMMYFUNCTION("""COMPUTED_VALUE"""),43696.6666666666)</f>
        <v>43696.666666666599</v>
      </c>
      <c r="N161" s="2">
        <f ca="1">IFERROR(__xludf.DUMMYFUNCTION("""COMPUTED_VALUE"""),45.37)</f>
        <v>45.37</v>
      </c>
      <c r="O161" s="3">
        <f ca="1">IFERROR(__xludf.DUMMYFUNCTION("""COMPUTED_VALUE"""),43696.6666666666)</f>
        <v>43696.666666666599</v>
      </c>
      <c r="P161" s="2">
        <f ca="1">IFERROR(__xludf.DUMMYFUNCTION("""COMPUTED_VALUE"""),42.7)</f>
        <v>42.7</v>
      </c>
      <c r="Q161" s="3">
        <f ca="1">IFERROR(__xludf.DUMMYFUNCTION("""COMPUTED_VALUE"""),43696.6666666666)</f>
        <v>43696.666666666599</v>
      </c>
      <c r="R161" s="2">
        <f ca="1">IFERROR(__xludf.DUMMYFUNCTION("""COMPUTED_VALUE"""),200.94)</f>
        <v>200.94</v>
      </c>
      <c r="S161" s="3">
        <f ca="1">IFERROR(__xludf.DUMMYFUNCTION("""COMPUTED_VALUE"""),43696.6666666666)</f>
        <v>43696.666666666599</v>
      </c>
      <c r="T161" s="2">
        <f ca="1">IFERROR(__xludf.DUMMYFUNCTION("""COMPUTED_VALUE"""),132.25)</f>
        <v>132.25</v>
      </c>
    </row>
    <row r="162" spans="1:20">
      <c r="A162" s="3">
        <f ca="1">IFERROR(__xludf.DUMMYFUNCTION("""COMPUTED_VALUE"""),43697.6666666666)</f>
        <v>43697.666666666599</v>
      </c>
      <c r="B162" s="2">
        <f ca="1">IFERROR(__xludf.DUMMYFUNCTION("""COMPUTED_VALUE"""),52.59)</f>
        <v>52.59</v>
      </c>
      <c r="C162" s="3">
        <f ca="1">IFERROR(__xludf.DUMMYFUNCTION("""COMPUTED_VALUE"""),43697.6666666666)</f>
        <v>43697.666666666599</v>
      </c>
      <c r="D162" s="2">
        <f ca="1">IFERROR(__xludf.DUMMYFUNCTION("""COMPUTED_VALUE"""),137.26)</f>
        <v>137.26</v>
      </c>
      <c r="E162" s="3">
        <f ca="1">IFERROR(__xludf.DUMMYFUNCTION("""COMPUTED_VALUE"""),43697.6666666666)</f>
        <v>43697.666666666599</v>
      </c>
      <c r="F162" s="2">
        <f ca="1">IFERROR(__xludf.DUMMYFUNCTION("""COMPUTED_VALUE"""),1801.38)</f>
        <v>1801.38</v>
      </c>
      <c r="G162" s="3">
        <f ca="1">IFERROR(__xludf.DUMMYFUNCTION("""COMPUTED_VALUE"""),43697.6666666666)</f>
        <v>43697.666666666599</v>
      </c>
      <c r="H162" s="2">
        <f ca="1">IFERROR(__xludf.DUMMYFUNCTION("""COMPUTED_VALUE"""),1183.53)</f>
        <v>1183.53</v>
      </c>
      <c r="I162" s="3">
        <f ca="1">IFERROR(__xludf.DUMMYFUNCTION("""COMPUTED_VALUE"""),43697.6666666666)</f>
        <v>43697.666666666599</v>
      </c>
      <c r="J162" s="2">
        <f ca="1">IFERROR(__xludf.DUMMYFUNCTION("""COMPUTED_VALUE"""),1182.69)</f>
        <v>1182.69</v>
      </c>
      <c r="K162" s="3">
        <f ca="1">IFERROR(__xludf.DUMMYFUNCTION("""COMPUTED_VALUE"""),43697.6666666666)</f>
        <v>43697.666666666599</v>
      </c>
      <c r="L162" s="2">
        <f ca="1">IFERROR(__xludf.DUMMYFUNCTION("""COMPUTED_VALUE"""),183.81)</f>
        <v>183.81</v>
      </c>
      <c r="M162" s="3">
        <f ca="1">IFERROR(__xludf.DUMMYFUNCTION("""COMPUTED_VALUE"""),43697.6666666666)</f>
        <v>43697.666666666599</v>
      </c>
      <c r="N162" s="2">
        <f ca="1">IFERROR(__xludf.DUMMYFUNCTION("""COMPUTED_VALUE"""),45.17)</f>
        <v>45.17</v>
      </c>
      <c r="O162" s="3">
        <f ca="1">IFERROR(__xludf.DUMMYFUNCTION("""COMPUTED_VALUE"""),43697.6666666666)</f>
        <v>43697.666666666599</v>
      </c>
      <c r="P162" s="2">
        <f ca="1">IFERROR(__xludf.DUMMYFUNCTION("""COMPUTED_VALUE"""),41.97)</f>
        <v>41.97</v>
      </c>
      <c r="Q162" s="3">
        <f ca="1">IFERROR(__xludf.DUMMYFUNCTION("""COMPUTED_VALUE"""),43697.6666666666)</f>
        <v>43697.666666666599</v>
      </c>
      <c r="R162" s="2">
        <f ca="1">IFERROR(__xludf.DUMMYFUNCTION("""COMPUTED_VALUE"""),198.15)</f>
        <v>198.15</v>
      </c>
      <c r="S162" s="3">
        <f ca="1">IFERROR(__xludf.DUMMYFUNCTION("""COMPUTED_VALUE"""),43697.6666666666)</f>
        <v>43697.666666666599</v>
      </c>
      <c r="T162" s="2">
        <f ca="1">IFERROR(__xludf.DUMMYFUNCTION("""COMPUTED_VALUE"""),130.6)</f>
        <v>130.6</v>
      </c>
    </row>
    <row r="163" spans="1:20">
      <c r="A163" s="3">
        <f ca="1">IFERROR(__xludf.DUMMYFUNCTION("""COMPUTED_VALUE"""),43698.6666666666)</f>
        <v>43698.666666666599</v>
      </c>
      <c r="B163" s="2">
        <f ca="1">IFERROR(__xludf.DUMMYFUNCTION("""COMPUTED_VALUE"""),53.16)</f>
        <v>53.16</v>
      </c>
      <c r="C163" s="3">
        <f ca="1">IFERROR(__xludf.DUMMYFUNCTION("""COMPUTED_VALUE"""),43698.6666666666)</f>
        <v>43698.666666666599</v>
      </c>
      <c r="D163" s="2">
        <f ca="1">IFERROR(__xludf.DUMMYFUNCTION("""COMPUTED_VALUE"""),138.79)</f>
        <v>138.79</v>
      </c>
      <c r="E163" s="3">
        <f ca="1">IFERROR(__xludf.DUMMYFUNCTION("""COMPUTED_VALUE"""),43698.6666666666)</f>
        <v>43698.666666666599</v>
      </c>
      <c r="F163" s="2">
        <f ca="1">IFERROR(__xludf.DUMMYFUNCTION("""COMPUTED_VALUE"""),1823.54)</f>
        <v>1823.54</v>
      </c>
      <c r="G163" s="3">
        <f ca="1">IFERROR(__xludf.DUMMYFUNCTION("""COMPUTED_VALUE"""),43698.6666666666)</f>
        <v>43698.666666666599</v>
      </c>
      <c r="H163" s="2">
        <f ca="1">IFERROR(__xludf.DUMMYFUNCTION("""COMPUTED_VALUE"""),1191.58)</f>
        <v>1191.58</v>
      </c>
      <c r="I163" s="3">
        <f ca="1">IFERROR(__xludf.DUMMYFUNCTION("""COMPUTED_VALUE"""),43698.6666666666)</f>
        <v>43698.666666666599</v>
      </c>
      <c r="J163" s="2">
        <f ca="1">IFERROR(__xludf.DUMMYFUNCTION("""COMPUTED_VALUE"""),1191.25)</f>
        <v>1191.25</v>
      </c>
      <c r="K163" s="3">
        <f ca="1">IFERROR(__xludf.DUMMYFUNCTION("""COMPUTED_VALUE"""),43698.6666666666)</f>
        <v>43698.666666666599</v>
      </c>
      <c r="L163" s="2">
        <f ca="1">IFERROR(__xludf.DUMMYFUNCTION("""COMPUTED_VALUE"""),183.55)</f>
        <v>183.55</v>
      </c>
      <c r="M163" s="3">
        <f ca="1">IFERROR(__xludf.DUMMYFUNCTION("""COMPUTED_VALUE"""),43698.6666666666)</f>
        <v>43698.666666666599</v>
      </c>
      <c r="N163" s="2">
        <f ca="1">IFERROR(__xludf.DUMMYFUNCTION("""COMPUTED_VALUE"""),44.17)</f>
        <v>44.17</v>
      </c>
      <c r="O163" s="3">
        <f ca="1">IFERROR(__xludf.DUMMYFUNCTION("""COMPUTED_VALUE"""),43698.6666666666)</f>
        <v>43698.666666666599</v>
      </c>
      <c r="P163" s="2">
        <f ca="1">IFERROR(__xludf.DUMMYFUNCTION("""COMPUTED_VALUE"""),42.81)</f>
        <v>42.81</v>
      </c>
      <c r="Q163" s="3">
        <f ca="1">IFERROR(__xludf.DUMMYFUNCTION("""COMPUTED_VALUE"""),43698.6666666666)</f>
        <v>43698.666666666599</v>
      </c>
      <c r="R163" s="2">
        <f ca="1">IFERROR(__xludf.DUMMYFUNCTION("""COMPUTED_VALUE"""),199.24)</f>
        <v>199.24</v>
      </c>
      <c r="S163" s="3">
        <f ca="1">IFERROR(__xludf.DUMMYFUNCTION("""COMPUTED_VALUE"""),43698.6666666666)</f>
        <v>43698.666666666599</v>
      </c>
      <c r="T163" s="2">
        <f ca="1">IFERROR(__xludf.DUMMYFUNCTION("""COMPUTED_VALUE"""),131.53)</f>
        <v>131.53</v>
      </c>
    </row>
    <row r="164" spans="1:20">
      <c r="A164" s="3">
        <f ca="1">IFERROR(__xludf.DUMMYFUNCTION("""COMPUTED_VALUE"""),43699.6666666666)</f>
        <v>43699.666666666599</v>
      </c>
      <c r="B164" s="2">
        <f ca="1">IFERROR(__xludf.DUMMYFUNCTION("""COMPUTED_VALUE"""),53.12)</f>
        <v>53.12</v>
      </c>
      <c r="C164" s="3">
        <f ca="1">IFERROR(__xludf.DUMMYFUNCTION("""COMPUTED_VALUE"""),43699.6666666666)</f>
        <v>43699.666666666599</v>
      </c>
      <c r="D164" s="2">
        <f ca="1">IFERROR(__xludf.DUMMYFUNCTION("""COMPUTED_VALUE"""),137.78)</f>
        <v>137.78</v>
      </c>
      <c r="E164" s="3">
        <f ca="1">IFERROR(__xludf.DUMMYFUNCTION("""COMPUTED_VALUE"""),43699.6666666666)</f>
        <v>43699.666666666599</v>
      </c>
      <c r="F164" s="2">
        <f ca="1">IFERROR(__xludf.DUMMYFUNCTION("""COMPUTED_VALUE"""),1805.6)</f>
        <v>1805.6</v>
      </c>
      <c r="G164" s="3">
        <f ca="1">IFERROR(__xludf.DUMMYFUNCTION("""COMPUTED_VALUE"""),43699.6666666666)</f>
        <v>43699.666666666599</v>
      </c>
      <c r="H164" s="2">
        <f ca="1">IFERROR(__xludf.DUMMYFUNCTION("""COMPUTED_VALUE"""),1191.52)</f>
        <v>1191.52</v>
      </c>
      <c r="I164" s="3">
        <f ca="1">IFERROR(__xludf.DUMMYFUNCTION("""COMPUTED_VALUE"""),43699.6666666666)</f>
        <v>43699.666666666599</v>
      </c>
      <c r="J164" s="2">
        <f ca="1">IFERROR(__xludf.DUMMYFUNCTION("""COMPUTED_VALUE"""),1189.53)</f>
        <v>1189.53</v>
      </c>
      <c r="K164" s="3">
        <f ca="1">IFERROR(__xludf.DUMMYFUNCTION("""COMPUTED_VALUE"""),43699.6666666666)</f>
        <v>43699.666666666599</v>
      </c>
      <c r="L164" s="2">
        <f ca="1">IFERROR(__xludf.DUMMYFUNCTION("""COMPUTED_VALUE"""),182.04)</f>
        <v>182.04</v>
      </c>
      <c r="M164" s="3">
        <f ca="1">IFERROR(__xludf.DUMMYFUNCTION("""COMPUTED_VALUE"""),43699.6666666666)</f>
        <v>43699.666666666599</v>
      </c>
      <c r="N164" s="2">
        <f ca="1">IFERROR(__xludf.DUMMYFUNCTION("""COMPUTED_VALUE"""),44.43)</f>
        <v>44.43</v>
      </c>
      <c r="O164" s="3">
        <f ca="1">IFERROR(__xludf.DUMMYFUNCTION("""COMPUTED_VALUE"""),43699.6666666666)</f>
        <v>43699.666666666599</v>
      </c>
      <c r="P164" s="2">
        <f ca="1">IFERROR(__xludf.DUMMYFUNCTION("""COMPUTED_VALUE"""),42.87)</f>
        <v>42.87</v>
      </c>
      <c r="Q164" s="3">
        <f ca="1">IFERROR(__xludf.DUMMYFUNCTION("""COMPUTED_VALUE"""),43699.6666666666)</f>
        <v>43699.666666666599</v>
      </c>
      <c r="R164" s="2">
        <f ca="1">IFERROR(__xludf.DUMMYFUNCTION("""COMPUTED_VALUE"""),201.01)</f>
        <v>201.01</v>
      </c>
      <c r="S164" s="3">
        <f ca="1">IFERROR(__xludf.DUMMYFUNCTION("""COMPUTED_VALUE"""),43699.6666666666)</f>
        <v>43699.666666666599</v>
      </c>
      <c r="T164" s="2">
        <f ca="1">IFERROR(__xludf.DUMMYFUNCTION("""COMPUTED_VALUE"""),131.27)</f>
        <v>131.27000000000001</v>
      </c>
    </row>
    <row r="165" spans="1:20">
      <c r="A165" s="3">
        <f ca="1">IFERROR(__xludf.DUMMYFUNCTION("""COMPUTED_VALUE"""),43700.6666666666)</f>
        <v>43700.666666666599</v>
      </c>
      <c r="B165" s="2">
        <f ca="1">IFERROR(__xludf.DUMMYFUNCTION("""COMPUTED_VALUE"""),50.66)</f>
        <v>50.66</v>
      </c>
      <c r="C165" s="3">
        <f ca="1">IFERROR(__xludf.DUMMYFUNCTION("""COMPUTED_VALUE"""),43700.6666666666)</f>
        <v>43700.666666666599</v>
      </c>
      <c r="D165" s="2">
        <f ca="1">IFERROR(__xludf.DUMMYFUNCTION("""COMPUTED_VALUE"""),133.39)</f>
        <v>133.38999999999999</v>
      </c>
      <c r="E165" s="3">
        <f ca="1">IFERROR(__xludf.DUMMYFUNCTION("""COMPUTED_VALUE"""),43700.6666666666)</f>
        <v>43700.666666666599</v>
      </c>
      <c r="F165" s="2">
        <f ca="1">IFERROR(__xludf.DUMMYFUNCTION("""COMPUTED_VALUE"""),1749.62)</f>
        <v>1749.62</v>
      </c>
      <c r="G165" s="3">
        <f ca="1">IFERROR(__xludf.DUMMYFUNCTION("""COMPUTED_VALUE"""),43700.6666666666)</f>
        <v>43700.666666666599</v>
      </c>
      <c r="H165" s="2">
        <f ca="1">IFERROR(__xludf.DUMMYFUNCTION("""COMPUTED_VALUE"""),1153.58)</f>
        <v>1153.58</v>
      </c>
      <c r="I165" s="3">
        <f ca="1">IFERROR(__xludf.DUMMYFUNCTION("""COMPUTED_VALUE"""),43700.6666666666)</f>
        <v>43700.666666666599</v>
      </c>
      <c r="J165" s="2">
        <f ca="1">IFERROR(__xludf.DUMMYFUNCTION("""COMPUTED_VALUE"""),1151.29)</f>
        <v>1151.29</v>
      </c>
      <c r="K165" s="3">
        <f ca="1">IFERROR(__xludf.DUMMYFUNCTION("""COMPUTED_VALUE"""),43700.6666666666)</f>
        <v>43700.666666666599</v>
      </c>
      <c r="L165" s="2">
        <f ca="1">IFERROR(__xludf.DUMMYFUNCTION("""COMPUTED_VALUE"""),177.75)</f>
        <v>177.75</v>
      </c>
      <c r="M165" s="3">
        <f ca="1">IFERROR(__xludf.DUMMYFUNCTION("""COMPUTED_VALUE"""),43700.6666666666)</f>
        <v>43700.666666666599</v>
      </c>
      <c r="N165" s="2">
        <f ca="1">IFERROR(__xludf.DUMMYFUNCTION("""COMPUTED_VALUE"""),42.28)</f>
        <v>42.28</v>
      </c>
      <c r="O165" s="3">
        <f ca="1">IFERROR(__xludf.DUMMYFUNCTION("""COMPUTED_VALUE"""),43700.6666666666)</f>
        <v>43700.666666666599</v>
      </c>
      <c r="P165" s="2">
        <f ca="1">IFERROR(__xludf.DUMMYFUNCTION("""COMPUTED_VALUE"""),40.61)</f>
        <v>40.61</v>
      </c>
      <c r="Q165" s="3">
        <f ca="1">IFERROR(__xludf.DUMMYFUNCTION("""COMPUTED_VALUE"""),43700.6666666666)</f>
        <v>43700.666666666599</v>
      </c>
      <c r="R165" s="2">
        <f ca="1">IFERROR(__xludf.DUMMYFUNCTION("""COMPUTED_VALUE"""),197.16)</f>
        <v>197.16</v>
      </c>
      <c r="S165" s="3">
        <f ca="1">IFERROR(__xludf.DUMMYFUNCTION("""COMPUTED_VALUE"""),43700.6666666666)</f>
        <v>43700.666666666599</v>
      </c>
      <c r="T165" s="2">
        <f ca="1">IFERROR(__xludf.DUMMYFUNCTION("""COMPUTED_VALUE"""),127.73)</f>
        <v>127.73</v>
      </c>
    </row>
    <row r="166" spans="1:20">
      <c r="A166" s="3">
        <f ca="1">IFERROR(__xludf.DUMMYFUNCTION("""COMPUTED_VALUE"""),43703.6666666666)</f>
        <v>43703.666666666599</v>
      </c>
      <c r="B166" s="2">
        <f ca="1">IFERROR(__xludf.DUMMYFUNCTION("""COMPUTED_VALUE"""),51.62)</f>
        <v>51.62</v>
      </c>
      <c r="C166" s="3">
        <f ca="1">IFERROR(__xludf.DUMMYFUNCTION("""COMPUTED_VALUE"""),43703.6666666666)</f>
        <v>43703.666666666599</v>
      </c>
      <c r="D166" s="2">
        <f ca="1">IFERROR(__xludf.DUMMYFUNCTION("""COMPUTED_VALUE"""),135.45)</f>
        <v>135.44999999999999</v>
      </c>
      <c r="E166" s="3">
        <f ca="1">IFERROR(__xludf.DUMMYFUNCTION("""COMPUTED_VALUE"""),43703.6666666666)</f>
        <v>43703.666666666599</v>
      </c>
      <c r="F166" s="2">
        <f ca="1">IFERROR(__xludf.DUMMYFUNCTION("""COMPUTED_VALUE"""),1768.87)</f>
        <v>1768.87</v>
      </c>
      <c r="G166" s="3">
        <f ca="1">IFERROR(__xludf.DUMMYFUNCTION("""COMPUTED_VALUE"""),43703.6666666666)</f>
        <v>43703.666666666599</v>
      </c>
      <c r="H166" s="2">
        <f ca="1">IFERROR(__xludf.DUMMYFUNCTION("""COMPUTED_VALUE"""),1171.18)</f>
        <v>1171.18</v>
      </c>
      <c r="I166" s="3">
        <f ca="1">IFERROR(__xludf.DUMMYFUNCTION("""COMPUTED_VALUE"""),43703.6666666666)</f>
        <v>43703.666666666599</v>
      </c>
      <c r="J166" s="2">
        <f ca="1">IFERROR(__xludf.DUMMYFUNCTION("""COMPUTED_VALUE"""),1168.89)</f>
        <v>1168.8900000000001</v>
      </c>
      <c r="K166" s="3">
        <f ca="1">IFERROR(__xludf.DUMMYFUNCTION("""COMPUTED_VALUE"""),43703.6666666666)</f>
        <v>43703.666666666599</v>
      </c>
      <c r="L166" s="2">
        <f ca="1">IFERROR(__xludf.DUMMYFUNCTION("""COMPUTED_VALUE"""),180.36)</f>
        <v>180.36</v>
      </c>
      <c r="M166" s="3">
        <f ca="1">IFERROR(__xludf.DUMMYFUNCTION("""COMPUTED_VALUE"""),43703.6666666666)</f>
        <v>43703.666666666599</v>
      </c>
      <c r="N166" s="2">
        <f ca="1">IFERROR(__xludf.DUMMYFUNCTION("""COMPUTED_VALUE"""),43)</f>
        <v>43</v>
      </c>
      <c r="O166" s="3">
        <f ca="1">IFERROR(__xludf.DUMMYFUNCTION("""COMPUTED_VALUE"""),43703.6666666666)</f>
        <v>43703.666666666599</v>
      </c>
      <c r="P166" s="2">
        <f ca="1">IFERROR(__xludf.DUMMYFUNCTION("""COMPUTED_VALUE"""),41.36)</f>
        <v>41.36</v>
      </c>
      <c r="Q166" s="3">
        <f ca="1">IFERROR(__xludf.DUMMYFUNCTION("""COMPUTED_VALUE"""),43703.6666666666)</f>
        <v>43703.666666666599</v>
      </c>
      <c r="R166" s="2">
        <f ca="1">IFERROR(__xludf.DUMMYFUNCTION("""COMPUTED_VALUE"""),200.2)</f>
        <v>200.2</v>
      </c>
      <c r="S166" s="3">
        <f ca="1">IFERROR(__xludf.DUMMYFUNCTION("""COMPUTED_VALUE"""),43703.6666666666)</f>
        <v>43703.666666666599</v>
      </c>
      <c r="T166" s="2">
        <f ca="1">IFERROR(__xludf.DUMMYFUNCTION("""COMPUTED_VALUE"""),127.8)</f>
        <v>127.8</v>
      </c>
    </row>
    <row r="167" spans="1:20">
      <c r="A167" s="3">
        <f ca="1">IFERROR(__xludf.DUMMYFUNCTION("""COMPUTED_VALUE"""),43704.6666666666)</f>
        <v>43704.666666666599</v>
      </c>
      <c r="B167" s="2">
        <f ca="1">IFERROR(__xludf.DUMMYFUNCTION("""COMPUTED_VALUE"""),51.04)</f>
        <v>51.04</v>
      </c>
      <c r="C167" s="3">
        <f ca="1">IFERROR(__xludf.DUMMYFUNCTION("""COMPUTED_VALUE"""),43704.6666666666)</f>
        <v>43704.666666666599</v>
      </c>
      <c r="D167" s="2">
        <f ca="1">IFERROR(__xludf.DUMMYFUNCTION("""COMPUTED_VALUE"""),135.74)</f>
        <v>135.74</v>
      </c>
      <c r="E167" s="3">
        <f ca="1">IFERROR(__xludf.DUMMYFUNCTION("""COMPUTED_VALUE"""),43704.6666666666)</f>
        <v>43704.666666666599</v>
      </c>
      <c r="F167" s="2">
        <f ca="1">IFERROR(__xludf.DUMMYFUNCTION("""COMPUTED_VALUE"""),1761.83)</f>
        <v>1761.83</v>
      </c>
      <c r="G167" s="3">
        <f ca="1">IFERROR(__xludf.DUMMYFUNCTION("""COMPUTED_VALUE"""),43704.6666666666)</f>
        <v>43704.666666666599</v>
      </c>
      <c r="H167" s="2">
        <f ca="1">IFERROR(__xludf.DUMMYFUNCTION("""COMPUTED_VALUE"""),1170.82)</f>
        <v>1170.82</v>
      </c>
      <c r="I167" s="3">
        <f ca="1">IFERROR(__xludf.DUMMYFUNCTION("""COMPUTED_VALUE"""),43704.6666666666)</f>
        <v>43704.666666666599</v>
      </c>
      <c r="J167" s="2">
        <f ca="1">IFERROR(__xludf.DUMMYFUNCTION("""COMPUTED_VALUE"""),1167.84)</f>
        <v>1167.8399999999999</v>
      </c>
      <c r="K167" s="3">
        <f ca="1">IFERROR(__xludf.DUMMYFUNCTION("""COMPUTED_VALUE"""),43704.6666666666)</f>
        <v>43704.666666666599</v>
      </c>
      <c r="L167" s="2">
        <f ca="1">IFERROR(__xludf.DUMMYFUNCTION("""COMPUTED_VALUE"""),181.3)</f>
        <v>181.3</v>
      </c>
      <c r="M167" s="3">
        <f ca="1">IFERROR(__xludf.DUMMYFUNCTION("""COMPUTED_VALUE"""),43704.6666666666)</f>
        <v>43704.666666666599</v>
      </c>
      <c r="N167" s="2">
        <f ca="1">IFERROR(__xludf.DUMMYFUNCTION("""COMPUTED_VALUE"""),42.82)</f>
        <v>42.82</v>
      </c>
      <c r="O167" s="3">
        <f ca="1">IFERROR(__xludf.DUMMYFUNCTION("""COMPUTED_VALUE"""),43704.6666666666)</f>
        <v>43704.666666666599</v>
      </c>
      <c r="P167" s="2">
        <f ca="1">IFERROR(__xludf.DUMMYFUNCTION("""COMPUTED_VALUE"""),40.45)</f>
        <v>40.450000000000003</v>
      </c>
      <c r="Q167" s="3">
        <f ca="1">IFERROR(__xludf.DUMMYFUNCTION("""COMPUTED_VALUE"""),43704.6666666666)</f>
        <v>43704.666666666599</v>
      </c>
      <c r="R167" s="2">
        <f ca="1">IFERROR(__xludf.DUMMYFUNCTION("""COMPUTED_VALUE"""),198.35)</f>
        <v>198.35</v>
      </c>
      <c r="S167" s="3">
        <f ca="1">IFERROR(__xludf.DUMMYFUNCTION("""COMPUTED_VALUE"""),43704.6666666666)</f>
        <v>43704.666666666599</v>
      </c>
      <c r="T167" s="2">
        <f ca="1">IFERROR(__xludf.DUMMYFUNCTION("""COMPUTED_VALUE"""),129.64)</f>
        <v>129.63999999999999</v>
      </c>
    </row>
    <row r="168" spans="1:20">
      <c r="A168" s="3">
        <f ca="1">IFERROR(__xludf.DUMMYFUNCTION("""COMPUTED_VALUE"""),43705.6666666666)</f>
        <v>43705.666666666599</v>
      </c>
      <c r="B168" s="2">
        <f ca="1">IFERROR(__xludf.DUMMYFUNCTION("""COMPUTED_VALUE"""),51.38)</f>
        <v>51.38</v>
      </c>
      <c r="C168" s="3">
        <f ca="1">IFERROR(__xludf.DUMMYFUNCTION("""COMPUTED_VALUE"""),43705.6666666666)</f>
        <v>43705.666666666599</v>
      </c>
      <c r="D168" s="2">
        <f ca="1">IFERROR(__xludf.DUMMYFUNCTION("""COMPUTED_VALUE"""),135.56)</f>
        <v>135.56</v>
      </c>
      <c r="E168" s="3">
        <f ca="1">IFERROR(__xludf.DUMMYFUNCTION("""COMPUTED_VALUE"""),43705.6666666666)</f>
        <v>43705.666666666599</v>
      </c>
      <c r="F168" s="2">
        <f ca="1">IFERROR(__xludf.DUMMYFUNCTION("""COMPUTED_VALUE"""),1764.25)</f>
        <v>1764.25</v>
      </c>
      <c r="G168" s="3">
        <f ca="1">IFERROR(__xludf.DUMMYFUNCTION("""COMPUTED_VALUE"""),43705.6666666666)</f>
        <v>43705.666666666599</v>
      </c>
      <c r="H168" s="2">
        <f ca="1">IFERROR(__xludf.DUMMYFUNCTION("""COMPUTED_VALUE"""),1173.75)</f>
        <v>1173.75</v>
      </c>
      <c r="I168" s="3">
        <f ca="1">IFERROR(__xludf.DUMMYFUNCTION("""COMPUTED_VALUE"""),43705.6666666666)</f>
        <v>43705.666666666599</v>
      </c>
      <c r="J168" s="2">
        <f ca="1">IFERROR(__xludf.DUMMYFUNCTION("""COMPUTED_VALUE"""),1171.02)</f>
        <v>1171.02</v>
      </c>
      <c r="K168" s="3">
        <f ca="1">IFERROR(__xludf.DUMMYFUNCTION("""COMPUTED_VALUE"""),43705.6666666666)</f>
        <v>43705.666666666599</v>
      </c>
      <c r="L168" s="2">
        <f ca="1">IFERROR(__xludf.DUMMYFUNCTION("""COMPUTED_VALUE"""),181.76)</f>
        <v>181.76</v>
      </c>
      <c r="M168" s="3">
        <f ca="1">IFERROR(__xludf.DUMMYFUNCTION("""COMPUTED_VALUE"""),43705.6666666666)</f>
        <v>43705.666666666599</v>
      </c>
      <c r="N168" s="2">
        <f ca="1">IFERROR(__xludf.DUMMYFUNCTION("""COMPUTED_VALUE"""),43.12)</f>
        <v>43.12</v>
      </c>
      <c r="O168" s="3">
        <f ca="1">IFERROR(__xludf.DUMMYFUNCTION("""COMPUTED_VALUE"""),43705.6666666666)</f>
        <v>43705.666666666599</v>
      </c>
      <c r="P168" s="2">
        <f ca="1">IFERROR(__xludf.DUMMYFUNCTION("""COMPUTED_VALUE"""),40.31)</f>
        <v>40.31</v>
      </c>
      <c r="Q168" s="3">
        <f ca="1">IFERROR(__xludf.DUMMYFUNCTION("""COMPUTED_VALUE"""),43705.6666666666)</f>
        <v>43705.666666666599</v>
      </c>
      <c r="R168" s="2">
        <f ca="1">IFERROR(__xludf.DUMMYFUNCTION("""COMPUTED_VALUE"""),200.45)</f>
        <v>200.45</v>
      </c>
      <c r="S168" s="3">
        <f ca="1">IFERROR(__xludf.DUMMYFUNCTION("""COMPUTED_VALUE"""),43705.6666666666)</f>
        <v>43705.666666666599</v>
      </c>
      <c r="T168" s="2">
        <f ca="1">IFERROR(__xludf.DUMMYFUNCTION("""COMPUTED_VALUE"""),128.68)</f>
        <v>128.68</v>
      </c>
    </row>
    <row r="169" spans="1:20">
      <c r="A169" s="3">
        <f ca="1">IFERROR(__xludf.DUMMYFUNCTION("""COMPUTED_VALUE"""),43706.6666666666)</f>
        <v>43706.666666666599</v>
      </c>
      <c r="B169" s="2">
        <f ca="1">IFERROR(__xludf.DUMMYFUNCTION("""COMPUTED_VALUE"""),52.25)</f>
        <v>52.25</v>
      </c>
      <c r="C169" s="3">
        <f ca="1">IFERROR(__xludf.DUMMYFUNCTION("""COMPUTED_VALUE"""),43706.6666666666)</f>
        <v>43706.666666666599</v>
      </c>
      <c r="D169" s="2">
        <f ca="1">IFERROR(__xludf.DUMMYFUNCTION("""COMPUTED_VALUE"""),138.12)</f>
        <v>138.12</v>
      </c>
      <c r="E169" s="3">
        <f ca="1">IFERROR(__xludf.DUMMYFUNCTION("""COMPUTED_VALUE"""),43706.6666666666)</f>
        <v>43706.666666666599</v>
      </c>
      <c r="F169" s="2">
        <f ca="1">IFERROR(__xludf.DUMMYFUNCTION("""COMPUTED_VALUE"""),1786.4)</f>
        <v>1786.4</v>
      </c>
      <c r="G169" s="3">
        <f ca="1">IFERROR(__xludf.DUMMYFUNCTION("""COMPUTED_VALUE"""),43706.6666666666)</f>
        <v>43706.666666666599</v>
      </c>
      <c r="H169" s="2">
        <f ca="1">IFERROR(__xludf.DUMMYFUNCTION("""COMPUTED_VALUE"""),1194.24)</f>
        <v>1194.24</v>
      </c>
      <c r="I169" s="3">
        <f ca="1">IFERROR(__xludf.DUMMYFUNCTION("""COMPUTED_VALUE"""),43706.6666666666)</f>
        <v>43706.666666666599</v>
      </c>
      <c r="J169" s="2">
        <f ca="1">IFERROR(__xludf.DUMMYFUNCTION("""COMPUTED_VALUE"""),1192.85)</f>
        <v>1192.8499999999999</v>
      </c>
      <c r="K169" s="3">
        <f ca="1">IFERROR(__xludf.DUMMYFUNCTION("""COMPUTED_VALUE"""),43706.6666666666)</f>
        <v>43706.666666666599</v>
      </c>
      <c r="L169" s="2">
        <f ca="1">IFERROR(__xludf.DUMMYFUNCTION("""COMPUTED_VALUE"""),185.57)</f>
        <v>185.57</v>
      </c>
      <c r="M169" s="3">
        <f ca="1">IFERROR(__xludf.DUMMYFUNCTION("""COMPUTED_VALUE"""),43706.6666666666)</f>
        <v>43706.666666666599</v>
      </c>
      <c r="N169" s="2">
        <f ca="1">IFERROR(__xludf.DUMMYFUNCTION("""COMPUTED_VALUE"""),44.34)</f>
        <v>44.34</v>
      </c>
      <c r="O169" s="3">
        <f ca="1">IFERROR(__xludf.DUMMYFUNCTION("""COMPUTED_VALUE"""),43706.6666666666)</f>
        <v>43706.666666666599</v>
      </c>
      <c r="P169" s="2">
        <f ca="1">IFERROR(__xludf.DUMMYFUNCTION("""COMPUTED_VALUE"""),41.75)</f>
        <v>41.75</v>
      </c>
      <c r="Q169" s="3">
        <f ca="1">IFERROR(__xludf.DUMMYFUNCTION("""COMPUTED_VALUE"""),43706.6666666666)</f>
        <v>43706.666666666599</v>
      </c>
      <c r="R169" s="2">
        <f ca="1">IFERROR(__xludf.DUMMYFUNCTION("""COMPUTED_VALUE"""),203.2)</f>
        <v>203.2</v>
      </c>
      <c r="S169" s="3">
        <f ca="1">IFERROR(__xludf.DUMMYFUNCTION("""COMPUTED_VALUE"""),43706.6666666666)</f>
        <v>43706.666666666599</v>
      </c>
      <c r="T169" s="2">
        <f ca="1">IFERROR(__xludf.DUMMYFUNCTION("""COMPUTED_VALUE"""),128.24)</f>
        <v>128.24</v>
      </c>
    </row>
    <row r="170" spans="1:20">
      <c r="A170" s="3">
        <f ca="1">IFERROR(__xludf.DUMMYFUNCTION("""COMPUTED_VALUE"""),43707.6666666666)</f>
        <v>43707.666666666599</v>
      </c>
      <c r="B170" s="2">
        <f ca="1">IFERROR(__xludf.DUMMYFUNCTION("""COMPUTED_VALUE"""),52.19)</f>
        <v>52.19</v>
      </c>
      <c r="C170" s="3">
        <f ca="1">IFERROR(__xludf.DUMMYFUNCTION("""COMPUTED_VALUE"""),43707.6666666666)</f>
        <v>43707.666666666599</v>
      </c>
      <c r="D170" s="2">
        <f ca="1">IFERROR(__xludf.DUMMYFUNCTION("""COMPUTED_VALUE"""),137.86)</f>
        <v>137.86000000000001</v>
      </c>
      <c r="E170" s="3">
        <f ca="1">IFERROR(__xludf.DUMMYFUNCTION("""COMPUTED_VALUE"""),43707.6666666666)</f>
        <v>43707.666666666599</v>
      </c>
      <c r="F170" s="2">
        <f ca="1">IFERROR(__xludf.DUMMYFUNCTION("""COMPUTED_VALUE"""),1776.29)</f>
        <v>1776.29</v>
      </c>
      <c r="G170" s="3">
        <f ca="1">IFERROR(__xludf.DUMMYFUNCTION("""COMPUTED_VALUE"""),43707.6666666666)</f>
        <v>43707.666666666599</v>
      </c>
      <c r="H170" s="2">
        <f ca="1">IFERROR(__xludf.DUMMYFUNCTION("""COMPUTED_VALUE"""),1190.53)</f>
        <v>1190.53</v>
      </c>
      <c r="I170" s="3">
        <f ca="1">IFERROR(__xludf.DUMMYFUNCTION("""COMPUTED_VALUE"""),43707.6666666666)</f>
        <v>43707.666666666599</v>
      </c>
      <c r="J170" s="2">
        <f ca="1">IFERROR(__xludf.DUMMYFUNCTION("""COMPUTED_VALUE"""),1188.1)</f>
        <v>1188.0999999999999</v>
      </c>
      <c r="K170" s="3">
        <f ca="1">IFERROR(__xludf.DUMMYFUNCTION("""COMPUTED_VALUE"""),43707.6666666666)</f>
        <v>43707.666666666599</v>
      </c>
      <c r="L170" s="2">
        <f ca="1">IFERROR(__xludf.DUMMYFUNCTION("""COMPUTED_VALUE"""),185.67)</f>
        <v>185.67</v>
      </c>
      <c r="M170" s="3">
        <f ca="1">IFERROR(__xludf.DUMMYFUNCTION("""COMPUTED_VALUE"""),43707.6666666666)</f>
        <v>43707.666666666599</v>
      </c>
      <c r="N170" s="2">
        <f ca="1">IFERROR(__xludf.DUMMYFUNCTION("""COMPUTED_VALUE"""),45.12)</f>
        <v>45.12</v>
      </c>
      <c r="O170" s="3">
        <f ca="1">IFERROR(__xludf.DUMMYFUNCTION("""COMPUTED_VALUE"""),43707.6666666666)</f>
        <v>43707.666666666599</v>
      </c>
      <c r="P170" s="2">
        <f ca="1">IFERROR(__xludf.DUMMYFUNCTION("""COMPUTED_VALUE"""),41.88)</f>
        <v>41.88</v>
      </c>
      <c r="Q170" s="3">
        <f ca="1">IFERROR(__xludf.DUMMYFUNCTION("""COMPUTED_VALUE"""),43707.6666666666)</f>
        <v>43707.666666666599</v>
      </c>
      <c r="R170" s="2">
        <f ca="1">IFERROR(__xludf.DUMMYFUNCTION("""COMPUTED_VALUE"""),203.41)</f>
        <v>203.41</v>
      </c>
      <c r="S170" s="3">
        <f ca="1">IFERROR(__xludf.DUMMYFUNCTION("""COMPUTED_VALUE"""),43707.6666666666)</f>
        <v>43707.666666666599</v>
      </c>
      <c r="T170" s="2">
        <f ca="1">IFERROR(__xludf.DUMMYFUNCTION("""COMPUTED_VALUE"""),128.36)</f>
        <v>128.36000000000001</v>
      </c>
    </row>
    <row r="171" spans="1:20">
      <c r="A171" s="3">
        <f ca="1">IFERROR(__xludf.DUMMYFUNCTION("""COMPUTED_VALUE"""),43711.6666666666)</f>
        <v>43711.666666666599</v>
      </c>
      <c r="B171" s="2">
        <f ca="1">IFERROR(__xludf.DUMMYFUNCTION("""COMPUTED_VALUE"""),51.43)</f>
        <v>51.43</v>
      </c>
      <c r="C171" s="3">
        <f ca="1">IFERROR(__xludf.DUMMYFUNCTION("""COMPUTED_VALUE"""),43711.6666666666)</f>
        <v>43711.666666666599</v>
      </c>
      <c r="D171" s="2">
        <f ca="1">IFERROR(__xludf.DUMMYFUNCTION("""COMPUTED_VALUE"""),136.04)</f>
        <v>136.04</v>
      </c>
      <c r="E171" s="3">
        <f ca="1">IFERROR(__xludf.DUMMYFUNCTION("""COMPUTED_VALUE"""),43711.6666666666)</f>
        <v>43711.666666666599</v>
      </c>
      <c r="F171" s="2">
        <f ca="1">IFERROR(__xludf.DUMMYFUNCTION("""COMPUTED_VALUE"""),1789.84)</f>
        <v>1789.84</v>
      </c>
      <c r="G171" s="3">
        <f ca="1">IFERROR(__xludf.DUMMYFUNCTION("""COMPUTED_VALUE"""),43711.6666666666)</f>
        <v>43711.666666666599</v>
      </c>
      <c r="H171" s="2">
        <f ca="1">IFERROR(__xludf.DUMMYFUNCTION("""COMPUTED_VALUE"""),1169.55)</f>
        <v>1169.55</v>
      </c>
      <c r="I171" s="3">
        <f ca="1">IFERROR(__xludf.DUMMYFUNCTION("""COMPUTED_VALUE"""),43711.6666666666)</f>
        <v>43711.666666666599</v>
      </c>
      <c r="J171" s="2">
        <f ca="1">IFERROR(__xludf.DUMMYFUNCTION("""COMPUTED_VALUE"""),1168.39)</f>
        <v>1168.3900000000001</v>
      </c>
      <c r="K171" s="3">
        <f ca="1">IFERROR(__xludf.DUMMYFUNCTION("""COMPUTED_VALUE"""),43711.6666666666)</f>
        <v>43711.666666666599</v>
      </c>
      <c r="L171" s="2">
        <f ca="1">IFERROR(__xludf.DUMMYFUNCTION("""COMPUTED_VALUE"""),182.39)</f>
        <v>182.39</v>
      </c>
      <c r="M171" s="3">
        <f ca="1">IFERROR(__xludf.DUMMYFUNCTION("""COMPUTED_VALUE"""),43711.6666666666)</f>
        <v>43711.666666666599</v>
      </c>
      <c r="N171" s="2">
        <f ca="1">IFERROR(__xludf.DUMMYFUNCTION("""COMPUTED_VALUE"""),45)</f>
        <v>45</v>
      </c>
      <c r="O171" s="3">
        <f ca="1">IFERROR(__xludf.DUMMYFUNCTION("""COMPUTED_VALUE"""),43711.6666666666)</f>
        <v>43711.666666666599</v>
      </c>
      <c r="P171" s="2">
        <f ca="1">IFERROR(__xludf.DUMMYFUNCTION("""COMPUTED_VALUE"""),41.04)</f>
        <v>41.04</v>
      </c>
      <c r="Q171" s="3">
        <f ca="1">IFERROR(__xludf.DUMMYFUNCTION("""COMPUTED_VALUE"""),43711.6666666666)</f>
        <v>43711.666666666599</v>
      </c>
      <c r="R171" s="2">
        <f ca="1">IFERROR(__xludf.DUMMYFUNCTION("""COMPUTED_VALUE"""),200.9)</f>
        <v>200.9</v>
      </c>
      <c r="S171" s="3">
        <f ca="1">IFERROR(__xludf.DUMMYFUNCTION("""COMPUTED_VALUE"""),43711.6666666666)</f>
        <v>43711.666666666599</v>
      </c>
      <c r="T171" s="2">
        <f ca="1">IFERROR(__xludf.DUMMYFUNCTION("""COMPUTED_VALUE"""),128.74)</f>
        <v>128.74</v>
      </c>
    </row>
    <row r="172" spans="1:20">
      <c r="A172" s="3">
        <f ca="1">IFERROR(__xludf.DUMMYFUNCTION("""COMPUTED_VALUE"""),43712.6666666666)</f>
        <v>43712.666666666599</v>
      </c>
      <c r="B172" s="2">
        <f ca="1">IFERROR(__xludf.DUMMYFUNCTION("""COMPUTED_VALUE"""),52.3)</f>
        <v>52.3</v>
      </c>
      <c r="C172" s="3">
        <f ca="1">IFERROR(__xludf.DUMMYFUNCTION("""COMPUTED_VALUE"""),43712.6666666666)</f>
        <v>43712.666666666599</v>
      </c>
      <c r="D172" s="2">
        <f ca="1">IFERROR(__xludf.DUMMYFUNCTION("""COMPUTED_VALUE"""),137.63)</f>
        <v>137.63</v>
      </c>
      <c r="E172" s="3">
        <f ca="1">IFERROR(__xludf.DUMMYFUNCTION("""COMPUTED_VALUE"""),43712.6666666666)</f>
        <v>43712.666666666599</v>
      </c>
      <c r="F172" s="2">
        <f ca="1">IFERROR(__xludf.DUMMYFUNCTION("""COMPUTED_VALUE"""),1800.62)</f>
        <v>1800.62</v>
      </c>
      <c r="G172" s="3">
        <f ca="1">IFERROR(__xludf.DUMMYFUNCTION("""COMPUTED_VALUE"""),43712.6666666666)</f>
        <v>43712.666666666599</v>
      </c>
      <c r="H172" s="2">
        <f ca="1">IFERROR(__xludf.DUMMYFUNCTION("""COMPUTED_VALUE"""),1182.27)</f>
        <v>1182.27</v>
      </c>
      <c r="I172" s="3">
        <f ca="1">IFERROR(__xludf.DUMMYFUNCTION("""COMPUTED_VALUE"""),43712.6666666666)</f>
        <v>43712.666666666599</v>
      </c>
      <c r="J172" s="2">
        <f ca="1">IFERROR(__xludf.DUMMYFUNCTION("""COMPUTED_VALUE"""),1181.41)</f>
        <v>1181.4100000000001</v>
      </c>
      <c r="K172" s="3">
        <f ca="1">IFERROR(__xludf.DUMMYFUNCTION("""COMPUTED_VALUE"""),43712.6666666666)</f>
        <v>43712.666666666599</v>
      </c>
      <c r="L172" s="2">
        <f ca="1">IFERROR(__xludf.DUMMYFUNCTION("""COMPUTED_VALUE"""),187.14)</f>
        <v>187.14</v>
      </c>
      <c r="M172" s="3">
        <f ca="1">IFERROR(__xludf.DUMMYFUNCTION("""COMPUTED_VALUE"""),43712.6666666666)</f>
        <v>43712.666666666599</v>
      </c>
      <c r="N172" s="2">
        <f ca="1">IFERROR(__xludf.DUMMYFUNCTION("""COMPUTED_VALUE"""),44.14)</f>
        <v>44.14</v>
      </c>
      <c r="O172" s="3">
        <f ca="1">IFERROR(__xludf.DUMMYFUNCTION("""COMPUTED_VALUE"""),43712.6666666666)</f>
        <v>43712.666666666599</v>
      </c>
      <c r="P172" s="2">
        <f ca="1">IFERROR(__xludf.DUMMYFUNCTION("""COMPUTED_VALUE"""),42.19)</f>
        <v>42.19</v>
      </c>
      <c r="Q172" s="3">
        <f ca="1">IFERROR(__xludf.DUMMYFUNCTION("""COMPUTED_VALUE"""),43712.6666666666)</f>
        <v>43712.666666666599</v>
      </c>
      <c r="R172" s="2">
        <f ca="1">IFERROR(__xludf.DUMMYFUNCTION("""COMPUTED_VALUE"""),202.19)</f>
        <v>202.19</v>
      </c>
      <c r="S172" s="3">
        <f ca="1">IFERROR(__xludf.DUMMYFUNCTION("""COMPUTED_VALUE"""),43712.6666666666)</f>
        <v>43712.666666666599</v>
      </c>
      <c r="T172" s="2">
        <f ca="1">IFERROR(__xludf.DUMMYFUNCTION("""COMPUTED_VALUE"""),128.86)</f>
        <v>128.86000000000001</v>
      </c>
    </row>
    <row r="173" spans="1:20">
      <c r="A173" s="3">
        <f ca="1">IFERROR(__xludf.DUMMYFUNCTION("""COMPUTED_VALUE"""),43713.6666666666)</f>
        <v>43713.666666666599</v>
      </c>
      <c r="B173" s="2">
        <f ca="1">IFERROR(__xludf.DUMMYFUNCTION("""COMPUTED_VALUE"""),53.32)</f>
        <v>53.32</v>
      </c>
      <c r="C173" s="3">
        <f ca="1">IFERROR(__xludf.DUMMYFUNCTION("""COMPUTED_VALUE"""),43713.6666666666)</f>
        <v>43713.666666666599</v>
      </c>
      <c r="D173" s="2">
        <f ca="1">IFERROR(__xludf.DUMMYFUNCTION("""COMPUTED_VALUE"""),140.05)</f>
        <v>140.05000000000001</v>
      </c>
      <c r="E173" s="3">
        <f ca="1">IFERROR(__xludf.DUMMYFUNCTION("""COMPUTED_VALUE"""),43713.6666666666)</f>
        <v>43713.666666666599</v>
      </c>
      <c r="F173" s="2">
        <f ca="1">IFERROR(__xludf.DUMMYFUNCTION("""COMPUTED_VALUE"""),1840.72)</f>
        <v>1840.72</v>
      </c>
      <c r="G173" s="3">
        <f ca="1">IFERROR(__xludf.DUMMYFUNCTION("""COMPUTED_VALUE"""),43713.6666666666)</f>
        <v>43713.666666666599</v>
      </c>
      <c r="H173" s="2">
        <f ca="1">IFERROR(__xludf.DUMMYFUNCTION("""COMPUTED_VALUE"""),1212.19)</f>
        <v>1212.19</v>
      </c>
      <c r="I173" s="3">
        <f ca="1">IFERROR(__xludf.DUMMYFUNCTION("""COMPUTED_VALUE"""),43713.6666666666)</f>
        <v>43713.666666666599</v>
      </c>
      <c r="J173" s="2">
        <f ca="1">IFERROR(__xludf.DUMMYFUNCTION("""COMPUTED_VALUE"""),1211.38)</f>
        <v>1211.3800000000001</v>
      </c>
      <c r="K173" s="3">
        <f ca="1">IFERROR(__xludf.DUMMYFUNCTION("""COMPUTED_VALUE"""),43713.6666666666)</f>
        <v>43713.666666666599</v>
      </c>
      <c r="L173" s="2">
        <f ca="1">IFERROR(__xludf.DUMMYFUNCTION("""COMPUTED_VALUE"""),190.9)</f>
        <v>190.9</v>
      </c>
      <c r="M173" s="3">
        <f ca="1">IFERROR(__xludf.DUMMYFUNCTION("""COMPUTED_VALUE"""),43713.6666666666)</f>
        <v>43713.666666666599</v>
      </c>
      <c r="N173" s="2">
        <f ca="1">IFERROR(__xludf.DUMMYFUNCTION("""COMPUTED_VALUE"""),45.92)</f>
        <v>45.92</v>
      </c>
      <c r="O173" s="3">
        <f ca="1">IFERROR(__xludf.DUMMYFUNCTION("""COMPUTED_VALUE"""),43713.6666666666)</f>
        <v>43713.666666666599</v>
      </c>
      <c r="P173" s="2">
        <f ca="1">IFERROR(__xludf.DUMMYFUNCTION("""COMPUTED_VALUE"""),44.94)</f>
        <v>44.94</v>
      </c>
      <c r="Q173" s="3">
        <f ca="1">IFERROR(__xludf.DUMMYFUNCTION("""COMPUTED_VALUE"""),43713.6666666666)</f>
        <v>43713.666666666599</v>
      </c>
      <c r="R173" s="2">
        <f ca="1">IFERROR(__xludf.DUMMYFUNCTION("""COMPUTED_VALUE"""),204.24)</f>
        <v>204.24</v>
      </c>
      <c r="S173" s="3">
        <f ca="1">IFERROR(__xludf.DUMMYFUNCTION("""COMPUTED_VALUE"""),43713.6666666666)</f>
        <v>43713.666666666599</v>
      </c>
      <c r="T173" s="2">
        <f ca="1">IFERROR(__xludf.DUMMYFUNCTION("""COMPUTED_VALUE"""),128.58)</f>
        <v>128.58000000000001</v>
      </c>
    </row>
    <row r="174" spans="1:20">
      <c r="A174" s="3">
        <f ca="1">IFERROR(__xludf.DUMMYFUNCTION("""COMPUTED_VALUE"""),43714.6666666666)</f>
        <v>43714.666666666599</v>
      </c>
      <c r="B174" s="2">
        <f ca="1">IFERROR(__xludf.DUMMYFUNCTION("""COMPUTED_VALUE"""),53.32)</f>
        <v>53.32</v>
      </c>
      <c r="C174" s="3">
        <f ca="1">IFERROR(__xludf.DUMMYFUNCTION("""COMPUTED_VALUE"""),43714.6666666666)</f>
        <v>43714.666666666599</v>
      </c>
      <c r="D174" s="2">
        <f ca="1">IFERROR(__xludf.DUMMYFUNCTION("""COMPUTED_VALUE"""),139.1)</f>
        <v>139.1</v>
      </c>
      <c r="E174" s="3">
        <f ca="1">IFERROR(__xludf.DUMMYFUNCTION("""COMPUTED_VALUE"""),43714.6666666666)</f>
        <v>43714.666666666599</v>
      </c>
      <c r="F174" s="2">
        <f ca="1">IFERROR(__xludf.DUMMYFUNCTION("""COMPUTED_VALUE"""),1833.51)</f>
        <v>1833.51</v>
      </c>
      <c r="G174" s="3">
        <f ca="1">IFERROR(__xludf.DUMMYFUNCTION("""COMPUTED_VALUE"""),43714.6666666666)</f>
        <v>43714.666666666599</v>
      </c>
      <c r="H174" s="2">
        <f ca="1">IFERROR(__xludf.DUMMYFUNCTION("""COMPUTED_VALUE"""),1206.32)</f>
        <v>1206.32</v>
      </c>
      <c r="I174" s="3">
        <f ca="1">IFERROR(__xludf.DUMMYFUNCTION("""COMPUTED_VALUE"""),43714.6666666666)</f>
        <v>43714.666666666599</v>
      </c>
      <c r="J174" s="2">
        <f ca="1">IFERROR(__xludf.DUMMYFUNCTION("""COMPUTED_VALUE"""),1204.93)</f>
        <v>1204.93</v>
      </c>
      <c r="K174" s="3">
        <f ca="1">IFERROR(__xludf.DUMMYFUNCTION("""COMPUTED_VALUE"""),43714.6666666666)</f>
        <v>43714.666666666599</v>
      </c>
      <c r="L174" s="2">
        <f ca="1">IFERROR(__xludf.DUMMYFUNCTION("""COMPUTED_VALUE"""),187.49)</f>
        <v>187.49</v>
      </c>
      <c r="M174" s="3">
        <f ca="1">IFERROR(__xludf.DUMMYFUNCTION("""COMPUTED_VALUE"""),43714.6666666666)</f>
        <v>43714.666666666599</v>
      </c>
      <c r="N174" s="2">
        <f ca="1">IFERROR(__xludf.DUMMYFUNCTION("""COMPUTED_VALUE"""),45.49)</f>
        <v>45.49</v>
      </c>
      <c r="O174" s="3">
        <f ca="1">IFERROR(__xludf.DUMMYFUNCTION("""COMPUTED_VALUE"""),43714.6666666666)</f>
        <v>43714.666666666599</v>
      </c>
      <c r="P174" s="2">
        <f ca="1">IFERROR(__xludf.DUMMYFUNCTION("""COMPUTED_VALUE"""),44.66)</f>
        <v>44.66</v>
      </c>
      <c r="Q174" s="3">
        <f ca="1">IFERROR(__xludf.DUMMYFUNCTION("""COMPUTED_VALUE"""),43714.6666666666)</f>
        <v>43714.666666666599</v>
      </c>
      <c r="R174" s="2">
        <f ca="1">IFERROR(__xludf.DUMMYFUNCTION("""COMPUTED_VALUE"""),204.73)</f>
        <v>204.73</v>
      </c>
      <c r="S174" s="3">
        <f ca="1">IFERROR(__xludf.DUMMYFUNCTION("""COMPUTED_VALUE"""),43714.6666666666)</f>
        <v>43714.666666666599</v>
      </c>
      <c r="T174" s="2">
        <f ca="1">IFERROR(__xludf.DUMMYFUNCTION("""COMPUTED_VALUE"""),128.21)</f>
        <v>128.21</v>
      </c>
    </row>
    <row r="175" spans="1:20">
      <c r="A175" s="3">
        <f ca="1">IFERROR(__xludf.DUMMYFUNCTION("""COMPUTED_VALUE"""),43717.6666666666)</f>
        <v>43717.666666666599</v>
      </c>
      <c r="B175" s="2">
        <f ca="1">IFERROR(__xludf.DUMMYFUNCTION("""COMPUTED_VALUE"""),53.54)</f>
        <v>53.54</v>
      </c>
      <c r="C175" s="3">
        <f ca="1">IFERROR(__xludf.DUMMYFUNCTION("""COMPUTED_VALUE"""),43717.6666666666)</f>
        <v>43717.666666666599</v>
      </c>
      <c r="D175" s="2">
        <f ca="1">IFERROR(__xludf.DUMMYFUNCTION("""COMPUTED_VALUE"""),137.52)</f>
        <v>137.52000000000001</v>
      </c>
      <c r="E175" s="3">
        <f ca="1">IFERROR(__xludf.DUMMYFUNCTION("""COMPUTED_VALUE"""),43717.6666666666)</f>
        <v>43717.666666666599</v>
      </c>
      <c r="F175" s="2">
        <f ca="1">IFERROR(__xludf.DUMMYFUNCTION("""COMPUTED_VALUE"""),1831.35)</f>
        <v>1831.35</v>
      </c>
      <c r="G175" s="3">
        <f ca="1">IFERROR(__xludf.DUMMYFUNCTION("""COMPUTED_VALUE"""),43717.6666666666)</f>
        <v>43717.666666666599</v>
      </c>
      <c r="H175" s="2">
        <f ca="1">IFERROR(__xludf.DUMMYFUNCTION("""COMPUTED_VALUE"""),1205.27)</f>
        <v>1205.27</v>
      </c>
      <c r="I175" s="3">
        <f ca="1">IFERROR(__xludf.DUMMYFUNCTION("""COMPUTED_VALUE"""),43717.6666666666)</f>
        <v>43717.666666666599</v>
      </c>
      <c r="J175" s="2">
        <f ca="1">IFERROR(__xludf.DUMMYFUNCTION("""COMPUTED_VALUE"""),1204.41)</f>
        <v>1204.4100000000001</v>
      </c>
      <c r="K175" s="3">
        <f ca="1">IFERROR(__xludf.DUMMYFUNCTION("""COMPUTED_VALUE"""),43717.6666666666)</f>
        <v>43717.666666666599</v>
      </c>
      <c r="L175" s="2">
        <f ca="1">IFERROR(__xludf.DUMMYFUNCTION("""COMPUTED_VALUE"""),188.76)</f>
        <v>188.76</v>
      </c>
      <c r="M175" s="3">
        <f ca="1">IFERROR(__xludf.DUMMYFUNCTION("""COMPUTED_VALUE"""),43717.6666666666)</f>
        <v>43717.666666666599</v>
      </c>
      <c r="N175" s="2">
        <f ca="1">IFERROR(__xludf.DUMMYFUNCTION("""COMPUTED_VALUE"""),46.36)</f>
        <v>46.36</v>
      </c>
      <c r="O175" s="3">
        <f ca="1">IFERROR(__xludf.DUMMYFUNCTION("""COMPUTED_VALUE"""),43717.6666666666)</f>
        <v>43717.666666666599</v>
      </c>
      <c r="P175" s="2">
        <f ca="1">IFERROR(__xludf.DUMMYFUNCTION("""COMPUTED_VALUE"""),45.13)</f>
        <v>45.13</v>
      </c>
      <c r="Q175" s="3">
        <f ca="1">IFERROR(__xludf.DUMMYFUNCTION("""COMPUTED_VALUE"""),43717.6666666666)</f>
        <v>43717.666666666599</v>
      </c>
      <c r="R175" s="2">
        <f ca="1">IFERROR(__xludf.DUMMYFUNCTION("""COMPUTED_VALUE"""),206.62)</f>
        <v>206.62</v>
      </c>
      <c r="S175" s="3">
        <f ca="1">IFERROR(__xludf.DUMMYFUNCTION("""COMPUTED_VALUE"""),43717.6666666666)</f>
        <v>43717.666666666599</v>
      </c>
      <c r="T175" s="2">
        <f ca="1">IFERROR(__xludf.DUMMYFUNCTION("""COMPUTED_VALUE"""),126.95)</f>
        <v>126.95</v>
      </c>
    </row>
    <row r="176" spans="1:20">
      <c r="A176" s="3">
        <f ca="1">IFERROR(__xludf.DUMMYFUNCTION("""COMPUTED_VALUE"""),43718.6666666666)</f>
        <v>43718.666666666599</v>
      </c>
      <c r="B176" s="2">
        <f ca="1">IFERROR(__xludf.DUMMYFUNCTION("""COMPUTED_VALUE"""),54.18)</f>
        <v>54.18</v>
      </c>
      <c r="C176" s="3">
        <f ca="1">IFERROR(__xludf.DUMMYFUNCTION("""COMPUTED_VALUE"""),43718.6666666666)</f>
        <v>43718.666666666599</v>
      </c>
      <c r="D176" s="2">
        <f ca="1">IFERROR(__xludf.DUMMYFUNCTION("""COMPUTED_VALUE"""),136.08)</f>
        <v>136.08000000000001</v>
      </c>
      <c r="E176" s="3">
        <f ca="1">IFERROR(__xludf.DUMMYFUNCTION("""COMPUTED_VALUE"""),43718.6666666666)</f>
        <v>43718.666666666599</v>
      </c>
      <c r="F176" s="2">
        <f ca="1">IFERROR(__xludf.DUMMYFUNCTION("""COMPUTED_VALUE"""),1820.55)</f>
        <v>1820.55</v>
      </c>
      <c r="G176" s="3">
        <f ca="1">IFERROR(__xludf.DUMMYFUNCTION("""COMPUTED_VALUE"""),43718.6666666666)</f>
        <v>43718.666666666599</v>
      </c>
      <c r="H176" s="2">
        <f ca="1">IFERROR(__xludf.DUMMYFUNCTION("""COMPUTED_VALUE"""),1205.7)</f>
        <v>1205.7</v>
      </c>
      <c r="I176" s="3">
        <f ca="1">IFERROR(__xludf.DUMMYFUNCTION("""COMPUTED_VALUE"""),43718.6666666666)</f>
        <v>43718.666666666599</v>
      </c>
      <c r="J176" s="2">
        <f ca="1">IFERROR(__xludf.DUMMYFUNCTION("""COMPUTED_VALUE"""),1206)</f>
        <v>1206</v>
      </c>
      <c r="K176" s="3">
        <f ca="1">IFERROR(__xludf.DUMMYFUNCTION("""COMPUTED_VALUE"""),43718.6666666666)</f>
        <v>43718.666666666599</v>
      </c>
      <c r="L176" s="2">
        <f ca="1">IFERROR(__xludf.DUMMYFUNCTION("""COMPUTED_VALUE"""),186.17)</f>
        <v>186.17</v>
      </c>
      <c r="M176" s="3">
        <f ca="1">IFERROR(__xludf.DUMMYFUNCTION("""COMPUTED_VALUE"""),43718.6666666666)</f>
        <v>43718.666666666599</v>
      </c>
      <c r="N176" s="2">
        <f ca="1">IFERROR(__xludf.DUMMYFUNCTION("""COMPUTED_VALUE"""),47.11)</f>
        <v>47.11</v>
      </c>
      <c r="O176" s="3">
        <f ca="1">IFERROR(__xludf.DUMMYFUNCTION("""COMPUTED_VALUE"""),43718.6666666666)</f>
        <v>43718.666666666599</v>
      </c>
      <c r="P176" s="2">
        <f ca="1">IFERROR(__xludf.DUMMYFUNCTION("""COMPUTED_VALUE"""),45.8)</f>
        <v>45.8</v>
      </c>
      <c r="Q176" s="3">
        <f ca="1">IFERROR(__xludf.DUMMYFUNCTION("""COMPUTED_VALUE"""),43718.6666666666)</f>
        <v>43718.666666666599</v>
      </c>
      <c r="R176" s="2">
        <f ca="1">IFERROR(__xludf.DUMMYFUNCTION("""COMPUTED_VALUE"""),208.31)</f>
        <v>208.31</v>
      </c>
      <c r="S176" s="3">
        <f ca="1">IFERROR(__xludf.DUMMYFUNCTION("""COMPUTED_VALUE"""),43718.6666666666)</f>
        <v>43718.666666666599</v>
      </c>
      <c r="T176" s="2">
        <f ca="1">IFERROR(__xludf.DUMMYFUNCTION("""COMPUTED_VALUE"""),129.55)</f>
        <v>129.55000000000001</v>
      </c>
    </row>
    <row r="177" spans="1:20">
      <c r="A177" s="3">
        <f ca="1">IFERROR(__xludf.DUMMYFUNCTION("""COMPUTED_VALUE"""),43719.6666666666)</f>
        <v>43719.666666666599</v>
      </c>
      <c r="B177" s="2">
        <f ca="1">IFERROR(__xludf.DUMMYFUNCTION("""COMPUTED_VALUE"""),55.9)</f>
        <v>55.9</v>
      </c>
      <c r="C177" s="3">
        <f ca="1">IFERROR(__xludf.DUMMYFUNCTION("""COMPUTED_VALUE"""),43719.6666666666)</f>
        <v>43719.666666666599</v>
      </c>
      <c r="D177" s="2">
        <f ca="1">IFERROR(__xludf.DUMMYFUNCTION("""COMPUTED_VALUE"""),136.12)</f>
        <v>136.12</v>
      </c>
      <c r="E177" s="3">
        <f ca="1">IFERROR(__xludf.DUMMYFUNCTION("""COMPUTED_VALUE"""),43719.6666666666)</f>
        <v>43719.666666666599</v>
      </c>
      <c r="F177" s="2">
        <f ca="1">IFERROR(__xludf.DUMMYFUNCTION("""COMPUTED_VALUE"""),1822.99)</f>
        <v>1822.99</v>
      </c>
      <c r="G177" s="3">
        <f ca="1">IFERROR(__xludf.DUMMYFUNCTION("""COMPUTED_VALUE"""),43719.6666666666)</f>
        <v>43719.666666666599</v>
      </c>
      <c r="H177" s="2">
        <f ca="1">IFERROR(__xludf.DUMMYFUNCTION("""COMPUTED_VALUE"""),1220)</f>
        <v>1220</v>
      </c>
      <c r="I177" s="3">
        <f ca="1">IFERROR(__xludf.DUMMYFUNCTION("""COMPUTED_VALUE"""),43719.6666666666)</f>
        <v>43719.666666666599</v>
      </c>
      <c r="J177" s="2">
        <f ca="1">IFERROR(__xludf.DUMMYFUNCTION("""COMPUTED_VALUE"""),1220.17)</f>
        <v>1220.17</v>
      </c>
      <c r="K177" s="3">
        <f ca="1">IFERROR(__xludf.DUMMYFUNCTION("""COMPUTED_VALUE"""),43719.6666666666)</f>
        <v>43719.666666666599</v>
      </c>
      <c r="L177" s="2">
        <f ca="1">IFERROR(__xludf.DUMMYFUNCTION("""COMPUTED_VALUE"""),188.49)</f>
        <v>188.49</v>
      </c>
      <c r="M177" s="3">
        <f ca="1">IFERROR(__xludf.DUMMYFUNCTION("""COMPUTED_VALUE"""),43719.6666666666)</f>
        <v>43719.666666666599</v>
      </c>
      <c r="N177" s="2">
        <f ca="1">IFERROR(__xludf.DUMMYFUNCTION("""COMPUTED_VALUE"""),49.42)</f>
        <v>49.42</v>
      </c>
      <c r="O177" s="3">
        <f ca="1">IFERROR(__xludf.DUMMYFUNCTION("""COMPUTED_VALUE"""),43719.6666666666)</f>
        <v>43719.666666666599</v>
      </c>
      <c r="P177" s="2">
        <f ca="1">IFERROR(__xludf.DUMMYFUNCTION("""COMPUTED_VALUE"""),46.08)</f>
        <v>46.08</v>
      </c>
      <c r="Q177" s="3">
        <f ca="1">IFERROR(__xludf.DUMMYFUNCTION("""COMPUTED_VALUE"""),43719.6666666666)</f>
        <v>43719.666666666599</v>
      </c>
      <c r="R177" s="2">
        <f ca="1">IFERROR(__xludf.DUMMYFUNCTION("""COMPUTED_VALUE"""),210.91)</f>
        <v>210.91</v>
      </c>
      <c r="S177" s="3">
        <f ca="1">IFERROR(__xludf.DUMMYFUNCTION("""COMPUTED_VALUE"""),43719.6666666666)</f>
        <v>43719.666666666599</v>
      </c>
      <c r="T177" s="2">
        <f ca="1">IFERROR(__xludf.DUMMYFUNCTION("""COMPUTED_VALUE"""),131.17)</f>
        <v>131.16999999999999</v>
      </c>
    </row>
    <row r="178" spans="1:20">
      <c r="A178" s="3">
        <f ca="1">IFERROR(__xludf.DUMMYFUNCTION("""COMPUTED_VALUE"""),43720.6666666666)</f>
        <v>43720.666666666599</v>
      </c>
      <c r="B178" s="2">
        <f ca="1">IFERROR(__xludf.DUMMYFUNCTION("""COMPUTED_VALUE"""),55.77)</f>
        <v>55.77</v>
      </c>
      <c r="C178" s="3">
        <f ca="1">IFERROR(__xludf.DUMMYFUNCTION("""COMPUTED_VALUE"""),43720.6666666666)</f>
        <v>43720.666666666599</v>
      </c>
      <c r="D178" s="2">
        <f ca="1">IFERROR(__xludf.DUMMYFUNCTION("""COMPUTED_VALUE"""),137.52)</f>
        <v>137.52000000000001</v>
      </c>
      <c r="E178" s="3">
        <f ca="1">IFERROR(__xludf.DUMMYFUNCTION("""COMPUTED_VALUE"""),43720.6666666666)</f>
        <v>43720.666666666599</v>
      </c>
      <c r="F178" s="2">
        <f ca="1">IFERROR(__xludf.DUMMYFUNCTION("""COMPUTED_VALUE"""),1843.55)</f>
        <v>1843.55</v>
      </c>
      <c r="G178" s="3">
        <f ca="1">IFERROR(__xludf.DUMMYFUNCTION("""COMPUTED_VALUE"""),43720.6666666666)</f>
        <v>43720.666666666599</v>
      </c>
      <c r="H178" s="2">
        <f ca="1">IFERROR(__xludf.DUMMYFUNCTION("""COMPUTED_VALUE"""),1234.97)</f>
        <v>1234.97</v>
      </c>
      <c r="I178" s="3">
        <f ca="1">IFERROR(__xludf.DUMMYFUNCTION("""COMPUTED_VALUE"""),43720.6666666666)</f>
        <v>43720.666666666599</v>
      </c>
      <c r="J178" s="2">
        <f ca="1">IFERROR(__xludf.DUMMYFUNCTION("""COMPUTED_VALUE"""),1234.25)</f>
        <v>1234.25</v>
      </c>
      <c r="K178" s="3">
        <f ca="1">IFERROR(__xludf.DUMMYFUNCTION("""COMPUTED_VALUE"""),43720.6666666666)</f>
        <v>43720.666666666599</v>
      </c>
      <c r="L178" s="2">
        <f ca="1">IFERROR(__xludf.DUMMYFUNCTION("""COMPUTED_VALUE"""),187.47)</f>
        <v>187.47</v>
      </c>
      <c r="M178" s="3">
        <f ca="1">IFERROR(__xludf.DUMMYFUNCTION("""COMPUTED_VALUE"""),43720.6666666666)</f>
        <v>43720.666666666599</v>
      </c>
      <c r="N178" s="2">
        <f ca="1">IFERROR(__xludf.DUMMYFUNCTION("""COMPUTED_VALUE"""),49.17)</f>
        <v>49.17</v>
      </c>
      <c r="O178" s="3">
        <f ca="1">IFERROR(__xludf.DUMMYFUNCTION("""COMPUTED_VALUE"""),43720.6666666666)</f>
        <v>43720.666666666599</v>
      </c>
      <c r="P178" s="2">
        <f ca="1">IFERROR(__xludf.DUMMYFUNCTION("""COMPUTED_VALUE"""),46.07)</f>
        <v>46.07</v>
      </c>
      <c r="Q178" s="3">
        <f ca="1">IFERROR(__xludf.DUMMYFUNCTION("""COMPUTED_VALUE"""),43720.6666666666)</f>
        <v>43720.666666666599</v>
      </c>
      <c r="R178" s="2">
        <f ca="1">IFERROR(__xludf.DUMMYFUNCTION("""COMPUTED_VALUE"""),211.37)</f>
        <v>211.37</v>
      </c>
      <c r="S178" s="3">
        <f ca="1">IFERROR(__xludf.DUMMYFUNCTION("""COMPUTED_VALUE"""),43720.6666666666)</f>
        <v>43720.666666666599</v>
      </c>
      <c r="T178" s="2">
        <f ca="1">IFERROR(__xludf.DUMMYFUNCTION("""COMPUTED_VALUE"""),130.43)</f>
        <v>130.43</v>
      </c>
    </row>
    <row r="179" spans="1:20">
      <c r="A179" s="3">
        <f ca="1">IFERROR(__xludf.DUMMYFUNCTION("""COMPUTED_VALUE"""),43721.6666666666)</f>
        <v>43721.666666666599</v>
      </c>
      <c r="B179" s="2">
        <f ca="1">IFERROR(__xludf.DUMMYFUNCTION("""COMPUTED_VALUE"""),54.69)</f>
        <v>54.69</v>
      </c>
      <c r="C179" s="3">
        <f ca="1">IFERROR(__xludf.DUMMYFUNCTION("""COMPUTED_VALUE"""),43721.6666666666)</f>
        <v>43721.666666666599</v>
      </c>
      <c r="D179" s="2">
        <f ca="1">IFERROR(__xludf.DUMMYFUNCTION("""COMPUTED_VALUE"""),137.32)</f>
        <v>137.32</v>
      </c>
      <c r="E179" s="3">
        <f ca="1">IFERROR(__xludf.DUMMYFUNCTION("""COMPUTED_VALUE"""),43721.6666666666)</f>
        <v>43721.666666666599</v>
      </c>
      <c r="F179" s="2">
        <f ca="1">IFERROR(__xludf.DUMMYFUNCTION("""COMPUTED_VALUE"""),1839.34)</f>
        <v>1839.34</v>
      </c>
      <c r="G179" s="3">
        <f ca="1">IFERROR(__xludf.DUMMYFUNCTION("""COMPUTED_VALUE"""),43721.6666666666)</f>
        <v>43721.666666666599</v>
      </c>
      <c r="H179" s="2">
        <f ca="1">IFERROR(__xludf.DUMMYFUNCTION("""COMPUTED_VALUE"""),1240.03)</f>
        <v>1240.03</v>
      </c>
      <c r="I179" s="3">
        <f ca="1">IFERROR(__xludf.DUMMYFUNCTION("""COMPUTED_VALUE"""),43721.6666666666)</f>
        <v>43721.666666666599</v>
      </c>
      <c r="J179" s="2">
        <f ca="1">IFERROR(__xludf.DUMMYFUNCTION("""COMPUTED_VALUE"""),1239.56)</f>
        <v>1239.56</v>
      </c>
      <c r="K179" s="3">
        <f ca="1">IFERROR(__xludf.DUMMYFUNCTION("""COMPUTED_VALUE"""),43721.6666666666)</f>
        <v>43721.666666666599</v>
      </c>
      <c r="L179" s="2">
        <f ca="1">IFERROR(__xludf.DUMMYFUNCTION("""COMPUTED_VALUE"""),187.19)</f>
        <v>187.19</v>
      </c>
      <c r="M179" s="3">
        <f ca="1">IFERROR(__xludf.DUMMYFUNCTION("""COMPUTED_VALUE"""),43721.6666666666)</f>
        <v>43721.666666666599</v>
      </c>
      <c r="N179" s="2">
        <f ca="1">IFERROR(__xludf.DUMMYFUNCTION("""COMPUTED_VALUE"""),49.04)</f>
        <v>49.04</v>
      </c>
      <c r="O179" s="3">
        <f ca="1">IFERROR(__xludf.DUMMYFUNCTION("""COMPUTED_VALUE"""),43721.6666666666)</f>
        <v>43721.666666666599</v>
      </c>
      <c r="P179" s="2">
        <f ca="1">IFERROR(__xludf.DUMMYFUNCTION("""COMPUTED_VALUE"""),45.49)</f>
        <v>45.49</v>
      </c>
      <c r="Q179" s="3">
        <f ca="1">IFERROR(__xludf.DUMMYFUNCTION("""COMPUTED_VALUE"""),43721.6666666666)</f>
        <v>43721.666666666599</v>
      </c>
      <c r="R179" s="2">
        <f ca="1">IFERROR(__xludf.DUMMYFUNCTION("""COMPUTED_VALUE"""),213.61)</f>
        <v>213.61</v>
      </c>
      <c r="S179" s="3">
        <f ca="1">IFERROR(__xludf.DUMMYFUNCTION("""COMPUTED_VALUE"""),43721.6666666666)</f>
        <v>43721.666666666599</v>
      </c>
      <c r="T179" s="2">
        <f ca="1">IFERROR(__xludf.DUMMYFUNCTION("""COMPUTED_VALUE"""),130.78)</f>
        <v>130.78</v>
      </c>
    </row>
    <row r="180" spans="1:20">
      <c r="A180" s="3">
        <f ca="1">IFERROR(__xludf.DUMMYFUNCTION("""COMPUTED_VALUE"""),43724.6666666666)</f>
        <v>43724.666666666599</v>
      </c>
      <c r="B180" s="2">
        <f ca="1">IFERROR(__xludf.DUMMYFUNCTION("""COMPUTED_VALUE"""),54.98)</f>
        <v>54.98</v>
      </c>
      <c r="C180" s="3">
        <f ca="1">IFERROR(__xludf.DUMMYFUNCTION("""COMPUTED_VALUE"""),43724.6666666666)</f>
        <v>43724.666666666599</v>
      </c>
      <c r="D180" s="2">
        <f ca="1">IFERROR(__xludf.DUMMYFUNCTION("""COMPUTED_VALUE"""),136.33)</f>
        <v>136.33000000000001</v>
      </c>
      <c r="E180" s="3">
        <f ca="1">IFERROR(__xludf.DUMMYFUNCTION("""COMPUTED_VALUE"""),43724.6666666666)</f>
        <v>43724.666666666599</v>
      </c>
      <c r="F180" s="2">
        <f ca="1">IFERROR(__xludf.DUMMYFUNCTION("""COMPUTED_VALUE"""),1807.84)</f>
        <v>1807.84</v>
      </c>
      <c r="G180" s="3">
        <f ca="1">IFERROR(__xludf.DUMMYFUNCTION("""COMPUTED_VALUE"""),43724.6666666666)</f>
        <v>43724.666666666599</v>
      </c>
      <c r="H180" s="2">
        <f ca="1">IFERROR(__xludf.DUMMYFUNCTION("""COMPUTED_VALUE"""),1231.63)</f>
        <v>1231.6300000000001</v>
      </c>
      <c r="I180" s="3">
        <f ca="1">IFERROR(__xludf.DUMMYFUNCTION("""COMPUTED_VALUE"""),43724.6666666666)</f>
        <v>43724.666666666599</v>
      </c>
      <c r="J180" s="2">
        <f ca="1">IFERROR(__xludf.DUMMYFUNCTION("""COMPUTED_VALUE"""),1231.3)</f>
        <v>1231.3</v>
      </c>
      <c r="K180" s="3">
        <f ca="1">IFERROR(__xludf.DUMMYFUNCTION("""COMPUTED_VALUE"""),43724.6666666666)</f>
        <v>43724.666666666599</v>
      </c>
      <c r="L180" s="2">
        <f ca="1">IFERROR(__xludf.DUMMYFUNCTION("""COMPUTED_VALUE"""),186.22)</f>
        <v>186.22</v>
      </c>
      <c r="M180" s="3">
        <f ca="1">IFERROR(__xludf.DUMMYFUNCTION("""COMPUTED_VALUE"""),43724.6666666666)</f>
        <v>43724.666666666599</v>
      </c>
      <c r="N180" s="2">
        <f ca="1">IFERROR(__xludf.DUMMYFUNCTION("""COMPUTED_VALUE"""),48.56)</f>
        <v>48.56</v>
      </c>
      <c r="O180" s="3">
        <f ca="1">IFERROR(__xludf.DUMMYFUNCTION("""COMPUTED_VALUE"""),43724.6666666666)</f>
        <v>43724.666666666599</v>
      </c>
      <c r="P180" s="2">
        <f ca="1">IFERROR(__xludf.DUMMYFUNCTION("""COMPUTED_VALUE"""),45.05)</f>
        <v>45.05</v>
      </c>
      <c r="Q180" s="3">
        <f ca="1">IFERROR(__xludf.DUMMYFUNCTION("""COMPUTED_VALUE"""),43724.6666666666)</f>
        <v>43724.666666666599</v>
      </c>
      <c r="R180" s="2">
        <f ca="1">IFERROR(__xludf.DUMMYFUNCTION("""COMPUTED_VALUE"""),210.33)</f>
        <v>210.33</v>
      </c>
      <c r="S180" s="3">
        <f ca="1">IFERROR(__xludf.DUMMYFUNCTION("""COMPUTED_VALUE"""),43724.6666666666)</f>
        <v>43724.666666666599</v>
      </c>
      <c r="T180" s="2">
        <f ca="1">IFERROR(__xludf.DUMMYFUNCTION("""COMPUTED_VALUE"""),129.54)</f>
        <v>129.54</v>
      </c>
    </row>
    <row r="181" spans="1:20">
      <c r="A181" s="3">
        <f ca="1">IFERROR(__xludf.DUMMYFUNCTION("""COMPUTED_VALUE"""),43725.6666666666)</f>
        <v>43725.666666666599</v>
      </c>
      <c r="B181" s="2">
        <f ca="1">IFERROR(__xludf.DUMMYFUNCTION("""COMPUTED_VALUE"""),55.18)</f>
        <v>55.18</v>
      </c>
      <c r="C181" s="3">
        <f ca="1">IFERROR(__xludf.DUMMYFUNCTION("""COMPUTED_VALUE"""),43725.6666666666)</f>
        <v>43725.666666666599</v>
      </c>
      <c r="D181" s="2">
        <f ca="1">IFERROR(__xludf.DUMMYFUNCTION("""COMPUTED_VALUE"""),137.39)</f>
        <v>137.38999999999999</v>
      </c>
      <c r="E181" s="3">
        <f ca="1">IFERROR(__xludf.DUMMYFUNCTION("""COMPUTED_VALUE"""),43725.6666666666)</f>
        <v>43725.666666666599</v>
      </c>
      <c r="F181" s="2">
        <f ca="1">IFERROR(__xludf.DUMMYFUNCTION("""COMPUTED_VALUE"""),1822.55)</f>
        <v>1822.55</v>
      </c>
      <c r="G181" s="3">
        <f ca="1">IFERROR(__xludf.DUMMYFUNCTION("""COMPUTED_VALUE"""),43725.6666666666)</f>
        <v>43725.666666666599</v>
      </c>
      <c r="H181" s="2">
        <f ca="1">IFERROR(__xludf.DUMMYFUNCTION("""COMPUTED_VALUE"""),1229.88)</f>
        <v>1229.8800000000001</v>
      </c>
      <c r="I181" s="3">
        <f ca="1">IFERROR(__xludf.DUMMYFUNCTION("""COMPUTED_VALUE"""),43725.6666666666)</f>
        <v>43725.666666666599</v>
      </c>
      <c r="J181" s="2">
        <f ca="1">IFERROR(__xludf.DUMMYFUNCTION("""COMPUTED_VALUE"""),1229.15)</f>
        <v>1229.1500000000001</v>
      </c>
      <c r="K181" s="3">
        <f ca="1">IFERROR(__xludf.DUMMYFUNCTION("""COMPUTED_VALUE"""),43725.6666666666)</f>
        <v>43725.666666666599</v>
      </c>
      <c r="L181" s="2">
        <f ca="1">IFERROR(__xludf.DUMMYFUNCTION("""COMPUTED_VALUE"""),188.08)</f>
        <v>188.08</v>
      </c>
      <c r="M181" s="3">
        <f ca="1">IFERROR(__xludf.DUMMYFUNCTION("""COMPUTED_VALUE"""),43725.6666666666)</f>
        <v>43725.666666666599</v>
      </c>
      <c r="N181" s="2">
        <f ca="1">IFERROR(__xludf.DUMMYFUNCTION("""COMPUTED_VALUE"""),48.96)</f>
        <v>48.96</v>
      </c>
      <c r="O181" s="3">
        <f ca="1">IFERROR(__xludf.DUMMYFUNCTION("""COMPUTED_VALUE"""),43725.6666666666)</f>
        <v>43725.666666666599</v>
      </c>
      <c r="P181" s="2">
        <f ca="1">IFERROR(__xludf.DUMMYFUNCTION("""COMPUTED_VALUE"""),45.27)</f>
        <v>45.27</v>
      </c>
      <c r="Q181" s="3">
        <f ca="1">IFERROR(__xludf.DUMMYFUNCTION("""COMPUTED_VALUE"""),43725.6666666666)</f>
        <v>43725.666666666599</v>
      </c>
      <c r="R181" s="2">
        <f ca="1">IFERROR(__xludf.DUMMYFUNCTION("""COMPUTED_VALUE"""),210.15)</f>
        <v>210.15</v>
      </c>
      <c r="S181" s="3">
        <f ca="1">IFERROR(__xludf.DUMMYFUNCTION("""COMPUTED_VALUE"""),43725.6666666666)</f>
        <v>43725.666666666599</v>
      </c>
      <c r="T181" s="2">
        <f ca="1">IFERROR(__xludf.DUMMYFUNCTION("""COMPUTED_VALUE"""),129.67)</f>
        <v>129.66999999999999</v>
      </c>
    </row>
    <row r="182" spans="1:20">
      <c r="A182" s="3">
        <f ca="1">IFERROR(__xludf.DUMMYFUNCTION("""COMPUTED_VALUE"""),43726.6666666666)</f>
        <v>43726.666666666599</v>
      </c>
      <c r="B182" s="2">
        <f ca="1">IFERROR(__xludf.DUMMYFUNCTION("""COMPUTED_VALUE"""),55.69)</f>
        <v>55.69</v>
      </c>
      <c r="C182" s="3">
        <f ca="1">IFERROR(__xludf.DUMMYFUNCTION("""COMPUTED_VALUE"""),43726.6666666666)</f>
        <v>43726.666666666599</v>
      </c>
      <c r="D182" s="2">
        <f ca="1">IFERROR(__xludf.DUMMYFUNCTION("""COMPUTED_VALUE"""),138.52)</f>
        <v>138.52000000000001</v>
      </c>
      <c r="E182" s="3">
        <f ca="1">IFERROR(__xludf.DUMMYFUNCTION("""COMPUTED_VALUE"""),43726.6666666666)</f>
        <v>43726.666666666599</v>
      </c>
      <c r="F182" s="2">
        <f ca="1">IFERROR(__xludf.DUMMYFUNCTION("""COMPUTED_VALUE"""),1817.46)</f>
        <v>1817.46</v>
      </c>
      <c r="G182" s="3">
        <f ca="1">IFERROR(__xludf.DUMMYFUNCTION("""COMPUTED_VALUE"""),43726.6666666666)</f>
        <v>43726.666666666599</v>
      </c>
      <c r="H182" s="2">
        <f ca="1">IFERROR(__xludf.DUMMYFUNCTION("""COMPUTED_VALUE"""),1232.65)</f>
        <v>1232.6500000000001</v>
      </c>
      <c r="I182" s="3">
        <f ca="1">IFERROR(__xludf.DUMMYFUNCTION("""COMPUTED_VALUE"""),43726.6666666666)</f>
        <v>43726.666666666599</v>
      </c>
      <c r="J182" s="2">
        <f ca="1">IFERROR(__xludf.DUMMYFUNCTION("""COMPUTED_VALUE"""),1232.41)</f>
        <v>1232.4100000000001</v>
      </c>
      <c r="K182" s="3">
        <f ca="1">IFERROR(__xludf.DUMMYFUNCTION("""COMPUTED_VALUE"""),43726.6666666666)</f>
        <v>43726.666666666599</v>
      </c>
      <c r="L182" s="2">
        <f ca="1">IFERROR(__xludf.DUMMYFUNCTION("""COMPUTED_VALUE"""),188.14)</f>
        <v>188.14</v>
      </c>
      <c r="M182" s="3">
        <f ca="1">IFERROR(__xludf.DUMMYFUNCTION("""COMPUTED_VALUE"""),43726.6666666666)</f>
        <v>43726.666666666599</v>
      </c>
      <c r="N182" s="2">
        <f ca="1">IFERROR(__xludf.DUMMYFUNCTION("""COMPUTED_VALUE"""),48.7)</f>
        <v>48.7</v>
      </c>
      <c r="O182" s="3">
        <f ca="1">IFERROR(__xludf.DUMMYFUNCTION("""COMPUTED_VALUE"""),43726.6666666666)</f>
        <v>43726.666666666599</v>
      </c>
      <c r="P182" s="2">
        <f ca="1">IFERROR(__xludf.DUMMYFUNCTION("""COMPUTED_VALUE"""),45)</f>
        <v>45</v>
      </c>
      <c r="Q182" s="3">
        <f ca="1">IFERROR(__xludf.DUMMYFUNCTION("""COMPUTED_VALUE"""),43726.6666666666)</f>
        <v>43726.666666666599</v>
      </c>
      <c r="R182" s="2">
        <f ca="1">IFERROR(__xludf.DUMMYFUNCTION("""COMPUTED_VALUE"""),210.9)</f>
        <v>210.9</v>
      </c>
      <c r="S182" s="3">
        <f ca="1">IFERROR(__xludf.DUMMYFUNCTION("""COMPUTED_VALUE"""),43726.6666666666)</f>
        <v>43726.666666666599</v>
      </c>
      <c r="T182" s="2">
        <f ca="1">IFERROR(__xludf.DUMMYFUNCTION("""COMPUTED_VALUE"""),130.41)</f>
        <v>130.41</v>
      </c>
    </row>
    <row r="183" spans="1:20">
      <c r="A183" s="3">
        <f ca="1">IFERROR(__xludf.DUMMYFUNCTION("""COMPUTED_VALUE"""),43727.6666666666)</f>
        <v>43727.666666666599</v>
      </c>
      <c r="B183" s="2">
        <f ca="1">IFERROR(__xludf.DUMMYFUNCTION("""COMPUTED_VALUE"""),55.24)</f>
        <v>55.24</v>
      </c>
      <c r="C183" s="3">
        <f ca="1">IFERROR(__xludf.DUMMYFUNCTION("""COMPUTED_VALUE"""),43727.6666666666)</f>
        <v>43727.666666666599</v>
      </c>
      <c r="D183" s="2">
        <f ca="1">IFERROR(__xludf.DUMMYFUNCTION("""COMPUTED_VALUE"""),141.07)</f>
        <v>141.07</v>
      </c>
      <c r="E183" s="3">
        <f ca="1">IFERROR(__xludf.DUMMYFUNCTION("""COMPUTED_VALUE"""),43727.6666666666)</f>
        <v>43727.666666666599</v>
      </c>
      <c r="F183" s="2">
        <f ca="1">IFERROR(__xludf.DUMMYFUNCTION("""COMPUTED_VALUE"""),1821.5)</f>
        <v>1821.5</v>
      </c>
      <c r="G183" s="3">
        <f ca="1">IFERROR(__xludf.DUMMYFUNCTION("""COMPUTED_VALUE"""),43727.6666666666)</f>
        <v>43727.666666666599</v>
      </c>
      <c r="H183" s="2">
        <f ca="1">IFERROR(__xludf.DUMMYFUNCTION("""COMPUTED_VALUE"""),1238.75)</f>
        <v>1238.75</v>
      </c>
      <c r="I183" s="3">
        <f ca="1">IFERROR(__xludf.DUMMYFUNCTION("""COMPUTED_VALUE"""),43727.6666666666)</f>
        <v>43727.666666666599</v>
      </c>
      <c r="J183" s="2">
        <f ca="1">IFERROR(__xludf.DUMMYFUNCTION("""COMPUTED_VALUE"""),1238.71)</f>
        <v>1238.71</v>
      </c>
      <c r="K183" s="3">
        <f ca="1">IFERROR(__xludf.DUMMYFUNCTION("""COMPUTED_VALUE"""),43727.6666666666)</f>
        <v>43727.666666666599</v>
      </c>
      <c r="L183" s="2">
        <f ca="1">IFERROR(__xludf.DUMMYFUNCTION("""COMPUTED_VALUE"""),190.14)</f>
        <v>190.14</v>
      </c>
      <c r="M183" s="3">
        <f ca="1">IFERROR(__xludf.DUMMYFUNCTION("""COMPUTED_VALUE"""),43727.6666666666)</f>
        <v>43727.666666666599</v>
      </c>
      <c r="N183" s="2">
        <f ca="1">IFERROR(__xludf.DUMMYFUNCTION("""COMPUTED_VALUE"""),49.32)</f>
        <v>49.32</v>
      </c>
      <c r="O183" s="3">
        <f ca="1">IFERROR(__xludf.DUMMYFUNCTION("""COMPUTED_VALUE"""),43727.6666666666)</f>
        <v>43727.666666666599</v>
      </c>
      <c r="P183" s="2">
        <f ca="1">IFERROR(__xludf.DUMMYFUNCTION("""COMPUTED_VALUE"""),44.24)</f>
        <v>44.24</v>
      </c>
      <c r="Q183" s="3">
        <f ca="1">IFERROR(__xludf.DUMMYFUNCTION("""COMPUTED_VALUE"""),43727.6666666666)</f>
        <v>43727.666666666599</v>
      </c>
      <c r="R183" s="2">
        <f ca="1">IFERROR(__xludf.DUMMYFUNCTION("""COMPUTED_VALUE"""),209.22)</f>
        <v>209.22</v>
      </c>
      <c r="S183" s="3">
        <f ca="1">IFERROR(__xludf.DUMMYFUNCTION("""COMPUTED_VALUE"""),43727.6666666666)</f>
        <v>43727.666666666599</v>
      </c>
      <c r="T183" s="2">
        <f ca="1">IFERROR(__xludf.DUMMYFUNCTION("""COMPUTED_VALUE"""),130.11)</f>
        <v>130.11000000000001</v>
      </c>
    </row>
    <row r="184" spans="1:20">
      <c r="A184" s="3">
        <f ca="1">IFERROR(__xludf.DUMMYFUNCTION("""COMPUTED_VALUE"""),43728.6666666666)</f>
        <v>43728.666666666599</v>
      </c>
      <c r="B184" s="2">
        <f ca="1">IFERROR(__xludf.DUMMYFUNCTION("""COMPUTED_VALUE"""),54.43)</f>
        <v>54.43</v>
      </c>
      <c r="C184" s="3">
        <f ca="1">IFERROR(__xludf.DUMMYFUNCTION("""COMPUTED_VALUE"""),43728.6666666666)</f>
        <v>43728.666666666599</v>
      </c>
      <c r="D184" s="2">
        <f ca="1">IFERROR(__xludf.DUMMYFUNCTION("""COMPUTED_VALUE"""),139.44)</f>
        <v>139.44</v>
      </c>
      <c r="E184" s="3">
        <f ca="1">IFERROR(__xludf.DUMMYFUNCTION("""COMPUTED_VALUE"""),43728.6666666666)</f>
        <v>43728.666666666599</v>
      </c>
      <c r="F184" s="2">
        <f ca="1">IFERROR(__xludf.DUMMYFUNCTION("""COMPUTED_VALUE"""),1794.16)</f>
        <v>1794.16</v>
      </c>
      <c r="G184" s="3">
        <f ca="1">IFERROR(__xludf.DUMMYFUNCTION("""COMPUTED_VALUE"""),43728.6666666666)</f>
        <v>43728.666666666599</v>
      </c>
      <c r="H184" s="2">
        <f ca="1">IFERROR(__xludf.DUMMYFUNCTION("""COMPUTED_VALUE"""),1229.84)</f>
        <v>1229.8399999999999</v>
      </c>
      <c r="I184" s="3">
        <f ca="1">IFERROR(__xludf.DUMMYFUNCTION("""COMPUTED_VALUE"""),43728.6666666666)</f>
        <v>43728.666666666599</v>
      </c>
      <c r="J184" s="2">
        <f ca="1">IFERROR(__xludf.DUMMYFUNCTION("""COMPUTED_VALUE"""),1229.93)</f>
        <v>1229.93</v>
      </c>
      <c r="K184" s="3">
        <f ca="1">IFERROR(__xludf.DUMMYFUNCTION("""COMPUTED_VALUE"""),43728.6666666666)</f>
        <v>43728.666666666599</v>
      </c>
      <c r="L184" s="2">
        <f ca="1">IFERROR(__xludf.DUMMYFUNCTION("""COMPUTED_VALUE"""),189.93)</f>
        <v>189.93</v>
      </c>
      <c r="M184" s="3">
        <f ca="1">IFERROR(__xludf.DUMMYFUNCTION("""COMPUTED_VALUE"""),43728.6666666666)</f>
        <v>43728.666666666599</v>
      </c>
      <c r="N184" s="2">
        <f ca="1">IFERROR(__xludf.DUMMYFUNCTION("""COMPUTED_VALUE"""),48.12)</f>
        <v>48.12</v>
      </c>
      <c r="O184" s="3">
        <f ca="1">IFERROR(__xludf.DUMMYFUNCTION("""COMPUTED_VALUE"""),43728.6666666666)</f>
        <v>43728.666666666599</v>
      </c>
      <c r="P184" s="2">
        <f ca="1">IFERROR(__xludf.DUMMYFUNCTION("""COMPUTED_VALUE"""),43.17)</f>
        <v>43.17</v>
      </c>
      <c r="Q184" s="3">
        <f ca="1">IFERROR(__xludf.DUMMYFUNCTION("""COMPUTED_VALUE"""),43728.6666666666)</f>
        <v>43728.666666666599</v>
      </c>
      <c r="R184" s="2">
        <f ca="1">IFERROR(__xludf.DUMMYFUNCTION("""COMPUTED_VALUE"""),208.12)</f>
        <v>208.12</v>
      </c>
      <c r="S184" s="3">
        <f ca="1">IFERROR(__xludf.DUMMYFUNCTION("""COMPUTED_VALUE"""),43728.6666666666)</f>
        <v>43728.666666666599</v>
      </c>
      <c r="T184" s="2">
        <f ca="1">IFERROR(__xludf.DUMMYFUNCTION("""COMPUTED_VALUE"""),131.65)</f>
        <v>131.65</v>
      </c>
    </row>
    <row r="185" spans="1:20">
      <c r="A185" s="3">
        <f ca="1">IFERROR(__xludf.DUMMYFUNCTION("""COMPUTED_VALUE"""),43731.6666666666)</f>
        <v>43731.666666666599</v>
      </c>
      <c r="B185" s="2">
        <f ca="1">IFERROR(__xludf.DUMMYFUNCTION("""COMPUTED_VALUE"""),54.68)</f>
        <v>54.68</v>
      </c>
      <c r="C185" s="3">
        <f ca="1">IFERROR(__xludf.DUMMYFUNCTION("""COMPUTED_VALUE"""),43731.6666666666)</f>
        <v>43731.666666666599</v>
      </c>
      <c r="D185" s="2">
        <f ca="1">IFERROR(__xludf.DUMMYFUNCTION("""COMPUTED_VALUE"""),139.14)</f>
        <v>139.13999999999999</v>
      </c>
      <c r="E185" s="3">
        <f ca="1">IFERROR(__xludf.DUMMYFUNCTION("""COMPUTED_VALUE"""),43731.6666666666)</f>
        <v>43731.666666666599</v>
      </c>
      <c r="F185" s="2">
        <f ca="1">IFERROR(__xludf.DUMMYFUNCTION("""COMPUTED_VALUE"""),1785.3)</f>
        <v>1785.3</v>
      </c>
      <c r="G185" s="3">
        <f ca="1">IFERROR(__xludf.DUMMYFUNCTION("""COMPUTED_VALUE"""),43731.6666666666)</f>
        <v>43731.666666666599</v>
      </c>
      <c r="H185" s="2">
        <f ca="1">IFERROR(__xludf.DUMMYFUNCTION("""COMPUTED_VALUE"""),1234.69)</f>
        <v>1234.69</v>
      </c>
      <c r="I185" s="3">
        <f ca="1">IFERROR(__xludf.DUMMYFUNCTION("""COMPUTED_VALUE"""),43731.6666666666)</f>
        <v>43731.666666666599</v>
      </c>
      <c r="J185" s="2">
        <f ca="1">IFERROR(__xludf.DUMMYFUNCTION("""COMPUTED_VALUE"""),1234.03)</f>
        <v>1234.03</v>
      </c>
      <c r="K185" s="3">
        <f ca="1">IFERROR(__xludf.DUMMYFUNCTION("""COMPUTED_VALUE"""),43731.6666666666)</f>
        <v>43731.666666666599</v>
      </c>
      <c r="L185" s="2">
        <f ca="1">IFERROR(__xludf.DUMMYFUNCTION("""COMPUTED_VALUE"""),186.82)</f>
        <v>186.82</v>
      </c>
      <c r="M185" s="3">
        <f ca="1">IFERROR(__xludf.DUMMYFUNCTION("""COMPUTED_VALUE"""),43731.6666666666)</f>
        <v>43731.666666666599</v>
      </c>
      <c r="N185" s="2">
        <f ca="1">IFERROR(__xludf.DUMMYFUNCTION("""COMPUTED_VALUE"""),48.25)</f>
        <v>48.25</v>
      </c>
      <c r="O185" s="3">
        <f ca="1">IFERROR(__xludf.DUMMYFUNCTION("""COMPUTED_VALUE"""),43731.6666666666)</f>
        <v>43731.666666666599</v>
      </c>
      <c r="P185" s="2">
        <f ca="1">IFERROR(__xludf.DUMMYFUNCTION("""COMPUTED_VALUE"""),43.71)</f>
        <v>43.71</v>
      </c>
      <c r="Q185" s="3">
        <f ca="1">IFERROR(__xludf.DUMMYFUNCTION("""COMPUTED_VALUE"""),43731.6666666666)</f>
        <v>43731.666666666599</v>
      </c>
      <c r="R185" s="2">
        <f ca="1">IFERROR(__xludf.DUMMYFUNCTION("""COMPUTED_VALUE"""),207.96)</f>
        <v>207.96</v>
      </c>
      <c r="S185" s="3">
        <f ca="1">IFERROR(__xludf.DUMMYFUNCTION("""COMPUTED_VALUE"""),43731.6666666666)</f>
        <v>43731.666666666599</v>
      </c>
      <c r="T185" s="2">
        <f ca="1">IFERROR(__xludf.DUMMYFUNCTION("""COMPUTED_VALUE"""),131.74)</f>
        <v>131.74</v>
      </c>
    </row>
    <row r="186" spans="1:20">
      <c r="A186" s="3">
        <f ca="1">IFERROR(__xludf.DUMMYFUNCTION("""COMPUTED_VALUE"""),43732.6666666666)</f>
        <v>43732.666666666599</v>
      </c>
      <c r="B186" s="2">
        <f ca="1">IFERROR(__xludf.DUMMYFUNCTION("""COMPUTED_VALUE"""),54.42)</f>
        <v>54.42</v>
      </c>
      <c r="C186" s="3">
        <f ca="1">IFERROR(__xludf.DUMMYFUNCTION("""COMPUTED_VALUE"""),43732.6666666666)</f>
        <v>43732.666666666599</v>
      </c>
      <c r="D186" s="2">
        <f ca="1">IFERROR(__xludf.DUMMYFUNCTION("""COMPUTED_VALUE"""),137.38)</f>
        <v>137.38</v>
      </c>
      <c r="E186" s="3">
        <f ca="1">IFERROR(__xludf.DUMMYFUNCTION("""COMPUTED_VALUE"""),43732.6666666666)</f>
        <v>43732.666666666599</v>
      </c>
      <c r="F186" s="2">
        <f ca="1">IFERROR(__xludf.DUMMYFUNCTION("""COMPUTED_VALUE"""),1741.61)</f>
        <v>1741.61</v>
      </c>
      <c r="G186" s="3">
        <f ca="1">IFERROR(__xludf.DUMMYFUNCTION("""COMPUTED_VALUE"""),43732.6666666666)</f>
        <v>43732.666666666599</v>
      </c>
      <c r="H186" s="2">
        <f ca="1">IFERROR(__xludf.DUMMYFUNCTION("""COMPUTED_VALUE"""),1218.33)</f>
        <v>1218.33</v>
      </c>
      <c r="I186" s="3">
        <f ca="1">IFERROR(__xludf.DUMMYFUNCTION("""COMPUTED_VALUE"""),43732.6666666666)</f>
        <v>43732.666666666599</v>
      </c>
      <c r="J186" s="2">
        <f ca="1">IFERROR(__xludf.DUMMYFUNCTION("""COMPUTED_VALUE"""),1218.76)</f>
        <v>1218.76</v>
      </c>
      <c r="K186" s="3">
        <f ca="1">IFERROR(__xludf.DUMMYFUNCTION("""COMPUTED_VALUE"""),43732.6666666666)</f>
        <v>43732.666666666599</v>
      </c>
      <c r="L186" s="2">
        <f ca="1">IFERROR(__xludf.DUMMYFUNCTION("""COMPUTED_VALUE"""),181.28)</f>
        <v>181.28</v>
      </c>
      <c r="M186" s="3">
        <f ca="1">IFERROR(__xludf.DUMMYFUNCTION("""COMPUTED_VALUE"""),43732.6666666666)</f>
        <v>43732.666666666599</v>
      </c>
      <c r="N186" s="2">
        <f ca="1">IFERROR(__xludf.DUMMYFUNCTION("""COMPUTED_VALUE"""),44.64)</f>
        <v>44.64</v>
      </c>
      <c r="O186" s="3">
        <f ca="1">IFERROR(__xludf.DUMMYFUNCTION("""COMPUTED_VALUE"""),43732.6666666666)</f>
        <v>43732.666666666599</v>
      </c>
      <c r="P186" s="2">
        <f ca="1">IFERROR(__xludf.DUMMYFUNCTION("""COMPUTED_VALUE"""),43.13)</f>
        <v>43.13</v>
      </c>
      <c r="Q186" s="3">
        <f ca="1">IFERROR(__xludf.DUMMYFUNCTION("""COMPUTED_VALUE"""),43732.6666666666)</f>
        <v>43732.666666666599</v>
      </c>
      <c r="R186" s="2">
        <f ca="1">IFERROR(__xludf.DUMMYFUNCTION("""COMPUTED_VALUE"""),206.4)</f>
        <v>206.4</v>
      </c>
      <c r="S186" s="3">
        <f ca="1">IFERROR(__xludf.DUMMYFUNCTION("""COMPUTED_VALUE"""),43732.6666666666)</f>
        <v>43732.666666666599</v>
      </c>
      <c r="T186" s="2">
        <f ca="1">IFERROR(__xludf.DUMMYFUNCTION("""COMPUTED_VALUE"""),131.55)</f>
        <v>131.55000000000001</v>
      </c>
    </row>
    <row r="187" spans="1:20">
      <c r="A187" s="3">
        <f ca="1">IFERROR(__xludf.DUMMYFUNCTION("""COMPUTED_VALUE"""),43733.6666666666)</f>
        <v>43733.666666666599</v>
      </c>
      <c r="B187" s="2">
        <f ca="1">IFERROR(__xludf.DUMMYFUNCTION("""COMPUTED_VALUE"""),55.26)</f>
        <v>55.26</v>
      </c>
      <c r="C187" s="3">
        <f ca="1">IFERROR(__xludf.DUMMYFUNCTION("""COMPUTED_VALUE"""),43733.6666666666)</f>
        <v>43733.666666666599</v>
      </c>
      <c r="D187" s="2">
        <f ca="1">IFERROR(__xludf.DUMMYFUNCTION("""COMPUTED_VALUE"""),139.36)</f>
        <v>139.36000000000001</v>
      </c>
      <c r="E187" s="3">
        <f ca="1">IFERROR(__xludf.DUMMYFUNCTION("""COMPUTED_VALUE"""),43733.6666666666)</f>
        <v>43733.666666666599</v>
      </c>
      <c r="F187" s="2">
        <f ca="1">IFERROR(__xludf.DUMMYFUNCTION("""COMPUTED_VALUE"""),1768.33)</f>
        <v>1768.33</v>
      </c>
      <c r="G187" s="3">
        <f ca="1">IFERROR(__xludf.DUMMYFUNCTION("""COMPUTED_VALUE"""),43733.6666666666)</f>
        <v>43733.666666666599</v>
      </c>
      <c r="H187" s="2">
        <f ca="1">IFERROR(__xludf.DUMMYFUNCTION("""COMPUTED_VALUE"""),1245.94)</f>
        <v>1245.94</v>
      </c>
      <c r="I187" s="3">
        <f ca="1">IFERROR(__xludf.DUMMYFUNCTION("""COMPUTED_VALUE"""),43733.6666666666)</f>
        <v>43733.666666666599</v>
      </c>
      <c r="J187" s="2">
        <f ca="1">IFERROR(__xludf.DUMMYFUNCTION("""COMPUTED_VALUE"""),1246.52)</f>
        <v>1246.52</v>
      </c>
      <c r="K187" s="3">
        <f ca="1">IFERROR(__xludf.DUMMYFUNCTION("""COMPUTED_VALUE"""),43733.6666666666)</f>
        <v>43733.666666666599</v>
      </c>
      <c r="L187" s="2">
        <f ca="1">IFERROR(__xludf.DUMMYFUNCTION("""COMPUTED_VALUE"""),182.8)</f>
        <v>182.8</v>
      </c>
      <c r="M187" s="3">
        <f ca="1">IFERROR(__xludf.DUMMYFUNCTION("""COMPUTED_VALUE"""),43733.6666666666)</f>
        <v>43733.666666666599</v>
      </c>
      <c r="N187" s="2">
        <f ca="1">IFERROR(__xludf.DUMMYFUNCTION("""COMPUTED_VALUE"""),45.74)</f>
        <v>45.74</v>
      </c>
      <c r="O187" s="3">
        <f ca="1">IFERROR(__xludf.DUMMYFUNCTION("""COMPUTED_VALUE"""),43733.6666666666)</f>
        <v>43733.666666666599</v>
      </c>
      <c r="P187" s="2">
        <f ca="1">IFERROR(__xludf.DUMMYFUNCTION("""COMPUTED_VALUE"""),44.56)</f>
        <v>44.56</v>
      </c>
      <c r="Q187" s="3">
        <f ca="1">IFERROR(__xludf.DUMMYFUNCTION("""COMPUTED_VALUE"""),43733.6666666666)</f>
        <v>43733.666666666599</v>
      </c>
      <c r="R187" s="2">
        <f ca="1">IFERROR(__xludf.DUMMYFUNCTION("""COMPUTED_VALUE"""),208.11)</f>
        <v>208.11</v>
      </c>
      <c r="S187" s="3">
        <f ca="1">IFERROR(__xludf.DUMMYFUNCTION("""COMPUTED_VALUE"""),43733.6666666666)</f>
        <v>43733.666666666599</v>
      </c>
      <c r="T187" s="2">
        <f ca="1">IFERROR(__xludf.DUMMYFUNCTION("""COMPUTED_VALUE"""),130.99)</f>
        <v>130.99</v>
      </c>
    </row>
    <row r="188" spans="1:20">
      <c r="A188" s="3">
        <f ca="1">IFERROR(__xludf.DUMMYFUNCTION("""COMPUTED_VALUE"""),43734.6666666666)</f>
        <v>43734.666666666599</v>
      </c>
      <c r="B188" s="2">
        <f ca="1">IFERROR(__xludf.DUMMYFUNCTION("""COMPUTED_VALUE"""),54.97)</f>
        <v>54.97</v>
      </c>
      <c r="C188" s="3">
        <f ca="1">IFERROR(__xludf.DUMMYFUNCTION("""COMPUTED_VALUE"""),43734.6666666666)</f>
        <v>43734.666666666599</v>
      </c>
      <c r="D188" s="2">
        <f ca="1">IFERROR(__xludf.DUMMYFUNCTION("""COMPUTED_VALUE"""),139.54)</f>
        <v>139.54</v>
      </c>
      <c r="E188" s="3">
        <f ca="1">IFERROR(__xludf.DUMMYFUNCTION("""COMPUTED_VALUE"""),43734.6666666666)</f>
        <v>43734.666666666599</v>
      </c>
      <c r="F188" s="2">
        <f ca="1">IFERROR(__xludf.DUMMYFUNCTION("""COMPUTED_VALUE"""),1739.84)</f>
        <v>1739.84</v>
      </c>
      <c r="G188" s="3">
        <f ca="1">IFERROR(__xludf.DUMMYFUNCTION("""COMPUTED_VALUE"""),43734.6666666666)</f>
        <v>43734.666666666599</v>
      </c>
      <c r="H188" s="2">
        <f ca="1">IFERROR(__xludf.DUMMYFUNCTION("""COMPUTED_VALUE"""),1242.29)</f>
        <v>1242.29</v>
      </c>
      <c r="I188" s="3">
        <f ca="1">IFERROR(__xludf.DUMMYFUNCTION("""COMPUTED_VALUE"""),43734.6666666666)</f>
        <v>43734.666666666599</v>
      </c>
      <c r="J188" s="2">
        <f ca="1">IFERROR(__xludf.DUMMYFUNCTION("""COMPUTED_VALUE"""),1241.39)</f>
        <v>1241.3900000000001</v>
      </c>
      <c r="K188" s="3">
        <f ca="1">IFERROR(__xludf.DUMMYFUNCTION("""COMPUTED_VALUE"""),43734.6666666666)</f>
        <v>43734.666666666599</v>
      </c>
      <c r="L188" s="2">
        <f ca="1">IFERROR(__xludf.DUMMYFUNCTION("""COMPUTED_VALUE"""),180.11)</f>
        <v>180.11</v>
      </c>
      <c r="M188" s="3">
        <f ca="1">IFERROR(__xludf.DUMMYFUNCTION("""COMPUTED_VALUE"""),43734.6666666666)</f>
        <v>43734.666666666599</v>
      </c>
      <c r="N188" s="2">
        <f ca="1">IFERROR(__xludf.DUMMYFUNCTION("""COMPUTED_VALUE"""),48.51)</f>
        <v>48.51</v>
      </c>
      <c r="O188" s="3">
        <f ca="1">IFERROR(__xludf.DUMMYFUNCTION("""COMPUTED_VALUE"""),43734.6666666666)</f>
        <v>43734.666666666599</v>
      </c>
      <c r="P188" s="2">
        <f ca="1">IFERROR(__xludf.DUMMYFUNCTION("""COMPUTED_VALUE"""),44.34)</f>
        <v>44.34</v>
      </c>
      <c r="Q188" s="3">
        <f ca="1">IFERROR(__xludf.DUMMYFUNCTION("""COMPUTED_VALUE"""),43734.6666666666)</f>
        <v>43734.666666666599</v>
      </c>
      <c r="R188" s="2">
        <f ca="1">IFERROR(__xludf.DUMMYFUNCTION("""COMPUTED_VALUE"""),206.9)</f>
        <v>206.9</v>
      </c>
      <c r="S188" s="3">
        <f ca="1">IFERROR(__xludf.DUMMYFUNCTION("""COMPUTED_VALUE"""),43734.6666666666)</f>
        <v>43734.666666666599</v>
      </c>
      <c r="T188" s="2">
        <f ca="1">IFERROR(__xludf.DUMMYFUNCTION("""COMPUTED_VALUE"""),128.85)</f>
        <v>128.85</v>
      </c>
    </row>
    <row r="189" spans="1:20">
      <c r="A189" s="3">
        <f ca="1">IFERROR(__xludf.DUMMYFUNCTION("""COMPUTED_VALUE"""),43735.6666666666)</f>
        <v>43735.666666666599</v>
      </c>
      <c r="B189" s="2">
        <f ca="1">IFERROR(__xludf.DUMMYFUNCTION("""COMPUTED_VALUE"""),54.71)</f>
        <v>54.71</v>
      </c>
      <c r="C189" s="3">
        <f ca="1">IFERROR(__xludf.DUMMYFUNCTION("""COMPUTED_VALUE"""),43735.6666666666)</f>
        <v>43735.666666666599</v>
      </c>
      <c r="D189" s="2">
        <f ca="1">IFERROR(__xludf.DUMMYFUNCTION("""COMPUTED_VALUE"""),137.73)</f>
        <v>137.72999999999999</v>
      </c>
      <c r="E189" s="3">
        <f ca="1">IFERROR(__xludf.DUMMYFUNCTION("""COMPUTED_VALUE"""),43735.6666666666)</f>
        <v>43735.666666666599</v>
      </c>
      <c r="F189" s="2">
        <f ca="1">IFERROR(__xludf.DUMMYFUNCTION("""COMPUTED_VALUE"""),1725.45)</f>
        <v>1725.45</v>
      </c>
      <c r="G189" s="3">
        <f ca="1">IFERROR(__xludf.DUMMYFUNCTION("""COMPUTED_VALUE"""),43735.6666666666)</f>
        <v>43735.666666666599</v>
      </c>
      <c r="H189" s="2">
        <f ca="1">IFERROR(__xludf.DUMMYFUNCTION("""COMPUTED_VALUE"""),1225.95)</f>
        <v>1225.95</v>
      </c>
      <c r="I189" s="3">
        <f ca="1">IFERROR(__xludf.DUMMYFUNCTION("""COMPUTED_VALUE"""),43735.6666666666)</f>
        <v>43735.666666666599</v>
      </c>
      <c r="J189" s="2">
        <f ca="1">IFERROR(__xludf.DUMMYFUNCTION("""COMPUTED_VALUE"""),1225.09)</f>
        <v>1225.0899999999999</v>
      </c>
      <c r="K189" s="3">
        <f ca="1">IFERROR(__xludf.DUMMYFUNCTION("""COMPUTED_VALUE"""),43735.6666666666)</f>
        <v>43735.666666666599</v>
      </c>
      <c r="L189" s="2">
        <f ca="1">IFERROR(__xludf.DUMMYFUNCTION("""COMPUTED_VALUE"""),177.1)</f>
        <v>177.1</v>
      </c>
      <c r="M189" s="3">
        <f ca="1">IFERROR(__xludf.DUMMYFUNCTION("""COMPUTED_VALUE"""),43735.6666666666)</f>
        <v>43735.666666666599</v>
      </c>
      <c r="N189" s="2">
        <f ca="1">IFERROR(__xludf.DUMMYFUNCTION("""COMPUTED_VALUE"""),48.43)</f>
        <v>48.43</v>
      </c>
      <c r="O189" s="3">
        <f ca="1">IFERROR(__xludf.DUMMYFUNCTION("""COMPUTED_VALUE"""),43735.6666666666)</f>
        <v>43735.666666666599</v>
      </c>
      <c r="P189" s="2">
        <f ca="1">IFERROR(__xludf.DUMMYFUNCTION("""COMPUTED_VALUE"""),42.94)</f>
        <v>42.94</v>
      </c>
      <c r="Q189" s="3">
        <f ca="1">IFERROR(__xludf.DUMMYFUNCTION("""COMPUTED_VALUE"""),43735.6666666666)</f>
        <v>43735.666666666599</v>
      </c>
      <c r="R189" s="2">
        <f ca="1">IFERROR(__xludf.DUMMYFUNCTION("""COMPUTED_VALUE"""),207.45)</f>
        <v>207.45</v>
      </c>
      <c r="S189" s="3">
        <f ca="1">IFERROR(__xludf.DUMMYFUNCTION("""COMPUTED_VALUE"""),43735.6666666666)</f>
        <v>43735.666666666599</v>
      </c>
      <c r="T189" s="2">
        <f ca="1">IFERROR(__xludf.DUMMYFUNCTION("""COMPUTED_VALUE"""),128.6)</f>
        <v>128.6</v>
      </c>
    </row>
    <row r="190" spans="1:20">
      <c r="A190" s="3">
        <f ca="1">IFERROR(__xludf.DUMMYFUNCTION("""COMPUTED_VALUE"""),43738.6666666666)</f>
        <v>43738.666666666599</v>
      </c>
      <c r="B190" s="2">
        <f ca="1">IFERROR(__xludf.DUMMYFUNCTION("""COMPUTED_VALUE"""),55.99)</f>
        <v>55.99</v>
      </c>
      <c r="C190" s="3">
        <f ca="1">IFERROR(__xludf.DUMMYFUNCTION("""COMPUTED_VALUE"""),43738.6666666666)</f>
        <v>43738.666666666599</v>
      </c>
      <c r="D190" s="2">
        <f ca="1">IFERROR(__xludf.DUMMYFUNCTION("""COMPUTED_VALUE"""),139.03)</f>
        <v>139.03</v>
      </c>
      <c r="E190" s="3">
        <f ca="1">IFERROR(__xludf.DUMMYFUNCTION("""COMPUTED_VALUE"""),43738.6666666666)</f>
        <v>43738.666666666599</v>
      </c>
      <c r="F190" s="2">
        <f ca="1">IFERROR(__xludf.DUMMYFUNCTION("""COMPUTED_VALUE"""),1735.91)</f>
        <v>1735.91</v>
      </c>
      <c r="G190" s="3">
        <f ca="1">IFERROR(__xludf.DUMMYFUNCTION("""COMPUTED_VALUE"""),43738.6666666666)</f>
        <v>43738.666666666599</v>
      </c>
      <c r="H190" s="2">
        <f ca="1">IFERROR(__xludf.DUMMYFUNCTION("""COMPUTED_VALUE"""),1221.14)</f>
        <v>1221.1400000000001</v>
      </c>
      <c r="I190" s="3">
        <f ca="1">IFERROR(__xludf.DUMMYFUNCTION("""COMPUTED_VALUE"""),43738.6666666666)</f>
        <v>43738.666666666599</v>
      </c>
      <c r="J190" s="2">
        <f ca="1">IFERROR(__xludf.DUMMYFUNCTION("""COMPUTED_VALUE"""),1219)</f>
        <v>1219</v>
      </c>
      <c r="K190" s="3">
        <f ca="1">IFERROR(__xludf.DUMMYFUNCTION("""COMPUTED_VALUE"""),43738.6666666666)</f>
        <v>43738.666666666599</v>
      </c>
      <c r="L190" s="2">
        <f ca="1">IFERROR(__xludf.DUMMYFUNCTION("""COMPUTED_VALUE"""),178.08)</f>
        <v>178.08</v>
      </c>
      <c r="M190" s="3">
        <f ca="1">IFERROR(__xludf.DUMMYFUNCTION("""COMPUTED_VALUE"""),43738.6666666666)</f>
        <v>43738.666666666599</v>
      </c>
      <c r="N190" s="2">
        <f ca="1">IFERROR(__xludf.DUMMYFUNCTION("""COMPUTED_VALUE"""),48.17)</f>
        <v>48.17</v>
      </c>
      <c r="O190" s="3">
        <f ca="1">IFERROR(__xludf.DUMMYFUNCTION("""COMPUTED_VALUE"""),43738.6666666666)</f>
        <v>43738.666666666599</v>
      </c>
      <c r="P190" s="2">
        <f ca="1">IFERROR(__xludf.DUMMYFUNCTION("""COMPUTED_VALUE"""),43.52)</f>
        <v>43.52</v>
      </c>
      <c r="Q190" s="3">
        <f ca="1">IFERROR(__xludf.DUMMYFUNCTION("""COMPUTED_VALUE"""),43738.6666666666)</f>
        <v>43738.666666666599</v>
      </c>
      <c r="R190" s="2">
        <f ca="1">IFERROR(__xludf.DUMMYFUNCTION("""COMPUTED_VALUE"""),208.02)</f>
        <v>208.02</v>
      </c>
      <c r="S190" s="3">
        <f ca="1">IFERROR(__xludf.DUMMYFUNCTION("""COMPUTED_VALUE"""),43738.6666666666)</f>
        <v>43738.666666666599</v>
      </c>
      <c r="T190" s="2">
        <f ca="1">IFERROR(__xludf.DUMMYFUNCTION("""COMPUTED_VALUE"""),129.38)</f>
        <v>129.38</v>
      </c>
    </row>
    <row r="191" spans="1:20">
      <c r="A191" s="3">
        <f ca="1">IFERROR(__xludf.DUMMYFUNCTION("""COMPUTED_VALUE"""),43739.6666666666)</f>
        <v>43739.666666666599</v>
      </c>
      <c r="B191" s="2">
        <f ca="1">IFERROR(__xludf.DUMMYFUNCTION("""COMPUTED_VALUE"""),56.15)</f>
        <v>56.15</v>
      </c>
      <c r="C191" s="3">
        <f ca="1">IFERROR(__xludf.DUMMYFUNCTION("""COMPUTED_VALUE"""),43739.6666666666)</f>
        <v>43739.666666666599</v>
      </c>
      <c r="D191" s="2">
        <f ca="1">IFERROR(__xludf.DUMMYFUNCTION("""COMPUTED_VALUE"""),137.07)</f>
        <v>137.07</v>
      </c>
      <c r="E191" s="3">
        <f ca="1">IFERROR(__xludf.DUMMYFUNCTION("""COMPUTED_VALUE"""),43739.6666666666)</f>
        <v>43739.666666666599</v>
      </c>
      <c r="F191" s="2">
        <f ca="1">IFERROR(__xludf.DUMMYFUNCTION("""COMPUTED_VALUE"""),1735.65)</f>
        <v>1735.65</v>
      </c>
      <c r="G191" s="3">
        <f ca="1">IFERROR(__xludf.DUMMYFUNCTION("""COMPUTED_VALUE"""),43739.6666666666)</f>
        <v>43739.666666666599</v>
      </c>
      <c r="H191" s="2">
        <f ca="1">IFERROR(__xludf.DUMMYFUNCTION("""COMPUTED_VALUE"""),1206)</f>
        <v>1206</v>
      </c>
      <c r="I191" s="3">
        <f ca="1">IFERROR(__xludf.DUMMYFUNCTION("""COMPUTED_VALUE"""),43739.6666666666)</f>
        <v>43739.666666666599</v>
      </c>
      <c r="J191" s="2">
        <f ca="1">IFERROR(__xludf.DUMMYFUNCTION("""COMPUTED_VALUE"""),1205.1)</f>
        <v>1205.0999999999999</v>
      </c>
      <c r="K191" s="3">
        <f ca="1">IFERROR(__xludf.DUMMYFUNCTION("""COMPUTED_VALUE"""),43739.6666666666)</f>
        <v>43739.666666666599</v>
      </c>
      <c r="L191" s="2">
        <f ca="1">IFERROR(__xludf.DUMMYFUNCTION("""COMPUTED_VALUE"""),175.81)</f>
        <v>175.81</v>
      </c>
      <c r="M191" s="3">
        <f ca="1">IFERROR(__xludf.DUMMYFUNCTION("""COMPUTED_VALUE"""),43739.6666666666)</f>
        <v>43739.666666666599</v>
      </c>
      <c r="N191" s="2">
        <f ca="1">IFERROR(__xludf.DUMMYFUNCTION("""COMPUTED_VALUE"""),48.94)</f>
        <v>48.94</v>
      </c>
      <c r="O191" s="3">
        <f ca="1">IFERROR(__xludf.DUMMYFUNCTION("""COMPUTED_VALUE"""),43739.6666666666)</f>
        <v>43739.666666666599</v>
      </c>
      <c r="P191" s="2">
        <f ca="1">IFERROR(__xludf.DUMMYFUNCTION("""COMPUTED_VALUE"""),43.5)</f>
        <v>43.5</v>
      </c>
      <c r="Q191" s="3">
        <f ca="1">IFERROR(__xludf.DUMMYFUNCTION("""COMPUTED_VALUE"""),43739.6666666666)</f>
        <v>43739.666666666599</v>
      </c>
      <c r="R191" s="2">
        <f ca="1">IFERROR(__xludf.DUMMYFUNCTION("""COMPUTED_VALUE"""),206.71)</f>
        <v>206.71</v>
      </c>
      <c r="S191" s="3">
        <f ca="1">IFERROR(__xludf.DUMMYFUNCTION("""COMPUTED_VALUE"""),43739.6666666666)</f>
        <v>43739.666666666599</v>
      </c>
      <c r="T191" s="2">
        <f ca="1">IFERROR(__xludf.DUMMYFUNCTION("""COMPUTED_VALUE"""),129.99)</f>
        <v>129.99</v>
      </c>
    </row>
    <row r="192" spans="1:20">
      <c r="A192" s="3">
        <f ca="1">IFERROR(__xludf.DUMMYFUNCTION("""COMPUTED_VALUE"""),43740.6666666666)</f>
        <v>43740.666666666599</v>
      </c>
      <c r="B192" s="2">
        <f ca="1">IFERROR(__xludf.DUMMYFUNCTION("""COMPUTED_VALUE"""),54.74)</f>
        <v>54.74</v>
      </c>
      <c r="C192" s="3">
        <f ca="1">IFERROR(__xludf.DUMMYFUNCTION("""COMPUTED_VALUE"""),43740.6666666666)</f>
        <v>43740.666666666599</v>
      </c>
      <c r="D192" s="2">
        <f ca="1">IFERROR(__xludf.DUMMYFUNCTION("""COMPUTED_VALUE"""),134.65)</f>
        <v>134.65</v>
      </c>
      <c r="E192" s="3">
        <f ca="1">IFERROR(__xludf.DUMMYFUNCTION("""COMPUTED_VALUE"""),43740.6666666666)</f>
        <v>43740.666666666599</v>
      </c>
      <c r="F192" s="2">
        <f ca="1">IFERROR(__xludf.DUMMYFUNCTION("""COMPUTED_VALUE"""),1713.23)</f>
        <v>1713.23</v>
      </c>
      <c r="G192" s="3">
        <f ca="1">IFERROR(__xludf.DUMMYFUNCTION("""COMPUTED_VALUE"""),43740.6666666666)</f>
        <v>43740.666666666599</v>
      </c>
      <c r="H192" s="2">
        <f ca="1">IFERROR(__xludf.DUMMYFUNCTION("""COMPUTED_VALUE"""),1177.92)</f>
        <v>1177.92</v>
      </c>
      <c r="I192" s="3">
        <f ca="1">IFERROR(__xludf.DUMMYFUNCTION("""COMPUTED_VALUE"""),43740.6666666666)</f>
        <v>43740.666666666599</v>
      </c>
      <c r="J192" s="2">
        <f ca="1">IFERROR(__xludf.DUMMYFUNCTION("""COMPUTED_VALUE"""),1176.63)</f>
        <v>1176.6300000000001</v>
      </c>
      <c r="K192" s="3">
        <f ca="1">IFERROR(__xludf.DUMMYFUNCTION("""COMPUTED_VALUE"""),43740.6666666666)</f>
        <v>43740.666666666599</v>
      </c>
      <c r="L192" s="2">
        <f ca="1">IFERROR(__xludf.DUMMYFUNCTION("""COMPUTED_VALUE"""),174.6)</f>
        <v>174.6</v>
      </c>
      <c r="M192" s="3">
        <f ca="1">IFERROR(__xludf.DUMMYFUNCTION("""COMPUTED_VALUE"""),43740.6666666666)</f>
        <v>43740.666666666599</v>
      </c>
      <c r="N192" s="2">
        <f ca="1">IFERROR(__xludf.DUMMYFUNCTION("""COMPUTED_VALUE"""),48.63)</f>
        <v>48.63</v>
      </c>
      <c r="O192" s="3">
        <f ca="1">IFERROR(__xludf.DUMMYFUNCTION("""COMPUTED_VALUE"""),43740.6666666666)</f>
        <v>43740.666666666599</v>
      </c>
      <c r="P192" s="2">
        <f ca="1">IFERROR(__xludf.DUMMYFUNCTION("""COMPUTED_VALUE"""),43.26)</f>
        <v>43.26</v>
      </c>
      <c r="Q192" s="3">
        <f ca="1">IFERROR(__xludf.DUMMYFUNCTION("""COMPUTED_VALUE"""),43740.6666666666)</f>
        <v>43740.666666666599</v>
      </c>
      <c r="R192" s="2">
        <f ca="1">IFERROR(__xludf.DUMMYFUNCTION("""COMPUTED_VALUE"""),203.1)</f>
        <v>203.1</v>
      </c>
      <c r="S192" s="3">
        <f ca="1">IFERROR(__xludf.DUMMYFUNCTION("""COMPUTED_VALUE"""),43740.6666666666)</f>
        <v>43740.666666666599</v>
      </c>
      <c r="T192" s="2">
        <f ca="1">IFERROR(__xludf.DUMMYFUNCTION("""COMPUTED_VALUE"""),132)</f>
        <v>132</v>
      </c>
    </row>
    <row r="193" spans="1:20">
      <c r="A193" s="3">
        <f ca="1">IFERROR(__xludf.DUMMYFUNCTION("""COMPUTED_VALUE"""),43741.6666666666)</f>
        <v>43741.666666666599</v>
      </c>
      <c r="B193" s="2">
        <f ca="1">IFERROR(__xludf.DUMMYFUNCTION("""COMPUTED_VALUE"""),55.21)</f>
        <v>55.21</v>
      </c>
      <c r="C193" s="3">
        <f ca="1">IFERROR(__xludf.DUMMYFUNCTION("""COMPUTED_VALUE"""),43741.6666666666)</f>
        <v>43741.666666666599</v>
      </c>
      <c r="D193" s="2">
        <f ca="1">IFERROR(__xludf.DUMMYFUNCTION("""COMPUTED_VALUE"""),136.28)</f>
        <v>136.28</v>
      </c>
      <c r="E193" s="3">
        <f ca="1">IFERROR(__xludf.DUMMYFUNCTION("""COMPUTED_VALUE"""),43741.6666666666)</f>
        <v>43741.666666666599</v>
      </c>
      <c r="F193" s="2">
        <f ca="1">IFERROR(__xludf.DUMMYFUNCTION("""COMPUTED_VALUE"""),1724.42)</f>
        <v>1724.42</v>
      </c>
      <c r="G193" s="3">
        <f ca="1">IFERROR(__xludf.DUMMYFUNCTION("""COMPUTED_VALUE"""),43741.6666666666)</f>
        <v>43741.666666666599</v>
      </c>
      <c r="H193" s="2">
        <f ca="1">IFERROR(__xludf.DUMMYFUNCTION("""COMPUTED_VALUE"""),1189.43)</f>
        <v>1189.43</v>
      </c>
      <c r="I193" s="3">
        <f ca="1">IFERROR(__xludf.DUMMYFUNCTION("""COMPUTED_VALUE"""),43741.6666666666)</f>
        <v>43741.666666666599</v>
      </c>
      <c r="J193" s="2">
        <f ca="1">IFERROR(__xludf.DUMMYFUNCTION("""COMPUTED_VALUE"""),1187.83)</f>
        <v>1187.83</v>
      </c>
      <c r="K193" s="3">
        <f ca="1">IFERROR(__xludf.DUMMYFUNCTION("""COMPUTED_VALUE"""),43741.6666666666)</f>
        <v>43741.666666666599</v>
      </c>
      <c r="L193" s="2">
        <f ca="1">IFERROR(__xludf.DUMMYFUNCTION("""COMPUTED_VALUE"""),179.38)</f>
        <v>179.38</v>
      </c>
      <c r="M193" s="3">
        <f ca="1">IFERROR(__xludf.DUMMYFUNCTION("""COMPUTED_VALUE"""),43741.6666666666)</f>
        <v>43741.666666666599</v>
      </c>
      <c r="N193" s="2">
        <f ca="1">IFERROR(__xludf.DUMMYFUNCTION("""COMPUTED_VALUE"""),46.61)</f>
        <v>46.61</v>
      </c>
      <c r="O193" s="3">
        <f ca="1">IFERROR(__xludf.DUMMYFUNCTION("""COMPUTED_VALUE"""),43741.6666666666)</f>
        <v>43741.666666666599</v>
      </c>
      <c r="P193" s="2">
        <f ca="1">IFERROR(__xludf.DUMMYFUNCTION("""COMPUTED_VALUE"""),45.33)</f>
        <v>45.33</v>
      </c>
      <c r="Q193" s="3">
        <f ca="1">IFERROR(__xludf.DUMMYFUNCTION("""COMPUTED_VALUE"""),43741.6666666666)</f>
        <v>43741.666666666599</v>
      </c>
      <c r="R193" s="2">
        <f ca="1">IFERROR(__xludf.DUMMYFUNCTION("""COMPUTED_VALUE"""),204.98)</f>
        <v>204.98</v>
      </c>
      <c r="S193" s="3">
        <f ca="1">IFERROR(__xludf.DUMMYFUNCTION("""COMPUTED_VALUE"""),43741.6666666666)</f>
        <v>43741.666666666599</v>
      </c>
      <c r="T193" s="2">
        <f ca="1">IFERROR(__xludf.DUMMYFUNCTION("""COMPUTED_VALUE"""),131.19)</f>
        <v>131.19</v>
      </c>
    </row>
    <row r="194" spans="1:20">
      <c r="A194" s="3">
        <f ca="1">IFERROR(__xludf.DUMMYFUNCTION("""COMPUTED_VALUE"""),43742.6666666666)</f>
        <v>43742.666666666599</v>
      </c>
      <c r="B194" s="2">
        <f ca="1">IFERROR(__xludf.DUMMYFUNCTION("""COMPUTED_VALUE"""),56.75)</f>
        <v>56.75</v>
      </c>
      <c r="C194" s="3">
        <f ca="1">IFERROR(__xludf.DUMMYFUNCTION("""COMPUTED_VALUE"""),43742.6666666666)</f>
        <v>43742.666666666599</v>
      </c>
      <c r="D194" s="2">
        <f ca="1">IFERROR(__xludf.DUMMYFUNCTION("""COMPUTED_VALUE"""),138.12)</f>
        <v>138.12</v>
      </c>
      <c r="E194" s="3">
        <f ca="1">IFERROR(__xludf.DUMMYFUNCTION("""COMPUTED_VALUE"""),43742.6666666666)</f>
        <v>43742.666666666599</v>
      </c>
      <c r="F194" s="2">
        <f ca="1">IFERROR(__xludf.DUMMYFUNCTION("""COMPUTED_VALUE"""),1739.65)</f>
        <v>1739.65</v>
      </c>
      <c r="G194" s="3">
        <f ca="1">IFERROR(__xludf.DUMMYFUNCTION("""COMPUTED_VALUE"""),43742.6666666666)</f>
        <v>43742.666666666599</v>
      </c>
      <c r="H194" s="2">
        <f ca="1">IFERROR(__xludf.DUMMYFUNCTION("""COMPUTED_VALUE"""),1210.96)</f>
        <v>1210.96</v>
      </c>
      <c r="I194" s="3">
        <f ca="1">IFERROR(__xludf.DUMMYFUNCTION("""COMPUTED_VALUE"""),43742.6666666666)</f>
        <v>43742.666666666599</v>
      </c>
      <c r="J194" s="2">
        <f ca="1">IFERROR(__xludf.DUMMYFUNCTION("""COMPUTED_VALUE"""),1209)</f>
        <v>1209</v>
      </c>
      <c r="K194" s="3">
        <f ca="1">IFERROR(__xludf.DUMMYFUNCTION("""COMPUTED_VALUE"""),43742.6666666666)</f>
        <v>43742.666666666599</v>
      </c>
      <c r="L194" s="2">
        <f ca="1">IFERROR(__xludf.DUMMYFUNCTION("""COMPUTED_VALUE"""),180.45)</f>
        <v>180.45</v>
      </c>
      <c r="M194" s="3">
        <f ca="1">IFERROR(__xludf.DUMMYFUNCTION("""COMPUTED_VALUE"""),43742.6666666666)</f>
        <v>43742.666666666599</v>
      </c>
      <c r="N194" s="2">
        <f ca="1">IFERROR(__xludf.DUMMYFUNCTION("""COMPUTED_VALUE"""),46.29)</f>
        <v>46.29</v>
      </c>
      <c r="O194" s="3">
        <f ca="1">IFERROR(__xludf.DUMMYFUNCTION("""COMPUTED_VALUE"""),43742.6666666666)</f>
        <v>43742.666666666599</v>
      </c>
      <c r="P194" s="2">
        <f ca="1">IFERROR(__xludf.DUMMYFUNCTION("""COMPUTED_VALUE"""),45.49)</f>
        <v>45.49</v>
      </c>
      <c r="Q194" s="3">
        <f ca="1">IFERROR(__xludf.DUMMYFUNCTION("""COMPUTED_VALUE"""),43742.6666666666)</f>
        <v>43742.666666666599</v>
      </c>
      <c r="R194" s="2">
        <f ca="1">IFERROR(__xludf.DUMMYFUNCTION("""COMPUTED_VALUE"""),208.08)</f>
        <v>208.08</v>
      </c>
      <c r="S194" s="3">
        <f ca="1">IFERROR(__xludf.DUMMYFUNCTION("""COMPUTED_VALUE"""),43742.6666666666)</f>
        <v>43742.666666666599</v>
      </c>
      <c r="T194" s="2">
        <f ca="1">IFERROR(__xludf.DUMMYFUNCTION("""COMPUTED_VALUE"""),133.66)</f>
        <v>133.66</v>
      </c>
    </row>
    <row r="195" spans="1:20">
      <c r="A195" s="3">
        <f ca="1">IFERROR(__xludf.DUMMYFUNCTION("""COMPUTED_VALUE"""),43745.6666666666)</f>
        <v>43745.666666666599</v>
      </c>
      <c r="B195" s="2">
        <f ca="1">IFERROR(__xludf.DUMMYFUNCTION("""COMPUTED_VALUE"""),56.77)</f>
        <v>56.77</v>
      </c>
      <c r="C195" s="3">
        <f ca="1">IFERROR(__xludf.DUMMYFUNCTION("""COMPUTED_VALUE"""),43745.6666666666)</f>
        <v>43745.666666666599</v>
      </c>
      <c r="D195" s="2">
        <f ca="1">IFERROR(__xludf.DUMMYFUNCTION("""COMPUTED_VALUE"""),137.12)</f>
        <v>137.12</v>
      </c>
      <c r="E195" s="3">
        <f ca="1">IFERROR(__xludf.DUMMYFUNCTION("""COMPUTED_VALUE"""),43745.6666666666)</f>
        <v>43745.666666666599</v>
      </c>
      <c r="F195" s="2">
        <f ca="1">IFERROR(__xludf.DUMMYFUNCTION("""COMPUTED_VALUE"""),1732.66)</f>
        <v>1732.66</v>
      </c>
      <c r="G195" s="3">
        <f ca="1">IFERROR(__xludf.DUMMYFUNCTION("""COMPUTED_VALUE"""),43745.6666666666)</f>
        <v>43745.666666666599</v>
      </c>
      <c r="H195" s="2">
        <f ca="1">IFERROR(__xludf.DUMMYFUNCTION("""COMPUTED_VALUE"""),1208.25)</f>
        <v>1208.25</v>
      </c>
      <c r="I195" s="3">
        <f ca="1">IFERROR(__xludf.DUMMYFUNCTION("""COMPUTED_VALUE"""),43745.6666666666)</f>
        <v>43745.666666666599</v>
      </c>
      <c r="J195" s="2">
        <f ca="1">IFERROR(__xludf.DUMMYFUNCTION("""COMPUTED_VALUE"""),1207.68)</f>
        <v>1207.68</v>
      </c>
      <c r="K195" s="3">
        <f ca="1">IFERROR(__xludf.DUMMYFUNCTION("""COMPUTED_VALUE"""),43745.6666666666)</f>
        <v>43745.666666666599</v>
      </c>
      <c r="L195" s="2">
        <f ca="1">IFERROR(__xludf.DUMMYFUNCTION("""COMPUTED_VALUE"""),179.68)</f>
        <v>179.68</v>
      </c>
      <c r="M195" s="3">
        <f ca="1">IFERROR(__xludf.DUMMYFUNCTION("""COMPUTED_VALUE"""),43745.6666666666)</f>
        <v>43745.666666666599</v>
      </c>
      <c r="N195" s="2">
        <f ca="1">IFERROR(__xludf.DUMMYFUNCTION("""COMPUTED_VALUE"""),47.54)</f>
        <v>47.54</v>
      </c>
      <c r="O195" s="3">
        <f ca="1">IFERROR(__xludf.DUMMYFUNCTION("""COMPUTED_VALUE"""),43745.6666666666)</f>
        <v>43745.666666666599</v>
      </c>
      <c r="P195" s="2">
        <f ca="1">IFERROR(__xludf.DUMMYFUNCTION("""COMPUTED_VALUE"""),46.08)</f>
        <v>46.08</v>
      </c>
      <c r="Q195" s="3">
        <f ca="1">IFERROR(__xludf.DUMMYFUNCTION("""COMPUTED_VALUE"""),43745.6666666666)</f>
        <v>43745.666666666599</v>
      </c>
      <c r="R195" s="2">
        <f ca="1">IFERROR(__xludf.DUMMYFUNCTION("""COMPUTED_VALUE"""),207.24)</f>
        <v>207.24</v>
      </c>
      <c r="S195" s="3">
        <f ca="1">IFERROR(__xludf.DUMMYFUNCTION("""COMPUTED_VALUE"""),43745.6666666666)</f>
        <v>43745.666666666599</v>
      </c>
      <c r="T195" s="2">
        <f ca="1">IFERROR(__xludf.DUMMYFUNCTION("""COMPUTED_VALUE"""),133.16)</f>
        <v>133.16</v>
      </c>
    </row>
    <row r="196" spans="1:20">
      <c r="A196" s="3">
        <f ca="1">IFERROR(__xludf.DUMMYFUNCTION("""COMPUTED_VALUE"""),43746.6666666666)</f>
        <v>43746.666666666599</v>
      </c>
      <c r="B196" s="2">
        <f ca="1">IFERROR(__xludf.DUMMYFUNCTION("""COMPUTED_VALUE"""),56.1)</f>
        <v>56.1</v>
      </c>
      <c r="C196" s="3">
        <f ca="1">IFERROR(__xludf.DUMMYFUNCTION("""COMPUTED_VALUE"""),43746.6666666666)</f>
        <v>43746.666666666599</v>
      </c>
      <c r="D196" s="2">
        <f ca="1">IFERROR(__xludf.DUMMYFUNCTION("""COMPUTED_VALUE"""),135.67)</f>
        <v>135.66999999999999</v>
      </c>
      <c r="E196" s="3">
        <f ca="1">IFERROR(__xludf.DUMMYFUNCTION("""COMPUTED_VALUE"""),43746.6666666666)</f>
        <v>43746.666666666599</v>
      </c>
      <c r="F196" s="2">
        <f ca="1">IFERROR(__xludf.DUMMYFUNCTION("""COMPUTED_VALUE"""),1705.51)</f>
        <v>1705.51</v>
      </c>
      <c r="G196" s="3">
        <f ca="1">IFERROR(__xludf.DUMMYFUNCTION("""COMPUTED_VALUE"""),43746.6666666666)</f>
        <v>43746.666666666599</v>
      </c>
      <c r="H196" s="2">
        <f ca="1">IFERROR(__xludf.DUMMYFUNCTION("""COMPUTED_VALUE"""),1190.13)</f>
        <v>1190.1300000000001</v>
      </c>
      <c r="I196" s="3">
        <f ca="1">IFERROR(__xludf.DUMMYFUNCTION("""COMPUTED_VALUE"""),43746.6666666666)</f>
        <v>43746.666666666599</v>
      </c>
      <c r="J196" s="2">
        <f ca="1">IFERROR(__xludf.DUMMYFUNCTION("""COMPUTED_VALUE"""),1189.13)</f>
        <v>1189.1300000000001</v>
      </c>
      <c r="K196" s="3">
        <f ca="1">IFERROR(__xludf.DUMMYFUNCTION("""COMPUTED_VALUE"""),43746.6666666666)</f>
        <v>43746.666666666599</v>
      </c>
      <c r="L196" s="2">
        <f ca="1">IFERROR(__xludf.DUMMYFUNCTION("""COMPUTED_VALUE"""),177.75)</f>
        <v>177.75</v>
      </c>
      <c r="M196" s="3">
        <f ca="1">IFERROR(__xludf.DUMMYFUNCTION("""COMPUTED_VALUE"""),43746.6666666666)</f>
        <v>43746.666666666599</v>
      </c>
      <c r="N196" s="2">
        <f ca="1">IFERROR(__xludf.DUMMYFUNCTION("""COMPUTED_VALUE"""),48.01)</f>
        <v>48.01</v>
      </c>
      <c r="O196" s="3">
        <f ca="1">IFERROR(__xludf.DUMMYFUNCTION("""COMPUTED_VALUE"""),43746.6666666666)</f>
        <v>43746.666666666599</v>
      </c>
      <c r="P196" s="2">
        <f ca="1">IFERROR(__xludf.DUMMYFUNCTION("""COMPUTED_VALUE"""),44.31)</f>
        <v>44.31</v>
      </c>
      <c r="Q196" s="3">
        <f ca="1">IFERROR(__xludf.DUMMYFUNCTION("""COMPUTED_VALUE"""),43746.6666666666)</f>
        <v>43746.666666666599</v>
      </c>
      <c r="R196" s="2">
        <f ca="1">IFERROR(__xludf.DUMMYFUNCTION("""COMPUTED_VALUE"""),204.09)</f>
        <v>204.09</v>
      </c>
      <c r="S196" s="3">
        <f ca="1">IFERROR(__xludf.DUMMYFUNCTION("""COMPUTED_VALUE"""),43746.6666666666)</f>
        <v>43746.666666666599</v>
      </c>
      <c r="T196" s="2">
        <f ca="1">IFERROR(__xludf.DUMMYFUNCTION("""COMPUTED_VALUE"""),131.84)</f>
        <v>131.84</v>
      </c>
    </row>
    <row r="197" spans="1:20">
      <c r="A197" s="3">
        <f ca="1">IFERROR(__xludf.DUMMYFUNCTION("""COMPUTED_VALUE"""),43747.6666666666)</f>
        <v>43747.666666666599</v>
      </c>
      <c r="B197" s="2">
        <f ca="1">IFERROR(__xludf.DUMMYFUNCTION("""COMPUTED_VALUE"""),56.76)</f>
        <v>56.76</v>
      </c>
      <c r="C197" s="3">
        <f ca="1">IFERROR(__xludf.DUMMYFUNCTION("""COMPUTED_VALUE"""),43747.6666666666)</f>
        <v>43747.666666666599</v>
      </c>
      <c r="D197" s="2">
        <f ca="1">IFERROR(__xludf.DUMMYFUNCTION("""COMPUTED_VALUE"""),138.24)</f>
        <v>138.24</v>
      </c>
      <c r="E197" s="3">
        <f ca="1">IFERROR(__xludf.DUMMYFUNCTION("""COMPUTED_VALUE"""),43747.6666666666)</f>
        <v>43747.666666666599</v>
      </c>
      <c r="F197" s="2">
        <f ca="1">IFERROR(__xludf.DUMMYFUNCTION("""COMPUTED_VALUE"""),1721.99)</f>
        <v>1721.99</v>
      </c>
      <c r="G197" s="3">
        <f ca="1">IFERROR(__xludf.DUMMYFUNCTION("""COMPUTED_VALUE"""),43747.6666666666)</f>
        <v>43747.666666666599</v>
      </c>
      <c r="H197" s="2">
        <f ca="1">IFERROR(__xludf.DUMMYFUNCTION("""COMPUTED_VALUE"""),1202.4)</f>
        <v>1202.4000000000001</v>
      </c>
      <c r="I197" s="3">
        <f ca="1">IFERROR(__xludf.DUMMYFUNCTION("""COMPUTED_VALUE"""),43747.6666666666)</f>
        <v>43747.666666666599</v>
      </c>
      <c r="J197" s="2">
        <f ca="1">IFERROR(__xludf.DUMMYFUNCTION("""COMPUTED_VALUE"""),1202.31)</f>
        <v>1202.31</v>
      </c>
      <c r="K197" s="3">
        <f ca="1">IFERROR(__xludf.DUMMYFUNCTION("""COMPUTED_VALUE"""),43747.6666666666)</f>
        <v>43747.666666666599</v>
      </c>
      <c r="L197" s="2">
        <f ca="1">IFERROR(__xludf.DUMMYFUNCTION("""COMPUTED_VALUE"""),179.85)</f>
        <v>179.85</v>
      </c>
      <c r="M197" s="3">
        <f ca="1">IFERROR(__xludf.DUMMYFUNCTION("""COMPUTED_VALUE"""),43747.6666666666)</f>
        <v>43747.666666666599</v>
      </c>
      <c r="N197" s="2">
        <f ca="1">IFERROR(__xludf.DUMMYFUNCTION("""COMPUTED_VALUE"""),48.91)</f>
        <v>48.91</v>
      </c>
      <c r="O197" s="3">
        <f ca="1">IFERROR(__xludf.DUMMYFUNCTION("""COMPUTED_VALUE"""),43747.6666666666)</f>
        <v>43747.666666666599</v>
      </c>
      <c r="P197" s="2">
        <f ca="1">IFERROR(__xludf.DUMMYFUNCTION("""COMPUTED_VALUE"""),45.18)</f>
        <v>45.18</v>
      </c>
      <c r="Q197" s="3">
        <f ca="1">IFERROR(__xludf.DUMMYFUNCTION("""COMPUTED_VALUE"""),43747.6666666666)</f>
        <v>43747.666666666599</v>
      </c>
      <c r="R197" s="2">
        <f ca="1">IFERROR(__xludf.DUMMYFUNCTION("""COMPUTED_VALUE"""),206.69)</f>
        <v>206.69</v>
      </c>
      <c r="S197" s="3">
        <f ca="1">IFERROR(__xludf.DUMMYFUNCTION("""COMPUTED_VALUE"""),43747.6666666666)</f>
        <v>43747.666666666599</v>
      </c>
      <c r="T197" s="2">
        <f ca="1">IFERROR(__xludf.DUMMYFUNCTION("""COMPUTED_VALUE"""),129.22)</f>
        <v>129.22</v>
      </c>
    </row>
    <row r="198" spans="1:20">
      <c r="A198" s="3">
        <f ca="1">IFERROR(__xludf.DUMMYFUNCTION("""COMPUTED_VALUE"""),43748.6666666666)</f>
        <v>43748.666666666599</v>
      </c>
      <c r="B198" s="2">
        <f ca="1">IFERROR(__xludf.DUMMYFUNCTION("""COMPUTED_VALUE"""),57.52)</f>
        <v>57.52</v>
      </c>
      <c r="C198" s="3">
        <f ca="1">IFERROR(__xludf.DUMMYFUNCTION("""COMPUTED_VALUE"""),43748.6666666666)</f>
        <v>43748.666666666599</v>
      </c>
      <c r="D198" s="2">
        <f ca="1">IFERROR(__xludf.DUMMYFUNCTION("""COMPUTED_VALUE"""),139.1)</f>
        <v>139.1</v>
      </c>
      <c r="E198" s="3">
        <f ca="1">IFERROR(__xludf.DUMMYFUNCTION("""COMPUTED_VALUE"""),43748.6666666666)</f>
        <v>43748.666666666599</v>
      </c>
      <c r="F198" s="2">
        <f ca="1">IFERROR(__xludf.DUMMYFUNCTION("""COMPUTED_VALUE"""),1720.26)</f>
        <v>1720.26</v>
      </c>
      <c r="G198" s="3">
        <f ca="1">IFERROR(__xludf.DUMMYFUNCTION("""COMPUTED_VALUE"""),43748.6666666666)</f>
        <v>43748.666666666599</v>
      </c>
      <c r="H198" s="2">
        <f ca="1">IFERROR(__xludf.DUMMYFUNCTION("""COMPUTED_VALUE"""),1209.47)</f>
        <v>1209.47</v>
      </c>
      <c r="I198" s="3">
        <f ca="1">IFERROR(__xludf.DUMMYFUNCTION("""COMPUTED_VALUE"""),43748.6666666666)</f>
        <v>43748.666666666599</v>
      </c>
      <c r="J198" s="2">
        <f ca="1">IFERROR(__xludf.DUMMYFUNCTION("""COMPUTED_VALUE"""),1208.67)</f>
        <v>1208.67</v>
      </c>
      <c r="K198" s="3">
        <f ca="1">IFERROR(__xludf.DUMMYFUNCTION("""COMPUTED_VALUE"""),43748.6666666666)</f>
        <v>43748.666666666599</v>
      </c>
      <c r="L198" s="2">
        <f ca="1">IFERROR(__xludf.DUMMYFUNCTION("""COMPUTED_VALUE"""),180.03)</f>
        <v>180.03</v>
      </c>
      <c r="M198" s="3">
        <f ca="1">IFERROR(__xludf.DUMMYFUNCTION("""COMPUTED_VALUE"""),43748.6666666666)</f>
        <v>43748.666666666599</v>
      </c>
      <c r="N198" s="2">
        <f ca="1">IFERROR(__xludf.DUMMYFUNCTION("""COMPUTED_VALUE"""),48.95)</f>
        <v>48.95</v>
      </c>
      <c r="O198" s="3">
        <f ca="1">IFERROR(__xludf.DUMMYFUNCTION("""COMPUTED_VALUE"""),43748.6666666666)</f>
        <v>43748.666666666599</v>
      </c>
      <c r="P198" s="2">
        <f ca="1">IFERROR(__xludf.DUMMYFUNCTION("""COMPUTED_VALUE"""),45.76)</f>
        <v>45.76</v>
      </c>
      <c r="Q198" s="3">
        <f ca="1">IFERROR(__xludf.DUMMYFUNCTION("""COMPUTED_VALUE"""),43748.6666666666)</f>
        <v>43748.666666666599</v>
      </c>
      <c r="R198" s="2">
        <f ca="1">IFERROR(__xludf.DUMMYFUNCTION("""COMPUTED_VALUE"""),206.86)</f>
        <v>206.86</v>
      </c>
      <c r="S198" s="3">
        <f ca="1">IFERROR(__xludf.DUMMYFUNCTION("""COMPUTED_VALUE"""),43748.6666666666)</f>
        <v>43748.666666666599</v>
      </c>
      <c r="T198" s="2">
        <f ca="1">IFERROR(__xludf.DUMMYFUNCTION("""COMPUTED_VALUE"""),129.06)</f>
        <v>129.06</v>
      </c>
    </row>
    <row r="199" spans="1:20">
      <c r="A199" s="3">
        <f ca="1">IFERROR(__xludf.DUMMYFUNCTION("""COMPUTED_VALUE"""),43749.6666666666)</f>
        <v>43749.666666666599</v>
      </c>
      <c r="B199" s="2">
        <f ca="1">IFERROR(__xludf.DUMMYFUNCTION("""COMPUTED_VALUE"""),59.05)</f>
        <v>59.05</v>
      </c>
      <c r="C199" s="3">
        <f ca="1">IFERROR(__xludf.DUMMYFUNCTION("""COMPUTED_VALUE"""),43749.6666666666)</f>
        <v>43749.666666666599</v>
      </c>
      <c r="D199" s="2">
        <f ca="1">IFERROR(__xludf.DUMMYFUNCTION("""COMPUTED_VALUE"""),139.68)</f>
        <v>139.68</v>
      </c>
      <c r="E199" s="3">
        <f ca="1">IFERROR(__xludf.DUMMYFUNCTION("""COMPUTED_VALUE"""),43749.6666666666)</f>
        <v>43749.666666666599</v>
      </c>
      <c r="F199" s="2">
        <f ca="1">IFERROR(__xludf.DUMMYFUNCTION("""COMPUTED_VALUE"""),1731.92)</f>
        <v>1731.92</v>
      </c>
      <c r="G199" s="3">
        <f ca="1">IFERROR(__xludf.DUMMYFUNCTION("""COMPUTED_VALUE"""),43749.6666666666)</f>
        <v>43749.666666666599</v>
      </c>
      <c r="H199" s="2">
        <f ca="1">IFERROR(__xludf.DUMMYFUNCTION("""COMPUTED_VALUE"""),1215.71)</f>
        <v>1215.71</v>
      </c>
      <c r="I199" s="3">
        <f ca="1">IFERROR(__xludf.DUMMYFUNCTION("""COMPUTED_VALUE"""),43749.6666666666)</f>
        <v>43749.666666666599</v>
      </c>
      <c r="J199" s="2">
        <f ca="1">IFERROR(__xludf.DUMMYFUNCTION("""COMPUTED_VALUE"""),1215.45)</f>
        <v>1215.45</v>
      </c>
      <c r="K199" s="3">
        <f ca="1">IFERROR(__xludf.DUMMYFUNCTION("""COMPUTED_VALUE"""),43749.6666666666)</f>
        <v>43749.666666666599</v>
      </c>
      <c r="L199" s="2">
        <f ca="1">IFERROR(__xludf.DUMMYFUNCTION("""COMPUTED_VALUE"""),184.19)</f>
        <v>184.19</v>
      </c>
      <c r="M199" s="3">
        <f ca="1">IFERROR(__xludf.DUMMYFUNCTION("""COMPUTED_VALUE"""),43749.6666666666)</f>
        <v>43749.666666666599</v>
      </c>
      <c r="N199" s="2">
        <f ca="1">IFERROR(__xludf.DUMMYFUNCTION("""COMPUTED_VALUE"""),49.58)</f>
        <v>49.58</v>
      </c>
      <c r="O199" s="3">
        <f ca="1">IFERROR(__xludf.DUMMYFUNCTION("""COMPUTED_VALUE"""),43749.6666666666)</f>
        <v>43749.666666666599</v>
      </c>
      <c r="P199" s="2">
        <f ca="1">IFERROR(__xludf.DUMMYFUNCTION("""COMPUTED_VALUE"""),46.5)</f>
        <v>46.5</v>
      </c>
      <c r="Q199" s="3">
        <f ca="1">IFERROR(__xludf.DUMMYFUNCTION("""COMPUTED_VALUE"""),43749.6666666666)</f>
        <v>43749.666666666599</v>
      </c>
      <c r="R199" s="2">
        <f ca="1">IFERROR(__xludf.DUMMYFUNCTION("""COMPUTED_VALUE"""),208.08)</f>
        <v>208.08</v>
      </c>
      <c r="S199" s="3">
        <f ca="1">IFERROR(__xludf.DUMMYFUNCTION("""COMPUTED_VALUE"""),43749.6666666666)</f>
        <v>43749.666666666599</v>
      </c>
      <c r="T199" s="2">
        <f ca="1">IFERROR(__xludf.DUMMYFUNCTION("""COMPUTED_VALUE"""),131.33)</f>
        <v>131.33000000000001</v>
      </c>
    </row>
    <row r="200" spans="1:20">
      <c r="A200" s="3">
        <f ca="1">IFERROR(__xludf.DUMMYFUNCTION("""COMPUTED_VALUE"""),43752.6666666666)</f>
        <v>43752.666666666599</v>
      </c>
      <c r="B200" s="2">
        <f ca="1">IFERROR(__xludf.DUMMYFUNCTION("""COMPUTED_VALUE"""),58.97)</f>
        <v>58.97</v>
      </c>
      <c r="C200" s="3">
        <f ca="1">IFERROR(__xludf.DUMMYFUNCTION("""COMPUTED_VALUE"""),43752.6666666666)</f>
        <v>43752.666666666599</v>
      </c>
      <c r="D200" s="2">
        <f ca="1">IFERROR(__xludf.DUMMYFUNCTION("""COMPUTED_VALUE"""),139.55)</f>
        <v>139.55000000000001</v>
      </c>
      <c r="E200" s="3">
        <f ca="1">IFERROR(__xludf.DUMMYFUNCTION("""COMPUTED_VALUE"""),43752.6666666666)</f>
        <v>43752.666666666599</v>
      </c>
      <c r="F200" s="2">
        <f ca="1">IFERROR(__xludf.DUMMYFUNCTION("""COMPUTED_VALUE"""),1736.43)</f>
        <v>1736.43</v>
      </c>
      <c r="G200" s="3">
        <f ca="1">IFERROR(__xludf.DUMMYFUNCTION("""COMPUTED_VALUE"""),43752.6666666666)</f>
        <v>43752.666666666599</v>
      </c>
      <c r="H200" s="2">
        <f ca="1">IFERROR(__xludf.DUMMYFUNCTION("""COMPUTED_VALUE"""),1217.77)</f>
        <v>1217.77</v>
      </c>
      <c r="I200" s="3">
        <f ca="1">IFERROR(__xludf.DUMMYFUNCTION("""COMPUTED_VALUE"""),43752.6666666666)</f>
        <v>43752.666666666599</v>
      </c>
      <c r="J200" s="2">
        <f ca="1">IFERROR(__xludf.DUMMYFUNCTION("""COMPUTED_VALUE"""),1217.14)</f>
        <v>1217.1400000000001</v>
      </c>
      <c r="K200" s="3">
        <f ca="1">IFERROR(__xludf.DUMMYFUNCTION("""COMPUTED_VALUE"""),43752.6666666666)</f>
        <v>43752.666666666599</v>
      </c>
      <c r="L200" s="2">
        <f ca="1">IFERROR(__xludf.DUMMYFUNCTION("""COMPUTED_VALUE"""),183.28)</f>
        <v>183.28</v>
      </c>
      <c r="M200" s="3">
        <f ca="1">IFERROR(__xludf.DUMMYFUNCTION("""COMPUTED_VALUE"""),43752.6666666666)</f>
        <v>43752.666666666599</v>
      </c>
      <c r="N200" s="2">
        <f ca="1">IFERROR(__xludf.DUMMYFUNCTION("""COMPUTED_VALUE"""),51.39)</f>
        <v>51.39</v>
      </c>
      <c r="O200" s="3">
        <f ca="1">IFERROR(__xludf.DUMMYFUNCTION("""COMPUTED_VALUE"""),43752.6666666666)</f>
        <v>43752.666666666599</v>
      </c>
      <c r="P200" s="2">
        <f ca="1">IFERROR(__xludf.DUMMYFUNCTION("""COMPUTED_VALUE"""),46.63)</f>
        <v>46.63</v>
      </c>
      <c r="Q200" s="3">
        <f ca="1">IFERROR(__xludf.DUMMYFUNCTION("""COMPUTED_VALUE"""),43752.6666666666)</f>
        <v>43752.666666666599</v>
      </c>
      <c r="R200" s="2">
        <f ca="1">IFERROR(__xludf.DUMMYFUNCTION("""COMPUTED_VALUE"""),207.91)</f>
        <v>207.91</v>
      </c>
      <c r="S200" s="3">
        <f ca="1">IFERROR(__xludf.DUMMYFUNCTION("""COMPUTED_VALUE"""),43752.6666666666)</f>
        <v>43752.666666666599</v>
      </c>
      <c r="T200" s="2">
        <f ca="1">IFERROR(__xludf.DUMMYFUNCTION("""COMPUTED_VALUE"""),130.72)</f>
        <v>130.72</v>
      </c>
    </row>
    <row r="201" spans="1:20">
      <c r="A201" s="3">
        <f ca="1">IFERROR(__xludf.DUMMYFUNCTION("""COMPUTED_VALUE"""),43753.6666666666)</f>
        <v>43753.666666666599</v>
      </c>
      <c r="B201" s="2">
        <f ca="1">IFERROR(__xludf.DUMMYFUNCTION("""COMPUTED_VALUE"""),58.83)</f>
        <v>58.83</v>
      </c>
      <c r="C201" s="3">
        <f ca="1">IFERROR(__xludf.DUMMYFUNCTION("""COMPUTED_VALUE"""),43753.6666666666)</f>
        <v>43753.666666666599</v>
      </c>
      <c r="D201" s="2">
        <f ca="1">IFERROR(__xludf.DUMMYFUNCTION("""COMPUTED_VALUE"""),141.57)</f>
        <v>141.57</v>
      </c>
      <c r="E201" s="3">
        <f ca="1">IFERROR(__xludf.DUMMYFUNCTION("""COMPUTED_VALUE"""),43753.6666666666)</f>
        <v>43753.666666666599</v>
      </c>
      <c r="F201" s="2">
        <f ca="1">IFERROR(__xludf.DUMMYFUNCTION("""COMPUTED_VALUE"""),1767.38)</f>
        <v>1767.38</v>
      </c>
      <c r="G201" s="3">
        <f ca="1">IFERROR(__xludf.DUMMYFUNCTION("""COMPUTED_VALUE"""),43753.6666666666)</f>
        <v>43753.666666666599</v>
      </c>
      <c r="H201" s="2">
        <f ca="1">IFERROR(__xludf.DUMMYFUNCTION("""COMPUTED_VALUE"""),1242.24)</f>
        <v>1242.24</v>
      </c>
      <c r="I201" s="3">
        <f ca="1">IFERROR(__xludf.DUMMYFUNCTION("""COMPUTED_VALUE"""),43753.6666666666)</f>
        <v>43753.666666666599</v>
      </c>
      <c r="J201" s="2">
        <f ca="1">IFERROR(__xludf.DUMMYFUNCTION("""COMPUTED_VALUE"""),1243.01)</f>
        <v>1243.01</v>
      </c>
      <c r="K201" s="3">
        <f ca="1">IFERROR(__xludf.DUMMYFUNCTION("""COMPUTED_VALUE"""),43753.6666666666)</f>
        <v>43753.666666666599</v>
      </c>
      <c r="L201" s="2">
        <f ca="1">IFERROR(__xludf.DUMMYFUNCTION("""COMPUTED_VALUE"""),188.89)</f>
        <v>188.89</v>
      </c>
      <c r="M201" s="3">
        <f ca="1">IFERROR(__xludf.DUMMYFUNCTION("""COMPUTED_VALUE"""),43753.6666666666)</f>
        <v>43753.666666666599</v>
      </c>
      <c r="N201" s="2">
        <f ca="1">IFERROR(__xludf.DUMMYFUNCTION("""COMPUTED_VALUE"""),51.58)</f>
        <v>51.58</v>
      </c>
      <c r="O201" s="3">
        <f ca="1">IFERROR(__xludf.DUMMYFUNCTION("""COMPUTED_VALUE"""),43753.6666666666)</f>
        <v>43753.666666666599</v>
      </c>
      <c r="P201" s="2">
        <f ca="1">IFERROR(__xludf.DUMMYFUNCTION("""COMPUTED_VALUE"""),49.09)</f>
        <v>49.09</v>
      </c>
      <c r="Q201" s="3">
        <f ca="1">IFERROR(__xludf.DUMMYFUNCTION("""COMPUTED_VALUE"""),43753.6666666666)</f>
        <v>43753.666666666599</v>
      </c>
      <c r="R201" s="2">
        <f ca="1">IFERROR(__xludf.DUMMYFUNCTION("""COMPUTED_VALUE"""),209.38)</f>
        <v>209.38</v>
      </c>
      <c r="S201" s="3">
        <f ca="1">IFERROR(__xludf.DUMMYFUNCTION("""COMPUTED_VALUE"""),43753.6666666666)</f>
        <v>43753.666666666599</v>
      </c>
      <c r="T201" s="2">
        <f ca="1">IFERROR(__xludf.DUMMYFUNCTION("""COMPUTED_VALUE"""),132.84)</f>
        <v>132.84</v>
      </c>
    </row>
    <row r="202" spans="1:20">
      <c r="A202" s="3">
        <f ca="1">IFERROR(__xludf.DUMMYFUNCTION("""COMPUTED_VALUE"""),43754.6666666666)</f>
        <v>43754.666666666599</v>
      </c>
      <c r="B202" s="2">
        <f ca="1">IFERROR(__xludf.DUMMYFUNCTION("""COMPUTED_VALUE"""),58.59)</f>
        <v>58.59</v>
      </c>
      <c r="C202" s="3">
        <f ca="1">IFERROR(__xludf.DUMMYFUNCTION("""COMPUTED_VALUE"""),43754.6666666666)</f>
        <v>43754.666666666599</v>
      </c>
      <c r="D202" s="2">
        <f ca="1">IFERROR(__xludf.DUMMYFUNCTION("""COMPUTED_VALUE"""),140.41)</f>
        <v>140.41</v>
      </c>
      <c r="E202" s="3">
        <f ca="1">IFERROR(__xludf.DUMMYFUNCTION("""COMPUTED_VALUE"""),43754.6666666666)</f>
        <v>43754.666666666599</v>
      </c>
      <c r="F202" s="2">
        <f ca="1">IFERROR(__xludf.DUMMYFUNCTION("""COMPUTED_VALUE"""),1777.43)</f>
        <v>1777.43</v>
      </c>
      <c r="G202" s="3">
        <f ca="1">IFERROR(__xludf.DUMMYFUNCTION("""COMPUTED_VALUE"""),43754.6666666666)</f>
        <v>43754.666666666599</v>
      </c>
      <c r="H202" s="2">
        <f ca="1">IFERROR(__xludf.DUMMYFUNCTION("""COMPUTED_VALUE"""),1243)</f>
        <v>1243</v>
      </c>
      <c r="I202" s="3">
        <f ca="1">IFERROR(__xludf.DUMMYFUNCTION("""COMPUTED_VALUE"""),43754.6666666666)</f>
        <v>43754.666666666599</v>
      </c>
      <c r="J202" s="2">
        <f ca="1">IFERROR(__xludf.DUMMYFUNCTION("""COMPUTED_VALUE"""),1243.64)</f>
        <v>1243.6400000000001</v>
      </c>
      <c r="K202" s="3">
        <f ca="1">IFERROR(__xludf.DUMMYFUNCTION("""COMPUTED_VALUE"""),43754.6666666666)</f>
        <v>43754.666666666599</v>
      </c>
      <c r="L202" s="2">
        <f ca="1">IFERROR(__xludf.DUMMYFUNCTION("""COMPUTED_VALUE"""),189.55)</f>
        <v>189.55</v>
      </c>
      <c r="M202" s="3">
        <f ca="1">IFERROR(__xludf.DUMMYFUNCTION("""COMPUTED_VALUE"""),43754.6666666666)</f>
        <v>43754.666666666599</v>
      </c>
      <c r="N202" s="2">
        <f ca="1">IFERROR(__xludf.DUMMYFUNCTION("""COMPUTED_VALUE"""),51.95)</f>
        <v>51.95</v>
      </c>
      <c r="O202" s="3">
        <f ca="1">IFERROR(__xludf.DUMMYFUNCTION("""COMPUTED_VALUE"""),43754.6666666666)</f>
        <v>43754.666666666599</v>
      </c>
      <c r="P202" s="2">
        <f ca="1">IFERROR(__xludf.DUMMYFUNCTION("""COMPUTED_VALUE"""),48.55)</f>
        <v>48.55</v>
      </c>
      <c r="Q202" s="3">
        <f ca="1">IFERROR(__xludf.DUMMYFUNCTION("""COMPUTED_VALUE"""),43754.6666666666)</f>
        <v>43754.666666666599</v>
      </c>
      <c r="R202" s="2">
        <f ca="1">IFERROR(__xludf.DUMMYFUNCTION("""COMPUTED_VALUE"""),209.29)</f>
        <v>209.29</v>
      </c>
      <c r="S202" s="3">
        <f ca="1">IFERROR(__xludf.DUMMYFUNCTION("""COMPUTED_VALUE"""),43754.6666666666)</f>
        <v>43754.666666666599</v>
      </c>
      <c r="T202" s="2">
        <f ca="1">IFERROR(__xludf.DUMMYFUNCTION("""COMPUTED_VALUE"""),135.17)</f>
        <v>135.16999999999999</v>
      </c>
    </row>
    <row r="203" spans="1:20">
      <c r="A203" s="3">
        <f ca="1">IFERROR(__xludf.DUMMYFUNCTION("""COMPUTED_VALUE"""),43755.6666666666)</f>
        <v>43755.666666666599</v>
      </c>
      <c r="B203" s="2">
        <f ca="1">IFERROR(__xludf.DUMMYFUNCTION("""COMPUTED_VALUE"""),58.82)</f>
        <v>58.82</v>
      </c>
      <c r="C203" s="3">
        <f ca="1">IFERROR(__xludf.DUMMYFUNCTION("""COMPUTED_VALUE"""),43755.6666666666)</f>
        <v>43755.666666666599</v>
      </c>
      <c r="D203" s="2">
        <f ca="1">IFERROR(__xludf.DUMMYFUNCTION("""COMPUTED_VALUE"""),139.69)</f>
        <v>139.69</v>
      </c>
      <c r="E203" s="3">
        <f ca="1">IFERROR(__xludf.DUMMYFUNCTION("""COMPUTED_VALUE"""),43755.6666666666)</f>
        <v>43755.666666666599</v>
      </c>
      <c r="F203" s="2">
        <f ca="1">IFERROR(__xludf.DUMMYFUNCTION("""COMPUTED_VALUE"""),1787.48)</f>
        <v>1787.48</v>
      </c>
      <c r="G203" s="3">
        <f ca="1">IFERROR(__xludf.DUMMYFUNCTION("""COMPUTED_VALUE"""),43755.6666666666)</f>
        <v>43755.666666666599</v>
      </c>
      <c r="H203" s="2">
        <f ca="1">IFERROR(__xludf.DUMMYFUNCTION("""COMPUTED_VALUE"""),1252.8)</f>
        <v>1252.8</v>
      </c>
      <c r="I203" s="3">
        <f ca="1">IFERROR(__xludf.DUMMYFUNCTION("""COMPUTED_VALUE"""),43755.6666666666)</f>
        <v>43755.666666666599</v>
      </c>
      <c r="J203" s="2">
        <f ca="1">IFERROR(__xludf.DUMMYFUNCTION("""COMPUTED_VALUE"""),1253.07)</f>
        <v>1253.07</v>
      </c>
      <c r="K203" s="3">
        <f ca="1">IFERROR(__xludf.DUMMYFUNCTION("""COMPUTED_VALUE"""),43755.6666666666)</f>
        <v>43755.666666666599</v>
      </c>
      <c r="L203" s="2">
        <f ca="1">IFERROR(__xludf.DUMMYFUNCTION("""COMPUTED_VALUE"""),190.39)</f>
        <v>190.39</v>
      </c>
      <c r="M203" s="3">
        <f ca="1">IFERROR(__xludf.DUMMYFUNCTION("""COMPUTED_VALUE"""),43755.6666666666)</f>
        <v>43755.666666666599</v>
      </c>
      <c r="N203" s="2">
        <f ca="1">IFERROR(__xludf.DUMMYFUNCTION("""COMPUTED_VALUE"""),52.39)</f>
        <v>52.39</v>
      </c>
      <c r="O203" s="3">
        <f ca="1">IFERROR(__xludf.DUMMYFUNCTION("""COMPUTED_VALUE"""),43755.6666666666)</f>
        <v>43755.666666666599</v>
      </c>
      <c r="P203" s="2">
        <f ca="1">IFERROR(__xludf.DUMMYFUNCTION("""COMPUTED_VALUE"""),48.57)</f>
        <v>48.57</v>
      </c>
      <c r="Q203" s="3">
        <f ca="1">IFERROR(__xludf.DUMMYFUNCTION("""COMPUTED_VALUE"""),43755.6666666666)</f>
        <v>43755.666666666599</v>
      </c>
      <c r="R203" s="2">
        <f ca="1">IFERROR(__xludf.DUMMYFUNCTION("""COMPUTED_VALUE"""),208.62)</f>
        <v>208.62</v>
      </c>
      <c r="S203" s="3">
        <f ca="1">IFERROR(__xludf.DUMMYFUNCTION("""COMPUTED_VALUE"""),43755.6666666666)</f>
        <v>43755.666666666599</v>
      </c>
      <c r="T203" s="2">
        <f ca="1">IFERROR(__xludf.DUMMYFUNCTION("""COMPUTED_VALUE"""),136.17)</f>
        <v>136.16999999999999</v>
      </c>
    </row>
    <row r="204" spans="1:20">
      <c r="A204" s="3">
        <f ca="1">IFERROR(__xludf.DUMMYFUNCTION("""COMPUTED_VALUE"""),43756.6666666666)</f>
        <v>43756.666666666599</v>
      </c>
      <c r="B204" s="2">
        <f ca="1">IFERROR(__xludf.DUMMYFUNCTION("""COMPUTED_VALUE"""),59.1)</f>
        <v>59.1</v>
      </c>
      <c r="C204" s="3">
        <f ca="1">IFERROR(__xludf.DUMMYFUNCTION("""COMPUTED_VALUE"""),43756.6666666666)</f>
        <v>43756.666666666599</v>
      </c>
      <c r="D204" s="2">
        <f ca="1">IFERROR(__xludf.DUMMYFUNCTION("""COMPUTED_VALUE"""),137.41)</f>
        <v>137.41</v>
      </c>
      <c r="E204" s="3">
        <f ca="1">IFERROR(__xludf.DUMMYFUNCTION("""COMPUTED_VALUE"""),43756.6666666666)</f>
        <v>43756.666666666599</v>
      </c>
      <c r="F204" s="2">
        <f ca="1">IFERROR(__xludf.DUMMYFUNCTION("""COMPUTED_VALUE"""),1757.51)</f>
        <v>1757.51</v>
      </c>
      <c r="G204" s="3">
        <f ca="1">IFERROR(__xludf.DUMMYFUNCTION("""COMPUTED_VALUE"""),43756.6666666666)</f>
        <v>43756.666666666599</v>
      </c>
      <c r="H204" s="2">
        <f ca="1">IFERROR(__xludf.DUMMYFUNCTION("""COMPUTED_VALUE"""),1244.41)</f>
        <v>1244.4100000000001</v>
      </c>
      <c r="I204" s="3">
        <f ca="1">IFERROR(__xludf.DUMMYFUNCTION("""COMPUTED_VALUE"""),43756.6666666666)</f>
        <v>43756.666666666599</v>
      </c>
      <c r="J204" s="2">
        <f ca="1">IFERROR(__xludf.DUMMYFUNCTION("""COMPUTED_VALUE"""),1245.49)</f>
        <v>1245.49</v>
      </c>
      <c r="K204" s="3">
        <f ca="1">IFERROR(__xludf.DUMMYFUNCTION("""COMPUTED_VALUE"""),43756.6666666666)</f>
        <v>43756.666666666599</v>
      </c>
      <c r="L204" s="2">
        <f ca="1">IFERROR(__xludf.DUMMYFUNCTION("""COMPUTED_VALUE"""),185.85)</f>
        <v>185.85</v>
      </c>
      <c r="M204" s="3">
        <f ca="1">IFERROR(__xludf.DUMMYFUNCTION("""COMPUTED_VALUE"""),43756.6666666666)</f>
        <v>43756.666666666599</v>
      </c>
      <c r="N204" s="2">
        <f ca="1">IFERROR(__xludf.DUMMYFUNCTION("""COMPUTED_VALUE"""),51.39)</f>
        <v>51.39</v>
      </c>
      <c r="O204" s="3">
        <f ca="1">IFERROR(__xludf.DUMMYFUNCTION("""COMPUTED_VALUE"""),43756.6666666666)</f>
        <v>43756.666666666599</v>
      </c>
      <c r="P204" s="2">
        <f ca="1">IFERROR(__xludf.DUMMYFUNCTION("""COMPUTED_VALUE"""),47.62)</f>
        <v>47.62</v>
      </c>
      <c r="Q204" s="3">
        <f ca="1">IFERROR(__xludf.DUMMYFUNCTION("""COMPUTED_VALUE"""),43756.6666666666)</f>
        <v>43756.666666666599</v>
      </c>
      <c r="R204" s="2">
        <f ca="1">IFERROR(__xludf.DUMMYFUNCTION("""COMPUTED_VALUE"""),208.76)</f>
        <v>208.76</v>
      </c>
      <c r="S204" s="3">
        <f ca="1">IFERROR(__xludf.DUMMYFUNCTION("""COMPUTED_VALUE"""),43756.6666666666)</f>
        <v>43756.666666666599</v>
      </c>
      <c r="T204" s="2">
        <f ca="1">IFERROR(__xludf.DUMMYFUNCTION("""COMPUTED_VALUE"""),127.7)</f>
        <v>127.7</v>
      </c>
    </row>
    <row r="205" spans="1:20">
      <c r="A205" s="3">
        <f ca="1">IFERROR(__xludf.DUMMYFUNCTION("""COMPUTED_VALUE"""),43759.6666666666)</f>
        <v>43759.666666666599</v>
      </c>
      <c r="B205" s="2">
        <f ca="1">IFERROR(__xludf.DUMMYFUNCTION("""COMPUTED_VALUE"""),60.13)</f>
        <v>60.13</v>
      </c>
      <c r="C205" s="3">
        <f ca="1">IFERROR(__xludf.DUMMYFUNCTION("""COMPUTED_VALUE"""),43759.6666666666)</f>
        <v>43759.666666666599</v>
      </c>
      <c r="D205" s="2">
        <f ca="1">IFERROR(__xludf.DUMMYFUNCTION("""COMPUTED_VALUE"""),138.43)</f>
        <v>138.43</v>
      </c>
      <c r="E205" s="3">
        <f ca="1">IFERROR(__xludf.DUMMYFUNCTION("""COMPUTED_VALUE"""),43759.6666666666)</f>
        <v>43759.666666666599</v>
      </c>
      <c r="F205" s="2">
        <f ca="1">IFERROR(__xludf.DUMMYFUNCTION("""COMPUTED_VALUE"""),1785.66)</f>
        <v>1785.66</v>
      </c>
      <c r="G205" s="3">
        <f ca="1">IFERROR(__xludf.DUMMYFUNCTION("""COMPUTED_VALUE"""),43759.6666666666)</f>
        <v>43759.666666666599</v>
      </c>
      <c r="H205" s="2">
        <f ca="1">IFERROR(__xludf.DUMMYFUNCTION("""COMPUTED_VALUE"""),1244.28)</f>
        <v>1244.28</v>
      </c>
      <c r="I205" s="3">
        <f ca="1">IFERROR(__xludf.DUMMYFUNCTION("""COMPUTED_VALUE"""),43759.6666666666)</f>
        <v>43759.666666666599</v>
      </c>
      <c r="J205" s="2">
        <f ca="1">IFERROR(__xludf.DUMMYFUNCTION("""COMPUTED_VALUE"""),1246.15)</f>
        <v>1246.1500000000001</v>
      </c>
      <c r="K205" s="3">
        <f ca="1">IFERROR(__xludf.DUMMYFUNCTION("""COMPUTED_VALUE"""),43759.6666666666)</f>
        <v>43759.666666666599</v>
      </c>
      <c r="L205" s="2">
        <f ca="1">IFERROR(__xludf.DUMMYFUNCTION("""COMPUTED_VALUE"""),189.76)</f>
        <v>189.76</v>
      </c>
      <c r="M205" s="3">
        <f ca="1">IFERROR(__xludf.DUMMYFUNCTION("""COMPUTED_VALUE"""),43759.6666666666)</f>
        <v>43759.666666666599</v>
      </c>
      <c r="N205" s="2">
        <f ca="1">IFERROR(__xludf.DUMMYFUNCTION("""COMPUTED_VALUE"""),50.7)</f>
        <v>50.7</v>
      </c>
      <c r="O205" s="3">
        <f ca="1">IFERROR(__xludf.DUMMYFUNCTION("""COMPUTED_VALUE"""),43759.6666666666)</f>
        <v>43759.666666666599</v>
      </c>
      <c r="P205" s="2">
        <f ca="1">IFERROR(__xludf.DUMMYFUNCTION("""COMPUTED_VALUE"""),49)</f>
        <v>49</v>
      </c>
      <c r="Q205" s="3">
        <f ca="1">IFERROR(__xludf.DUMMYFUNCTION("""COMPUTED_VALUE"""),43759.6666666666)</f>
        <v>43759.666666666599</v>
      </c>
      <c r="R205" s="2">
        <f ca="1">IFERROR(__xludf.DUMMYFUNCTION("""COMPUTED_VALUE"""),211.49)</f>
        <v>211.49</v>
      </c>
      <c r="S205" s="3">
        <f ca="1">IFERROR(__xludf.DUMMYFUNCTION("""COMPUTED_VALUE"""),43759.6666666666)</f>
        <v>43759.666666666599</v>
      </c>
      <c r="T205" s="2">
        <f ca="1">IFERROR(__xludf.DUMMYFUNCTION("""COMPUTED_VALUE"""),128.02)</f>
        <v>128.02000000000001</v>
      </c>
    </row>
    <row r="206" spans="1:20">
      <c r="A206" s="3">
        <f ca="1">IFERROR(__xludf.DUMMYFUNCTION("""COMPUTED_VALUE"""),43760.6666666666)</f>
        <v>43760.666666666599</v>
      </c>
      <c r="B206" s="2">
        <f ca="1">IFERROR(__xludf.DUMMYFUNCTION("""COMPUTED_VALUE"""),59.99)</f>
        <v>59.99</v>
      </c>
      <c r="C206" s="3">
        <f ca="1">IFERROR(__xludf.DUMMYFUNCTION("""COMPUTED_VALUE"""),43760.6666666666)</f>
        <v>43760.666666666599</v>
      </c>
      <c r="D206" s="2">
        <f ca="1">IFERROR(__xludf.DUMMYFUNCTION("""COMPUTED_VALUE"""),136.37)</f>
        <v>136.37</v>
      </c>
      <c r="E206" s="3">
        <f ca="1">IFERROR(__xludf.DUMMYFUNCTION("""COMPUTED_VALUE"""),43760.6666666666)</f>
        <v>43760.666666666599</v>
      </c>
      <c r="F206" s="2">
        <f ca="1">IFERROR(__xludf.DUMMYFUNCTION("""COMPUTED_VALUE"""),1765.73)</f>
        <v>1765.73</v>
      </c>
      <c r="G206" s="3">
        <f ca="1">IFERROR(__xludf.DUMMYFUNCTION("""COMPUTED_VALUE"""),43760.6666666666)</f>
        <v>43760.666666666599</v>
      </c>
      <c r="H206" s="2">
        <f ca="1">IFERROR(__xludf.DUMMYFUNCTION("""COMPUTED_VALUE"""),1241.2)</f>
        <v>1241.2</v>
      </c>
      <c r="I206" s="3">
        <f ca="1">IFERROR(__xludf.DUMMYFUNCTION("""COMPUTED_VALUE"""),43760.6666666666)</f>
        <v>43760.666666666599</v>
      </c>
      <c r="J206" s="2">
        <f ca="1">IFERROR(__xludf.DUMMYFUNCTION("""COMPUTED_VALUE"""),1242.8)</f>
        <v>1242.8</v>
      </c>
      <c r="K206" s="3">
        <f ca="1">IFERROR(__xludf.DUMMYFUNCTION("""COMPUTED_VALUE"""),43760.6666666666)</f>
        <v>43760.666666666599</v>
      </c>
      <c r="L206" s="2">
        <f ca="1">IFERROR(__xludf.DUMMYFUNCTION("""COMPUTED_VALUE"""),182.34)</f>
        <v>182.34</v>
      </c>
      <c r="M206" s="3">
        <f ca="1">IFERROR(__xludf.DUMMYFUNCTION("""COMPUTED_VALUE"""),43760.6666666666)</f>
        <v>43760.666666666599</v>
      </c>
      <c r="N206" s="2">
        <f ca="1">IFERROR(__xludf.DUMMYFUNCTION("""COMPUTED_VALUE"""),51.12)</f>
        <v>51.12</v>
      </c>
      <c r="O206" s="3">
        <f ca="1">IFERROR(__xludf.DUMMYFUNCTION("""COMPUTED_VALUE"""),43760.6666666666)</f>
        <v>43760.666666666599</v>
      </c>
      <c r="P206" s="2">
        <f ca="1">IFERROR(__xludf.DUMMYFUNCTION("""COMPUTED_VALUE"""),48.9)</f>
        <v>48.9</v>
      </c>
      <c r="Q206" s="3">
        <f ca="1">IFERROR(__xludf.DUMMYFUNCTION("""COMPUTED_VALUE"""),43760.6666666666)</f>
        <v>43760.666666666599</v>
      </c>
      <c r="R206" s="2">
        <f ca="1">IFERROR(__xludf.DUMMYFUNCTION("""COMPUTED_VALUE"""),210.62)</f>
        <v>210.62</v>
      </c>
      <c r="S206" s="3">
        <f ca="1">IFERROR(__xludf.DUMMYFUNCTION("""COMPUTED_VALUE"""),43760.6666666666)</f>
        <v>43760.666666666599</v>
      </c>
      <c r="T206" s="2">
        <f ca="1">IFERROR(__xludf.DUMMYFUNCTION("""COMPUTED_VALUE"""),129.2)</f>
        <v>129.19999999999999</v>
      </c>
    </row>
    <row r="207" spans="1:20">
      <c r="A207" s="3">
        <f ca="1">IFERROR(__xludf.DUMMYFUNCTION("""COMPUTED_VALUE"""),43761.6666666666)</f>
        <v>43761.666666666599</v>
      </c>
      <c r="B207" s="2">
        <f ca="1">IFERROR(__xludf.DUMMYFUNCTION("""COMPUTED_VALUE"""),60.8)</f>
        <v>60.8</v>
      </c>
      <c r="C207" s="3">
        <f ca="1">IFERROR(__xludf.DUMMYFUNCTION("""COMPUTED_VALUE"""),43761.6666666666)</f>
        <v>43761.666666666599</v>
      </c>
      <c r="D207" s="2">
        <f ca="1">IFERROR(__xludf.DUMMYFUNCTION("""COMPUTED_VALUE"""),137.24)</f>
        <v>137.24</v>
      </c>
      <c r="E207" s="3">
        <f ca="1">IFERROR(__xludf.DUMMYFUNCTION("""COMPUTED_VALUE"""),43761.6666666666)</f>
        <v>43761.666666666599</v>
      </c>
      <c r="F207" s="2">
        <f ca="1">IFERROR(__xludf.DUMMYFUNCTION("""COMPUTED_VALUE"""),1762.17)</f>
        <v>1762.17</v>
      </c>
      <c r="G207" s="3">
        <f ca="1">IFERROR(__xludf.DUMMYFUNCTION("""COMPUTED_VALUE"""),43761.6666666666)</f>
        <v>43761.666666666599</v>
      </c>
      <c r="H207" s="2">
        <f ca="1">IFERROR(__xludf.DUMMYFUNCTION("""COMPUTED_VALUE"""),1257.63)</f>
        <v>1257.6300000000001</v>
      </c>
      <c r="I207" s="3">
        <f ca="1">IFERROR(__xludf.DUMMYFUNCTION("""COMPUTED_VALUE"""),43761.6666666666)</f>
        <v>43761.666666666599</v>
      </c>
      <c r="J207" s="2">
        <f ca="1">IFERROR(__xludf.DUMMYFUNCTION("""COMPUTED_VALUE"""),1259.13)</f>
        <v>1259.1300000000001</v>
      </c>
      <c r="K207" s="3">
        <f ca="1">IFERROR(__xludf.DUMMYFUNCTION("""COMPUTED_VALUE"""),43761.6666666666)</f>
        <v>43761.666666666599</v>
      </c>
      <c r="L207" s="2">
        <f ca="1">IFERROR(__xludf.DUMMYFUNCTION("""COMPUTED_VALUE"""),186.15)</f>
        <v>186.15</v>
      </c>
      <c r="M207" s="3">
        <f ca="1">IFERROR(__xludf.DUMMYFUNCTION("""COMPUTED_VALUE"""),43761.6666666666)</f>
        <v>43761.666666666599</v>
      </c>
      <c r="N207" s="2">
        <f ca="1">IFERROR(__xludf.DUMMYFUNCTION("""COMPUTED_VALUE"""),50.94)</f>
        <v>50.94</v>
      </c>
      <c r="O207" s="3">
        <f ca="1">IFERROR(__xludf.DUMMYFUNCTION("""COMPUTED_VALUE"""),43761.6666666666)</f>
        <v>43761.666666666599</v>
      </c>
      <c r="P207" s="2">
        <f ca="1">IFERROR(__xludf.DUMMYFUNCTION("""COMPUTED_VALUE"""),48.77)</f>
        <v>48.77</v>
      </c>
      <c r="Q207" s="3">
        <f ca="1">IFERROR(__xludf.DUMMYFUNCTION("""COMPUTED_VALUE"""),43761.6666666666)</f>
        <v>43761.666666666599</v>
      </c>
      <c r="R207" s="2">
        <f ca="1">IFERROR(__xludf.DUMMYFUNCTION("""COMPUTED_VALUE"""),210.96)</f>
        <v>210.96</v>
      </c>
      <c r="S207" s="3">
        <f ca="1">IFERROR(__xludf.DUMMYFUNCTION("""COMPUTED_VALUE"""),43761.6666666666)</f>
        <v>43761.666666666599</v>
      </c>
      <c r="T207" s="2">
        <f ca="1">IFERROR(__xludf.DUMMYFUNCTION("""COMPUTED_VALUE"""),129.9)</f>
        <v>129.9</v>
      </c>
    </row>
    <row r="208" spans="1:20">
      <c r="A208" s="3">
        <f ca="1">IFERROR(__xludf.DUMMYFUNCTION("""COMPUTED_VALUE"""),43762.6666666666)</f>
        <v>43762.666666666599</v>
      </c>
      <c r="B208" s="2">
        <f ca="1">IFERROR(__xludf.DUMMYFUNCTION("""COMPUTED_VALUE"""),60.9)</f>
        <v>60.9</v>
      </c>
      <c r="C208" s="3">
        <f ca="1">IFERROR(__xludf.DUMMYFUNCTION("""COMPUTED_VALUE"""),43762.6666666666)</f>
        <v>43762.666666666599</v>
      </c>
      <c r="D208" s="2">
        <f ca="1">IFERROR(__xludf.DUMMYFUNCTION("""COMPUTED_VALUE"""),139.94)</f>
        <v>139.94</v>
      </c>
      <c r="E208" s="3">
        <f ca="1">IFERROR(__xludf.DUMMYFUNCTION("""COMPUTED_VALUE"""),43762.6666666666)</f>
        <v>43762.666666666599</v>
      </c>
      <c r="F208" s="2">
        <f ca="1">IFERROR(__xludf.DUMMYFUNCTION("""COMPUTED_VALUE"""),1780.78)</f>
        <v>1780.78</v>
      </c>
      <c r="G208" s="3">
        <f ca="1">IFERROR(__xludf.DUMMYFUNCTION("""COMPUTED_VALUE"""),43762.6666666666)</f>
        <v>43762.666666666599</v>
      </c>
      <c r="H208" s="2">
        <f ca="1">IFERROR(__xludf.DUMMYFUNCTION("""COMPUTED_VALUE"""),1259.11)</f>
        <v>1259.1099999999999</v>
      </c>
      <c r="I208" s="3">
        <f ca="1">IFERROR(__xludf.DUMMYFUNCTION("""COMPUTED_VALUE"""),43762.6666666666)</f>
        <v>43762.666666666599</v>
      </c>
      <c r="J208" s="2">
        <f ca="1">IFERROR(__xludf.DUMMYFUNCTION("""COMPUTED_VALUE"""),1260.99)</f>
        <v>1260.99</v>
      </c>
      <c r="K208" s="3">
        <f ca="1">IFERROR(__xludf.DUMMYFUNCTION("""COMPUTED_VALUE"""),43762.6666666666)</f>
        <v>43762.666666666599</v>
      </c>
      <c r="L208" s="2">
        <f ca="1">IFERROR(__xludf.DUMMYFUNCTION("""COMPUTED_VALUE"""),186.38)</f>
        <v>186.38</v>
      </c>
      <c r="M208" s="3">
        <f ca="1">IFERROR(__xludf.DUMMYFUNCTION("""COMPUTED_VALUE"""),43762.6666666666)</f>
        <v>43762.666666666599</v>
      </c>
      <c r="N208" s="2">
        <f ca="1">IFERROR(__xludf.DUMMYFUNCTION("""COMPUTED_VALUE"""),59.94)</f>
        <v>59.94</v>
      </c>
      <c r="O208" s="3">
        <f ca="1">IFERROR(__xludf.DUMMYFUNCTION("""COMPUTED_VALUE"""),43762.6666666666)</f>
        <v>43762.666666666599</v>
      </c>
      <c r="P208" s="2">
        <f ca="1">IFERROR(__xludf.DUMMYFUNCTION("""COMPUTED_VALUE"""),49.22)</f>
        <v>49.22</v>
      </c>
      <c r="Q208" s="3">
        <f ca="1">IFERROR(__xludf.DUMMYFUNCTION("""COMPUTED_VALUE"""),43762.6666666666)</f>
        <v>43762.666666666599</v>
      </c>
      <c r="R208" s="2">
        <f ca="1">IFERROR(__xludf.DUMMYFUNCTION("""COMPUTED_VALUE"""),210.26)</f>
        <v>210.26</v>
      </c>
      <c r="S208" s="3">
        <f ca="1">IFERROR(__xludf.DUMMYFUNCTION("""COMPUTED_VALUE"""),43762.6666666666)</f>
        <v>43762.666666666599</v>
      </c>
      <c r="T208" s="2">
        <f ca="1">IFERROR(__xludf.DUMMYFUNCTION("""COMPUTED_VALUE"""),127.5)</f>
        <v>127.5</v>
      </c>
    </row>
    <row r="209" spans="1:20">
      <c r="A209" s="3">
        <f ca="1">IFERROR(__xludf.DUMMYFUNCTION("""COMPUTED_VALUE"""),43763.6666666666)</f>
        <v>43763.666666666599</v>
      </c>
      <c r="B209" s="2">
        <f ca="1">IFERROR(__xludf.DUMMYFUNCTION("""COMPUTED_VALUE"""),61.65)</f>
        <v>61.65</v>
      </c>
      <c r="C209" s="3">
        <f ca="1">IFERROR(__xludf.DUMMYFUNCTION("""COMPUTED_VALUE"""),43763.6666666666)</f>
        <v>43763.666666666599</v>
      </c>
      <c r="D209" s="2">
        <f ca="1">IFERROR(__xludf.DUMMYFUNCTION("""COMPUTED_VALUE"""),140.73)</f>
        <v>140.72999999999999</v>
      </c>
      <c r="E209" s="3">
        <f ca="1">IFERROR(__xludf.DUMMYFUNCTION("""COMPUTED_VALUE"""),43763.6666666666)</f>
        <v>43763.666666666599</v>
      </c>
      <c r="F209" s="2">
        <f ca="1">IFERROR(__xludf.DUMMYFUNCTION("""COMPUTED_VALUE"""),1761.33)</f>
        <v>1761.33</v>
      </c>
      <c r="G209" s="3">
        <f ca="1">IFERROR(__xludf.DUMMYFUNCTION("""COMPUTED_VALUE"""),43763.6666666666)</f>
        <v>43763.666666666599</v>
      </c>
      <c r="H209" s="2">
        <f ca="1">IFERROR(__xludf.DUMMYFUNCTION("""COMPUTED_VALUE"""),1264.3)</f>
        <v>1264.3</v>
      </c>
      <c r="I209" s="3">
        <f ca="1">IFERROR(__xludf.DUMMYFUNCTION("""COMPUTED_VALUE"""),43763.6666666666)</f>
        <v>43763.666666666599</v>
      </c>
      <c r="J209" s="2">
        <f ca="1">IFERROR(__xludf.DUMMYFUNCTION("""COMPUTED_VALUE"""),1265.13)</f>
        <v>1265.1300000000001</v>
      </c>
      <c r="K209" s="3">
        <f ca="1">IFERROR(__xludf.DUMMYFUNCTION("""COMPUTED_VALUE"""),43763.6666666666)</f>
        <v>43763.666666666599</v>
      </c>
      <c r="L209" s="2">
        <f ca="1">IFERROR(__xludf.DUMMYFUNCTION("""COMPUTED_VALUE"""),187.89)</f>
        <v>187.89</v>
      </c>
      <c r="M209" s="3">
        <f ca="1">IFERROR(__xludf.DUMMYFUNCTION("""COMPUTED_VALUE"""),43763.6666666666)</f>
        <v>43763.666666666599</v>
      </c>
      <c r="N209" s="2">
        <f ca="1">IFERROR(__xludf.DUMMYFUNCTION("""COMPUTED_VALUE"""),65.63)</f>
        <v>65.63</v>
      </c>
      <c r="O209" s="3">
        <f ca="1">IFERROR(__xludf.DUMMYFUNCTION("""COMPUTED_VALUE"""),43763.6666666666)</f>
        <v>43763.666666666599</v>
      </c>
      <c r="P209" s="2">
        <f ca="1">IFERROR(__xludf.DUMMYFUNCTION("""COMPUTED_VALUE"""),51.14)</f>
        <v>51.14</v>
      </c>
      <c r="Q209" s="3">
        <f ca="1">IFERROR(__xludf.DUMMYFUNCTION("""COMPUTED_VALUE"""),43763.6666666666)</f>
        <v>43763.666666666599</v>
      </c>
      <c r="R209" s="2">
        <f ca="1">IFERROR(__xludf.DUMMYFUNCTION("""COMPUTED_VALUE"""),211.8)</f>
        <v>211.8</v>
      </c>
      <c r="S209" s="3">
        <f ca="1">IFERROR(__xludf.DUMMYFUNCTION("""COMPUTED_VALUE"""),43763.6666666666)</f>
        <v>43763.666666666599</v>
      </c>
      <c r="T209" s="2">
        <f ca="1">IFERROR(__xludf.DUMMYFUNCTION("""COMPUTED_VALUE"""),128.35)</f>
        <v>128.35</v>
      </c>
    </row>
    <row r="210" spans="1:20">
      <c r="A210" s="3">
        <f ca="1">IFERROR(__xludf.DUMMYFUNCTION("""COMPUTED_VALUE"""),43766.6666666666)</f>
        <v>43766.666666666599</v>
      </c>
      <c r="B210" s="2">
        <f ca="1">IFERROR(__xludf.DUMMYFUNCTION("""COMPUTED_VALUE"""),62.26)</f>
        <v>62.26</v>
      </c>
      <c r="C210" s="3">
        <f ca="1">IFERROR(__xludf.DUMMYFUNCTION("""COMPUTED_VALUE"""),43766.6666666666)</f>
        <v>43766.666666666599</v>
      </c>
      <c r="D210" s="2">
        <f ca="1">IFERROR(__xludf.DUMMYFUNCTION("""COMPUTED_VALUE"""),144.19)</f>
        <v>144.19</v>
      </c>
      <c r="E210" s="3">
        <f ca="1">IFERROR(__xludf.DUMMYFUNCTION("""COMPUTED_VALUE"""),43766.6666666666)</f>
        <v>43766.666666666599</v>
      </c>
      <c r="F210" s="2">
        <f ca="1">IFERROR(__xludf.DUMMYFUNCTION("""COMPUTED_VALUE"""),1777.08)</f>
        <v>1777.08</v>
      </c>
      <c r="G210" s="3">
        <f ca="1">IFERROR(__xludf.DUMMYFUNCTION("""COMPUTED_VALUE"""),43766.6666666666)</f>
        <v>43766.666666666599</v>
      </c>
      <c r="H210" s="2">
        <f ca="1">IFERROR(__xludf.DUMMYFUNCTION("""COMPUTED_VALUE"""),1288.98)</f>
        <v>1288.98</v>
      </c>
      <c r="I210" s="3">
        <f ca="1">IFERROR(__xludf.DUMMYFUNCTION("""COMPUTED_VALUE"""),43766.6666666666)</f>
        <v>43766.666666666599</v>
      </c>
      <c r="J210" s="2">
        <f ca="1">IFERROR(__xludf.DUMMYFUNCTION("""COMPUTED_VALUE"""),1290)</f>
        <v>1290</v>
      </c>
      <c r="K210" s="3">
        <f ca="1">IFERROR(__xludf.DUMMYFUNCTION("""COMPUTED_VALUE"""),43766.6666666666)</f>
        <v>43766.666666666599</v>
      </c>
      <c r="L210" s="2">
        <f ca="1">IFERROR(__xludf.DUMMYFUNCTION("""COMPUTED_VALUE"""),189.4)</f>
        <v>189.4</v>
      </c>
      <c r="M210" s="3">
        <f ca="1">IFERROR(__xludf.DUMMYFUNCTION("""COMPUTED_VALUE"""),43766.6666666666)</f>
        <v>43766.666666666599</v>
      </c>
      <c r="N210" s="2">
        <f ca="1">IFERROR(__xludf.DUMMYFUNCTION("""COMPUTED_VALUE"""),65.54)</f>
        <v>65.540000000000006</v>
      </c>
      <c r="O210" s="3">
        <f ca="1">IFERROR(__xludf.DUMMYFUNCTION("""COMPUTED_VALUE"""),43766.6666666666)</f>
        <v>43766.666666666599</v>
      </c>
      <c r="P210" s="2">
        <f ca="1">IFERROR(__xludf.DUMMYFUNCTION("""COMPUTED_VALUE"""),51.7)</f>
        <v>51.7</v>
      </c>
      <c r="Q210" s="3">
        <f ca="1">IFERROR(__xludf.DUMMYFUNCTION("""COMPUTED_VALUE"""),43766.6666666666)</f>
        <v>43766.666666666599</v>
      </c>
      <c r="R210" s="2">
        <f ca="1">IFERROR(__xludf.DUMMYFUNCTION("""COMPUTED_VALUE"""),212.86)</f>
        <v>212.86</v>
      </c>
      <c r="S210" s="3">
        <f ca="1">IFERROR(__xludf.DUMMYFUNCTION("""COMPUTED_VALUE"""),43766.6666666666)</f>
        <v>43766.666666666599</v>
      </c>
      <c r="T210" s="2">
        <f ca="1">IFERROR(__xludf.DUMMYFUNCTION("""COMPUTED_VALUE"""),129.18)</f>
        <v>129.18</v>
      </c>
    </row>
    <row r="211" spans="1:20">
      <c r="A211" s="3">
        <f ca="1">IFERROR(__xludf.DUMMYFUNCTION("""COMPUTED_VALUE"""),43767.6666666666)</f>
        <v>43767.666666666599</v>
      </c>
      <c r="B211" s="2">
        <f ca="1">IFERROR(__xludf.DUMMYFUNCTION("""COMPUTED_VALUE"""),60.82)</f>
        <v>60.82</v>
      </c>
      <c r="C211" s="3">
        <f ca="1">IFERROR(__xludf.DUMMYFUNCTION("""COMPUTED_VALUE"""),43767.6666666666)</f>
        <v>43767.666666666599</v>
      </c>
      <c r="D211" s="2">
        <f ca="1">IFERROR(__xludf.DUMMYFUNCTION("""COMPUTED_VALUE"""),142.83)</f>
        <v>142.83000000000001</v>
      </c>
      <c r="E211" s="3">
        <f ca="1">IFERROR(__xludf.DUMMYFUNCTION("""COMPUTED_VALUE"""),43767.6666666666)</f>
        <v>43767.666666666599</v>
      </c>
      <c r="F211" s="2">
        <f ca="1">IFERROR(__xludf.DUMMYFUNCTION("""COMPUTED_VALUE"""),1762.71)</f>
        <v>1762.71</v>
      </c>
      <c r="G211" s="3">
        <f ca="1">IFERROR(__xludf.DUMMYFUNCTION("""COMPUTED_VALUE"""),43767.6666666666)</f>
        <v>43767.666666666599</v>
      </c>
      <c r="H211" s="2">
        <f ca="1">IFERROR(__xludf.DUMMYFUNCTION("""COMPUTED_VALUE"""),1260.66)</f>
        <v>1260.6600000000001</v>
      </c>
      <c r="I211" s="3">
        <f ca="1">IFERROR(__xludf.DUMMYFUNCTION("""COMPUTED_VALUE"""),43767.6666666666)</f>
        <v>43767.666666666599</v>
      </c>
      <c r="J211" s="2">
        <f ca="1">IFERROR(__xludf.DUMMYFUNCTION("""COMPUTED_VALUE"""),1262.62)</f>
        <v>1262.6199999999999</v>
      </c>
      <c r="K211" s="3">
        <f ca="1">IFERROR(__xludf.DUMMYFUNCTION("""COMPUTED_VALUE"""),43767.6666666666)</f>
        <v>43767.666666666599</v>
      </c>
      <c r="L211" s="2">
        <f ca="1">IFERROR(__xludf.DUMMYFUNCTION("""COMPUTED_VALUE"""),189.31)</f>
        <v>189.31</v>
      </c>
      <c r="M211" s="3">
        <f ca="1">IFERROR(__xludf.DUMMYFUNCTION("""COMPUTED_VALUE"""),43767.6666666666)</f>
        <v>43767.666666666599</v>
      </c>
      <c r="N211" s="2">
        <f ca="1">IFERROR(__xludf.DUMMYFUNCTION("""COMPUTED_VALUE"""),63.24)</f>
        <v>63.24</v>
      </c>
      <c r="O211" s="3">
        <f ca="1">IFERROR(__xludf.DUMMYFUNCTION("""COMPUTED_VALUE"""),43767.6666666666)</f>
        <v>43767.666666666599</v>
      </c>
      <c r="P211" s="2">
        <f ca="1">IFERROR(__xludf.DUMMYFUNCTION("""COMPUTED_VALUE"""),50.73)</f>
        <v>50.73</v>
      </c>
      <c r="Q211" s="3">
        <f ca="1">IFERROR(__xludf.DUMMYFUNCTION("""COMPUTED_VALUE"""),43767.6666666666)</f>
        <v>43767.666666666599</v>
      </c>
      <c r="R211" s="2">
        <f ca="1">IFERROR(__xludf.DUMMYFUNCTION("""COMPUTED_VALUE"""),213.01)</f>
        <v>213.01</v>
      </c>
      <c r="S211" s="3">
        <f ca="1">IFERROR(__xludf.DUMMYFUNCTION("""COMPUTED_VALUE"""),43767.6666666666)</f>
        <v>43767.666666666599</v>
      </c>
      <c r="T211" s="2">
        <f ca="1">IFERROR(__xludf.DUMMYFUNCTION("""COMPUTED_VALUE"""),129.12)</f>
        <v>129.12</v>
      </c>
    </row>
    <row r="212" spans="1:20">
      <c r="A212" s="3">
        <f ca="1">IFERROR(__xludf.DUMMYFUNCTION("""COMPUTED_VALUE"""),43768.6666666666)</f>
        <v>43768.666666666599</v>
      </c>
      <c r="B212" s="2">
        <f ca="1">IFERROR(__xludf.DUMMYFUNCTION("""COMPUTED_VALUE"""),60.82)</f>
        <v>60.82</v>
      </c>
      <c r="C212" s="3">
        <f ca="1">IFERROR(__xludf.DUMMYFUNCTION("""COMPUTED_VALUE"""),43768.6666666666)</f>
        <v>43768.666666666599</v>
      </c>
      <c r="D212" s="2">
        <f ca="1">IFERROR(__xludf.DUMMYFUNCTION("""COMPUTED_VALUE"""),144.61)</f>
        <v>144.61000000000001</v>
      </c>
      <c r="E212" s="3">
        <f ca="1">IFERROR(__xludf.DUMMYFUNCTION("""COMPUTED_VALUE"""),43768.6666666666)</f>
        <v>43768.666666666599</v>
      </c>
      <c r="F212" s="2">
        <f ca="1">IFERROR(__xludf.DUMMYFUNCTION("""COMPUTED_VALUE"""),1779.99)</f>
        <v>1779.99</v>
      </c>
      <c r="G212" s="3">
        <f ca="1">IFERROR(__xludf.DUMMYFUNCTION("""COMPUTED_VALUE"""),43768.6666666666)</f>
        <v>43768.666666666599</v>
      </c>
      <c r="H212" s="2">
        <f ca="1">IFERROR(__xludf.DUMMYFUNCTION("""COMPUTED_VALUE"""),1260.7)</f>
        <v>1260.7</v>
      </c>
      <c r="I212" s="3">
        <f ca="1">IFERROR(__xludf.DUMMYFUNCTION("""COMPUTED_VALUE"""),43768.6666666666)</f>
        <v>43768.666666666599</v>
      </c>
      <c r="J212" s="2">
        <f ca="1">IFERROR(__xludf.DUMMYFUNCTION("""COMPUTED_VALUE"""),1261.29)</f>
        <v>1261.29</v>
      </c>
      <c r="K212" s="3">
        <f ca="1">IFERROR(__xludf.DUMMYFUNCTION("""COMPUTED_VALUE"""),43768.6666666666)</f>
        <v>43768.666666666599</v>
      </c>
      <c r="L212" s="2">
        <f ca="1">IFERROR(__xludf.DUMMYFUNCTION("""COMPUTED_VALUE"""),188.25)</f>
        <v>188.25</v>
      </c>
      <c r="M212" s="3">
        <f ca="1">IFERROR(__xludf.DUMMYFUNCTION("""COMPUTED_VALUE"""),43768.6666666666)</f>
        <v>43768.666666666599</v>
      </c>
      <c r="N212" s="2">
        <f ca="1">IFERROR(__xludf.DUMMYFUNCTION("""COMPUTED_VALUE"""),63)</f>
        <v>63</v>
      </c>
      <c r="O212" s="3">
        <f ca="1">IFERROR(__xludf.DUMMYFUNCTION("""COMPUTED_VALUE"""),43768.6666666666)</f>
        <v>43768.666666666599</v>
      </c>
      <c r="P212" s="2">
        <f ca="1">IFERROR(__xludf.DUMMYFUNCTION("""COMPUTED_VALUE"""),50.75)</f>
        <v>50.75</v>
      </c>
      <c r="Q212" s="3">
        <f ca="1">IFERROR(__xludf.DUMMYFUNCTION("""COMPUTED_VALUE"""),43768.6666666666)</f>
        <v>43768.666666666599</v>
      </c>
      <c r="R212" s="2">
        <f ca="1">IFERROR(__xludf.DUMMYFUNCTION("""COMPUTED_VALUE"""),213.25)</f>
        <v>213.25</v>
      </c>
      <c r="S212" s="3">
        <f ca="1">IFERROR(__xludf.DUMMYFUNCTION("""COMPUTED_VALUE"""),43768.6666666666)</f>
        <v>43768.666666666599</v>
      </c>
      <c r="T212" s="2">
        <f ca="1">IFERROR(__xludf.DUMMYFUNCTION("""COMPUTED_VALUE"""),132.84)</f>
        <v>132.84</v>
      </c>
    </row>
    <row r="213" spans="1:20">
      <c r="A213" s="3">
        <f ca="1">IFERROR(__xludf.DUMMYFUNCTION("""COMPUTED_VALUE"""),43769.6666666666)</f>
        <v>43769.666666666599</v>
      </c>
      <c r="B213" s="2">
        <f ca="1">IFERROR(__xludf.DUMMYFUNCTION("""COMPUTED_VALUE"""),62.19)</f>
        <v>62.19</v>
      </c>
      <c r="C213" s="3">
        <f ca="1">IFERROR(__xludf.DUMMYFUNCTION("""COMPUTED_VALUE"""),43769.6666666666)</f>
        <v>43769.666666666599</v>
      </c>
      <c r="D213" s="2">
        <f ca="1">IFERROR(__xludf.DUMMYFUNCTION("""COMPUTED_VALUE"""),143.37)</f>
        <v>143.37</v>
      </c>
      <c r="E213" s="3">
        <f ca="1">IFERROR(__xludf.DUMMYFUNCTION("""COMPUTED_VALUE"""),43769.6666666666)</f>
        <v>43769.666666666599</v>
      </c>
      <c r="F213" s="2">
        <f ca="1">IFERROR(__xludf.DUMMYFUNCTION("""COMPUTED_VALUE"""),1776.66)</f>
        <v>1776.66</v>
      </c>
      <c r="G213" s="3">
        <f ca="1">IFERROR(__xludf.DUMMYFUNCTION("""COMPUTED_VALUE"""),43769.6666666666)</f>
        <v>43769.666666666599</v>
      </c>
      <c r="H213" s="2">
        <f ca="1">IFERROR(__xludf.DUMMYFUNCTION("""COMPUTED_VALUE"""),1258.8)</f>
        <v>1258.8</v>
      </c>
      <c r="I213" s="3">
        <f ca="1">IFERROR(__xludf.DUMMYFUNCTION("""COMPUTED_VALUE"""),43769.6666666666)</f>
        <v>43769.666666666599</v>
      </c>
      <c r="J213" s="2">
        <f ca="1">IFERROR(__xludf.DUMMYFUNCTION("""COMPUTED_VALUE"""),1260.11)</f>
        <v>1260.1099999999999</v>
      </c>
      <c r="K213" s="3">
        <f ca="1">IFERROR(__xludf.DUMMYFUNCTION("""COMPUTED_VALUE"""),43769.6666666666)</f>
        <v>43769.666666666599</v>
      </c>
      <c r="L213" s="2">
        <f ca="1">IFERROR(__xludf.DUMMYFUNCTION("""COMPUTED_VALUE"""),191.65)</f>
        <v>191.65</v>
      </c>
      <c r="M213" s="3">
        <f ca="1">IFERROR(__xludf.DUMMYFUNCTION("""COMPUTED_VALUE"""),43769.6666666666)</f>
        <v>43769.666666666599</v>
      </c>
      <c r="N213" s="2">
        <f ca="1">IFERROR(__xludf.DUMMYFUNCTION("""COMPUTED_VALUE"""),62.98)</f>
        <v>62.98</v>
      </c>
      <c r="O213" s="3">
        <f ca="1">IFERROR(__xludf.DUMMYFUNCTION("""COMPUTED_VALUE"""),43769.6666666666)</f>
        <v>43769.666666666599</v>
      </c>
      <c r="P213" s="2">
        <f ca="1">IFERROR(__xludf.DUMMYFUNCTION("""COMPUTED_VALUE"""),50.26)</f>
        <v>50.26</v>
      </c>
      <c r="Q213" s="3">
        <f ca="1">IFERROR(__xludf.DUMMYFUNCTION("""COMPUTED_VALUE"""),43769.6666666666)</f>
        <v>43769.666666666599</v>
      </c>
      <c r="R213" s="2">
        <f ca="1">IFERROR(__xludf.DUMMYFUNCTION("""COMPUTED_VALUE"""),212.58)</f>
        <v>212.58</v>
      </c>
      <c r="S213" s="3">
        <f ca="1">IFERROR(__xludf.DUMMYFUNCTION("""COMPUTED_VALUE"""),43769.6666666666)</f>
        <v>43769.666666666599</v>
      </c>
      <c r="T213" s="2">
        <f ca="1">IFERROR(__xludf.DUMMYFUNCTION("""COMPUTED_VALUE"""),132.04)</f>
        <v>132.04</v>
      </c>
    </row>
    <row r="214" spans="1:20">
      <c r="A214" s="3">
        <f ca="1">IFERROR(__xludf.DUMMYFUNCTION("""COMPUTED_VALUE"""),43770.6666666666)</f>
        <v>43770.666666666599</v>
      </c>
      <c r="B214" s="2">
        <f ca="1">IFERROR(__xludf.DUMMYFUNCTION("""COMPUTED_VALUE"""),63.96)</f>
        <v>63.96</v>
      </c>
      <c r="C214" s="3">
        <f ca="1">IFERROR(__xludf.DUMMYFUNCTION("""COMPUTED_VALUE"""),43770.6666666666)</f>
        <v>43770.666666666599</v>
      </c>
      <c r="D214" s="2">
        <f ca="1">IFERROR(__xludf.DUMMYFUNCTION("""COMPUTED_VALUE"""),143.72)</f>
        <v>143.72</v>
      </c>
      <c r="E214" s="3">
        <f ca="1">IFERROR(__xludf.DUMMYFUNCTION("""COMPUTED_VALUE"""),43770.6666666666)</f>
        <v>43770.666666666599</v>
      </c>
      <c r="F214" s="2">
        <f ca="1">IFERROR(__xludf.DUMMYFUNCTION("""COMPUTED_VALUE"""),1791.44)</f>
        <v>1791.44</v>
      </c>
      <c r="G214" s="3">
        <f ca="1">IFERROR(__xludf.DUMMYFUNCTION("""COMPUTED_VALUE"""),43770.6666666666)</f>
        <v>43770.666666666599</v>
      </c>
      <c r="H214" s="2">
        <f ca="1">IFERROR(__xludf.DUMMYFUNCTION("""COMPUTED_VALUE"""),1272.25)</f>
        <v>1272.25</v>
      </c>
      <c r="I214" s="3">
        <f ca="1">IFERROR(__xludf.DUMMYFUNCTION("""COMPUTED_VALUE"""),43770.6666666666)</f>
        <v>43770.666666666599</v>
      </c>
      <c r="J214" s="2">
        <f ca="1">IFERROR(__xludf.DUMMYFUNCTION("""COMPUTED_VALUE"""),1273.74)</f>
        <v>1273.74</v>
      </c>
      <c r="K214" s="3">
        <f ca="1">IFERROR(__xludf.DUMMYFUNCTION("""COMPUTED_VALUE"""),43770.6666666666)</f>
        <v>43770.666666666599</v>
      </c>
      <c r="L214" s="2">
        <f ca="1">IFERROR(__xludf.DUMMYFUNCTION("""COMPUTED_VALUE"""),193.62)</f>
        <v>193.62</v>
      </c>
      <c r="M214" s="3">
        <f ca="1">IFERROR(__xludf.DUMMYFUNCTION("""COMPUTED_VALUE"""),43770.6666666666)</f>
        <v>43770.666666666599</v>
      </c>
      <c r="N214" s="2">
        <f ca="1">IFERROR(__xludf.DUMMYFUNCTION("""COMPUTED_VALUE"""),62.66)</f>
        <v>62.66</v>
      </c>
      <c r="O214" s="3">
        <f ca="1">IFERROR(__xludf.DUMMYFUNCTION("""COMPUTED_VALUE"""),43770.6666666666)</f>
        <v>43770.666666666599</v>
      </c>
      <c r="P214" s="2">
        <f ca="1">IFERROR(__xludf.DUMMYFUNCTION("""COMPUTED_VALUE"""),50.65)</f>
        <v>50.65</v>
      </c>
      <c r="Q214" s="3">
        <f ca="1">IFERROR(__xludf.DUMMYFUNCTION("""COMPUTED_VALUE"""),43770.6666666666)</f>
        <v>43770.666666666599</v>
      </c>
      <c r="R214" s="2">
        <f ca="1">IFERROR(__xludf.DUMMYFUNCTION("""COMPUTED_VALUE"""),215.83)</f>
        <v>215.83</v>
      </c>
      <c r="S214" s="3">
        <f ca="1">IFERROR(__xludf.DUMMYFUNCTION("""COMPUTED_VALUE"""),43770.6666666666)</f>
        <v>43770.666666666599</v>
      </c>
      <c r="T214" s="2">
        <f ca="1">IFERROR(__xludf.DUMMYFUNCTION("""COMPUTED_VALUE"""),131.2)</f>
        <v>131.19999999999999</v>
      </c>
    </row>
    <row r="215" spans="1:20">
      <c r="A215" s="3">
        <f ca="1">IFERROR(__xludf.DUMMYFUNCTION("""COMPUTED_VALUE"""),43773.6666666666)</f>
        <v>43773.666666666599</v>
      </c>
      <c r="B215" s="2">
        <f ca="1">IFERROR(__xludf.DUMMYFUNCTION("""COMPUTED_VALUE"""),64.38)</f>
        <v>64.38</v>
      </c>
      <c r="C215" s="3">
        <f ca="1">IFERROR(__xludf.DUMMYFUNCTION("""COMPUTED_VALUE"""),43773.6666666666)</f>
        <v>43773.666666666599</v>
      </c>
      <c r="D215" s="2">
        <f ca="1">IFERROR(__xludf.DUMMYFUNCTION("""COMPUTED_VALUE"""),144.55)</f>
        <v>144.55000000000001</v>
      </c>
      <c r="E215" s="3">
        <f ca="1">IFERROR(__xludf.DUMMYFUNCTION("""COMPUTED_VALUE"""),43773.6666666666)</f>
        <v>43773.666666666599</v>
      </c>
      <c r="F215" s="2">
        <f ca="1">IFERROR(__xludf.DUMMYFUNCTION("""COMPUTED_VALUE"""),1804.66)</f>
        <v>1804.66</v>
      </c>
      <c r="G215" s="3">
        <f ca="1">IFERROR(__xludf.DUMMYFUNCTION("""COMPUTED_VALUE"""),43773.6666666666)</f>
        <v>43773.666666666599</v>
      </c>
      <c r="H215" s="2">
        <f ca="1">IFERROR(__xludf.DUMMYFUNCTION("""COMPUTED_VALUE"""),1289.61)</f>
        <v>1289.6099999999999</v>
      </c>
      <c r="I215" s="3">
        <f ca="1">IFERROR(__xludf.DUMMYFUNCTION("""COMPUTED_VALUE"""),43773.6666666666)</f>
        <v>43773.666666666599</v>
      </c>
      <c r="J215" s="2">
        <f ca="1">IFERROR(__xludf.DUMMYFUNCTION("""COMPUTED_VALUE"""),1291.37)</f>
        <v>1291.3699999999999</v>
      </c>
      <c r="K215" s="3">
        <f ca="1">IFERROR(__xludf.DUMMYFUNCTION("""COMPUTED_VALUE"""),43773.6666666666)</f>
        <v>43773.666666666599</v>
      </c>
      <c r="L215" s="2">
        <f ca="1">IFERROR(__xludf.DUMMYFUNCTION("""COMPUTED_VALUE"""),194.72)</f>
        <v>194.72</v>
      </c>
      <c r="M215" s="3">
        <f ca="1">IFERROR(__xludf.DUMMYFUNCTION("""COMPUTED_VALUE"""),43773.6666666666)</f>
        <v>43773.666666666599</v>
      </c>
      <c r="N215" s="2">
        <f ca="1">IFERROR(__xludf.DUMMYFUNCTION("""COMPUTED_VALUE"""),63.49)</f>
        <v>63.49</v>
      </c>
      <c r="O215" s="3">
        <f ca="1">IFERROR(__xludf.DUMMYFUNCTION("""COMPUTED_VALUE"""),43773.6666666666)</f>
        <v>43773.666666666599</v>
      </c>
      <c r="P215" s="2">
        <f ca="1">IFERROR(__xludf.DUMMYFUNCTION("""COMPUTED_VALUE"""),52.63)</f>
        <v>52.63</v>
      </c>
      <c r="Q215" s="3">
        <f ca="1">IFERROR(__xludf.DUMMYFUNCTION("""COMPUTED_VALUE"""),43773.6666666666)</f>
        <v>43773.666666666599</v>
      </c>
      <c r="R215" s="2">
        <f ca="1">IFERROR(__xludf.DUMMYFUNCTION("""COMPUTED_VALUE"""),217.98)</f>
        <v>217.98</v>
      </c>
      <c r="S215" s="3">
        <f ca="1">IFERROR(__xludf.DUMMYFUNCTION("""COMPUTED_VALUE"""),43773.6666666666)</f>
        <v>43773.666666666599</v>
      </c>
      <c r="T215" s="2">
        <f ca="1">IFERROR(__xludf.DUMMYFUNCTION("""COMPUTED_VALUE"""),130.23)</f>
        <v>130.22999999999999</v>
      </c>
    </row>
    <row r="216" spans="1:20">
      <c r="A216" s="3">
        <f ca="1">IFERROR(__xludf.DUMMYFUNCTION("""COMPUTED_VALUE"""),43774.6666666666)</f>
        <v>43774.666666666599</v>
      </c>
      <c r="B216" s="2">
        <f ca="1">IFERROR(__xludf.DUMMYFUNCTION("""COMPUTED_VALUE"""),64.28)</f>
        <v>64.28</v>
      </c>
      <c r="C216" s="3">
        <f ca="1">IFERROR(__xludf.DUMMYFUNCTION("""COMPUTED_VALUE"""),43774.6666666666)</f>
        <v>43774.666666666599</v>
      </c>
      <c r="D216" s="2">
        <f ca="1">IFERROR(__xludf.DUMMYFUNCTION("""COMPUTED_VALUE"""),144.46)</f>
        <v>144.46</v>
      </c>
      <c r="E216" s="3">
        <f ca="1">IFERROR(__xludf.DUMMYFUNCTION("""COMPUTED_VALUE"""),43774.6666666666)</f>
        <v>43774.666666666599</v>
      </c>
      <c r="F216" s="2">
        <f ca="1">IFERROR(__xludf.DUMMYFUNCTION("""COMPUTED_VALUE"""),1801.71)</f>
        <v>1801.71</v>
      </c>
      <c r="G216" s="3">
        <f ca="1">IFERROR(__xludf.DUMMYFUNCTION("""COMPUTED_VALUE"""),43774.6666666666)</f>
        <v>43774.666666666599</v>
      </c>
      <c r="H216" s="2">
        <f ca="1">IFERROR(__xludf.DUMMYFUNCTION("""COMPUTED_VALUE"""),1291.44)</f>
        <v>1291.44</v>
      </c>
      <c r="I216" s="3">
        <f ca="1">IFERROR(__xludf.DUMMYFUNCTION("""COMPUTED_VALUE"""),43774.6666666666)</f>
        <v>43774.666666666599</v>
      </c>
      <c r="J216" s="2">
        <f ca="1">IFERROR(__xludf.DUMMYFUNCTION("""COMPUTED_VALUE"""),1292.03)</f>
        <v>1292.03</v>
      </c>
      <c r="K216" s="3">
        <f ca="1">IFERROR(__xludf.DUMMYFUNCTION("""COMPUTED_VALUE"""),43774.6666666666)</f>
        <v>43774.666666666599</v>
      </c>
      <c r="L216" s="2">
        <f ca="1">IFERROR(__xludf.DUMMYFUNCTION("""COMPUTED_VALUE"""),194.32)</f>
        <v>194.32</v>
      </c>
      <c r="M216" s="3">
        <f ca="1">IFERROR(__xludf.DUMMYFUNCTION("""COMPUTED_VALUE"""),43774.6666666666)</f>
        <v>43774.666666666599</v>
      </c>
      <c r="N216" s="2">
        <f ca="1">IFERROR(__xludf.DUMMYFUNCTION("""COMPUTED_VALUE"""),63.44)</f>
        <v>63.44</v>
      </c>
      <c r="O216" s="3">
        <f ca="1">IFERROR(__xludf.DUMMYFUNCTION("""COMPUTED_VALUE"""),43774.6666666666)</f>
        <v>43774.666666666599</v>
      </c>
      <c r="P216" s="2">
        <f ca="1">IFERROR(__xludf.DUMMYFUNCTION("""COMPUTED_VALUE"""),52.4)</f>
        <v>52.4</v>
      </c>
      <c r="Q216" s="3">
        <f ca="1">IFERROR(__xludf.DUMMYFUNCTION("""COMPUTED_VALUE"""),43774.6666666666)</f>
        <v>43774.666666666599</v>
      </c>
      <c r="R216" s="2">
        <f ca="1">IFERROR(__xludf.DUMMYFUNCTION("""COMPUTED_VALUE"""),220.88)</f>
        <v>220.88</v>
      </c>
      <c r="S216" s="3">
        <f ca="1">IFERROR(__xludf.DUMMYFUNCTION("""COMPUTED_VALUE"""),43774.6666666666)</f>
        <v>43774.666666666599</v>
      </c>
      <c r="T216" s="2">
        <f ca="1">IFERROR(__xludf.DUMMYFUNCTION("""COMPUTED_VALUE"""),130.42)</f>
        <v>130.41999999999999</v>
      </c>
    </row>
    <row r="217" spans="1:20">
      <c r="A217" s="3">
        <f ca="1">IFERROR(__xludf.DUMMYFUNCTION("""COMPUTED_VALUE"""),43775.6666666666)</f>
        <v>43775.666666666599</v>
      </c>
      <c r="B217" s="2">
        <f ca="1">IFERROR(__xludf.DUMMYFUNCTION("""COMPUTED_VALUE"""),64.31)</f>
        <v>64.31</v>
      </c>
      <c r="C217" s="3">
        <f ca="1">IFERROR(__xludf.DUMMYFUNCTION("""COMPUTED_VALUE"""),43775.6666666666)</f>
        <v>43775.666666666599</v>
      </c>
      <c r="D217" s="2">
        <f ca="1">IFERROR(__xludf.DUMMYFUNCTION("""COMPUTED_VALUE"""),144.06)</f>
        <v>144.06</v>
      </c>
      <c r="E217" s="3">
        <f ca="1">IFERROR(__xludf.DUMMYFUNCTION("""COMPUTED_VALUE"""),43775.6666666666)</f>
        <v>43775.666666666599</v>
      </c>
      <c r="F217" s="2">
        <f ca="1">IFERROR(__xludf.DUMMYFUNCTION("""COMPUTED_VALUE"""),1795.77)</f>
        <v>1795.77</v>
      </c>
      <c r="G217" s="3">
        <f ca="1">IFERROR(__xludf.DUMMYFUNCTION("""COMPUTED_VALUE"""),43775.6666666666)</f>
        <v>43775.666666666599</v>
      </c>
      <c r="H217" s="2">
        <f ca="1">IFERROR(__xludf.DUMMYFUNCTION("""COMPUTED_VALUE"""),1291.01)</f>
        <v>1291.01</v>
      </c>
      <c r="I217" s="3">
        <f ca="1">IFERROR(__xludf.DUMMYFUNCTION("""COMPUTED_VALUE"""),43775.6666666666)</f>
        <v>43775.666666666599</v>
      </c>
      <c r="J217" s="2">
        <f ca="1">IFERROR(__xludf.DUMMYFUNCTION("""COMPUTED_VALUE"""),1291.8)</f>
        <v>1291.8</v>
      </c>
      <c r="K217" s="3">
        <f ca="1">IFERROR(__xludf.DUMMYFUNCTION("""COMPUTED_VALUE"""),43775.6666666666)</f>
        <v>43775.666666666599</v>
      </c>
      <c r="L217" s="2">
        <f ca="1">IFERROR(__xludf.DUMMYFUNCTION("""COMPUTED_VALUE"""),191.55)</f>
        <v>191.55</v>
      </c>
      <c r="M217" s="3">
        <f ca="1">IFERROR(__xludf.DUMMYFUNCTION("""COMPUTED_VALUE"""),43775.6666666666)</f>
        <v>43775.666666666599</v>
      </c>
      <c r="N217" s="2">
        <f ca="1">IFERROR(__xludf.DUMMYFUNCTION("""COMPUTED_VALUE"""),65.32)</f>
        <v>65.319999999999993</v>
      </c>
      <c r="O217" s="3">
        <f ca="1">IFERROR(__xludf.DUMMYFUNCTION("""COMPUTED_VALUE"""),43775.6666666666)</f>
        <v>43775.666666666599</v>
      </c>
      <c r="P217" s="2">
        <f ca="1">IFERROR(__xludf.DUMMYFUNCTION("""COMPUTED_VALUE"""),51.91)</f>
        <v>51.91</v>
      </c>
      <c r="Q217" s="3">
        <f ca="1">IFERROR(__xludf.DUMMYFUNCTION("""COMPUTED_VALUE"""),43775.6666666666)</f>
        <v>43775.666666666599</v>
      </c>
      <c r="R217" s="2">
        <f ca="1">IFERROR(__xludf.DUMMYFUNCTION("""COMPUTED_VALUE"""),222)</f>
        <v>222</v>
      </c>
      <c r="S217" s="3">
        <f ca="1">IFERROR(__xludf.DUMMYFUNCTION("""COMPUTED_VALUE"""),43775.6666666666)</f>
        <v>43775.666666666599</v>
      </c>
      <c r="T217" s="2">
        <f ca="1">IFERROR(__xludf.DUMMYFUNCTION("""COMPUTED_VALUE"""),130.96)</f>
        <v>130.96</v>
      </c>
    </row>
    <row r="218" spans="1:20">
      <c r="A218" s="3">
        <f ca="1">IFERROR(__xludf.DUMMYFUNCTION("""COMPUTED_VALUE"""),43776.6666666666)</f>
        <v>43776.666666666599</v>
      </c>
      <c r="B218" s="2">
        <f ca="1">IFERROR(__xludf.DUMMYFUNCTION("""COMPUTED_VALUE"""),64.86)</f>
        <v>64.86</v>
      </c>
      <c r="C218" s="3">
        <f ca="1">IFERROR(__xludf.DUMMYFUNCTION("""COMPUTED_VALUE"""),43776.6666666666)</f>
        <v>43776.666666666599</v>
      </c>
      <c r="D218" s="2">
        <f ca="1">IFERROR(__xludf.DUMMYFUNCTION("""COMPUTED_VALUE"""),144.26)</f>
        <v>144.26</v>
      </c>
      <c r="E218" s="3">
        <f ca="1">IFERROR(__xludf.DUMMYFUNCTION("""COMPUTED_VALUE"""),43776.6666666666)</f>
        <v>43776.666666666599</v>
      </c>
      <c r="F218" s="2">
        <f ca="1">IFERROR(__xludf.DUMMYFUNCTION("""COMPUTED_VALUE"""),1788.2)</f>
        <v>1788.2</v>
      </c>
      <c r="G218" s="3">
        <f ca="1">IFERROR(__xludf.DUMMYFUNCTION("""COMPUTED_VALUE"""),43776.6666666666)</f>
        <v>43776.666666666599</v>
      </c>
      <c r="H218" s="2">
        <f ca="1">IFERROR(__xludf.DUMMYFUNCTION("""COMPUTED_VALUE"""),1306.94)</f>
        <v>1306.94</v>
      </c>
      <c r="I218" s="3">
        <f ca="1">IFERROR(__xludf.DUMMYFUNCTION("""COMPUTED_VALUE"""),43776.6666666666)</f>
        <v>43776.666666666599</v>
      </c>
      <c r="J218" s="2">
        <f ca="1">IFERROR(__xludf.DUMMYFUNCTION("""COMPUTED_VALUE"""),1308.86)</f>
        <v>1308.8599999999999</v>
      </c>
      <c r="K218" s="3">
        <f ca="1">IFERROR(__xludf.DUMMYFUNCTION("""COMPUTED_VALUE"""),43776.6666666666)</f>
        <v>43776.666666666599</v>
      </c>
      <c r="L218" s="2">
        <f ca="1">IFERROR(__xludf.DUMMYFUNCTION("""COMPUTED_VALUE"""),190.42)</f>
        <v>190.42</v>
      </c>
      <c r="M218" s="3">
        <f ca="1">IFERROR(__xludf.DUMMYFUNCTION("""COMPUTED_VALUE"""),43776.6666666666)</f>
        <v>43776.666666666599</v>
      </c>
      <c r="N218" s="2">
        <f ca="1">IFERROR(__xludf.DUMMYFUNCTION("""COMPUTED_VALUE"""),67.11)</f>
        <v>67.11</v>
      </c>
      <c r="O218" s="3">
        <f ca="1">IFERROR(__xludf.DUMMYFUNCTION("""COMPUTED_VALUE"""),43776.6666666666)</f>
        <v>43776.666666666599</v>
      </c>
      <c r="P218" s="2">
        <f ca="1">IFERROR(__xludf.DUMMYFUNCTION("""COMPUTED_VALUE"""),52.09)</f>
        <v>52.09</v>
      </c>
      <c r="Q218" s="3">
        <f ca="1">IFERROR(__xludf.DUMMYFUNCTION("""COMPUTED_VALUE"""),43776.6666666666)</f>
        <v>43776.666666666599</v>
      </c>
      <c r="R218" s="2">
        <f ca="1">IFERROR(__xludf.DUMMYFUNCTION("""COMPUTED_VALUE"""),222.74)</f>
        <v>222.74</v>
      </c>
      <c r="S218" s="3">
        <f ca="1">IFERROR(__xludf.DUMMYFUNCTION("""COMPUTED_VALUE"""),43776.6666666666)</f>
        <v>43776.666666666599</v>
      </c>
      <c r="T218" s="2">
        <f ca="1">IFERROR(__xludf.DUMMYFUNCTION("""COMPUTED_VALUE"""),131.43)</f>
        <v>131.43</v>
      </c>
    </row>
    <row r="219" spans="1:20">
      <c r="A219" s="3">
        <f ca="1">IFERROR(__xludf.DUMMYFUNCTION("""COMPUTED_VALUE"""),43777.6666666666)</f>
        <v>43777.666666666599</v>
      </c>
      <c r="B219" s="2">
        <f ca="1">IFERROR(__xludf.DUMMYFUNCTION("""COMPUTED_VALUE"""),65.04)</f>
        <v>65.040000000000006</v>
      </c>
      <c r="C219" s="3">
        <f ca="1">IFERROR(__xludf.DUMMYFUNCTION("""COMPUTED_VALUE"""),43777.6666666666)</f>
        <v>43777.666666666599</v>
      </c>
      <c r="D219" s="2">
        <f ca="1">IFERROR(__xludf.DUMMYFUNCTION("""COMPUTED_VALUE"""),145.96)</f>
        <v>145.96</v>
      </c>
      <c r="E219" s="3">
        <f ca="1">IFERROR(__xludf.DUMMYFUNCTION("""COMPUTED_VALUE"""),43777.6666666666)</f>
        <v>43777.666666666599</v>
      </c>
      <c r="F219" s="2">
        <f ca="1">IFERROR(__xludf.DUMMYFUNCTION("""COMPUTED_VALUE"""),1785.88)</f>
        <v>1785.88</v>
      </c>
      <c r="G219" s="3">
        <f ca="1">IFERROR(__xludf.DUMMYFUNCTION("""COMPUTED_VALUE"""),43777.6666666666)</f>
        <v>43777.666666666599</v>
      </c>
      <c r="H219" s="2">
        <f ca="1">IFERROR(__xludf.DUMMYFUNCTION("""COMPUTED_VALUE"""),1309)</f>
        <v>1309</v>
      </c>
      <c r="I219" s="3">
        <f ca="1">IFERROR(__xludf.DUMMYFUNCTION("""COMPUTED_VALUE"""),43777.6666666666)</f>
        <v>43777.666666666599</v>
      </c>
      <c r="J219" s="2">
        <f ca="1">IFERROR(__xludf.DUMMYFUNCTION("""COMPUTED_VALUE"""),1311.37)</f>
        <v>1311.37</v>
      </c>
      <c r="K219" s="3">
        <f ca="1">IFERROR(__xludf.DUMMYFUNCTION("""COMPUTED_VALUE"""),43777.6666666666)</f>
        <v>43777.666666666599</v>
      </c>
      <c r="L219" s="2">
        <f ca="1">IFERROR(__xludf.DUMMYFUNCTION("""COMPUTED_VALUE"""),190.84)</f>
        <v>190.84</v>
      </c>
      <c r="M219" s="3">
        <f ca="1">IFERROR(__xludf.DUMMYFUNCTION("""COMPUTED_VALUE"""),43777.6666666666)</f>
        <v>43777.666666666599</v>
      </c>
      <c r="N219" s="2">
        <f ca="1">IFERROR(__xludf.DUMMYFUNCTION("""COMPUTED_VALUE"""),67.43)</f>
        <v>67.430000000000007</v>
      </c>
      <c r="O219" s="3">
        <f ca="1">IFERROR(__xludf.DUMMYFUNCTION("""COMPUTED_VALUE"""),43777.6666666666)</f>
        <v>43777.666666666599</v>
      </c>
      <c r="P219" s="2">
        <f ca="1">IFERROR(__xludf.DUMMYFUNCTION("""COMPUTED_VALUE"""),51.95)</f>
        <v>51.95</v>
      </c>
      <c r="Q219" s="3">
        <f ca="1">IFERROR(__xludf.DUMMYFUNCTION("""COMPUTED_VALUE"""),43777.6666666666)</f>
        <v>43777.666666666599</v>
      </c>
      <c r="R219" s="2">
        <f ca="1">IFERROR(__xludf.DUMMYFUNCTION("""COMPUTED_VALUE"""),221.31)</f>
        <v>221.31</v>
      </c>
      <c r="S219" s="3">
        <f ca="1">IFERROR(__xludf.DUMMYFUNCTION("""COMPUTED_VALUE"""),43777.6666666666)</f>
        <v>43777.666666666599</v>
      </c>
      <c r="T219" s="2">
        <f ca="1">IFERROR(__xludf.DUMMYFUNCTION("""COMPUTED_VALUE"""),133)</f>
        <v>133</v>
      </c>
    </row>
    <row r="220" spans="1:20">
      <c r="A220" s="3">
        <f ca="1">IFERROR(__xludf.DUMMYFUNCTION("""COMPUTED_VALUE"""),43780.6666666666)</f>
        <v>43780.666666666599</v>
      </c>
      <c r="B220" s="2">
        <f ca="1">IFERROR(__xludf.DUMMYFUNCTION("""COMPUTED_VALUE"""),65.55)</f>
        <v>65.55</v>
      </c>
      <c r="C220" s="3">
        <f ca="1">IFERROR(__xludf.DUMMYFUNCTION("""COMPUTED_VALUE"""),43780.6666666666)</f>
        <v>43780.666666666599</v>
      </c>
      <c r="D220" s="2">
        <f ca="1">IFERROR(__xludf.DUMMYFUNCTION("""COMPUTED_VALUE"""),146.11)</f>
        <v>146.11000000000001</v>
      </c>
      <c r="E220" s="3">
        <f ca="1">IFERROR(__xludf.DUMMYFUNCTION("""COMPUTED_VALUE"""),43780.6666666666)</f>
        <v>43780.666666666599</v>
      </c>
      <c r="F220" s="2">
        <f ca="1">IFERROR(__xludf.DUMMYFUNCTION("""COMPUTED_VALUE"""),1771.65)</f>
        <v>1771.65</v>
      </c>
      <c r="G220" s="3">
        <f ca="1">IFERROR(__xludf.DUMMYFUNCTION("""COMPUTED_VALUE"""),43780.6666666666)</f>
        <v>43780.666666666599</v>
      </c>
      <c r="H220" s="2">
        <f ca="1">IFERROR(__xludf.DUMMYFUNCTION("""COMPUTED_VALUE"""),1298.28)</f>
        <v>1298.28</v>
      </c>
      <c r="I220" s="3">
        <f ca="1">IFERROR(__xludf.DUMMYFUNCTION("""COMPUTED_VALUE"""),43780.6666666666)</f>
        <v>43780.666666666599</v>
      </c>
      <c r="J220" s="2">
        <f ca="1">IFERROR(__xludf.DUMMYFUNCTION("""COMPUTED_VALUE"""),1299.19)</f>
        <v>1299.19</v>
      </c>
      <c r="K220" s="3">
        <f ca="1">IFERROR(__xludf.DUMMYFUNCTION("""COMPUTED_VALUE"""),43780.6666666666)</f>
        <v>43780.666666666599</v>
      </c>
      <c r="L220" s="2">
        <f ca="1">IFERROR(__xludf.DUMMYFUNCTION("""COMPUTED_VALUE"""),189.61)</f>
        <v>189.61</v>
      </c>
      <c r="M220" s="3">
        <f ca="1">IFERROR(__xludf.DUMMYFUNCTION("""COMPUTED_VALUE"""),43780.6666666666)</f>
        <v>43780.666666666599</v>
      </c>
      <c r="N220" s="2">
        <f ca="1">IFERROR(__xludf.DUMMYFUNCTION("""COMPUTED_VALUE"""),69.02)</f>
        <v>69.02</v>
      </c>
      <c r="O220" s="3">
        <f ca="1">IFERROR(__xludf.DUMMYFUNCTION("""COMPUTED_VALUE"""),43780.6666666666)</f>
        <v>43780.666666666599</v>
      </c>
      <c r="P220" s="2">
        <f ca="1">IFERROR(__xludf.DUMMYFUNCTION("""COMPUTED_VALUE"""),52.05)</f>
        <v>52.05</v>
      </c>
      <c r="Q220" s="3">
        <f ca="1">IFERROR(__xludf.DUMMYFUNCTION("""COMPUTED_VALUE"""),43780.6666666666)</f>
        <v>43780.666666666599</v>
      </c>
      <c r="R220" s="2">
        <f ca="1">IFERROR(__xludf.DUMMYFUNCTION("""COMPUTED_VALUE"""),220.85)</f>
        <v>220.85</v>
      </c>
      <c r="S220" s="3">
        <f ca="1">IFERROR(__xludf.DUMMYFUNCTION("""COMPUTED_VALUE"""),43780.6666666666)</f>
        <v>43780.666666666599</v>
      </c>
      <c r="T220" s="2">
        <f ca="1">IFERROR(__xludf.DUMMYFUNCTION("""COMPUTED_VALUE"""),131.98)</f>
        <v>131.97999999999999</v>
      </c>
    </row>
    <row r="221" spans="1:20">
      <c r="A221" s="3">
        <f ca="1">IFERROR(__xludf.DUMMYFUNCTION("""COMPUTED_VALUE"""),43781.6666666666)</f>
        <v>43781.666666666599</v>
      </c>
      <c r="B221" s="2">
        <f ca="1">IFERROR(__xludf.DUMMYFUNCTION("""COMPUTED_VALUE"""),65.49)</f>
        <v>65.489999999999995</v>
      </c>
      <c r="C221" s="3">
        <f ca="1">IFERROR(__xludf.DUMMYFUNCTION("""COMPUTED_VALUE"""),43781.6666666666)</f>
        <v>43781.666666666599</v>
      </c>
      <c r="D221" s="2">
        <f ca="1">IFERROR(__xludf.DUMMYFUNCTION("""COMPUTED_VALUE"""),147.07)</f>
        <v>147.07</v>
      </c>
      <c r="E221" s="3">
        <f ca="1">IFERROR(__xludf.DUMMYFUNCTION("""COMPUTED_VALUE"""),43781.6666666666)</f>
        <v>43781.666666666599</v>
      </c>
      <c r="F221" s="2">
        <f ca="1">IFERROR(__xludf.DUMMYFUNCTION("""COMPUTED_VALUE"""),1778)</f>
        <v>1778</v>
      </c>
      <c r="G221" s="3">
        <f ca="1">IFERROR(__xludf.DUMMYFUNCTION("""COMPUTED_VALUE"""),43781.6666666666)</f>
        <v>43781.666666666599</v>
      </c>
      <c r="H221" s="2">
        <f ca="1">IFERROR(__xludf.DUMMYFUNCTION("""COMPUTED_VALUE"""),1297.21)</f>
        <v>1297.21</v>
      </c>
      <c r="I221" s="3">
        <f ca="1">IFERROR(__xludf.DUMMYFUNCTION("""COMPUTED_VALUE"""),43781.6666666666)</f>
        <v>43781.666666666599</v>
      </c>
      <c r="J221" s="2">
        <f ca="1">IFERROR(__xludf.DUMMYFUNCTION("""COMPUTED_VALUE"""),1298.8)</f>
        <v>1298.8</v>
      </c>
      <c r="K221" s="3">
        <f ca="1">IFERROR(__xludf.DUMMYFUNCTION("""COMPUTED_VALUE"""),43781.6666666666)</f>
        <v>43781.666666666599</v>
      </c>
      <c r="L221" s="2">
        <f ca="1">IFERROR(__xludf.DUMMYFUNCTION("""COMPUTED_VALUE"""),194.47)</f>
        <v>194.47</v>
      </c>
      <c r="M221" s="3">
        <f ca="1">IFERROR(__xludf.DUMMYFUNCTION("""COMPUTED_VALUE"""),43781.6666666666)</f>
        <v>43781.666666666599</v>
      </c>
      <c r="N221" s="2">
        <f ca="1">IFERROR(__xludf.DUMMYFUNCTION("""COMPUTED_VALUE"""),69.99)</f>
        <v>69.989999999999995</v>
      </c>
      <c r="O221" s="3">
        <f ca="1">IFERROR(__xludf.DUMMYFUNCTION("""COMPUTED_VALUE"""),43781.6666666666)</f>
        <v>43781.666666666599</v>
      </c>
      <c r="P221" s="2">
        <f ca="1">IFERROR(__xludf.DUMMYFUNCTION("""COMPUTED_VALUE"""),52.4)</f>
        <v>52.4</v>
      </c>
      <c r="Q221" s="3">
        <f ca="1">IFERROR(__xludf.DUMMYFUNCTION("""COMPUTED_VALUE"""),43781.6666666666)</f>
        <v>43781.666666666599</v>
      </c>
      <c r="R221" s="2">
        <f ca="1">IFERROR(__xludf.DUMMYFUNCTION("""COMPUTED_VALUE"""),220.89)</f>
        <v>220.89</v>
      </c>
      <c r="S221" s="3">
        <f ca="1">IFERROR(__xludf.DUMMYFUNCTION("""COMPUTED_VALUE"""),43781.6666666666)</f>
        <v>43781.666666666599</v>
      </c>
      <c r="T221" s="2">
        <f ca="1">IFERROR(__xludf.DUMMYFUNCTION("""COMPUTED_VALUE"""),131.35)</f>
        <v>131.35</v>
      </c>
    </row>
    <row r="222" spans="1:20">
      <c r="A222" s="3">
        <f ca="1">IFERROR(__xludf.DUMMYFUNCTION("""COMPUTED_VALUE"""),43782.6666666666)</f>
        <v>43782.666666666599</v>
      </c>
      <c r="B222" s="2">
        <f ca="1">IFERROR(__xludf.DUMMYFUNCTION("""COMPUTED_VALUE"""),66.12)</f>
        <v>66.12</v>
      </c>
      <c r="C222" s="3">
        <f ca="1">IFERROR(__xludf.DUMMYFUNCTION("""COMPUTED_VALUE"""),43782.6666666666)</f>
        <v>43782.666666666599</v>
      </c>
      <c r="D222" s="2">
        <f ca="1">IFERROR(__xludf.DUMMYFUNCTION("""COMPUTED_VALUE"""),147.31)</f>
        <v>147.31</v>
      </c>
      <c r="E222" s="3">
        <f ca="1">IFERROR(__xludf.DUMMYFUNCTION("""COMPUTED_VALUE"""),43782.6666666666)</f>
        <v>43782.666666666599</v>
      </c>
      <c r="F222" s="2">
        <f ca="1">IFERROR(__xludf.DUMMYFUNCTION("""COMPUTED_VALUE"""),1753.11)</f>
        <v>1753.11</v>
      </c>
      <c r="G222" s="3">
        <f ca="1">IFERROR(__xludf.DUMMYFUNCTION("""COMPUTED_VALUE"""),43782.6666666666)</f>
        <v>43782.666666666599</v>
      </c>
      <c r="H222" s="2">
        <f ca="1">IFERROR(__xludf.DUMMYFUNCTION("""COMPUTED_VALUE"""),1296.18)</f>
        <v>1296.18</v>
      </c>
      <c r="I222" s="3">
        <f ca="1">IFERROR(__xludf.DUMMYFUNCTION("""COMPUTED_VALUE"""),43782.6666666666)</f>
        <v>43782.666666666599</v>
      </c>
      <c r="J222" s="2">
        <f ca="1">IFERROR(__xludf.DUMMYFUNCTION("""COMPUTED_VALUE"""),1298)</f>
        <v>1298</v>
      </c>
      <c r="K222" s="3">
        <f ca="1">IFERROR(__xludf.DUMMYFUNCTION("""COMPUTED_VALUE"""),43782.6666666666)</f>
        <v>43782.666666666599</v>
      </c>
      <c r="L222" s="2">
        <f ca="1">IFERROR(__xludf.DUMMYFUNCTION("""COMPUTED_VALUE"""),193.19)</f>
        <v>193.19</v>
      </c>
      <c r="M222" s="3">
        <f ca="1">IFERROR(__xludf.DUMMYFUNCTION("""COMPUTED_VALUE"""),43782.6666666666)</f>
        <v>43782.666666666599</v>
      </c>
      <c r="N222" s="2">
        <f ca="1">IFERROR(__xludf.DUMMYFUNCTION("""COMPUTED_VALUE"""),69.22)</f>
        <v>69.22</v>
      </c>
      <c r="O222" s="3">
        <f ca="1">IFERROR(__xludf.DUMMYFUNCTION("""COMPUTED_VALUE"""),43782.6666666666)</f>
        <v>43782.666666666599</v>
      </c>
      <c r="P222" s="2">
        <f ca="1">IFERROR(__xludf.DUMMYFUNCTION("""COMPUTED_VALUE"""),52.14)</f>
        <v>52.14</v>
      </c>
      <c r="Q222" s="3">
        <f ca="1">IFERROR(__xludf.DUMMYFUNCTION("""COMPUTED_VALUE"""),43782.6666666666)</f>
        <v>43782.666666666599</v>
      </c>
      <c r="R222" s="2">
        <f ca="1">IFERROR(__xludf.DUMMYFUNCTION("""COMPUTED_VALUE"""),219.77)</f>
        <v>219.77</v>
      </c>
      <c r="S222" s="3">
        <f ca="1">IFERROR(__xludf.DUMMYFUNCTION("""COMPUTED_VALUE"""),43782.6666666666)</f>
        <v>43782.666666666599</v>
      </c>
      <c r="T222" s="2">
        <f ca="1">IFERROR(__xludf.DUMMYFUNCTION("""COMPUTED_VALUE"""),131.27)</f>
        <v>131.27000000000001</v>
      </c>
    </row>
    <row r="223" spans="1:20">
      <c r="A223" s="3">
        <f ca="1">IFERROR(__xludf.DUMMYFUNCTION("""COMPUTED_VALUE"""),43783.6666666666)</f>
        <v>43783.666666666599</v>
      </c>
      <c r="B223" s="2">
        <f ca="1">IFERROR(__xludf.DUMMYFUNCTION("""COMPUTED_VALUE"""),65.66)</f>
        <v>65.66</v>
      </c>
      <c r="C223" s="3">
        <f ca="1">IFERROR(__xludf.DUMMYFUNCTION("""COMPUTED_VALUE"""),43783.6666666666)</f>
        <v>43783.666666666599</v>
      </c>
      <c r="D223" s="2">
        <f ca="1">IFERROR(__xludf.DUMMYFUNCTION("""COMPUTED_VALUE"""),148.06)</f>
        <v>148.06</v>
      </c>
      <c r="E223" s="3">
        <f ca="1">IFERROR(__xludf.DUMMYFUNCTION("""COMPUTED_VALUE"""),43783.6666666666)</f>
        <v>43783.666666666599</v>
      </c>
      <c r="F223" s="2">
        <f ca="1">IFERROR(__xludf.DUMMYFUNCTION("""COMPUTED_VALUE"""),1754.6)</f>
        <v>1754.6</v>
      </c>
      <c r="G223" s="3">
        <f ca="1">IFERROR(__xludf.DUMMYFUNCTION("""COMPUTED_VALUE"""),43783.6666666666)</f>
        <v>43783.666666666599</v>
      </c>
      <c r="H223" s="2">
        <f ca="1">IFERROR(__xludf.DUMMYFUNCTION("""COMPUTED_VALUE"""),1309.15)</f>
        <v>1309.1500000000001</v>
      </c>
      <c r="I223" s="3">
        <f ca="1">IFERROR(__xludf.DUMMYFUNCTION("""COMPUTED_VALUE"""),43783.6666666666)</f>
        <v>43783.666666666599</v>
      </c>
      <c r="J223" s="2">
        <f ca="1">IFERROR(__xludf.DUMMYFUNCTION("""COMPUTED_VALUE"""),1311.46)</f>
        <v>1311.46</v>
      </c>
      <c r="K223" s="3">
        <f ca="1">IFERROR(__xludf.DUMMYFUNCTION("""COMPUTED_VALUE"""),43783.6666666666)</f>
        <v>43783.666666666599</v>
      </c>
      <c r="L223" s="2">
        <f ca="1">IFERROR(__xludf.DUMMYFUNCTION("""COMPUTED_VALUE"""),193.15)</f>
        <v>193.15</v>
      </c>
      <c r="M223" s="3">
        <f ca="1">IFERROR(__xludf.DUMMYFUNCTION("""COMPUTED_VALUE"""),43783.6666666666)</f>
        <v>43783.666666666599</v>
      </c>
      <c r="N223" s="2">
        <f ca="1">IFERROR(__xludf.DUMMYFUNCTION("""COMPUTED_VALUE"""),69.87)</f>
        <v>69.87</v>
      </c>
      <c r="O223" s="3">
        <f ca="1">IFERROR(__xludf.DUMMYFUNCTION("""COMPUTED_VALUE"""),43783.6666666666)</f>
        <v>43783.666666666599</v>
      </c>
      <c r="P223" s="2">
        <f ca="1">IFERROR(__xludf.DUMMYFUNCTION("""COMPUTED_VALUE"""),52.45)</f>
        <v>52.45</v>
      </c>
      <c r="Q223" s="3">
        <f ca="1">IFERROR(__xludf.DUMMYFUNCTION("""COMPUTED_VALUE"""),43783.6666666666)</f>
        <v>43783.666666666599</v>
      </c>
      <c r="R223" s="2">
        <f ca="1">IFERROR(__xludf.DUMMYFUNCTION("""COMPUTED_VALUE"""),219.36)</f>
        <v>219.36</v>
      </c>
      <c r="S223" s="3">
        <f ca="1">IFERROR(__xludf.DUMMYFUNCTION("""COMPUTED_VALUE"""),43783.6666666666)</f>
        <v>43783.666666666599</v>
      </c>
      <c r="T223" s="2">
        <f ca="1">IFERROR(__xludf.DUMMYFUNCTION("""COMPUTED_VALUE"""),130.96)</f>
        <v>130.96</v>
      </c>
    </row>
    <row r="224" spans="1:20">
      <c r="A224" s="3">
        <f ca="1">IFERROR(__xludf.DUMMYFUNCTION("""COMPUTED_VALUE"""),43784.6666666666)</f>
        <v>43784.666666666599</v>
      </c>
      <c r="B224" s="2">
        <f ca="1">IFERROR(__xludf.DUMMYFUNCTION("""COMPUTED_VALUE"""),66.44)</f>
        <v>66.44</v>
      </c>
      <c r="C224" s="3">
        <f ca="1">IFERROR(__xludf.DUMMYFUNCTION("""COMPUTED_VALUE"""),43784.6666666666)</f>
        <v>43784.666666666599</v>
      </c>
      <c r="D224" s="2">
        <f ca="1">IFERROR(__xludf.DUMMYFUNCTION("""COMPUTED_VALUE"""),149.97)</f>
        <v>149.97</v>
      </c>
      <c r="E224" s="3">
        <f ca="1">IFERROR(__xludf.DUMMYFUNCTION("""COMPUTED_VALUE"""),43784.6666666666)</f>
        <v>43784.666666666599</v>
      </c>
      <c r="F224" s="2">
        <f ca="1">IFERROR(__xludf.DUMMYFUNCTION("""COMPUTED_VALUE"""),1739.49)</f>
        <v>1739.49</v>
      </c>
      <c r="G224" s="3">
        <f ca="1">IFERROR(__xludf.DUMMYFUNCTION("""COMPUTED_VALUE"""),43784.6666666666)</f>
        <v>43784.666666666599</v>
      </c>
      <c r="H224" s="2">
        <f ca="1">IFERROR(__xludf.DUMMYFUNCTION("""COMPUTED_VALUE"""),1333.54)</f>
        <v>1333.54</v>
      </c>
      <c r="I224" s="3">
        <f ca="1">IFERROR(__xludf.DUMMYFUNCTION("""COMPUTED_VALUE"""),43784.6666666666)</f>
        <v>43784.666666666599</v>
      </c>
      <c r="J224" s="2">
        <f ca="1">IFERROR(__xludf.DUMMYFUNCTION("""COMPUTED_VALUE"""),1334.87)</f>
        <v>1334.87</v>
      </c>
      <c r="K224" s="3">
        <f ca="1">IFERROR(__xludf.DUMMYFUNCTION("""COMPUTED_VALUE"""),43784.6666666666)</f>
        <v>43784.666666666599</v>
      </c>
      <c r="L224" s="2">
        <f ca="1">IFERROR(__xludf.DUMMYFUNCTION("""COMPUTED_VALUE"""),195.1)</f>
        <v>195.1</v>
      </c>
      <c r="M224" s="3">
        <f ca="1">IFERROR(__xludf.DUMMYFUNCTION("""COMPUTED_VALUE"""),43784.6666666666)</f>
        <v>43784.666666666599</v>
      </c>
      <c r="N224" s="2">
        <f ca="1">IFERROR(__xludf.DUMMYFUNCTION("""COMPUTED_VALUE"""),70.43)</f>
        <v>70.430000000000007</v>
      </c>
      <c r="O224" s="3">
        <f ca="1">IFERROR(__xludf.DUMMYFUNCTION("""COMPUTED_VALUE"""),43784.6666666666)</f>
        <v>43784.666666666599</v>
      </c>
      <c r="P224" s="2">
        <f ca="1">IFERROR(__xludf.DUMMYFUNCTION("""COMPUTED_VALUE"""),51.05)</f>
        <v>51.05</v>
      </c>
      <c r="Q224" s="3">
        <f ca="1">IFERROR(__xludf.DUMMYFUNCTION("""COMPUTED_VALUE"""),43784.6666666666)</f>
        <v>43784.666666666599</v>
      </c>
      <c r="R224" s="2">
        <f ca="1">IFERROR(__xludf.DUMMYFUNCTION("""COMPUTED_VALUE"""),219.74)</f>
        <v>219.74</v>
      </c>
      <c r="S224" s="3">
        <f ca="1">IFERROR(__xludf.DUMMYFUNCTION("""COMPUTED_VALUE"""),43784.6666666666)</f>
        <v>43784.666666666599</v>
      </c>
      <c r="T224" s="2">
        <f ca="1">IFERROR(__xludf.DUMMYFUNCTION("""COMPUTED_VALUE"""),134.94)</f>
        <v>134.94</v>
      </c>
    </row>
    <row r="225" spans="1:20">
      <c r="A225" s="3">
        <f ca="1">IFERROR(__xludf.DUMMYFUNCTION("""COMPUTED_VALUE"""),43787.6666666666)</f>
        <v>43787.666666666599</v>
      </c>
      <c r="B225" s="2">
        <f ca="1">IFERROR(__xludf.DUMMYFUNCTION("""COMPUTED_VALUE"""),66.78)</f>
        <v>66.78</v>
      </c>
      <c r="C225" s="3">
        <f ca="1">IFERROR(__xludf.DUMMYFUNCTION("""COMPUTED_VALUE"""),43787.6666666666)</f>
        <v>43787.666666666599</v>
      </c>
      <c r="D225" s="2">
        <f ca="1">IFERROR(__xludf.DUMMYFUNCTION("""COMPUTED_VALUE"""),150.34)</f>
        <v>150.34</v>
      </c>
      <c r="E225" s="3">
        <f ca="1">IFERROR(__xludf.DUMMYFUNCTION("""COMPUTED_VALUE"""),43787.6666666666)</f>
        <v>43787.666666666599</v>
      </c>
      <c r="F225" s="2">
        <f ca="1">IFERROR(__xludf.DUMMYFUNCTION("""COMPUTED_VALUE"""),1752.53)</f>
        <v>1752.53</v>
      </c>
      <c r="G225" s="3">
        <f ca="1">IFERROR(__xludf.DUMMYFUNCTION("""COMPUTED_VALUE"""),43787.6666666666)</f>
        <v>43787.666666666599</v>
      </c>
      <c r="H225" s="2">
        <f ca="1">IFERROR(__xludf.DUMMYFUNCTION("""COMPUTED_VALUE"""),1319.84)</f>
        <v>1319.84</v>
      </c>
      <c r="I225" s="3">
        <f ca="1">IFERROR(__xludf.DUMMYFUNCTION("""COMPUTED_VALUE"""),43787.6666666666)</f>
        <v>43787.666666666599</v>
      </c>
      <c r="J225" s="2">
        <f ca="1">IFERROR(__xludf.DUMMYFUNCTION("""COMPUTED_VALUE"""),1320.7)</f>
        <v>1320.7</v>
      </c>
      <c r="K225" s="3">
        <f ca="1">IFERROR(__xludf.DUMMYFUNCTION("""COMPUTED_VALUE"""),43787.6666666666)</f>
        <v>43787.666666666599</v>
      </c>
      <c r="L225" s="2">
        <f ca="1">IFERROR(__xludf.DUMMYFUNCTION("""COMPUTED_VALUE"""),197.4)</f>
        <v>197.4</v>
      </c>
      <c r="M225" s="3">
        <f ca="1">IFERROR(__xludf.DUMMYFUNCTION("""COMPUTED_VALUE"""),43787.6666666666)</f>
        <v>43787.666666666599</v>
      </c>
      <c r="N225" s="2">
        <f ca="1">IFERROR(__xludf.DUMMYFUNCTION("""COMPUTED_VALUE"""),70)</f>
        <v>70</v>
      </c>
      <c r="O225" s="3">
        <f ca="1">IFERROR(__xludf.DUMMYFUNCTION("""COMPUTED_VALUE"""),43787.6666666666)</f>
        <v>43787.666666666599</v>
      </c>
      <c r="P225" s="2">
        <f ca="1">IFERROR(__xludf.DUMMYFUNCTION("""COMPUTED_VALUE"""),53.07)</f>
        <v>53.07</v>
      </c>
      <c r="Q225" s="3">
        <f ca="1">IFERROR(__xludf.DUMMYFUNCTION("""COMPUTED_VALUE"""),43787.6666666666)</f>
        <v>43787.666666666599</v>
      </c>
      <c r="R225" s="2">
        <f ca="1">IFERROR(__xludf.DUMMYFUNCTION("""COMPUTED_VALUE"""),219.35)</f>
        <v>219.35</v>
      </c>
      <c r="S225" s="3">
        <f ca="1">IFERROR(__xludf.DUMMYFUNCTION("""COMPUTED_VALUE"""),43787.6666666666)</f>
        <v>43787.666666666599</v>
      </c>
      <c r="T225" s="2">
        <f ca="1">IFERROR(__xludf.DUMMYFUNCTION("""COMPUTED_VALUE"""),134.83)</f>
        <v>134.83000000000001</v>
      </c>
    </row>
    <row r="226" spans="1:20">
      <c r="A226" s="3">
        <f ca="1">IFERROR(__xludf.DUMMYFUNCTION("""COMPUTED_VALUE"""),43788.6666666666)</f>
        <v>43788.666666666599</v>
      </c>
      <c r="B226" s="2">
        <f ca="1">IFERROR(__xludf.DUMMYFUNCTION("""COMPUTED_VALUE"""),66.57)</f>
        <v>66.569999999999993</v>
      </c>
      <c r="C226" s="3">
        <f ca="1">IFERROR(__xludf.DUMMYFUNCTION("""COMPUTED_VALUE"""),43788.6666666666)</f>
        <v>43788.666666666599</v>
      </c>
      <c r="D226" s="2">
        <f ca="1">IFERROR(__xludf.DUMMYFUNCTION("""COMPUTED_VALUE"""),150.39)</f>
        <v>150.38999999999999</v>
      </c>
      <c r="E226" s="3">
        <f ca="1">IFERROR(__xludf.DUMMYFUNCTION("""COMPUTED_VALUE"""),43788.6666666666)</f>
        <v>43788.666666666599</v>
      </c>
      <c r="F226" s="2">
        <f ca="1">IFERROR(__xludf.DUMMYFUNCTION("""COMPUTED_VALUE"""),1752.79)</f>
        <v>1752.79</v>
      </c>
      <c r="G226" s="3">
        <f ca="1">IFERROR(__xludf.DUMMYFUNCTION("""COMPUTED_VALUE"""),43788.6666666666)</f>
        <v>43788.666666666599</v>
      </c>
      <c r="H226" s="2">
        <f ca="1">IFERROR(__xludf.DUMMYFUNCTION("""COMPUTED_VALUE"""),1312.59)</f>
        <v>1312.59</v>
      </c>
      <c r="I226" s="3">
        <f ca="1">IFERROR(__xludf.DUMMYFUNCTION("""COMPUTED_VALUE"""),43788.6666666666)</f>
        <v>43788.666666666599</v>
      </c>
      <c r="J226" s="2">
        <f ca="1">IFERROR(__xludf.DUMMYFUNCTION("""COMPUTED_VALUE"""),1315.46)</f>
        <v>1315.46</v>
      </c>
      <c r="K226" s="3">
        <f ca="1">IFERROR(__xludf.DUMMYFUNCTION("""COMPUTED_VALUE"""),43788.6666666666)</f>
        <v>43788.666666666599</v>
      </c>
      <c r="L226" s="2">
        <f ca="1">IFERROR(__xludf.DUMMYFUNCTION("""COMPUTED_VALUE"""),199.32)</f>
        <v>199.32</v>
      </c>
      <c r="M226" s="3">
        <f ca="1">IFERROR(__xludf.DUMMYFUNCTION("""COMPUTED_VALUE"""),43788.6666666666)</f>
        <v>43788.666666666599</v>
      </c>
      <c r="N226" s="2">
        <f ca="1">IFERROR(__xludf.DUMMYFUNCTION("""COMPUTED_VALUE"""),71.9)</f>
        <v>71.900000000000006</v>
      </c>
      <c r="O226" s="3">
        <f ca="1">IFERROR(__xludf.DUMMYFUNCTION("""COMPUTED_VALUE"""),43788.6666666666)</f>
        <v>43788.666666666599</v>
      </c>
      <c r="P226" s="2">
        <f ca="1">IFERROR(__xludf.DUMMYFUNCTION("""COMPUTED_VALUE"""),52)</f>
        <v>52</v>
      </c>
      <c r="Q226" s="3">
        <f ca="1">IFERROR(__xludf.DUMMYFUNCTION("""COMPUTED_VALUE"""),43788.6666666666)</f>
        <v>43788.666666666599</v>
      </c>
      <c r="R226" s="2">
        <f ca="1">IFERROR(__xludf.DUMMYFUNCTION("""COMPUTED_VALUE"""),219.03)</f>
        <v>219.03</v>
      </c>
      <c r="S226" s="3">
        <f ca="1">IFERROR(__xludf.DUMMYFUNCTION("""COMPUTED_VALUE"""),43788.6666666666)</f>
        <v>43788.666666666599</v>
      </c>
      <c r="T226" s="2">
        <f ca="1">IFERROR(__xludf.DUMMYFUNCTION("""COMPUTED_VALUE"""),134.82)</f>
        <v>134.82</v>
      </c>
    </row>
    <row r="227" spans="1:20">
      <c r="A227" s="3">
        <f ca="1">IFERROR(__xludf.DUMMYFUNCTION("""COMPUTED_VALUE"""),43789.6666666666)</f>
        <v>43789.666666666599</v>
      </c>
      <c r="B227" s="2">
        <f ca="1">IFERROR(__xludf.DUMMYFUNCTION("""COMPUTED_VALUE"""),65.8)</f>
        <v>65.8</v>
      </c>
      <c r="C227" s="3">
        <f ca="1">IFERROR(__xludf.DUMMYFUNCTION("""COMPUTED_VALUE"""),43789.6666666666)</f>
        <v>43789.666666666599</v>
      </c>
      <c r="D227" s="2">
        <f ca="1">IFERROR(__xludf.DUMMYFUNCTION("""COMPUTED_VALUE"""),149.62)</f>
        <v>149.62</v>
      </c>
      <c r="E227" s="3">
        <f ca="1">IFERROR(__xludf.DUMMYFUNCTION("""COMPUTED_VALUE"""),43789.6666666666)</f>
        <v>43789.666666666599</v>
      </c>
      <c r="F227" s="2">
        <f ca="1">IFERROR(__xludf.DUMMYFUNCTION("""COMPUTED_VALUE"""),1745.53)</f>
        <v>1745.53</v>
      </c>
      <c r="G227" s="3">
        <f ca="1">IFERROR(__xludf.DUMMYFUNCTION("""COMPUTED_VALUE"""),43789.6666666666)</f>
        <v>43789.666666666599</v>
      </c>
      <c r="H227" s="2">
        <f ca="1">IFERROR(__xludf.DUMMYFUNCTION("""COMPUTED_VALUE"""),1301.86)</f>
        <v>1301.8599999999999</v>
      </c>
      <c r="I227" s="3">
        <f ca="1">IFERROR(__xludf.DUMMYFUNCTION("""COMPUTED_VALUE"""),43789.6666666666)</f>
        <v>43789.666666666599</v>
      </c>
      <c r="J227" s="2">
        <f ca="1">IFERROR(__xludf.DUMMYFUNCTION("""COMPUTED_VALUE"""),1303.05)</f>
        <v>1303.05</v>
      </c>
      <c r="K227" s="3">
        <f ca="1">IFERROR(__xludf.DUMMYFUNCTION("""COMPUTED_VALUE"""),43789.6666666666)</f>
        <v>43789.666666666599</v>
      </c>
      <c r="L227" s="2">
        <f ca="1">IFERROR(__xludf.DUMMYFUNCTION("""COMPUTED_VALUE"""),197.51)</f>
        <v>197.51</v>
      </c>
      <c r="M227" s="3">
        <f ca="1">IFERROR(__xludf.DUMMYFUNCTION("""COMPUTED_VALUE"""),43789.6666666666)</f>
        <v>43789.666666666599</v>
      </c>
      <c r="N227" s="2">
        <f ca="1">IFERROR(__xludf.DUMMYFUNCTION("""COMPUTED_VALUE"""),70.44)</f>
        <v>70.44</v>
      </c>
      <c r="O227" s="3">
        <f ca="1">IFERROR(__xludf.DUMMYFUNCTION("""COMPUTED_VALUE"""),43789.6666666666)</f>
        <v>43789.666666666599</v>
      </c>
      <c r="P227" s="2">
        <f ca="1">IFERROR(__xludf.DUMMYFUNCTION("""COMPUTED_VALUE"""),52.8)</f>
        <v>52.8</v>
      </c>
      <c r="Q227" s="3">
        <f ca="1">IFERROR(__xludf.DUMMYFUNCTION("""COMPUTED_VALUE"""),43789.6666666666)</f>
        <v>43789.666666666599</v>
      </c>
      <c r="R227" s="2">
        <f ca="1">IFERROR(__xludf.DUMMYFUNCTION("""COMPUTED_VALUE"""),217.48)</f>
        <v>217.48</v>
      </c>
      <c r="S227" s="3">
        <f ca="1">IFERROR(__xludf.DUMMYFUNCTION("""COMPUTED_VALUE"""),43789.6666666666)</f>
        <v>43789.666666666599</v>
      </c>
      <c r="T227" s="2">
        <f ca="1">IFERROR(__xludf.DUMMYFUNCTION("""COMPUTED_VALUE"""),135.94)</f>
        <v>135.94</v>
      </c>
    </row>
    <row r="228" spans="1:20">
      <c r="A228" s="3">
        <f ca="1">IFERROR(__xludf.DUMMYFUNCTION("""COMPUTED_VALUE"""),43790.6666666666)</f>
        <v>43790.666666666599</v>
      </c>
      <c r="B228" s="2">
        <f ca="1">IFERROR(__xludf.DUMMYFUNCTION("""COMPUTED_VALUE"""),65.5)</f>
        <v>65.5</v>
      </c>
      <c r="C228" s="3">
        <f ca="1">IFERROR(__xludf.DUMMYFUNCTION("""COMPUTED_VALUE"""),43790.6666666666)</f>
        <v>43790.666666666599</v>
      </c>
      <c r="D228" s="2">
        <f ca="1">IFERROR(__xludf.DUMMYFUNCTION("""COMPUTED_VALUE"""),149.48)</f>
        <v>149.47999999999999</v>
      </c>
      <c r="E228" s="3">
        <f ca="1">IFERROR(__xludf.DUMMYFUNCTION("""COMPUTED_VALUE"""),43790.6666666666)</f>
        <v>43790.666666666599</v>
      </c>
      <c r="F228" s="2">
        <f ca="1">IFERROR(__xludf.DUMMYFUNCTION("""COMPUTED_VALUE"""),1734.71)</f>
        <v>1734.71</v>
      </c>
      <c r="G228" s="3">
        <f ca="1">IFERROR(__xludf.DUMMYFUNCTION("""COMPUTED_VALUE"""),43790.6666666666)</f>
        <v>43790.666666666599</v>
      </c>
      <c r="H228" s="2">
        <f ca="1">IFERROR(__xludf.DUMMYFUNCTION("""COMPUTED_VALUE"""),1300.14)</f>
        <v>1300.1400000000001</v>
      </c>
      <c r="I228" s="3">
        <f ca="1">IFERROR(__xludf.DUMMYFUNCTION("""COMPUTED_VALUE"""),43790.6666666666)</f>
        <v>43790.666666666599</v>
      </c>
      <c r="J228" s="2">
        <f ca="1">IFERROR(__xludf.DUMMYFUNCTION("""COMPUTED_VALUE"""),1301.35)</f>
        <v>1301.3499999999999</v>
      </c>
      <c r="K228" s="3">
        <f ca="1">IFERROR(__xludf.DUMMYFUNCTION("""COMPUTED_VALUE"""),43790.6666666666)</f>
        <v>43790.666666666599</v>
      </c>
      <c r="L228" s="2">
        <f ca="1">IFERROR(__xludf.DUMMYFUNCTION("""COMPUTED_VALUE"""),197.93)</f>
        <v>197.93</v>
      </c>
      <c r="M228" s="3">
        <f ca="1">IFERROR(__xludf.DUMMYFUNCTION("""COMPUTED_VALUE"""),43790.6666666666)</f>
        <v>43790.666666666599</v>
      </c>
      <c r="N228" s="2">
        <f ca="1">IFERROR(__xludf.DUMMYFUNCTION("""COMPUTED_VALUE"""),70.97)</f>
        <v>70.97</v>
      </c>
      <c r="O228" s="3">
        <f ca="1">IFERROR(__xludf.DUMMYFUNCTION("""COMPUTED_VALUE"""),43790.6666666666)</f>
        <v>43790.666666666599</v>
      </c>
      <c r="P228" s="2">
        <f ca="1">IFERROR(__xludf.DUMMYFUNCTION("""COMPUTED_VALUE"""),52.55)</f>
        <v>52.55</v>
      </c>
      <c r="Q228" s="3">
        <f ca="1">IFERROR(__xludf.DUMMYFUNCTION("""COMPUTED_VALUE"""),43790.6666666666)</f>
        <v>43790.666666666599</v>
      </c>
      <c r="R228" s="2">
        <f ca="1">IFERROR(__xludf.DUMMYFUNCTION("""COMPUTED_VALUE"""),216.63)</f>
        <v>216.63</v>
      </c>
      <c r="S228" s="3">
        <f ca="1">IFERROR(__xludf.DUMMYFUNCTION("""COMPUTED_VALUE"""),43790.6666666666)</f>
        <v>43790.666666666599</v>
      </c>
      <c r="T228" s="2">
        <f ca="1">IFERROR(__xludf.DUMMYFUNCTION("""COMPUTED_VALUE"""),136.44)</f>
        <v>136.44</v>
      </c>
    </row>
    <row r="229" spans="1:20">
      <c r="A229" s="3">
        <f ca="1">IFERROR(__xludf.DUMMYFUNCTION("""COMPUTED_VALUE"""),43791.6666666666)</f>
        <v>43791.666666666599</v>
      </c>
      <c r="B229" s="2">
        <f ca="1">IFERROR(__xludf.DUMMYFUNCTION("""COMPUTED_VALUE"""),65.44)</f>
        <v>65.44</v>
      </c>
      <c r="C229" s="3">
        <f ca="1">IFERROR(__xludf.DUMMYFUNCTION("""COMPUTED_VALUE"""),43791.6666666666)</f>
        <v>43791.666666666599</v>
      </c>
      <c r="D229" s="2">
        <f ca="1">IFERROR(__xludf.DUMMYFUNCTION("""COMPUTED_VALUE"""),149.59)</f>
        <v>149.59</v>
      </c>
      <c r="E229" s="3">
        <f ca="1">IFERROR(__xludf.DUMMYFUNCTION("""COMPUTED_VALUE"""),43791.6666666666)</f>
        <v>43791.666666666599</v>
      </c>
      <c r="F229" s="2">
        <f ca="1">IFERROR(__xludf.DUMMYFUNCTION("""COMPUTED_VALUE"""),1745.72)</f>
        <v>1745.72</v>
      </c>
      <c r="G229" s="3">
        <f ca="1">IFERROR(__xludf.DUMMYFUNCTION("""COMPUTED_VALUE"""),43791.6666666666)</f>
        <v>43791.666666666599</v>
      </c>
      <c r="H229" s="2">
        <f ca="1">IFERROR(__xludf.DUMMYFUNCTION("""COMPUTED_VALUE"""),1293.67)</f>
        <v>1293.67</v>
      </c>
      <c r="I229" s="3">
        <f ca="1">IFERROR(__xludf.DUMMYFUNCTION("""COMPUTED_VALUE"""),43791.6666666666)</f>
        <v>43791.666666666599</v>
      </c>
      <c r="J229" s="2">
        <f ca="1">IFERROR(__xludf.DUMMYFUNCTION("""COMPUTED_VALUE"""),1295.34)</f>
        <v>1295.3399999999999</v>
      </c>
      <c r="K229" s="3">
        <f ca="1">IFERROR(__xludf.DUMMYFUNCTION("""COMPUTED_VALUE"""),43791.6666666666)</f>
        <v>43791.666666666599</v>
      </c>
      <c r="L229" s="2">
        <f ca="1">IFERROR(__xludf.DUMMYFUNCTION("""COMPUTED_VALUE"""),198.82)</f>
        <v>198.82</v>
      </c>
      <c r="M229" s="3">
        <f ca="1">IFERROR(__xludf.DUMMYFUNCTION("""COMPUTED_VALUE"""),43791.6666666666)</f>
        <v>43791.666666666599</v>
      </c>
      <c r="N229" s="2">
        <f ca="1">IFERROR(__xludf.DUMMYFUNCTION("""COMPUTED_VALUE"""),66.61)</f>
        <v>66.61</v>
      </c>
      <c r="O229" s="3">
        <f ca="1">IFERROR(__xludf.DUMMYFUNCTION("""COMPUTED_VALUE"""),43791.6666666666)</f>
        <v>43791.666666666599</v>
      </c>
      <c r="P229" s="2">
        <f ca="1">IFERROR(__xludf.DUMMYFUNCTION("""COMPUTED_VALUE"""),52.72)</f>
        <v>52.72</v>
      </c>
      <c r="Q229" s="3">
        <f ca="1">IFERROR(__xludf.DUMMYFUNCTION("""COMPUTED_VALUE"""),43791.6666666666)</f>
        <v>43791.666666666599</v>
      </c>
      <c r="R229" s="2">
        <f ca="1">IFERROR(__xludf.DUMMYFUNCTION("""COMPUTED_VALUE"""),217.96)</f>
        <v>217.96</v>
      </c>
      <c r="S229" s="3">
        <f ca="1">IFERROR(__xludf.DUMMYFUNCTION("""COMPUTED_VALUE"""),43791.6666666666)</f>
        <v>43791.666666666599</v>
      </c>
      <c r="T229" s="2">
        <f ca="1">IFERROR(__xludf.DUMMYFUNCTION("""COMPUTED_VALUE"""),138.07)</f>
        <v>138.07</v>
      </c>
    </row>
    <row r="230" spans="1:20">
      <c r="A230" s="3">
        <f ca="1">IFERROR(__xludf.DUMMYFUNCTION("""COMPUTED_VALUE"""),43794.6666666666)</f>
        <v>43794.666666666599</v>
      </c>
      <c r="B230" s="2">
        <f ca="1">IFERROR(__xludf.DUMMYFUNCTION("""COMPUTED_VALUE"""),66.59)</f>
        <v>66.59</v>
      </c>
      <c r="C230" s="3">
        <f ca="1">IFERROR(__xludf.DUMMYFUNCTION("""COMPUTED_VALUE"""),43794.6666666666)</f>
        <v>43794.666666666599</v>
      </c>
      <c r="D230" s="2">
        <f ca="1">IFERROR(__xludf.DUMMYFUNCTION("""COMPUTED_VALUE"""),151.23)</f>
        <v>151.22999999999999</v>
      </c>
      <c r="E230" s="3">
        <f ca="1">IFERROR(__xludf.DUMMYFUNCTION("""COMPUTED_VALUE"""),43794.6666666666)</f>
        <v>43794.666666666599</v>
      </c>
      <c r="F230" s="2">
        <f ca="1">IFERROR(__xludf.DUMMYFUNCTION("""COMPUTED_VALUE"""),1773.84)</f>
        <v>1773.84</v>
      </c>
      <c r="G230" s="3">
        <f ca="1">IFERROR(__xludf.DUMMYFUNCTION("""COMPUTED_VALUE"""),43794.6666666666)</f>
        <v>43794.666666666599</v>
      </c>
      <c r="H230" s="2">
        <f ca="1">IFERROR(__xludf.DUMMYFUNCTION("""COMPUTED_VALUE"""),1305.64)</f>
        <v>1305.6400000000001</v>
      </c>
      <c r="I230" s="3">
        <f ca="1">IFERROR(__xludf.DUMMYFUNCTION("""COMPUTED_VALUE"""),43794.6666666666)</f>
        <v>43794.666666666599</v>
      </c>
      <c r="J230" s="2">
        <f ca="1">IFERROR(__xludf.DUMMYFUNCTION("""COMPUTED_VALUE"""),1306.69)</f>
        <v>1306.69</v>
      </c>
      <c r="K230" s="3">
        <f ca="1">IFERROR(__xludf.DUMMYFUNCTION("""COMPUTED_VALUE"""),43794.6666666666)</f>
        <v>43794.666666666599</v>
      </c>
      <c r="L230" s="2">
        <f ca="1">IFERROR(__xludf.DUMMYFUNCTION("""COMPUTED_VALUE"""),199.79)</f>
        <v>199.79</v>
      </c>
      <c r="M230" s="3">
        <f ca="1">IFERROR(__xludf.DUMMYFUNCTION("""COMPUTED_VALUE"""),43794.6666666666)</f>
        <v>43794.666666666599</v>
      </c>
      <c r="N230" s="2">
        <f ca="1">IFERROR(__xludf.DUMMYFUNCTION("""COMPUTED_VALUE"""),67.27)</f>
        <v>67.27</v>
      </c>
      <c r="O230" s="3">
        <f ca="1">IFERROR(__xludf.DUMMYFUNCTION("""COMPUTED_VALUE"""),43794.6666666666)</f>
        <v>43794.666666666599</v>
      </c>
      <c r="P230" s="2">
        <f ca="1">IFERROR(__xludf.DUMMYFUNCTION("""COMPUTED_VALUE"""),55.3)</f>
        <v>55.3</v>
      </c>
      <c r="Q230" s="3">
        <f ca="1">IFERROR(__xludf.DUMMYFUNCTION("""COMPUTED_VALUE"""),43794.6666666666)</f>
        <v>43794.666666666599</v>
      </c>
      <c r="R230" s="2">
        <f ca="1">IFERROR(__xludf.DUMMYFUNCTION("""COMPUTED_VALUE"""),219.06)</f>
        <v>219.06</v>
      </c>
      <c r="S230" s="3">
        <f ca="1">IFERROR(__xludf.DUMMYFUNCTION("""COMPUTED_VALUE"""),43794.6666666666)</f>
        <v>43794.666666666599</v>
      </c>
      <c r="T230" s="2">
        <f ca="1">IFERROR(__xludf.DUMMYFUNCTION("""COMPUTED_VALUE"""),137.18)</f>
        <v>137.18</v>
      </c>
    </row>
    <row r="231" spans="1:20">
      <c r="A231" s="3">
        <f ca="1">IFERROR(__xludf.DUMMYFUNCTION("""COMPUTED_VALUE"""),43795.6666666666)</f>
        <v>43795.666666666599</v>
      </c>
      <c r="B231" s="2">
        <f ca="1">IFERROR(__xludf.DUMMYFUNCTION("""COMPUTED_VALUE"""),66.07)</f>
        <v>66.069999999999993</v>
      </c>
      <c r="C231" s="3">
        <f ca="1">IFERROR(__xludf.DUMMYFUNCTION("""COMPUTED_VALUE"""),43795.6666666666)</f>
        <v>43795.666666666599</v>
      </c>
      <c r="D231" s="2">
        <f ca="1">IFERROR(__xludf.DUMMYFUNCTION("""COMPUTED_VALUE"""),152.03)</f>
        <v>152.03</v>
      </c>
      <c r="E231" s="3">
        <f ca="1">IFERROR(__xludf.DUMMYFUNCTION("""COMPUTED_VALUE"""),43795.6666666666)</f>
        <v>43795.666666666599</v>
      </c>
      <c r="F231" s="2">
        <f ca="1">IFERROR(__xludf.DUMMYFUNCTION("""COMPUTED_VALUE"""),1796.94)</f>
        <v>1796.94</v>
      </c>
      <c r="G231" s="3">
        <f ca="1">IFERROR(__xludf.DUMMYFUNCTION("""COMPUTED_VALUE"""),43795.6666666666)</f>
        <v>43795.666666666599</v>
      </c>
      <c r="H231" s="2">
        <f ca="1">IFERROR(__xludf.DUMMYFUNCTION("""COMPUTED_VALUE"""),1313)</f>
        <v>1313</v>
      </c>
      <c r="I231" s="3">
        <f ca="1">IFERROR(__xludf.DUMMYFUNCTION("""COMPUTED_VALUE"""),43795.6666666666)</f>
        <v>43795.666666666599</v>
      </c>
      <c r="J231" s="2">
        <f ca="1">IFERROR(__xludf.DUMMYFUNCTION("""COMPUTED_VALUE"""),1313.55)</f>
        <v>1313.55</v>
      </c>
      <c r="K231" s="3">
        <f ca="1">IFERROR(__xludf.DUMMYFUNCTION("""COMPUTED_VALUE"""),43795.6666666666)</f>
        <v>43795.666666666599</v>
      </c>
      <c r="L231" s="2">
        <f ca="1">IFERROR(__xludf.DUMMYFUNCTION("""COMPUTED_VALUE"""),198.97)</f>
        <v>198.97</v>
      </c>
      <c r="M231" s="3">
        <f ca="1">IFERROR(__xludf.DUMMYFUNCTION("""COMPUTED_VALUE"""),43795.6666666666)</f>
        <v>43795.666666666599</v>
      </c>
      <c r="N231" s="2">
        <f ca="1">IFERROR(__xludf.DUMMYFUNCTION("""COMPUTED_VALUE"""),65.78)</f>
        <v>65.78</v>
      </c>
      <c r="O231" s="3">
        <f ca="1">IFERROR(__xludf.DUMMYFUNCTION("""COMPUTED_VALUE"""),43795.6666666666)</f>
        <v>43795.666666666599</v>
      </c>
      <c r="P231" s="2">
        <f ca="1">IFERROR(__xludf.DUMMYFUNCTION("""COMPUTED_VALUE"""),54.25)</f>
        <v>54.25</v>
      </c>
      <c r="Q231" s="3">
        <f ca="1">IFERROR(__xludf.DUMMYFUNCTION("""COMPUTED_VALUE"""),43795.6666666666)</f>
        <v>43795.666666666599</v>
      </c>
      <c r="R231" s="2">
        <f ca="1">IFERROR(__xludf.DUMMYFUNCTION("""COMPUTED_VALUE"""),218.9)</f>
        <v>218.9</v>
      </c>
      <c r="S231" s="3">
        <f ca="1">IFERROR(__xludf.DUMMYFUNCTION("""COMPUTED_VALUE"""),43795.6666666666)</f>
        <v>43795.666666666599</v>
      </c>
      <c r="T231" s="2">
        <f ca="1">IFERROR(__xludf.DUMMYFUNCTION("""COMPUTED_VALUE"""),137.17)</f>
        <v>137.16999999999999</v>
      </c>
    </row>
    <row r="232" spans="1:20">
      <c r="A232" s="3">
        <f ca="1">IFERROR(__xludf.DUMMYFUNCTION("""COMPUTED_VALUE"""),43796.6666666666)</f>
        <v>43796.666666666599</v>
      </c>
      <c r="B232" s="2">
        <f ca="1">IFERROR(__xludf.DUMMYFUNCTION("""COMPUTED_VALUE"""),66.96)</f>
        <v>66.959999999999994</v>
      </c>
      <c r="C232" s="3">
        <f ca="1">IFERROR(__xludf.DUMMYFUNCTION("""COMPUTED_VALUE"""),43796.6666666666)</f>
        <v>43796.666666666599</v>
      </c>
      <c r="D232" s="2">
        <f ca="1">IFERROR(__xludf.DUMMYFUNCTION("""COMPUTED_VALUE"""),152.32)</f>
        <v>152.32</v>
      </c>
      <c r="E232" s="3">
        <f ca="1">IFERROR(__xludf.DUMMYFUNCTION("""COMPUTED_VALUE"""),43796.6666666666)</f>
        <v>43796.666666666599</v>
      </c>
      <c r="F232" s="2">
        <f ca="1">IFERROR(__xludf.DUMMYFUNCTION("""COMPUTED_VALUE"""),1818.51)</f>
        <v>1818.51</v>
      </c>
      <c r="G232" s="3">
        <f ca="1">IFERROR(__xludf.DUMMYFUNCTION("""COMPUTED_VALUE"""),43796.6666666666)</f>
        <v>43796.666666666599</v>
      </c>
      <c r="H232" s="2">
        <f ca="1">IFERROR(__xludf.DUMMYFUNCTION("""COMPUTED_VALUE"""),1312.13)</f>
        <v>1312.13</v>
      </c>
      <c r="I232" s="3">
        <f ca="1">IFERROR(__xludf.DUMMYFUNCTION("""COMPUTED_VALUE"""),43796.6666666666)</f>
        <v>43796.666666666599</v>
      </c>
      <c r="J232" s="2">
        <f ca="1">IFERROR(__xludf.DUMMYFUNCTION("""COMPUTED_VALUE"""),1312.99)</f>
        <v>1312.99</v>
      </c>
      <c r="K232" s="3">
        <f ca="1">IFERROR(__xludf.DUMMYFUNCTION("""COMPUTED_VALUE"""),43796.6666666666)</f>
        <v>43796.666666666599</v>
      </c>
      <c r="L232" s="2">
        <f ca="1">IFERROR(__xludf.DUMMYFUNCTION("""COMPUTED_VALUE"""),202)</f>
        <v>202</v>
      </c>
      <c r="M232" s="3">
        <f ca="1">IFERROR(__xludf.DUMMYFUNCTION("""COMPUTED_VALUE"""),43796.6666666666)</f>
        <v>43796.666666666599</v>
      </c>
      <c r="N232" s="2">
        <f ca="1">IFERROR(__xludf.DUMMYFUNCTION("""COMPUTED_VALUE"""),66.26)</f>
        <v>66.260000000000005</v>
      </c>
      <c r="O232" s="3">
        <f ca="1">IFERROR(__xludf.DUMMYFUNCTION("""COMPUTED_VALUE"""),43796.6666666666)</f>
        <v>43796.666666666599</v>
      </c>
      <c r="P232" s="2">
        <f ca="1">IFERROR(__xludf.DUMMYFUNCTION("""COMPUTED_VALUE"""),54.56)</f>
        <v>54.56</v>
      </c>
      <c r="Q232" s="3">
        <f ca="1">IFERROR(__xludf.DUMMYFUNCTION("""COMPUTED_VALUE"""),43796.6666666666)</f>
        <v>43796.666666666599</v>
      </c>
      <c r="R232" s="2">
        <f ca="1">IFERROR(__xludf.DUMMYFUNCTION("""COMPUTED_VALUE"""),220.5)</f>
        <v>220.5</v>
      </c>
      <c r="S232" s="3">
        <f ca="1">IFERROR(__xludf.DUMMYFUNCTION("""COMPUTED_VALUE"""),43796.6666666666)</f>
        <v>43796.666666666599</v>
      </c>
      <c r="T232" s="2">
        <f ca="1">IFERROR(__xludf.DUMMYFUNCTION("""COMPUTED_VALUE"""),137.75)</f>
        <v>137.75</v>
      </c>
    </row>
    <row r="233" spans="1:20">
      <c r="A233" s="3">
        <f ca="1">IFERROR(__xludf.DUMMYFUNCTION("""COMPUTED_VALUE"""),43798.5416666666)</f>
        <v>43798.541666666599</v>
      </c>
      <c r="B233" s="2">
        <f ca="1">IFERROR(__xludf.DUMMYFUNCTION("""COMPUTED_VALUE"""),66.81)</f>
        <v>66.81</v>
      </c>
      <c r="C233" s="3">
        <f ca="1">IFERROR(__xludf.DUMMYFUNCTION("""COMPUTED_VALUE"""),43798.5416666666)</f>
        <v>43798.541666666599</v>
      </c>
      <c r="D233" s="2">
        <f ca="1">IFERROR(__xludf.DUMMYFUNCTION("""COMPUTED_VALUE"""),151.38)</f>
        <v>151.38</v>
      </c>
      <c r="E233" s="3">
        <f ca="1">IFERROR(__xludf.DUMMYFUNCTION("""COMPUTED_VALUE"""),43798.5416666666)</f>
        <v>43798.541666666599</v>
      </c>
      <c r="F233" s="2">
        <f ca="1">IFERROR(__xludf.DUMMYFUNCTION("""COMPUTED_VALUE"""),1800.8)</f>
        <v>1800.8</v>
      </c>
      <c r="G233" s="3">
        <f ca="1">IFERROR(__xludf.DUMMYFUNCTION("""COMPUTED_VALUE"""),43798.5416666666)</f>
        <v>43798.541666666599</v>
      </c>
      <c r="H233" s="2">
        <f ca="1">IFERROR(__xludf.DUMMYFUNCTION("""COMPUTED_VALUE"""),1304.09)</f>
        <v>1304.0899999999999</v>
      </c>
      <c r="I233" s="3">
        <f ca="1">IFERROR(__xludf.DUMMYFUNCTION("""COMPUTED_VALUE"""),43798.5416666666)</f>
        <v>43798.541666666599</v>
      </c>
      <c r="J233" s="2">
        <f ca="1">IFERROR(__xludf.DUMMYFUNCTION("""COMPUTED_VALUE"""),1304.96)</f>
        <v>1304.96</v>
      </c>
      <c r="K233" s="3">
        <f ca="1">IFERROR(__xludf.DUMMYFUNCTION("""COMPUTED_VALUE"""),43798.5416666666)</f>
        <v>43798.541666666599</v>
      </c>
      <c r="L233" s="2">
        <f ca="1">IFERROR(__xludf.DUMMYFUNCTION("""COMPUTED_VALUE"""),201.64)</f>
        <v>201.64</v>
      </c>
      <c r="M233" s="3">
        <f ca="1">IFERROR(__xludf.DUMMYFUNCTION("""COMPUTED_VALUE"""),43798.5416666666)</f>
        <v>43798.541666666599</v>
      </c>
      <c r="N233" s="2">
        <f ca="1">IFERROR(__xludf.DUMMYFUNCTION("""COMPUTED_VALUE"""),65.99)</f>
        <v>65.989999999999995</v>
      </c>
      <c r="O233" s="3">
        <f ca="1">IFERROR(__xludf.DUMMYFUNCTION("""COMPUTED_VALUE"""),43798.5416666666)</f>
        <v>43798.541666666599</v>
      </c>
      <c r="P233" s="2">
        <f ca="1">IFERROR(__xludf.DUMMYFUNCTION("""COMPUTED_VALUE"""),54.19)</f>
        <v>54.19</v>
      </c>
      <c r="Q233" s="3">
        <f ca="1">IFERROR(__xludf.DUMMYFUNCTION("""COMPUTED_VALUE"""),43798.5416666666)</f>
        <v>43798.541666666599</v>
      </c>
      <c r="R233" s="2">
        <f ca="1">IFERROR(__xludf.DUMMYFUNCTION("""COMPUTED_VALUE"""),220.3)</f>
        <v>220.3</v>
      </c>
      <c r="S233" s="3">
        <f ca="1">IFERROR(__xludf.DUMMYFUNCTION("""COMPUTED_VALUE"""),43798.5416666666)</f>
        <v>43798.541666666599</v>
      </c>
      <c r="T233" s="2">
        <f ca="1">IFERROR(__xludf.DUMMYFUNCTION("""COMPUTED_VALUE"""),137.49)</f>
        <v>137.49</v>
      </c>
    </row>
    <row r="234" spans="1:20">
      <c r="A234" s="3">
        <f ca="1">IFERROR(__xludf.DUMMYFUNCTION("""COMPUTED_VALUE"""),43801.6666666666)</f>
        <v>43801.666666666599</v>
      </c>
      <c r="B234" s="2">
        <f ca="1">IFERROR(__xludf.DUMMYFUNCTION("""COMPUTED_VALUE"""),66.04)</f>
        <v>66.040000000000006</v>
      </c>
      <c r="C234" s="3">
        <f ca="1">IFERROR(__xludf.DUMMYFUNCTION("""COMPUTED_VALUE"""),43801.6666666666)</f>
        <v>43801.666666666599</v>
      </c>
      <c r="D234" s="2">
        <f ca="1">IFERROR(__xludf.DUMMYFUNCTION("""COMPUTED_VALUE"""),149.55)</f>
        <v>149.55000000000001</v>
      </c>
      <c r="E234" s="3">
        <f ca="1">IFERROR(__xludf.DUMMYFUNCTION("""COMPUTED_VALUE"""),43801.6666666666)</f>
        <v>43801.666666666599</v>
      </c>
      <c r="F234" s="2">
        <f ca="1">IFERROR(__xludf.DUMMYFUNCTION("""COMPUTED_VALUE"""),1781.6)</f>
        <v>1781.6</v>
      </c>
      <c r="G234" s="3">
        <f ca="1">IFERROR(__xludf.DUMMYFUNCTION("""COMPUTED_VALUE"""),43801.6666666666)</f>
        <v>43801.666666666599</v>
      </c>
      <c r="H234" s="2">
        <f ca="1">IFERROR(__xludf.DUMMYFUNCTION("""COMPUTED_VALUE"""),1288.86)</f>
        <v>1288.8599999999999</v>
      </c>
      <c r="I234" s="3">
        <f ca="1">IFERROR(__xludf.DUMMYFUNCTION("""COMPUTED_VALUE"""),43801.6666666666)</f>
        <v>43801.666666666599</v>
      </c>
      <c r="J234" s="2">
        <f ca="1">IFERROR(__xludf.DUMMYFUNCTION("""COMPUTED_VALUE"""),1289.92)</f>
        <v>1289.92</v>
      </c>
      <c r="K234" s="3">
        <f ca="1">IFERROR(__xludf.DUMMYFUNCTION("""COMPUTED_VALUE"""),43801.6666666666)</f>
        <v>43801.666666666599</v>
      </c>
      <c r="L234" s="2">
        <f ca="1">IFERROR(__xludf.DUMMYFUNCTION("""COMPUTED_VALUE"""),199.7)</f>
        <v>199.7</v>
      </c>
      <c r="M234" s="3">
        <f ca="1">IFERROR(__xludf.DUMMYFUNCTION("""COMPUTED_VALUE"""),43801.6666666666)</f>
        <v>43801.666666666599</v>
      </c>
      <c r="N234" s="2">
        <f ca="1">IFERROR(__xludf.DUMMYFUNCTION("""COMPUTED_VALUE"""),66.97)</f>
        <v>66.97</v>
      </c>
      <c r="O234" s="3">
        <f ca="1">IFERROR(__xludf.DUMMYFUNCTION("""COMPUTED_VALUE"""),43801.6666666666)</f>
        <v>43801.666666666599</v>
      </c>
      <c r="P234" s="2">
        <f ca="1">IFERROR(__xludf.DUMMYFUNCTION("""COMPUTED_VALUE"""),52.31)</f>
        <v>52.31</v>
      </c>
      <c r="Q234" s="3">
        <f ca="1">IFERROR(__xludf.DUMMYFUNCTION("""COMPUTED_VALUE"""),43801.6666666666)</f>
        <v>43801.666666666599</v>
      </c>
      <c r="R234" s="2">
        <f ca="1">IFERROR(__xludf.DUMMYFUNCTION("""COMPUTED_VALUE"""),220.33)</f>
        <v>220.33</v>
      </c>
      <c r="S234" s="3">
        <f ca="1">IFERROR(__xludf.DUMMYFUNCTION("""COMPUTED_VALUE"""),43801.6666666666)</f>
        <v>43801.666666666599</v>
      </c>
      <c r="T234" s="2">
        <f ca="1">IFERROR(__xludf.DUMMYFUNCTION("""COMPUTED_VALUE"""),137.36)</f>
        <v>137.36000000000001</v>
      </c>
    </row>
    <row r="235" spans="1:20">
      <c r="A235" s="3">
        <f ca="1">IFERROR(__xludf.DUMMYFUNCTION("""COMPUTED_VALUE"""),43802.6666666666)</f>
        <v>43802.666666666599</v>
      </c>
      <c r="B235" s="2">
        <f ca="1">IFERROR(__xludf.DUMMYFUNCTION("""COMPUTED_VALUE"""),64.86)</f>
        <v>64.86</v>
      </c>
      <c r="C235" s="3">
        <f ca="1">IFERROR(__xludf.DUMMYFUNCTION("""COMPUTED_VALUE"""),43802.6666666666)</f>
        <v>43802.666666666599</v>
      </c>
      <c r="D235" s="2">
        <f ca="1">IFERROR(__xludf.DUMMYFUNCTION("""COMPUTED_VALUE"""),149.31)</f>
        <v>149.31</v>
      </c>
      <c r="E235" s="3">
        <f ca="1">IFERROR(__xludf.DUMMYFUNCTION("""COMPUTED_VALUE"""),43802.6666666666)</f>
        <v>43802.666666666599</v>
      </c>
      <c r="F235" s="2">
        <f ca="1">IFERROR(__xludf.DUMMYFUNCTION("""COMPUTED_VALUE"""),1769.96)</f>
        <v>1769.96</v>
      </c>
      <c r="G235" s="3">
        <f ca="1">IFERROR(__xludf.DUMMYFUNCTION("""COMPUTED_VALUE"""),43802.6666666666)</f>
        <v>43802.666666666599</v>
      </c>
      <c r="H235" s="2">
        <f ca="1">IFERROR(__xludf.DUMMYFUNCTION("""COMPUTED_VALUE"""),1294.74)</f>
        <v>1294.74</v>
      </c>
      <c r="I235" s="3">
        <f ca="1">IFERROR(__xludf.DUMMYFUNCTION("""COMPUTED_VALUE"""),43802.6666666666)</f>
        <v>43802.666666666599</v>
      </c>
      <c r="J235" s="2">
        <f ca="1">IFERROR(__xludf.DUMMYFUNCTION("""COMPUTED_VALUE"""),1295.28)</f>
        <v>1295.28</v>
      </c>
      <c r="K235" s="3">
        <f ca="1">IFERROR(__xludf.DUMMYFUNCTION("""COMPUTED_VALUE"""),43802.6666666666)</f>
        <v>43802.666666666599</v>
      </c>
      <c r="L235" s="2">
        <f ca="1">IFERROR(__xludf.DUMMYFUNCTION("""COMPUTED_VALUE"""),198.82)</f>
        <v>198.82</v>
      </c>
      <c r="M235" s="3">
        <f ca="1">IFERROR(__xludf.DUMMYFUNCTION("""COMPUTED_VALUE"""),43802.6666666666)</f>
        <v>43802.666666666599</v>
      </c>
      <c r="N235" s="2">
        <f ca="1">IFERROR(__xludf.DUMMYFUNCTION("""COMPUTED_VALUE"""),67.24)</f>
        <v>67.239999999999995</v>
      </c>
      <c r="O235" s="3">
        <f ca="1">IFERROR(__xludf.DUMMYFUNCTION("""COMPUTED_VALUE"""),43802.6666666666)</f>
        <v>43802.666666666599</v>
      </c>
      <c r="P235" s="2">
        <f ca="1">IFERROR(__xludf.DUMMYFUNCTION("""COMPUTED_VALUE"""),51.92)</f>
        <v>51.92</v>
      </c>
      <c r="Q235" s="3">
        <f ca="1">IFERROR(__xludf.DUMMYFUNCTION("""COMPUTED_VALUE"""),43802.6666666666)</f>
        <v>43802.666666666599</v>
      </c>
      <c r="R235" s="2">
        <f ca="1">IFERROR(__xludf.DUMMYFUNCTION("""COMPUTED_VALUE"""),218.08)</f>
        <v>218.08</v>
      </c>
      <c r="S235" s="3">
        <f ca="1">IFERROR(__xludf.DUMMYFUNCTION("""COMPUTED_VALUE"""),43802.6666666666)</f>
        <v>43802.666666666599</v>
      </c>
      <c r="T235" s="2">
        <f ca="1">IFERROR(__xludf.DUMMYFUNCTION("""COMPUTED_VALUE"""),137.16)</f>
        <v>137.16</v>
      </c>
    </row>
    <row r="236" spans="1:20">
      <c r="A236" s="3">
        <f ca="1">IFERROR(__xludf.DUMMYFUNCTION("""COMPUTED_VALUE"""),43803.6666666666)</f>
        <v>43803.666666666599</v>
      </c>
      <c r="B236" s="2">
        <f ca="1">IFERROR(__xludf.DUMMYFUNCTION("""COMPUTED_VALUE"""),65.44)</f>
        <v>65.44</v>
      </c>
      <c r="C236" s="3">
        <f ca="1">IFERROR(__xludf.DUMMYFUNCTION("""COMPUTED_VALUE"""),43803.6666666666)</f>
        <v>43803.666666666599</v>
      </c>
      <c r="D236" s="2">
        <f ca="1">IFERROR(__xludf.DUMMYFUNCTION("""COMPUTED_VALUE"""),149.85)</f>
        <v>149.85</v>
      </c>
      <c r="E236" s="3">
        <f ca="1">IFERROR(__xludf.DUMMYFUNCTION("""COMPUTED_VALUE"""),43803.6666666666)</f>
        <v>43803.666666666599</v>
      </c>
      <c r="F236" s="2">
        <f ca="1">IFERROR(__xludf.DUMMYFUNCTION("""COMPUTED_VALUE"""),1760.69)</f>
        <v>1760.69</v>
      </c>
      <c r="G236" s="3">
        <f ca="1">IFERROR(__xludf.DUMMYFUNCTION("""COMPUTED_VALUE"""),43803.6666666666)</f>
        <v>43803.666666666599</v>
      </c>
      <c r="H236" s="2">
        <f ca="1">IFERROR(__xludf.DUMMYFUNCTION("""COMPUTED_VALUE"""),1318.94)</f>
        <v>1318.94</v>
      </c>
      <c r="I236" s="3">
        <f ca="1">IFERROR(__xludf.DUMMYFUNCTION("""COMPUTED_VALUE"""),43803.6666666666)</f>
        <v>43803.666666666599</v>
      </c>
      <c r="J236" s="2">
        <f ca="1">IFERROR(__xludf.DUMMYFUNCTION("""COMPUTED_VALUE"""),1320.54)</f>
        <v>1320.54</v>
      </c>
      <c r="K236" s="3">
        <f ca="1">IFERROR(__xludf.DUMMYFUNCTION("""COMPUTED_VALUE"""),43803.6666666666)</f>
        <v>43803.666666666599</v>
      </c>
      <c r="L236" s="2">
        <f ca="1">IFERROR(__xludf.DUMMYFUNCTION("""COMPUTED_VALUE"""),198.71)</f>
        <v>198.71</v>
      </c>
      <c r="M236" s="3">
        <f ca="1">IFERROR(__xludf.DUMMYFUNCTION("""COMPUTED_VALUE"""),43803.6666666666)</f>
        <v>43803.666666666599</v>
      </c>
      <c r="N236" s="2">
        <f ca="1">IFERROR(__xludf.DUMMYFUNCTION("""COMPUTED_VALUE"""),66.61)</f>
        <v>66.61</v>
      </c>
      <c r="O236" s="3">
        <f ca="1">IFERROR(__xludf.DUMMYFUNCTION("""COMPUTED_VALUE"""),43803.6666666666)</f>
        <v>43803.666666666599</v>
      </c>
      <c r="P236" s="2">
        <f ca="1">IFERROR(__xludf.DUMMYFUNCTION("""COMPUTED_VALUE"""),52.36)</f>
        <v>52.36</v>
      </c>
      <c r="Q236" s="3">
        <f ca="1">IFERROR(__xludf.DUMMYFUNCTION("""COMPUTED_VALUE"""),43803.6666666666)</f>
        <v>43803.666666666599</v>
      </c>
      <c r="R236" s="2">
        <f ca="1">IFERROR(__xludf.DUMMYFUNCTION("""COMPUTED_VALUE"""),218.4)</f>
        <v>218.4</v>
      </c>
      <c r="S236" s="3">
        <f ca="1">IFERROR(__xludf.DUMMYFUNCTION("""COMPUTED_VALUE"""),43803.6666666666)</f>
        <v>43803.666666666599</v>
      </c>
      <c r="T236" s="2">
        <f ca="1">IFERROR(__xludf.DUMMYFUNCTION("""COMPUTED_VALUE"""),139.38)</f>
        <v>139.38</v>
      </c>
    </row>
    <row r="237" spans="1:20">
      <c r="A237" s="3">
        <f ca="1">IFERROR(__xludf.DUMMYFUNCTION("""COMPUTED_VALUE"""),43804.6666666666)</f>
        <v>43804.666666666599</v>
      </c>
      <c r="B237" s="2">
        <f ca="1">IFERROR(__xludf.DUMMYFUNCTION("""COMPUTED_VALUE"""),66.4)</f>
        <v>66.400000000000006</v>
      </c>
      <c r="C237" s="3">
        <f ca="1">IFERROR(__xludf.DUMMYFUNCTION("""COMPUTED_VALUE"""),43804.6666666666)</f>
        <v>43804.666666666599</v>
      </c>
      <c r="D237" s="2">
        <f ca="1">IFERROR(__xludf.DUMMYFUNCTION("""COMPUTED_VALUE"""),149.93)</f>
        <v>149.93</v>
      </c>
      <c r="E237" s="3">
        <f ca="1">IFERROR(__xludf.DUMMYFUNCTION("""COMPUTED_VALUE"""),43804.6666666666)</f>
        <v>43804.666666666599</v>
      </c>
      <c r="F237" s="2">
        <f ca="1">IFERROR(__xludf.DUMMYFUNCTION("""COMPUTED_VALUE"""),1740.48)</f>
        <v>1740.48</v>
      </c>
      <c r="G237" s="3">
        <f ca="1">IFERROR(__xludf.DUMMYFUNCTION("""COMPUTED_VALUE"""),43804.6666666666)</f>
        <v>43804.666666666599</v>
      </c>
      <c r="H237" s="2">
        <f ca="1">IFERROR(__xludf.DUMMYFUNCTION("""COMPUTED_VALUE"""),1326.96)</f>
        <v>1326.96</v>
      </c>
      <c r="I237" s="3">
        <f ca="1">IFERROR(__xludf.DUMMYFUNCTION("""COMPUTED_VALUE"""),43804.6666666666)</f>
        <v>43804.666666666599</v>
      </c>
      <c r="J237" s="2">
        <f ca="1">IFERROR(__xludf.DUMMYFUNCTION("""COMPUTED_VALUE"""),1328.13)</f>
        <v>1328.13</v>
      </c>
      <c r="K237" s="3">
        <f ca="1">IFERROR(__xludf.DUMMYFUNCTION("""COMPUTED_VALUE"""),43804.6666666666)</f>
        <v>43804.666666666599</v>
      </c>
      <c r="L237" s="2">
        <f ca="1">IFERROR(__xludf.DUMMYFUNCTION("""COMPUTED_VALUE"""),199.36)</f>
        <v>199.36</v>
      </c>
      <c r="M237" s="3">
        <f ca="1">IFERROR(__xludf.DUMMYFUNCTION("""COMPUTED_VALUE"""),43804.6666666666)</f>
        <v>43804.666666666599</v>
      </c>
      <c r="N237" s="2">
        <f ca="1">IFERROR(__xludf.DUMMYFUNCTION("""COMPUTED_VALUE"""),66.07)</f>
        <v>66.069999999999993</v>
      </c>
      <c r="O237" s="3">
        <f ca="1">IFERROR(__xludf.DUMMYFUNCTION("""COMPUTED_VALUE"""),43804.6666666666)</f>
        <v>43804.666666666599</v>
      </c>
      <c r="P237" s="2">
        <f ca="1">IFERROR(__xludf.DUMMYFUNCTION("""COMPUTED_VALUE"""),52.19)</f>
        <v>52.19</v>
      </c>
      <c r="Q237" s="3">
        <f ca="1">IFERROR(__xludf.DUMMYFUNCTION("""COMPUTED_VALUE"""),43804.6666666666)</f>
        <v>43804.666666666599</v>
      </c>
      <c r="R237" s="2">
        <f ca="1">IFERROR(__xludf.DUMMYFUNCTION("""COMPUTED_VALUE"""),219.6)</f>
        <v>219.6</v>
      </c>
      <c r="S237" s="3">
        <f ca="1">IFERROR(__xludf.DUMMYFUNCTION("""COMPUTED_VALUE"""),43804.6666666666)</f>
        <v>43804.666666666599</v>
      </c>
      <c r="T237" s="2">
        <f ca="1">IFERROR(__xludf.DUMMYFUNCTION("""COMPUTED_VALUE"""),139.56)</f>
        <v>139.56</v>
      </c>
    </row>
    <row r="238" spans="1:20">
      <c r="A238" s="3">
        <f ca="1">IFERROR(__xludf.DUMMYFUNCTION("""COMPUTED_VALUE"""),43805.6666666666)</f>
        <v>43805.666666666599</v>
      </c>
      <c r="B238" s="2">
        <f ca="1">IFERROR(__xludf.DUMMYFUNCTION("""COMPUTED_VALUE"""),67.68)</f>
        <v>67.680000000000007</v>
      </c>
      <c r="C238" s="3">
        <f ca="1">IFERROR(__xludf.DUMMYFUNCTION("""COMPUTED_VALUE"""),43805.6666666666)</f>
        <v>43805.666666666599</v>
      </c>
      <c r="D238" s="2">
        <f ca="1">IFERROR(__xludf.DUMMYFUNCTION("""COMPUTED_VALUE"""),151.75)</f>
        <v>151.75</v>
      </c>
      <c r="E238" s="3">
        <f ca="1">IFERROR(__xludf.DUMMYFUNCTION("""COMPUTED_VALUE"""),43805.6666666666)</f>
        <v>43805.666666666599</v>
      </c>
      <c r="F238" s="2">
        <f ca="1">IFERROR(__xludf.DUMMYFUNCTION("""COMPUTED_VALUE"""),1751.6)</f>
        <v>1751.6</v>
      </c>
      <c r="G238" s="3">
        <f ca="1">IFERROR(__xludf.DUMMYFUNCTION("""COMPUTED_VALUE"""),43805.6666666666)</f>
        <v>43805.666666666599</v>
      </c>
      <c r="H238" s="2">
        <f ca="1">IFERROR(__xludf.DUMMYFUNCTION("""COMPUTED_VALUE"""),1339.39)</f>
        <v>1339.39</v>
      </c>
      <c r="I238" s="3">
        <f ca="1">IFERROR(__xludf.DUMMYFUNCTION("""COMPUTED_VALUE"""),43805.6666666666)</f>
        <v>43805.666666666599</v>
      </c>
      <c r="J238" s="2">
        <f ca="1">IFERROR(__xludf.DUMMYFUNCTION("""COMPUTED_VALUE"""),1340.62)</f>
        <v>1340.62</v>
      </c>
      <c r="K238" s="3">
        <f ca="1">IFERROR(__xludf.DUMMYFUNCTION("""COMPUTED_VALUE"""),43805.6666666666)</f>
        <v>43805.666666666599</v>
      </c>
      <c r="L238" s="2">
        <f ca="1">IFERROR(__xludf.DUMMYFUNCTION("""COMPUTED_VALUE"""),201.05)</f>
        <v>201.05</v>
      </c>
      <c r="M238" s="3">
        <f ca="1">IFERROR(__xludf.DUMMYFUNCTION("""COMPUTED_VALUE"""),43805.6666666666)</f>
        <v>43805.666666666599</v>
      </c>
      <c r="N238" s="2">
        <f ca="1">IFERROR(__xludf.DUMMYFUNCTION("""COMPUTED_VALUE"""),67.18)</f>
        <v>67.180000000000007</v>
      </c>
      <c r="O238" s="3">
        <f ca="1">IFERROR(__xludf.DUMMYFUNCTION("""COMPUTED_VALUE"""),43805.6666666666)</f>
        <v>43805.666666666599</v>
      </c>
      <c r="P238" s="2">
        <f ca="1">IFERROR(__xludf.DUMMYFUNCTION("""COMPUTED_VALUE"""),53.04)</f>
        <v>53.04</v>
      </c>
      <c r="Q238" s="3">
        <f ca="1">IFERROR(__xludf.DUMMYFUNCTION("""COMPUTED_VALUE"""),43805.6666666666)</f>
        <v>43805.666666666599</v>
      </c>
      <c r="R238" s="2">
        <f ca="1">IFERROR(__xludf.DUMMYFUNCTION("""COMPUTED_VALUE"""),222.61)</f>
        <v>222.61</v>
      </c>
      <c r="S238" s="3">
        <f ca="1">IFERROR(__xludf.DUMMYFUNCTION("""COMPUTED_VALUE"""),43805.6666666666)</f>
        <v>43805.666666666599</v>
      </c>
      <c r="T238" s="2">
        <f ca="1">IFERROR(__xludf.DUMMYFUNCTION("""COMPUTED_VALUE"""),140.38)</f>
        <v>140.38</v>
      </c>
    </row>
    <row r="239" spans="1:20">
      <c r="A239" s="3">
        <f ca="1">IFERROR(__xludf.DUMMYFUNCTION("""COMPUTED_VALUE"""),43808.6666666666)</f>
        <v>43808.666666666599</v>
      </c>
      <c r="B239" s="2">
        <f ca="1">IFERROR(__xludf.DUMMYFUNCTION("""COMPUTED_VALUE"""),66.73)</f>
        <v>66.73</v>
      </c>
      <c r="C239" s="3">
        <f ca="1">IFERROR(__xludf.DUMMYFUNCTION("""COMPUTED_VALUE"""),43808.6666666666)</f>
        <v>43808.666666666599</v>
      </c>
      <c r="D239" s="2">
        <f ca="1">IFERROR(__xludf.DUMMYFUNCTION("""COMPUTED_VALUE"""),151.75)</f>
        <v>151.75</v>
      </c>
      <c r="E239" s="3">
        <f ca="1">IFERROR(__xludf.DUMMYFUNCTION("""COMPUTED_VALUE"""),43808.6666666666)</f>
        <v>43808.666666666599</v>
      </c>
      <c r="F239" s="2">
        <f ca="1">IFERROR(__xludf.DUMMYFUNCTION("""COMPUTED_VALUE"""),1749.51)</f>
        <v>1749.51</v>
      </c>
      <c r="G239" s="3">
        <f ca="1">IFERROR(__xludf.DUMMYFUNCTION("""COMPUTED_VALUE"""),43808.6666666666)</f>
        <v>43808.666666666599</v>
      </c>
      <c r="H239" s="2">
        <f ca="1">IFERROR(__xludf.DUMMYFUNCTION("""COMPUTED_VALUE"""),1342.99)</f>
        <v>1342.99</v>
      </c>
      <c r="I239" s="3">
        <f ca="1">IFERROR(__xludf.DUMMYFUNCTION("""COMPUTED_VALUE"""),43808.6666666666)</f>
        <v>43808.666666666599</v>
      </c>
      <c r="J239" s="2">
        <f ca="1">IFERROR(__xludf.DUMMYFUNCTION("""COMPUTED_VALUE"""),1343.56)</f>
        <v>1343.56</v>
      </c>
      <c r="K239" s="3">
        <f ca="1">IFERROR(__xludf.DUMMYFUNCTION("""COMPUTED_VALUE"""),43808.6666666666)</f>
        <v>43808.666666666599</v>
      </c>
      <c r="L239" s="2">
        <f ca="1">IFERROR(__xludf.DUMMYFUNCTION("""COMPUTED_VALUE"""),201.34)</f>
        <v>201.34</v>
      </c>
      <c r="M239" s="3">
        <f ca="1">IFERROR(__xludf.DUMMYFUNCTION("""COMPUTED_VALUE"""),43808.6666666666)</f>
        <v>43808.666666666599</v>
      </c>
      <c r="N239" s="2">
        <f ca="1">IFERROR(__xludf.DUMMYFUNCTION("""COMPUTED_VALUE"""),67.91)</f>
        <v>67.91</v>
      </c>
      <c r="O239" s="3">
        <f ca="1">IFERROR(__xludf.DUMMYFUNCTION("""COMPUTED_VALUE"""),43808.6666666666)</f>
        <v>43808.666666666599</v>
      </c>
      <c r="P239" s="2">
        <f ca="1">IFERROR(__xludf.DUMMYFUNCTION("""COMPUTED_VALUE"""),53.04)</f>
        <v>53.04</v>
      </c>
      <c r="Q239" s="3">
        <f ca="1">IFERROR(__xludf.DUMMYFUNCTION("""COMPUTED_VALUE"""),43808.6666666666)</f>
        <v>43808.666666666599</v>
      </c>
      <c r="R239" s="2">
        <f ca="1">IFERROR(__xludf.DUMMYFUNCTION("""COMPUTED_VALUE"""),221.38)</f>
        <v>221.38</v>
      </c>
      <c r="S239" s="3">
        <f ca="1">IFERROR(__xludf.DUMMYFUNCTION("""COMPUTED_VALUE"""),43808.6666666666)</f>
        <v>43808.666666666599</v>
      </c>
      <c r="T239" s="2">
        <f ca="1">IFERROR(__xludf.DUMMYFUNCTION("""COMPUTED_VALUE"""),140.5)</f>
        <v>140.5</v>
      </c>
    </row>
    <row r="240" spans="1:20">
      <c r="A240" s="3">
        <f ca="1">IFERROR(__xludf.DUMMYFUNCTION("""COMPUTED_VALUE"""),43809.6666666666)</f>
        <v>43809.666666666599</v>
      </c>
      <c r="B240" s="2">
        <f ca="1">IFERROR(__xludf.DUMMYFUNCTION("""COMPUTED_VALUE"""),67.12)</f>
        <v>67.12</v>
      </c>
      <c r="C240" s="3">
        <f ca="1">IFERROR(__xludf.DUMMYFUNCTION("""COMPUTED_VALUE"""),43809.6666666666)</f>
        <v>43809.666666666599</v>
      </c>
      <c r="D240" s="2">
        <f ca="1">IFERROR(__xludf.DUMMYFUNCTION("""COMPUTED_VALUE"""),151.13)</f>
        <v>151.13</v>
      </c>
      <c r="E240" s="3">
        <f ca="1">IFERROR(__xludf.DUMMYFUNCTION("""COMPUTED_VALUE"""),43809.6666666666)</f>
        <v>43809.666666666599</v>
      </c>
      <c r="F240" s="2">
        <f ca="1">IFERROR(__xludf.DUMMYFUNCTION("""COMPUTED_VALUE"""),1739.21)</f>
        <v>1739.21</v>
      </c>
      <c r="G240" s="3">
        <f ca="1">IFERROR(__xludf.DUMMYFUNCTION("""COMPUTED_VALUE"""),43809.6666666666)</f>
        <v>43809.666666666599</v>
      </c>
      <c r="H240" s="2">
        <f ca="1">IFERROR(__xludf.DUMMYFUNCTION("""COMPUTED_VALUE"""),1342.89)</f>
        <v>1342.89</v>
      </c>
      <c r="I240" s="3">
        <f ca="1">IFERROR(__xludf.DUMMYFUNCTION("""COMPUTED_VALUE"""),43809.6666666666)</f>
        <v>43809.666666666599</v>
      </c>
      <c r="J240" s="2">
        <f ca="1">IFERROR(__xludf.DUMMYFUNCTION("""COMPUTED_VALUE"""),1344.66)</f>
        <v>1344.66</v>
      </c>
      <c r="K240" s="3">
        <f ca="1">IFERROR(__xludf.DUMMYFUNCTION("""COMPUTED_VALUE"""),43809.6666666666)</f>
        <v>43809.666666666599</v>
      </c>
      <c r="L240" s="2">
        <f ca="1">IFERROR(__xludf.DUMMYFUNCTION("""COMPUTED_VALUE"""),200.87)</f>
        <v>200.87</v>
      </c>
      <c r="M240" s="3">
        <f ca="1">IFERROR(__xludf.DUMMYFUNCTION("""COMPUTED_VALUE"""),43809.6666666666)</f>
        <v>43809.666666666599</v>
      </c>
      <c r="N240" s="2">
        <f ca="1">IFERROR(__xludf.DUMMYFUNCTION("""COMPUTED_VALUE"""),69.77)</f>
        <v>69.77</v>
      </c>
      <c r="O240" s="3">
        <f ca="1">IFERROR(__xludf.DUMMYFUNCTION("""COMPUTED_VALUE"""),43809.6666666666)</f>
        <v>43809.666666666599</v>
      </c>
      <c r="P240" s="2">
        <f ca="1">IFERROR(__xludf.DUMMYFUNCTION("""COMPUTED_VALUE"""),53.5)</f>
        <v>53.5</v>
      </c>
      <c r="Q240" s="3">
        <f ca="1">IFERROR(__xludf.DUMMYFUNCTION("""COMPUTED_VALUE"""),43809.6666666666)</f>
        <v>43809.666666666599</v>
      </c>
      <c r="R240" s="2">
        <f ca="1">IFERROR(__xludf.DUMMYFUNCTION("""COMPUTED_VALUE"""),221.26)</f>
        <v>221.26</v>
      </c>
      <c r="S240" s="3">
        <f ca="1">IFERROR(__xludf.DUMMYFUNCTION("""COMPUTED_VALUE"""),43809.6666666666)</f>
        <v>43809.666666666599</v>
      </c>
      <c r="T240" s="2">
        <f ca="1">IFERROR(__xludf.DUMMYFUNCTION("""COMPUTED_VALUE"""),139.99)</f>
        <v>139.99</v>
      </c>
    </row>
    <row r="241" spans="1:20">
      <c r="A241" s="3">
        <f ca="1">IFERROR(__xludf.DUMMYFUNCTION("""COMPUTED_VALUE"""),43810.6666666666)</f>
        <v>43810.666666666599</v>
      </c>
      <c r="B241" s="2">
        <f ca="1">IFERROR(__xludf.DUMMYFUNCTION("""COMPUTED_VALUE"""),67.69)</f>
        <v>67.69</v>
      </c>
      <c r="C241" s="3">
        <f ca="1">IFERROR(__xludf.DUMMYFUNCTION("""COMPUTED_VALUE"""),43810.6666666666)</f>
        <v>43810.666666666599</v>
      </c>
      <c r="D241" s="2">
        <f ca="1">IFERROR(__xludf.DUMMYFUNCTION("""COMPUTED_VALUE"""),151.7)</f>
        <v>151.69999999999999</v>
      </c>
      <c r="E241" s="3">
        <f ca="1">IFERROR(__xludf.DUMMYFUNCTION("""COMPUTED_VALUE"""),43810.6666666666)</f>
        <v>43810.666666666599</v>
      </c>
      <c r="F241" s="2">
        <f ca="1">IFERROR(__xludf.DUMMYFUNCTION("""COMPUTED_VALUE"""),1748.72)</f>
        <v>1748.72</v>
      </c>
      <c r="G241" s="3">
        <f ca="1">IFERROR(__xludf.DUMMYFUNCTION("""COMPUTED_VALUE"""),43810.6666666666)</f>
        <v>43810.666666666599</v>
      </c>
      <c r="H241" s="2">
        <f ca="1">IFERROR(__xludf.DUMMYFUNCTION("""COMPUTED_VALUE"""),1344.25)</f>
        <v>1344.25</v>
      </c>
      <c r="I241" s="3">
        <f ca="1">IFERROR(__xludf.DUMMYFUNCTION("""COMPUTED_VALUE"""),43810.6666666666)</f>
        <v>43810.666666666599</v>
      </c>
      <c r="J241" s="2">
        <f ca="1">IFERROR(__xludf.DUMMYFUNCTION("""COMPUTED_VALUE"""),1345.02)</f>
        <v>1345.02</v>
      </c>
      <c r="K241" s="3">
        <f ca="1">IFERROR(__xludf.DUMMYFUNCTION("""COMPUTED_VALUE"""),43810.6666666666)</f>
        <v>43810.666666666599</v>
      </c>
      <c r="L241" s="2">
        <f ca="1">IFERROR(__xludf.DUMMYFUNCTION("""COMPUTED_VALUE"""),202.26)</f>
        <v>202.26</v>
      </c>
      <c r="M241" s="3">
        <f ca="1">IFERROR(__xludf.DUMMYFUNCTION("""COMPUTED_VALUE"""),43810.6666666666)</f>
        <v>43810.666666666599</v>
      </c>
      <c r="N241" s="2">
        <f ca="1">IFERROR(__xludf.DUMMYFUNCTION("""COMPUTED_VALUE"""),70.54)</f>
        <v>70.540000000000006</v>
      </c>
      <c r="O241" s="3">
        <f ca="1">IFERROR(__xludf.DUMMYFUNCTION("""COMPUTED_VALUE"""),43810.6666666666)</f>
        <v>43810.666666666599</v>
      </c>
      <c r="P241" s="2">
        <f ca="1">IFERROR(__xludf.DUMMYFUNCTION("""COMPUTED_VALUE"""),54.34)</f>
        <v>54.34</v>
      </c>
      <c r="Q241" s="3">
        <f ca="1">IFERROR(__xludf.DUMMYFUNCTION("""COMPUTED_VALUE"""),43810.6666666666)</f>
        <v>43810.666666666599</v>
      </c>
      <c r="R241" s="2">
        <f ca="1">IFERROR(__xludf.DUMMYFUNCTION("""COMPUTED_VALUE"""),222.57)</f>
        <v>222.57</v>
      </c>
      <c r="S241" s="3">
        <f ca="1">IFERROR(__xludf.DUMMYFUNCTION("""COMPUTED_VALUE"""),43810.6666666666)</f>
        <v>43810.666666666599</v>
      </c>
      <c r="T241" s="2">
        <f ca="1">IFERROR(__xludf.DUMMYFUNCTION("""COMPUTED_VALUE"""),140.98)</f>
        <v>140.97999999999999</v>
      </c>
    </row>
    <row r="242" spans="1:20">
      <c r="A242" s="3">
        <f ca="1">IFERROR(__xludf.DUMMYFUNCTION("""COMPUTED_VALUE"""),43811.6666666666)</f>
        <v>43811.666666666599</v>
      </c>
      <c r="B242" s="2">
        <f ca="1">IFERROR(__xludf.DUMMYFUNCTION("""COMPUTED_VALUE"""),67.86)</f>
        <v>67.86</v>
      </c>
      <c r="C242" s="3">
        <f ca="1">IFERROR(__xludf.DUMMYFUNCTION("""COMPUTED_VALUE"""),43811.6666666666)</f>
        <v>43811.666666666599</v>
      </c>
      <c r="D242" s="2">
        <f ca="1">IFERROR(__xludf.DUMMYFUNCTION("""COMPUTED_VALUE"""),153.24)</f>
        <v>153.24</v>
      </c>
      <c r="E242" s="3">
        <f ca="1">IFERROR(__xludf.DUMMYFUNCTION("""COMPUTED_VALUE"""),43811.6666666666)</f>
        <v>43811.666666666599</v>
      </c>
      <c r="F242" s="2">
        <f ca="1">IFERROR(__xludf.DUMMYFUNCTION("""COMPUTED_VALUE"""),1760.33)</f>
        <v>1760.33</v>
      </c>
      <c r="G242" s="3">
        <f ca="1">IFERROR(__xludf.DUMMYFUNCTION("""COMPUTED_VALUE"""),43811.6666666666)</f>
        <v>43811.666666666599</v>
      </c>
      <c r="H242" s="2">
        <f ca="1">IFERROR(__xludf.DUMMYFUNCTION("""COMPUTED_VALUE"""),1348.49)</f>
        <v>1348.49</v>
      </c>
      <c r="I242" s="3">
        <f ca="1">IFERROR(__xludf.DUMMYFUNCTION("""COMPUTED_VALUE"""),43811.6666666666)</f>
        <v>43811.666666666599</v>
      </c>
      <c r="J242" s="2">
        <f ca="1">IFERROR(__xludf.DUMMYFUNCTION("""COMPUTED_VALUE"""),1350.27)</f>
        <v>1350.27</v>
      </c>
      <c r="K242" s="3">
        <f ca="1">IFERROR(__xludf.DUMMYFUNCTION("""COMPUTED_VALUE"""),43811.6666666666)</f>
        <v>43811.666666666599</v>
      </c>
      <c r="L242" s="2">
        <f ca="1">IFERROR(__xludf.DUMMYFUNCTION("""COMPUTED_VALUE"""),196.75)</f>
        <v>196.75</v>
      </c>
      <c r="M242" s="3">
        <f ca="1">IFERROR(__xludf.DUMMYFUNCTION("""COMPUTED_VALUE"""),43811.6666666666)</f>
        <v>43811.666666666599</v>
      </c>
      <c r="N242" s="2">
        <f ca="1">IFERROR(__xludf.DUMMYFUNCTION("""COMPUTED_VALUE"""),71.94)</f>
        <v>71.94</v>
      </c>
      <c r="O242" s="3">
        <f ca="1">IFERROR(__xludf.DUMMYFUNCTION("""COMPUTED_VALUE"""),43811.6666666666)</f>
        <v>43811.666666666599</v>
      </c>
      <c r="P242" s="2">
        <f ca="1">IFERROR(__xludf.DUMMYFUNCTION("""COMPUTED_VALUE"""),56.02)</f>
        <v>56.02</v>
      </c>
      <c r="Q242" s="3">
        <f ca="1">IFERROR(__xludf.DUMMYFUNCTION("""COMPUTED_VALUE"""),43811.6666666666)</f>
        <v>43811.666666666599</v>
      </c>
      <c r="R242" s="2">
        <f ca="1">IFERROR(__xludf.DUMMYFUNCTION("""COMPUTED_VALUE"""),225.92)</f>
        <v>225.92</v>
      </c>
      <c r="S242" s="3">
        <f ca="1">IFERROR(__xludf.DUMMYFUNCTION("""COMPUTED_VALUE"""),43811.6666666666)</f>
        <v>43811.666666666599</v>
      </c>
      <c r="T242" s="2">
        <f ca="1">IFERROR(__xludf.DUMMYFUNCTION("""COMPUTED_VALUE"""),141.34)</f>
        <v>141.34</v>
      </c>
    </row>
    <row r="243" spans="1:20">
      <c r="A243" s="3">
        <f ca="1">IFERROR(__xludf.DUMMYFUNCTION("""COMPUTED_VALUE"""),43812.6666666666)</f>
        <v>43812.666666666599</v>
      </c>
      <c r="B243" s="2">
        <f ca="1">IFERROR(__xludf.DUMMYFUNCTION("""COMPUTED_VALUE"""),68.79)</f>
        <v>68.790000000000006</v>
      </c>
      <c r="C243" s="3">
        <f ca="1">IFERROR(__xludf.DUMMYFUNCTION("""COMPUTED_VALUE"""),43812.6666666666)</f>
        <v>43812.666666666599</v>
      </c>
      <c r="D243" s="2">
        <f ca="1">IFERROR(__xludf.DUMMYFUNCTION("""COMPUTED_VALUE"""),154.53)</f>
        <v>154.53</v>
      </c>
      <c r="E243" s="3">
        <f ca="1">IFERROR(__xludf.DUMMYFUNCTION("""COMPUTED_VALUE"""),43812.6666666666)</f>
        <v>43812.666666666599</v>
      </c>
      <c r="F243" s="2">
        <f ca="1">IFERROR(__xludf.DUMMYFUNCTION("""COMPUTED_VALUE"""),1760.94)</f>
        <v>1760.94</v>
      </c>
      <c r="G243" s="3">
        <f ca="1">IFERROR(__xludf.DUMMYFUNCTION("""COMPUTED_VALUE"""),43812.6666666666)</f>
        <v>43812.666666666599</v>
      </c>
      <c r="H243" s="2">
        <f ca="1">IFERROR(__xludf.DUMMYFUNCTION("""COMPUTED_VALUE"""),1346.87)</f>
        <v>1346.87</v>
      </c>
      <c r="I243" s="3">
        <f ca="1">IFERROR(__xludf.DUMMYFUNCTION("""COMPUTED_VALUE"""),43812.6666666666)</f>
        <v>43812.666666666599</v>
      </c>
      <c r="J243" s="2">
        <f ca="1">IFERROR(__xludf.DUMMYFUNCTION("""COMPUTED_VALUE"""),1347.83)</f>
        <v>1347.83</v>
      </c>
      <c r="K243" s="3">
        <f ca="1">IFERROR(__xludf.DUMMYFUNCTION("""COMPUTED_VALUE"""),43812.6666666666)</f>
        <v>43812.666666666599</v>
      </c>
      <c r="L243" s="2">
        <f ca="1">IFERROR(__xludf.DUMMYFUNCTION("""COMPUTED_VALUE"""),194.11)</f>
        <v>194.11</v>
      </c>
      <c r="M243" s="3">
        <f ca="1">IFERROR(__xludf.DUMMYFUNCTION("""COMPUTED_VALUE"""),43812.6666666666)</f>
        <v>43812.666666666599</v>
      </c>
      <c r="N243" s="2">
        <f ca="1">IFERROR(__xludf.DUMMYFUNCTION("""COMPUTED_VALUE"""),71.68)</f>
        <v>71.680000000000007</v>
      </c>
      <c r="O243" s="3">
        <f ca="1">IFERROR(__xludf.DUMMYFUNCTION("""COMPUTED_VALUE"""),43812.6666666666)</f>
        <v>43812.666666666599</v>
      </c>
      <c r="P243" s="2">
        <f ca="1">IFERROR(__xludf.DUMMYFUNCTION("""COMPUTED_VALUE"""),56)</f>
        <v>56</v>
      </c>
      <c r="Q243" s="3">
        <f ca="1">IFERROR(__xludf.DUMMYFUNCTION("""COMPUTED_VALUE"""),43812.6666666666)</f>
        <v>43812.666666666599</v>
      </c>
      <c r="R243" s="2">
        <f ca="1">IFERROR(__xludf.DUMMYFUNCTION("""COMPUTED_VALUE"""),225.37)</f>
        <v>225.37</v>
      </c>
      <c r="S243" s="3">
        <f ca="1">IFERROR(__xludf.DUMMYFUNCTION("""COMPUTED_VALUE"""),43812.6666666666)</f>
        <v>43812.666666666599</v>
      </c>
      <c r="T243" s="2">
        <f ca="1">IFERROR(__xludf.DUMMYFUNCTION("""COMPUTED_VALUE"""),141.38)</f>
        <v>141.38</v>
      </c>
    </row>
    <row r="244" spans="1:20">
      <c r="A244" s="3">
        <f ca="1">IFERROR(__xludf.DUMMYFUNCTION("""COMPUTED_VALUE"""),43815.6666666666)</f>
        <v>43815.666666666599</v>
      </c>
      <c r="B244" s="2">
        <f ca="1">IFERROR(__xludf.DUMMYFUNCTION("""COMPUTED_VALUE"""),69.97)</f>
        <v>69.97</v>
      </c>
      <c r="C244" s="3">
        <f ca="1">IFERROR(__xludf.DUMMYFUNCTION("""COMPUTED_VALUE"""),43815.6666666666)</f>
        <v>43815.666666666599</v>
      </c>
      <c r="D244" s="2">
        <f ca="1">IFERROR(__xludf.DUMMYFUNCTION("""COMPUTED_VALUE"""),155.53)</f>
        <v>155.53</v>
      </c>
      <c r="E244" s="3">
        <f ca="1">IFERROR(__xludf.DUMMYFUNCTION("""COMPUTED_VALUE"""),43815.6666666666)</f>
        <v>43815.666666666599</v>
      </c>
      <c r="F244" s="2">
        <f ca="1">IFERROR(__xludf.DUMMYFUNCTION("""COMPUTED_VALUE"""),1769.21)</f>
        <v>1769.21</v>
      </c>
      <c r="G244" s="3">
        <f ca="1">IFERROR(__xludf.DUMMYFUNCTION("""COMPUTED_VALUE"""),43815.6666666666)</f>
        <v>43815.666666666599</v>
      </c>
      <c r="H244" s="2">
        <f ca="1">IFERROR(__xludf.DUMMYFUNCTION("""COMPUTED_VALUE"""),1360.7)</f>
        <v>1360.7</v>
      </c>
      <c r="I244" s="3">
        <f ca="1">IFERROR(__xludf.DUMMYFUNCTION("""COMPUTED_VALUE"""),43815.6666666666)</f>
        <v>43815.666666666599</v>
      </c>
      <c r="J244" s="2">
        <f ca="1">IFERROR(__xludf.DUMMYFUNCTION("""COMPUTED_VALUE"""),1361.17)</f>
        <v>1361.17</v>
      </c>
      <c r="K244" s="3">
        <f ca="1">IFERROR(__xludf.DUMMYFUNCTION("""COMPUTED_VALUE"""),43815.6666666666)</f>
        <v>43815.666666666599</v>
      </c>
      <c r="L244" s="2">
        <f ca="1">IFERROR(__xludf.DUMMYFUNCTION("""COMPUTED_VALUE"""),197.92)</f>
        <v>197.92</v>
      </c>
      <c r="M244" s="3">
        <f ca="1">IFERROR(__xludf.DUMMYFUNCTION("""COMPUTED_VALUE"""),43815.6666666666)</f>
        <v>43815.666666666599</v>
      </c>
      <c r="N244" s="2">
        <f ca="1">IFERROR(__xludf.DUMMYFUNCTION("""COMPUTED_VALUE"""),76.3)</f>
        <v>76.3</v>
      </c>
      <c r="O244" s="3">
        <f ca="1">IFERROR(__xludf.DUMMYFUNCTION("""COMPUTED_VALUE"""),43815.6666666666)</f>
        <v>43815.666666666599</v>
      </c>
      <c r="P244" s="2">
        <f ca="1">IFERROR(__xludf.DUMMYFUNCTION("""COMPUTED_VALUE"""),56.29)</f>
        <v>56.29</v>
      </c>
      <c r="Q244" s="3">
        <f ca="1">IFERROR(__xludf.DUMMYFUNCTION("""COMPUTED_VALUE"""),43815.6666666666)</f>
        <v>43815.666666666599</v>
      </c>
      <c r="R244" s="2">
        <f ca="1">IFERROR(__xludf.DUMMYFUNCTION("""COMPUTED_VALUE"""),226.85)</f>
        <v>226.85</v>
      </c>
      <c r="S244" s="3">
        <f ca="1">IFERROR(__xludf.DUMMYFUNCTION("""COMPUTED_VALUE"""),43815.6666666666)</f>
        <v>43815.666666666599</v>
      </c>
      <c r="T244" s="2">
        <f ca="1">IFERROR(__xludf.DUMMYFUNCTION("""COMPUTED_VALUE"""),141.79)</f>
        <v>141.79</v>
      </c>
    </row>
    <row r="245" spans="1:20">
      <c r="A245" s="3">
        <f ca="1">IFERROR(__xludf.DUMMYFUNCTION("""COMPUTED_VALUE"""),43816.6666666666)</f>
        <v>43816.666666666599</v>
      </c>
      <c r="B245" s="2">
        <f ca="1">IFERROR(__xludf.DUMMYFUNCTION("""COMPUTED_VALUE"""),70.1)</f>
        <v>70.099999999999994</v>
      </c>
      <c r="C245" s="3">
        <f ca="1">IFERROR(__xludf.DUMMYFUNCTION("""COMPUTED_VALUE"""),43816.6666666666)</f>
        <v>43816.666666666599</v>
      </c>
      <c r="D245" s="2">
        <f ca="1">IFERROR(__xludf.DUMMYFUNCTION("""COMPUTED_VALUE"""),154.69)</f>
        <v>154.69</v>
      </c>
      <c r="E245" s="3">
        <f ca="1">IFERROR(__xludf.DUMMYFUNCTION("""COMPUTED_VALUE"""),43816.6666666666)</f>
        <v>43816.666666666599</v>
      </c>
      <c r="F245" s="2">
        <f ca="1">IFERROR(__xludf.DUMMYFUNCTION("""COMPUTED_VALUE"""),1790.66)</f>
        <v>1790.66</v>
      </c>
      <c r="G245" s="3">
        <f ca="1">IFERROR(__xludf.DUMMYFUNCTION("""COMPUTED_VALUE"""),43816.6666666666)</f>
        <v>43816.666666666599</v>
      </c>
      <c r="H245" s="2">
        <f ca="1">IFERROR(__xludf.DUMMYFUNCTION("""COMPUTED_VALUE"""),1354.89)</f>
        <v>1354.89</v>
      </c>
      <c r="I245" s="3">
        <f ca="1">IFERROR(__xludf.DUMMYFUNCTION("""COMPUTED_VALUE"""),43816.6666666666)</f>
        <v>43816.666666666599</v>
      </c>
      <c r="J245" s="2">
        <f ca="1">IFERROR(__xludf.DUMMYFUNCTION("""COMPUTED_VALUE"""),1355.12)</f>
        <v>1355.12</v>
      </c>
      <c r="K245" s="3">
        <f ca="1">IFERROR(__xludf.DUMMYFUNCTION("""COMPUTED_VALUE"""),43816.6666666666)</f>
        <v>43816.666666666599</v>
      </c>
      <c r="L245" s="2">
        <f ca="1">IFERROR(__xludf.DUMMYFUNCTION("""COMPUTED_VALUE"""),198.39)</f>
        <v>198.39</v>
      </c>
      <c r="M245" s="3">
        <f ca="1">IFERROR(__xludf.DUMMYFUNCTION("""COMPUTED_VALUE"""),43816.6666666666)</f>
        <v>43816.666666666599</v>
      </c>
      <c r="N245" s="2">
        <f ca="1">IFERROR(__xludf.DUMMYFUNCTION("""COMPUTED_VALUE"""),75.8)</f>
        <v>75.8</v>
      </c>
      <c r="O245" s="3">
        <f ca="1">IFERROR(__xludf.DUMMYFUNCTION("""COMPUTED_VALUE"""),43816.6666666666)</f>
        <v>43816.666666666599</v>
      </c>
      <c r="P245" s="2">
        <f ca="1">IFERROR(__xludf.DUMMYFUNCTION("""COMPUTED_VALUE"""),57.07)</f>
        <v>57.07</v>
      </c>
      <c r="Q245" s="3">
        <f ca="1">IFERROR(__xludf.DUMMYFUNCTION("""COMPUTED_VALUE"""),43816.6666666666)</f>
        <v>43816.666666666599</v>
      </c>
      <c r="R245" s="2">
        <f ca="1">IFERROR(__xludf.DUMMYFUNCTION("""COMPUTED_VALUE"""),227.05)</f>
        <v>227.05</v>
      </c>
      <c r="S245" s="3">
        <f ca="1">IFERROR(__xludf.DUMMYFUNCTION("""COMPUTED_VALUE"""),43816.6666666666)</f>
        <v>43816.666666666599</v>
      </c>
      <c r="T245" s="2">
        <f ca="1">IFERROR(__xludf.DUMMYFUNCTION("""COMPUTED_VALUE"""),143.56)</f>
        <v>143.56</v>
      </c>
    </row>
    <row r="246" spans="1:20">
      <c r="A246" s="3">
        <f ca="1">IFERROR(__xludf.DUMMYFUNCTION("""COMPUTED_VALUE"""),43817.6666666666)</f>
        <v>43817.666666666599</v>
      </c>
      <c r="B246" s="2">
        <f ca="1">IFERROR(__xludf.DUMMYFUNCTION("""COMPUTED_VALUE"""),69.94)</f>
        <v>69.94</v>
      </c>
      <c r="C246" s="3">
        <f ca="1">IFERROR(__xludf.DUMMYFUNCTION("""COMPUTED_VALUE"""),43817.6666666666)</f>
        <v>43817.666666666599</v>
      </c>
      <c r="D246" s="2">
        <f ca="1">IFERROR(__xludf.DUMMYFUNCTION("""COMPUTED_VALUE"""),154.37)</f>
        <v>154.37</v>
      </c>
      <c r="E246" s="3">
        <f ca="1">IFERROR(__xludf.DUMMYFUNCTION("""COMPUTED_VALUE"""),43817.6666666666)</f>
        <v>43817.666666666599</v>
      </c>
      <c r="F246" s="2">
        <f ca="1">IFERROR(__xludf.DUMMYFUNCTION("""COMPUTED_VALUE"""),1784.03)</f>
        <v>1784.03</v>
      </c>
      <c r="G246" s="3">
        <f ca="1">IFERROR(__xludf.DUMMYFUNCTION("""COMPUTED_VALUE"""),43817.6666666666)</f>
        <v>43817.666666666599</v>
      </c>
      <c r="H246" s="2">
        <f ca="1">IFERROR(__xludf.DUMMYFUNCTION("""COMPUTED_VALUE"""),1351.91)</f>
        <v>1351.91</v>
      </c>
      <c r="I246" s="3">
        <f ca="1">IFERROR(__xludf.DUMMYFUNCTION("""COMPUTED_VALUE"""),43817.6666666666)</f>
        <v>43817.666666666599</v>
      </c>
      <c r="J246" s="2">
        <f ca="1">IFERROR(__xludf.DUMMYFUNCTION("""COMPUTED_VALUE"""),1352.62)</f>
        <v>1352.62</v>
      </c>
      <c r="K246" s="3">
        <f ca="1">IFERROR(__xludf.DUMMYFUNCTION("""COMPUTED_VALUE"""),43817.6666666666)</f>
        <v>43817.666666666599</v>
      </c>
      <c r="L246" s="2">
        <f ca="1">IFERROR(__xludf.DUMMYFUNCTION("""COMPUTED_VALUE"""),202.5)</f>
        <v>202.5</v>
      </c>
      <c r="M246" s="3">
        <f ca="1">IFERROR(__xludf.DUMMYFUNCTION("""COMPUTED_VALUE"""),43817.6666666666)</f>
        <v>43817.666666666599</v>
      </c>
      <c r="N246" s="2">
        <f ca="1">IFERROR(__xludf.DUMMYFUNCTION("""COMPUTED_VALUE"""),78.63)</f>
        <v>78.63</v>
      </c>
      <c r="O246" s="3">
        <f ca="1">IFERROR(__xludf.DUMMYFUNCTION("""COMPUTED_VALUE"""),43817.6666666666)</f>
        <v>43817.666666666599</v>
      </c>
      <c r="P246" s="2">
        <f ca="1">IFERROR(__xludf.DUMMYFUNCTION("""COMPUTED_VALUE"""),57.38)</f>
        <v>57.38</v>
      </c>
      <c r="Q246" s="3">
        <f ca="1">IFERROR(__xludf.DUMMYFUNCTION("""COMPUTED_VALUE"""),43817.6666666666)</f>
        <v>43817.666666666599</v>
      </c>
      <c r="R246" s="2">
        <f ca="1">IFERROR(__xludf.DUMMYFUNCTION("""COMPUTED_VALUE"""),225.01)</f>
        <v>225.01</v>
      </c>
      <c r="S246" s="3">
        <f ca="1">IFERROR(__xludf.DUMMYFUNCTION("""COMPUTED_VALUE"""),43817.6666666666)</f>
        <v>43817.666666666599</v>
      </c>
      <c r="T246" s="2">
        <f ca="1">IFERROR(__xludf.DUMMYFUNCTION("""COMPUTED_VALUE"""),143.19)</f>
        <v>143.19</v>
      </c>
    </row>
    <row r="247" spans="1:20">
      <c r="A247" s="3">
        <f ca="1">IFERROR(__xludf.DUMMYFUNCTION("""COMPUTED_VALUE"""),43818.6666666666)</f>
        <v>43818.666666666599</v>
      </c>
      <c r="B247" s="2">
        <f ca="1">IFERROR(__xludf.DUMMYFUNCTION("""COMPUTED_VALUE"""),70.01)</f>
        <v>70.010000000000005</v>
      </c>
      <c r="C247" s="3">
        <f ca="1">IFERROR(__xludf.DUMMYFUNCTION("""COMPUTED_VALUE"""),43818.6666666666)</f>
        <v>43818.666666666599</v>
      </c>
      <c r="D247" s="2">
        <f ca="1">IFERROR(__xludf.DUMMYFUNCTION("""COMPUTED_VALUE"""),155.71)</f>
        <v>155.71</v>
      </c>
      <c r="E247" s="3">
        <f ca="1">IFERROR(__xludf.DUMMYFUNCTION("""COMPUTED_VALUE"""),43818.6666666666)</f>
        <v>43818.666666666599</v>
      </c>
      <c r="F247" s="2">
        <f ca="1">IFERROR(__xludf.DUMMYFUNCTION("""COMPUTED_VALUE"""),1792.28)</f>
        <v>1792.28</v>
      </c>
      <c r="G247" s="3">
        <f ca="1">IFERROR(__xludf.DUMMYFUNCTION("""COMPUTED_VALUE"""),43818.6666666666)</f>
        <v>43818.666666666599</v>
      </c>
      <c r="H247" s="2">
        <f ca="1">IFERROR(__xludf.DUMMYFUNCTION("""COMPUTED_VALUE"""),1356.44)</f>
        <v>1356.44</v>
      </c>
      <c r="I247" s="3">
        <f ca="1">IFERROR(__xludf.DUMMYFUNCTION("""COMPUTED_VALUE"""),43818.6666666666)</f>
        <v>43818.666666666599</v>
      </c>
      <c r="J247" s="2">
        <f ca="1">IFERROR(__xludf.DUMMYFUNCTION("""COMPUTED_VALUE"""),1356.04)</f>
        <v>1356.04</v>
      </c>
      <c r="K247" s="3">
        <f ca="1">IFERROR(__xludf.DUMMYFUNCTION("""COMPUTED_VALUE"""),43818.6666666666)</f>
        <v>43818.666666666599</v>
      </c>
      <c r="L247" s="2">
        <f ca="1">IFERROR(__xludf.DUMMYFUNCTION("""COMPUTED_VALUE"""),206.06)</f>
        <v>206.06</v>
      </c>
      <c r="M247" s="3">
        <f ca="1">IFERROR(__xludf.DUMMYFUNCTION("""COMPUTED_VALUE"""),43818.6666666666)</f>
        <v>43818.666666666599</v>
      </c>
      <c r="N247" s="2">
        <f ca="1">IFERROR(__xludf.DUMMYFUNCTION("""COMPUTED_VALUE"""),80.81)</f>
        <v>80.81</v>
      </c>
      <c r="O247" s="3">
        <f ca="1">IFERROR(__xludf.DUMMYFUNCTION("""COMPUTED_VALUE"""),43818.6666666666)</f>
        <v>43818.666666666599</v>
      </c>
      <c r="P247" s="2">
        <f ca="1">IFERROR(__xludf.DUMMYFUNCTION("""COMPUTED_VALUE"""),58.87)</f>
        <v>58.87</v>
      </c>
      <c r="Q247" s="3">
        <f ca="1">IFERROR(__xludf.DUMMYFUNCTION("""COMPUTED_VALUE"""),43818.6666666666)</f>
        <v>43818.666666666599</v>
      </c>
      <c r="R247" s="2">
        <f ca="1">IFERROR(__xludf.DUMMYFUNCTION("""COMPUTED_VALUE"""),225.21)</f>
        <v>225.21</v>
      </c>
      <c r="S247" s="3">
        <f ca="1">IFERROR(__xludf.DUMMYFUNCTION("""COMPUTED_VALUE"""),43818.6666666666)</f>
        <v>43818.666666666599</v>
      </c>
      <c r="T247" s="2">
        <f ca="1">IFERROR(__xludf.DUMMYFUNCTION("""COMPUTED_VALUE"""),145.35)</f>
        <v>145.35</v>
      </c>
    </row>
    <row r="248" spans="1:20">
      <c r="A248" s="3">
        <f ca="1">IFERROR(__xludf.DUMMYFUNCTION("""COMPUTED_VALUE"""),43819.6666666666)</f>
        <v>43819.666666666599</v>
      </c>
      <c r="B248" s="2">
        <f ca="1">IFERROR(__xludf.DUMMYFUNCTION("""COMPUTED_VALUE"""),69.86)</f>
        <v>69.86</v>
      </c>
      <c r="C248" s="3">
        <f ca="1">IFERROR(__xludf.DUMMYFUNCTION("""COMPUTED_VALUE"""),43819.6666666666)</f>
        <v>43819.666666666599</v>
      </c>
      <c r="D248" s="2">
        <f ca="1">IFERROR(__xludf.DUMMYFUNCTION("""COMPUTED_VALUE"""),157.41)</f>
        <v>157.41</v>
      </c>
      <c r="E248" s="3">
        <f ca="1">IFERROR(__xludf.DUMMYFUNCTION("""COMPUTED_VALUE"""),43819.6666666666)</f>
        <v>43819.666666666599</v>
      </c>
      <c r="F248" s="2">
        <f ca="1">IFERROR(__xludf.DUMMYFUNCTION("""COMPUTED_VALUE"""),1786.5)</f>
        <v>1786.5</v>
      </c>
      <c r="G248" s="3">
        <f ca="1">IFERROR(__xludf.DUMMYFUNCTION("""COMPUTED_VALUE"""),43819.6666666666)</f>
        <v>43819.666666666599</v>
      </c>
      <c r="H248" s="2">
        <f ca="1">IFERROR(__xludf.DUMMYFUNCTION("""COMPUTED_VALUE"""),1351.22)</f>
        <v>1351.22</v>
      </c>
      <c r="I248" s="3">
        <f ca="1">IFERROR(__xludf.DUMMYFUNCTION("""COMPUTED_VALUE"""),43819.6666666666)</f>
        <v>43819.666666666599</v>
      </c>
      <c r="J248" s="2">
        <f ca="1">IFERROR(__xludf.DUMMYFUNCTION("""COMPUTED_VALUE"""),1349.59)</f>
        <v>1349.59</v>
      </c>
      <c r="K248" s="3">
        <f ca="1">IFERROR(__xludf.DUMMYFUNCTION("""COMPUTED_VALUE"""),43819.6666666666)</f>
        <v>43819.666666666599</v>
      </c>
      <c r="L248" s="2">
        <f ca="1">IFERROR(__xludf.DUMMYFUNCTION("""COMPUTED_VALUE"""),206.3)</f>
        <v>206.3</v>
      </c>
      <c r="M248" s="3">
        <f ca="1">IFERROR(__xludf.DUMMYFUNCTION("""COMPUTED_VALUE"""),43819.6666666666)</f>
        <v>43819.666666666599</v>
      </c>
      <c r="N248" s="2">
        <f ca="1">IFERROR(__xludf.DUMMYFUNCTION("""COMPUTED_VALUE"""),81.12)</f>
        <v>81.12</v>
      </c>
      <c r="O248" s="3">
        <f ca="1">IFERROR(__xludf.DUMMYFUNCTION("""COMPUTED_VALUE"""),43819.6666666666)</f>
        <v>43819.666666666599</v>
      </c>
      <c r="P248" s="2">
        <f ca="1">IFERROR(__xludf.DUMMYFUNCTION("""COMPUTED_VALUE"""),59.84)</f>
        <v>59.84</v>
      </c>
      <c r="Q248" s="3">
        <f ca="1">IFERROR(__xludf.DUMMYFUNCTION("""COMPUTED_VALUE"""),43819.6666666666)</f>
        <v>43819.666666666599</v>
      </c>
      <c r="R248" s="2">
        <f ca="1">IFERROR(__xludf.DUMMYFUNCTION("""COMPUTED_VALUE"""),226.31)</f>
        <v>226.31</v>
      </c>
      <c r="S248" s="3">
        <f ca="1">IFERROR(__xludf.DUMMYFUNCTION("""COMPUTED_VALUE"""),43819.6666666666)</f>
        <v>43819.666666666599</v>
      </c>
      <c r="T248" s="2">
        <f ca="1">IFERROR(__xludf.DUMMYFUNCTION("""COMPUTED_VALUE"""),146.06)</f>
        <v>146.06</v>
      </c>
    </row>
    <row r="249" spans="1:20">
      <c r="A249" s="3">
        <f ca="1">IFERROR(__xludf.DUMMYFUNCTION("""COMPUTED_VALUE"""),43822.6666666666)</f>
        <v>43822.666666666599</v>
      </c>
      <c r="B249" s="2">
        <f ca="1">IFERROR(__xludf.DUMMYFUNCTION("""COMPUTED_VALUE"""),71)</f>
        <v>71</v>
      </c>
      <c r="C249" s="3">
        <f ca="1">IFERROR(__xludf.DUMMYFUNCTION("""COMPUTED_VALUE"""),43822.6666666666)</f>
        <v>43822.666666666599</v>
      </c>
      <c r="D249" s="2">
        <f ca="1">IFERROR(__xludf.DUMMYFUNCTION("""COMPUTED_VALUE"""),157.41)</f>
        <v>157.41</v>
      </c>
      <c r="E249" s="3">
        <f ca="1">IFERROR(__xludf.DUMMYFUNCTION("""COMPUTED_VALUE"""),43822.6666666666)</f>
        <v>43822.666666666599</v>
      </c>
      <c r="F249" s="2">
        <f ca="1">IFERROR(__xludf.DUMMYFUNCTION("""COMPUTED_VALUE"""),1793)</f>
        <v>1793</v>
      </c>
      <c r="G249" s="3">
        <f ca="1">IFERROR(__xludf.DUMMYFUNCTION("""COMPUTED_VALUE"""),43822.6666666666)</f>
        <v>43822.666666666599</v>
      </c>
      <c r="H249" s="2">
        <f ca="1">IFERROR(__xludf.DUMMYFUNCTION("""COMPUTED_VALUE"""),1350.63)</f>
        <v>1350.63</v>
      </c>
      <c r="I249" s="3">
        <f ca="1">IFERROR(__xludf.DUMMYFUNCTION("""COMPUTED_VALUE"""),43822.6666666666)</f>
        <v>43822.666666666599</v>
      </c>
      <c r="J249" s="2">
        <f ca="1">IFERROR(__xludf.DUMMYFUNCTION("""COMPUTED_VALUE"""),1348.84)</f>
        <v>1348.84</v>
      </c>
      <c r="K249" s="3">
        <f ca="1">IFERROR(__xludf.DUMMYFUNCTION("""COMPUTED_VALUE"""),43822.6666666666)</f>
        <v>43822.666666666599</v>
      </c>
      <c r="L249" s="2">
        <f ca="1">IFERROR(__xludf.DUMMYFUNCTION("""COMPUTED_VALUE"""),206.18)</f>
        <v>206.18</v>
      </c>
      <c r="M249" s="3">
        <f ca="1">IFERROR(__xludf.DUMMYFUNCTION("""COMPUTED_VALUE"""),43822.6666666666)</f>
        <v>43822.666666666599</v>
      </c>
      <c r="N249" s="2">
        <f ca="1">IFERROR(__xludf.DUMMYFUNCTION("""COMPUTED_VALUE"""),83.84)</f>
        <v>83.84</v>
      </c>
      <c r="O249" s="3">
        <f ca="1">IFERROR(__xludf.DUMMYFUNCTION("""COMPUTED_VALUE"""),43822.6666666666)</f>
        <v>43822.666666666599</v>
      </c>
      <c r="P249" s="2">
        <f ca="1">IFERROR(__xludf.DUMMYFUNCTION("""COMPUTED_VALUE"""),59.71)</f>
        <v>59.71</v>
      </c>
      <c r="Q249" s="3">
        <f ca="1">IFERROR(__xludf.DUMMYFUNCTION("""COMPUTED_VALUE"""),43822.6666666666)</f>
        <v>43822.666666666599</v>
      </c>
      <c r="R249" s="2">
        <f ca="1">IFERROR(__xludf.DUMMYFUNCTION("""COMPUTED_VALUE"""),225.48)</f>
        <v>225.48</v>
      </c>
      <c r="S249" s="3">
        <f ca="1">IFERROR(__xludf.DUMMYFUNCTION("""COMPUTED_VALUE"""),43822.6666666666)</f>
        <v>43822.666666666599</v>
      </c>
      <c r="T249" s="2">
        <f ca="1">IFERROR(__xludf.DUMMYFUNCTION("""COMPUTED_VALUE"""),146.44)</f>
        <v>146.44</v>
      </c>
    </row>
    <row r="250" spans="1:20">
      <c r="A250" s="3">
        <f ca="1">IFERROR(__xludf.DUMMYFUNCTION("""COMPUTED_VALUE"""),43823.5416666666)</f>
        <v>43823.541666666599</v>
      </c>
      <c r="B250" s="2">
        <f ca="1">IFERROR(__xludf.DUMMYFUNCTION("""COMPUTED_VALUE"""),71.07)</f>
        <v>71.069999999999993</v>
      </c>
      <c r="C250" s="3">
        <f ca="1">IFERROR(__xludf.DUMMYFUNCTION("""COMPUTED_VALUE"""),43823.5416666666)</f>
        <v>43823.541666666599</v>
      </c>
      <c r="D250" s="2">
        <f ca="1">IFERROR(__xludf.DUMMYFUNCTION("""COMPUTED_VALUE"""),157.38)</f>
        <v>157.38</v>
      </c>
      <c r="E250" s="3">
        <f ca="1">IFERROR(__xludf.DUMMYFUNCTION("""COMPUTED_VALUE"""),43823.5416666666)</f>
        <v>43823.541666666599</v>
      </c>
      <c r="F250" s="2">
        <f ca="1">IFERROR(__xludf.DUMMYFUNCTION("""COMPUTED_VALUE"""),1789.21)</f>
        <v>1789.21</v>
      </c>
      <c r="G250" s="3">
        <f ca="1">IFERROR(__xludf.DUMMYFUNCTION("""COMPUTED_VALUE"""),43823.5416666666)</f>
        <v>43823.541666666599</v>
      </c>
      <c r="H250" s="2">
        <f ca="1">IFERROR(__xludf.DUMMYFUNCTION("""COMPUTED_VALUE"""),1344.43)</f>
        <v>1344.43</v>
      </c>
      <c r="I250" s="3">
        <f ca="1">IFERROR(__xludf.DUMMYFUNCTION("""COMPUTED_VALUE"""),43823.5416666666)</f>
        <v>43823.541666666599</v>
      </c>
      <c r="J250" s="2">
        <f ca="1">IFERROR(__xludf.DUMMYFUNCTION("""COMPUTED_VALUE"""),1343.56)</f>
        <v>1343.56</v>
      </c>
      <c r="K250" s="3">
        <f ca="1">IFERROR(__xludf.DUMMYFUNCTION("""COMPUTED_VALUE"""),43823.5416666666)</f>
        <v>43823.541666666599</v>
      </c>
      <c r="L250" s="2">
        <f ca="1">IFERROR(__xludf.DUMMYFUNCTION("""COMPUTED_VALUE"""),205.12)</f>
        <v>205.12</v>
      </c>
      <c r="M250" s="3">
        <f ca="1">IFERROR(__xludf.DUMMYFUNCTION("""COMPUTED_VALUE"""),43823.5416666666)</f>
        <v>43823.541666666599</v>
      </c>
      <c r="N250" s="2">
        <f ca="1">IFERROR(__xludf.DUMMYFUNCTION("""COMPUTED_VALUE"""),85.05)</f>
        <v>85.05</v>
      </c>
      <c r="O250" s="3">
        <f ca="1">IFERROR(__xludf.DUMMYFUNCTION("""COMPUTED_VALUE"""),43823.5416666666)</f>
        <v>43823.541666666599</v>
      </c>
      <c r="P250" s="2">
        <f ca="1">IFERROR(__xludf.DUMMYFUNCTION("""COMPUTED_VALUE"""),59.66)</f>
        <v>59.66</v>
      </c>
      <c r="Q250" s="3">
        <f ca="1">IFERROR(__xludf.DUMMYFUNCTION("""COMPUTED_VALUE"""),43823.5416666666)</f>
        <v>43823.541666666599</v>
      </c>
      <c r="R250" s="2">
        <f ca="1">IFERROR(__xludf.DUMMYFUNCTION("""COMPUTED_VALUE"""),225.47)</f>
        <v>225.47</v>
      </c>
      <c r="S250" s="3">
        <f ca="1">IFERROR(__xludf.DUMMYFUNCTION("""COMPUTED_VALUE"""),43823.5416666666)</f>
        <v>43823.541666666599</v>
      </c>
      <c r="T250" s="2">
        <f ca="1">IFERROR(__xludf.DUMMYFUNCTION("""COMPUTED_VALUE"""),145.93)</f>
        <v>145.93</v>
      </c>
    </row>
    <row r="251" spans="1:20">
      <c r="A251" s="3">
        <f ca="1">IFERROR(__xludf.DUMMYFUNCTION("""COMPUTED_VALUE"""),43825.6666666666)</f>
        <v>43825.666666666599</v>
      </c>
      <c r="B251" s="2">
        <f ca="1">IFERROR(__xludf.DUMMYFUNCTION("""COMPUTED_VALUE"""),72.48)</f>
        <v>72.48</v>
      </c>
      <c r="C251" s="3">
        <f ca="1">IFERROR(__xludf.DUMMYFUNCTION("""COMPUTED_VALUE"""),43825.6666666666)</f>
        <v>43825.666666666599</v>
      </c>
      <c r="D251" s="2">
        <f ca="1">IFERROR(__xludf.DUMMYFUNCTION("""COMPUTED_VALUE"""),158.67)</f>
        <v>158.66999999999999</v>
      </c>
      <c r="E251" s="3">
        <f ca="1">IFERROR(__xludf.DUMMYFUNCTION("""COMPUTED_VALUE"""),43825.6666666666)</f>
        <v>43825.666666666599</v>
      </c>
      <c r="F251" s="2">
        <f ca="1">IFERROR(__xludf.DUMMYFUNCTION("""COMPUTED_VALUE"""),1868.77)</f>
        <v>1868.77</v>
      </c>
      <c r="G251" s="3">
        <f ca="1">IFERROR(__xludf.DUMMYFUNCTION("""COMPUTED_VALUE"""),43825.6666666666)</f>
        <v>43825.666666666599</v>
      </c>
      <c r="H251" s="2">
        <f ca="1">IFERROR(__xludf.DUMMYFUNCTION("""COMPUTED_VALUE"""),1362.47)</f>
        <v>1362.47</v>
      </c>
      <c r="I251" s="3">
        <f ca="1">IFERROR(__xludf.DUMMYFUNCTION("""COMPUTED_VALUE"""),43825.6666666666)</f>
        <v>43825.666666666599</v>
      </c>
      <c r="J251" s="2">
        <f ca="1">IFERROR(__xludf.DUMMYFUNCTION("""COMPUTED_VALUE"""),1360.4)</f>
        <v>1360.4</v>
      </c>
      <c r="K251" s="3">
        <f ca="1">IFERROR(__xludf.DUMMYFUNCTION("""COMPUTED_VALUE"""),43825.6666666666)</f>
        <v>43825.666666666599</v>
      </c>
      <c r="L251" s="2">
        <f ca="1">IFERROR(__xludf.DUMMYFUNCTION("""COMPUTED_VALUE"""),207.79)</f>
        <v>207.79</v>
      </c>
      <c r="M251" s="3">
        <f ca="1">IFERROR(__xludf.DUMMYFUNCTION("""COMPUTED_VALUE"""),43825.6666666666)</f>
        <v>43825.666666666599</v>
      </c>
      <c r="N251" s="2">
        <f ca="1">IFERROR(__xludf.DUMMYFUNCTION("""COMPUTED_VALUE"""),86.19)</f>
        <v>86.19</v>
      </c>
      <c r="O251" s="3">
        <f ca="1">IFERROR(__xludf.DUMMYFUNCTION("""COMPUTED_VALUE"""),43825.6666666666)</f>
        <v>43825.666666666599</v>
      </c>
      <c r="P251" s="2">
        <f ca="1">IFERROR(__xludf.DUMMYFUNCTION("""COMPUTED_VALUE"""),59.8)</f>
        <v>59.8</v>
      </c>
      <c r="Q251" s="3">
        <f ca="1">IFERROR(__xludf.DUMMYFUNCTION("""COMPUTED_VALUE"""),43825.6666666666)</f>
        <v>43825.666666666599</v>
      </c>
      <c r="R251" s="2">
        <f ca="1">IFERROR(__xludf.DUMMYFUNCTION("""COMPUTED_VALUE"""),226.45)</f>
        <v>226.45</v>
      </c>
      <c r="S251" s="3">
        <f ca="1">IFERROR(__xludf.DUMMYFUNCTION("""COMPUTED_VALUE"""),43825.6666666666)</f>
        <v>43825.666666666599</v>
      </c>
      <c r="T251" s="2">
        <f ca="1">IFERROR(__xludf.DUMMYFUNCTION("""COMPUTED_VALUE"""),145.83)</f>
        <v>145.83000000000001</v>
      </c>
    </row>
    <row r="252" spans="1:20">
      <c r="A252" s="3">
        <f ca="1">IFERROR(__xludf.DUMMYFUNCTION("""COMPUTED_VALUE"""),43826.6666666666)</f>
        <v>43826.666666666599</v>
      </c>
      <c r="B252" s="2">
        <f ca="1">IFERROR(__xludf.DUMMYFUNCTION("""COMPUTED_VALUE"""),72.45)</f>
        <v>72.45</v>
      </c>
      <c r="C252" s="3">
        <f ca="1">IFERROR(__xludf.DUMMYFUNCTION("""COMPUTED_VALUE"""),43826.6666666666)</f>
        <v>43826.666666666599</v>
      </c>
      <c r="D252" s="2">
        <f ca="1">IFERROR(__xludf.DUMMYFUNCTION("""COMPUTED_VALUE"""),158.96)</f>
        <v>158.96</v>
      </c>
      <c r="E252" s="3">
        <f ca="1">IFERROR(__xludf.DUMMYFUNCTION("""COMPUTED_VALUE"""),43826.6666666666)</f>
        <v>43826.666666666599</v>
      </c>
      <c r="F252" s="2">
        <f ca="1">IFERROR(__xludf.DUMMYFUNCTION("""COMPUTED_VALUE"""),1869.8)</f>
        <v>1869.8</v>
      </c>
      <c r="G252" s="3">
        <f ca="1">IFERROR(__xludf.DUMMYFUNCTION("""COMPUTED_VALUE"""),43826.6666666666)</f>
        <v>43826.666666666599</v>
      </c>
      <c r="H252" s="2">
        <f ca="1">IFERROR(__xludf.DUMMYFUNCTION("""COMPUTED_VALUE"""),1354.64)</f>
        <v>1354.64</v>
      </c>
      <c r="I252" s="3">
        <f ca="1">IFERROR(__xludf.DUMMYFUNCTION("""COMPUTED_VALUE"""),43826.6666666666)</f>
        <v>43826.666666666599</v>
      </c>
      <c r="J252" s="2">
        <f ca="1">IFERROR(__xludf.DUMMYFUNCTION("""COMPUTED_VALUE"""),1351.89)</f>
        <v>1351.89</v>
      </c>
      <c r="K252" s="3">
        <f ca="1">IFERROR(__xludf.DUMMYFUNCTION("""COMPUTED_VALUE"""),43826.6666666666)</f>
        <v>43826.666666666599</v>
      </c>
      <c r="L252" s="2">
        <f ca="1">IFERROR(__xludf.DUMMYFUNCTION("""COMPUTED_VALUE"""),208.1)</f>
        <v>208.1</v>
      </c>
      <c r="M252" s="3">
        <f ca="1">IFERROR(__xludf.DUMMYFUNCTION("""COMPUTED_VALUE"""),43826.6666666666)</f>
        <v>43826.666666666599</v>
      </c>
      <c r="N252" s="2">
        <f ca="1">IFERROR(__xludf.DUMMYFUNCTION("""COMPUTED_VALUE"""),86.08)</f>
        <v>86.08</v>
      </c>
      <c r="O252" s="3">
        <f ca="1">IFERROR(__xludf.DUMMYFUNCTION("""COMPUTED_VALUE"""),43826.6666666666)</f>
        <v>43826.666666666599</v>
      </c>
      <c r="P252" s="2">
        <f ca="1">IFERROR(__xludf.DUMMYFUNCTION("""COMPUTED_VALUE"""),59.22)</f>
        <v>59.22</v>
      </c>
      <c r="Q252" s="3">
        <f ca="1">IFERROR(__xludf.DUMMYFUNCTION("""COMPUTED_VALUE"""),43826.6666666666)</f>
        <v>43826.666666666599</v>
      </c>
      <c r="R252" s="2">
        <f ca="1">IFERROR(__xludf.DUMMYFUNCTION("""COMPUTED_VALUE"""),226.14)</f>
        <v>226.14</v>
      </c>
      <c r="S252" s="3">
        <f ca="1">IFERROR(__xludf.DUMMYFUNCTION("""COMPUTED_VALUE"""),43826.6666666666)</f>
        <v>43826.666666666599</v>
      </c>
      <c r="T252" s="2">
        <f ca="1">IFERROR(__xludf.DUMMYFUNCTION("""COMPUTED_VALUE"""),145.75)</f>
        <v>145.75</v>
      </c>
    </row>
    <row r="253" spans="1:20">
      <c r="A253" s="3">
        <f ca="1">IFERROR(__xludf.DUMMYFUNCTION("""COMPUTED_VALUE"""),43829.6666666666)</f>
        <v>43829.666666666599</v>
      </c>
      <c r="B253" s="2">
        <f ca="1">IFERROR(__xludf.DUMMYFUNCTION("""COMPUTED_VALUE"""),72.88)</f>
        <v>72.88</v>
      </c>
      <c r="C253" s="3">
        <f ca="1">IFERROR(__xludf.DUMMYFUNCTION("""COMPUTED_VALUE"""),43829.6666666666)</f>
        <v>43829.666666666599</v>
      </c>
      <c r="D253" s="2">
        <f ca="1">IFERROR(__xludf.DUMMYFUNCTION("""COMPUTED_VALUE"""),157.59)</f>
        <v>157.59</v>
      </c>
      <c r="E253" s="3">
        <f ca="1">IFERROR(__xludf.DUMMYFUNCTION("""COMPUTED_VALUE"""),43829.6666666666)</f>
        <v>43829.666666666599</v>
      </c>
      <c r="F253" s="2">
        <f ca="1">IFERROR(__xludf.DUMMYFUNCTION("""COMPUTED_VALUE"""),1846.89)</f>
        <v>1846.89</v>
      </c>
      <c r="G253" s="3">
        <f ca="1">IFERROR(__xludf.DUMMYFUNCTION("""COMPUTED_VALUE"""),43829.6666666666)</f>
        <v>43829.666666666599</v>
      </c>
      <c r="H253" s="2">
        <f ca="1">IFERROR(__xludf.DUMMYFUNCTION("""COMPUTED_VALUE"""),1339.71)</f>
        <v>1339.71</v>
      </c>
      <c r="I253" s="3">
        <f ca="1">IFERROR(__xludf.DUMMYFUNCTION("""COMPUTED_VALUE"""),43829.6666666666)</f>
        <v>43829.666666666599</v>
      </c>
      <c r="J253" s="2">
        <f ca="1">IFERROR(__xludf.DUMMYFUNCTION("""COMPUTED_VALUE"""),1336.14)</f>
        <v>1336.14</v>
      </c>
      <c r="K253" s="3">
        <f ca="1">IFERROR(__xludf.DUMMYFUNCTION("""COMPUTED_VALUE"""),43829.6666666666)</f>
        <v>43829.666666666599</v>
      </c>
      <c r="L253" s="2">
        <f ca="1">IFERROR(__xludf.DUMMYFUNCTION("""COMPUTED_VALUE"""),204.41)</f>
        <v>204.41</v>
      </c>
      <c r="M253" s="3">
        <f ca="1">IFERROR(__xludf.DUMMYFUNCTION("""COMPUTED_VALUE"""),43829.6666666666)</f>
        <v>43829.666666666599</v>
      </c>
      <c r="N253" s="2">
        <f ca="1">IFERROR(__xludf.DUMMYFUNCTION("""COMPUTED_VALUE"""),82.94)</f>
        <v>82.94</v>
      </c>
      <c r="O253" s="3">
        <f ca="1">IFERROR(__xludf.DUMMYFUNCTION("""COMPUTED_VALUE"""),43829.6666666666)</f>
        <v>43829.666666666599</v>
      </c>
      <c r="P253" s="2">
        <f ca="1">IFERROR(__xludf.DUMMYFUNCTION("""COMPUTED_VALUE"""),58.08)</f>
        <v>58.08</v>
      </c>
      <c r="Q253" s="3">
        <f ca="1">IFERROR(__xludf.DUMMYFUNCTION("""COMPUTED_VALUE"""),43829.6666666666)</f>
        <v>43829.666666666599</v>
      </c>
      <c r="R253" s="2">
        <f ca="1">IFERROR(__xludf.DUMMYFUNCTION("""COMPUTED_VALUE"""),225.76)</f>
        <v>225.76</v>
      </c>
      <c r="S253" s="3">
        <f ca="1">IFERROR(__xludf.DUMMYFUNCTION("""COMPUTED_VALUE"""),43829.6666666666)</f>
        <v>43829.666666666599</v>
      </c>
      <c r="T253" s="2">
        <f ca="1">IFERROR(__xludf.DUMMYFUNCTION("""COMPUTED_VALUE"""),145.3)</f>
        <v>145.30000000000001</v>
      </c>
    </row>
    <row r="254" spans="1:20">
      <c r="A254" s="3">
        <f ca="1">IFERROR(__xludf.DUMMYFUNCTION("""COMPUTED_VALUE"""),43830.6666666666)</f>
        <v>43830.666666666599</v>
      </c>
      <c r="B254" s="2">
        <f ca="1">IFERROR(__xludf.DUMMYFUNCTION("""COMPUTED_VALUE"""),73.41)</f>
        <v>73.41</v>
      </c>
      <c r="C254" s="3">
        <f ca="1">IFERROR(__xludf.DUMMYFUNCTION("""COMPUTED_VALUE"""),43830.6666666666)</f>
        <v>43830.666666666599</v>
      </c>
      <c r="D254" s="2">
        <f ca="1">IFERROR(__xludf.DUMMYFUNCTION("""COMPUTED_VALUE"""),157.7)</f>
        <v>157.69999999999999</v>
      </c>
      <c r="E254" s="3">
        <f ca="1">IFERROR(__xludf.DUMMYFUNCTION("""COMPUTED_VALUE"""),43830.6666666666)</f>
        <v>43830.666666666599</v>
      </c>
      <c r="F254" s="2">
        <f ca="1">IFERROR(__xludf.DUMMYFUNCTION("""COMPUTED_VALUE"""),1847.84)</f>
        <v>1847.84</v>
      </c>
      <c r="G254" s="3">
        <f ca="1">IFERROR(__xludf.DUMMYFUNCTION("""COMPUTED_VALUE"""),43830.6666666666)</f>
        <v>43830.666666666599</v>
      </c>
      <c r="H254" s="2">
        <f ca="1">IFERROR(__xludf.DUMMYFUNCTION("""COMPUTED_VALUE"""),1339.39)</f>
        <v>1339.39</v>
      </c>
      <c r="I254" s="3">
        <f ca="1">IFERROR(__xludf.DUMMYFUNCTION("""COMPUTED_VALUE"""),43830.6666666666)</f>
        <v>43830.666666666599</v>
      </c>
      <c r="J254" s="2">
        <f ca="1">IFERROR(__xludf.DUMMYFUNCTION("""COMPUTED_VALUE"""),1337.02)</f>
        <v>1337.02</v>
      </c>
      <c r="K254" s="3">
        <f ca="1">IFERROR(__xludf.DUMMYFUNCTION("""COMPUTED_VALUE"""),43830.6666666666)</f>
        <v>43830.666666666599</v>
      </c>
      <c r="L254" s="2">
        <f ca="1">IFERROR(__xludf.DUMMYFUNCTION("""COMPUTED_VALUE"""),205.25)</f>
        <v>205.25</v>
      </c>
      <c r="M254" s="3">
        <f ca="1">IFERROR(__xludf.DUMMYFUNCTION("""COMPUTED_VALUE"""),43830.6666666666)</f>
        <v>43830.666666666599</v>
      </c>
      <c r="N254" s="2">
        <f ca="1">IFERROR(__xludf.DUMMYFUNCTION("""COMPUTED_VALUE"""),83.67)</f>
        <v>83.67</v>
      </c>
      <c r="O254" s="3">
        <f ca="1">IFERROR(__xludf.DUMMYFUNCTION("""COMPUTED_VALUE"""),43830.6666666666)</f>
        <v>43830.666666666599</v>
      </c>
      <c r="P254" s="2">
        <f ca="1">IFERROR(__xludf.DUMMYFUNCTION("""COMPUTED_VALUE"""),58.83)</f>
        <v>58.83</v>
      </c>
      <c r="Q254" s="3">
        <f ca="1">IFERROR(__xludf.DUMMYFUNCTION("""COMPUTED_VALUE"""),43830.6666666666)</f>
        <v>43830.666666666599</v>
      </c>
      <c r="R254" s="2">
        <f ca="1">IFERROR(__xludf.DUMMYFUNCTION("""COMPUTED_VALUE"""),226.5)</f>
        <v>226.5</v>
      </c>
      <c r="S254" s="3">
        <f ca="1">IFERROR(__xludf.DUMMYFUNCTION("""COMPUTED_VALUE"""),43830.6666666666)</f>
        <v>43830.666666666599</v>
      </c>
      <c r="T254" s="2">
        <f ca="1">IFERROR(__xludf.DUMMYFUNCTION("""COMPUTED_VALUE"""),145.87)</f>
        <v>145.87</v>
      </c>
    </row>
    <row r="255" spans="1:20">
      <c r="A255" s="3">
        <f ca="1">IFERROR(__xludf.DUMMYFUNCTION("""COMPUTED_VALUE"""),43832.6666666666)</f>
        <v>43832.666666666599</v>
      </c>
      <c r="B255" s="2">
        <f ca="1">IFERROR(__xludf.DUMMYFUNCTION("""COMPUTED_VALUE"""),75.09)</f>
        <v>75.09</v>
      </c>
      <c r="C255" s="3">
        <f ca="1">IFERROR(__xludf.DUMMYFUNCTION("""COMPUTED_VALUE"""),43832.6666666666)</f>
        <v>43832.666666666599</v>
      </c>
      <c r="D255" s="2">
        <f ca="1">IFERROR(__xludf.DUMMYFUNCTION("""COMPUTED_VALUE"""),160.62)</f>
        <v>160.62</v>
      </c>
      <c r="E255" s="3">
        <f ca="1">IFERROR(__xludf.DUMMYFUNCTION("""COMPUTED_VALUE"""),43832.6666666666)</f>
        <v>43832.666666666599</v>
      </c>
      <c r="F255" s="2">
        <f ca="1">IFERROR(__xludf.DUMMYFUNCTION("""COMPUTED_VALUE"""),1898.01)</f>
        <v>1898.01</v>
      </c>
      <c r="G255" s="3">
        <f ca="1">IFERROR(__xludf.DUMMYFUNCTION("""COMPUTED_VALUE"""),43832.6666666666)</f>
        <v>43832.666666666599</v>
      </c>
      <c r="H255" s="2">
        <f ca="1">IFERROR(__xludf.DUMMYFUNCTION("""COMPUTED_VALUE"""),1368.68)</f>
        <v>1368.68</v>
      </c>
      <c r="I255" s="3">
        <f ca="1">IFERROR(__xludf.DUMMYFUNCTION("""COMPUTED_VALUE"""),43832.6666666666)</f>
        <v>43832.666666666599</v>
      </c>
      <c r="J255" s="2">
        <f ca="1">IFERROR(__xludf.DUMMYFUNCTION("""COMPUTED_VALUE"""),1367.37)</f>
        <v>1367.37</v>
      </c>
      <c r="K255" s="3">
        <f ca="1">IFERROR(__xludf.DUMMYFUNCTION("""COMPUTED_VALUE"""),43832.6666666666)</f>
        <v>43832.666666666599</v>
      </c>
      <c r="L255" s="2">
        <f ca="1">IFERROR(__xludf.DUMMYFUNCTION("""COMPUTED_VALUE"""),209.78)</f>
        <v>209.78</v>
      </c>
      <c r="M255" s="3">
        <f ca="1">IFERROR(__xludf.DUMMYFUNCTION("""COMPUTED_VALUE"""),43832.6666666666)</f>
        <v>43832.666666666599</v>
      </c>
      <c r="N255" s="2">
        <f ca="1">IFERROR(__xludf.DUMMYFUNCTION("""COMPUTED_VALUE"""),86.05)</f>
        <v>86.05</v>
      </c>
      <c r="O255" s="3">
        <f ca="1">IFERROR(__xludf.DUMMYFUNCTION("""COMPUTED_VALUE"""),43832.6666666666)</f>
        <v>43832.666666666599</v>
      </c>
      <c r="P255" s="2">
        <f ca="1">IFERROR(__xludf.DUMMYFUNCTION("""COMPUTED_VALUE"""),59.98)</f>
        <v>59.98</v>
      </c>
      <c r="Q255" s="3">
        <f ca="1">IFERROR(__xludf.DUMMYFUNCTION("""COMPUTED_VALUE"""),43832.6666666666)</f>
        <v>43832.666666666599</v>
      </c>
      <c r="R255" s="2">
        <f ca="1">IFERROR(__xludf.DUMMYFUNCTION("""COMPUTED_VALUE"""),228.39)</f>
        <v>228.39</v>
      </c>
      <c r="S255" s="3">
        <f ca="1">IFERROR(__xludf.DUMMYFUNCTION("""COMPUTED_VALUE"""),43832.6666666666)</f>
        <v>43832.666666666599</v>
      </c>
      <c r="T255" s="2">
        <f ca="1">IFERROR(__xludf.DUMMYFUNCTION("""COMPUTED_VALUE"""),145.97)</f>
        <v>145.97</v>
      </c>
    </row>
    <row r="256" spans="1:20">
      <c r="A256" s="3">
        <f ca="1">IFERROR(__xludf.DUMMYFUNCTION("""COMPUTED_VALUE"""),43833.6666666666)</f>
        <v>43833.666666666599</v>
      </c>
      <c r="B256" s="2">
        <f ca="1">IFERROR(__xludf.DUMMYFUNCTION("""COMPUTED_VALUE"""),74.36)</f>
        <v>74.36</v>
      </c>
      <c r="C256" s="3">
        <f ca="1">IFERROR(__xludf.DUMMYFUNCTION("""COMPUTED_VALUE"""),43833.6666666666)</f>
        <v>43833.666666666599</v>
      </c>
      <c r="D256" s="2">
        <f ca="1">IFERROR(__xludf.DUMMYFUNCTION("""COMPUTED_VALUE"""),158.62)</f>
        <v>158.62</v>
      </c>
      <c r="E256" s="3">
        <f ca="1">IFERROR(__xludf.DUMMYFUNCTION("""COMPUTED_VALUE"""),43833.6666666666)</f>
        <v>43833.666666666599</v>
      </c>
      <c r="F256" s="2">
        <f ca="1">IFERROR(__xludf.DUMMYFUNCTION("""COMPUTED_VALUE"""),1874.97)</f>
        <v>1874.97</v>
      </c>
      <c r="G256" s="3">
        <f ca="1">IFERROR(__xludf.DUMMYFUNCTION("""COMPUTED_VALUE"""),43833.6666666666)</f>
        <v>43833.666666666599</v>
      </c>
      <c r="H256" s="2">
        <f ca="1">IFERROR(__xludf.DUMMYFUNCTION("""COMPUTED_VALUE"""),1361.52)</f>
        <v>1361.52</v>
      </c>
      <c r="I256" s="3">
        <f ca="1">IFERROR(__xludf.DUMMYFUNCTION("""COMPUTED_VALUE"""),43833.6666666666)</f>
        <v>43833.666666666599</v>
      </c>
      <c r="J256" s="2">
        <f ca="1">IFERROR(__xludf.DUMMYFUNCTION("""COMPUTED_VALUE"""),1360.66)</f>
        <v>1360.66</v>
      </c>
      <c r="K256" s="3">
        <f ca="1">IFERROR(__xludf.DUMMYFUNCTION("""COMPUTED_VALUE"""),43833.6666666666)</f>
        <v>43833.666666666599</v>
      </c>
      <c r="L256" s="2">
        <f ca="1">IFERROR(__xludf.DUMMYFUNCTION("""COMPUTED_VALUE"""),208.67)</f>
        <v>208.67</v>
      </c>
      <c r="M256" s="3">
        <f ca="1">IFERROR(__xludf.DUMMYFUNCTION("""COMPUTED_VALUE"""),43833.6666666666)</f>
        <v>43833.666666666599</v>
      </c>
      <c r="N256" s="2">
        <f ca="1">IFERROR(__xludf.DUMMYFUNCTION("""COMPUTED_VALUE"""),88.6)</f>
        <v>88.6</v>
      </c>
      <c r="O256" s="3">
        <f ca="1">IFERROR(__xludf.DUMMYFUNCTION("""COMPUTED_VALUE"""),43833.6666666666)</f>
        <v>43833.666666666599</v>
      </c>
      <c r="P256" s="2">
        <f ca="1">IFERROR(__xludf.DUMMYFUNCTION("""COMPUTED_VALUE"""),59.02)</f>
        <v>59.02</v>
      </c>
      <c r="Q256" s="3">
        <f ca="1">IFERROR(__xludf.DUMMYFUNCTION("""COMPUTED_VALUE"""),43833.6666666666)</f>
        <v>43833.666666666599</v>
      </c>
      <c r="R256" s="2">
        <f ca="1">IFERROR(__xludf.DUMMYFUNCTION("""COMPUTED_VALUE"""),226.18)</f>
        <v>226.18</v>
      </c>
      <c r="S256" s="3">
        <f ca="1">IFERROR(__xludf.DUMMYFUNCTION("""COMPUTED_VALUE"""),43833.6666666666)</f>
        <v>43833.666666666599</v>
      </c>
      <c r="T256" s="2">
        <f ca="1">IFERROR(__xludf.DUMMYFUNCTION("""COMPUTED_VALUE"""),144.28)</f>
        <v>144.28</v>
      </c>
    </row>
    <row r="257" spans="1:20">
      <c r="A257" s="3">
        <f ca="1">IFERROR(__xludf.DUMMYFUNCTION("""COMPUTED_VALUE"""),43836.6666666666)</f>
        <v>43836.666666666599</v>
      </c>
      <c r="B257" s="2">
        <f ca="1">IFERROR(__xludf.DUMMYFUNCTION("""COMPUTED_VALUE"""),74.95)</f>
        <v>74.95</v>
      </c>
      <c r="C257" s="3">
        <f ca="1">IFERROR(__xludf.DUMMYFUNCTION("""COMPUTED_VALUE"""),43836.6666666666)</f>
        <v>43836.666666666599</v>
      </c>
      <c r="D257" s="2">
        <f ca="1">IFERROR(__xludf.DUMMYFUNCTION("""COMPUTED_VALUE"""),159.03)</f>
        <v>159.03</v>
      </c>
      <c r="E257" s="3">
        <f ca="1">IFERROR(__xludf.DUMMYFUNCTION("""COMPUTED_VALUE"""),43836.6666666666)</f>
        <v>43836.666666666599</v>
      </c>
      <c r="F257" s="2">
        <f ca="1">IFERROR(__xludf.DUMMYFUNCTION("""COMPUTED_VALUE"""),1902.88)</f>
        <v>1902.88</v>
      </c>
      <c r="G257" s="3">
        <f ca="1">IFERROR(__xludf.DUMMYFUNCTION("""COMPUTED_VALUE"""),43836.6666666666)</f>
        <v>43836.666666666599</v>
      </c>
      <c r="H257" s="2">
        <f ca="1">IFERROR(__xludf.DUMMYFUNCTION("""COMPUTED_VALUE"""),1397.81)</f>
        <v>1397.81</v>
      </c>
      <c r="I257" s="3">
        <f ca="1">IFERROR(__xludf.DUMMYFUNCTION("""COMPUTED_VALUE"""),43836.6666666666)</f>
        <v>43836.666666666599</v>
      </c>
      <c r="J257" s="2">
        <f ca="1">IFERROR(__xludf.DUMMYFUNCTION("""COMPUTED_VALUE"""),1394.21)</f>
        <v>1394.21</v>
      </c>
      <c r="K257" s="3">
        <f ca="1">IFERROR(__xludf.DUMMYFUNCTION("""COMPUTED_VALUE"""),43836.6666666666)</f>
        <v>43836.666666666599</v>
      </c>
      <c r="L257" s="2">
        <f ca="1">IFERROR(__xludf.DUMMYFUNCTION("""COMPUTED_VALUE"""),212.6)</f>
        <v>212.6</v>
      </c>
      <c r="M257" s="3">
        <f ca="1">IFERROR(__xludf.DUMMYFUNCTION("""COMPUTED_VALUE"""),43836.6666666666)</f>
        <v>43836.666666666599</v>
      </c>
      <c r="N257" s="2">
        <f ca="1">IFERROR(__xludf.DUMMYFUNCTION("""COMPUTED_VALUE"""),90.31)</f>
        <v>90.31</v>
      </c>
      <c r="O257" s="3">
        <f ca="1">IFERROR(__xludf.DUMMYFUNCTION("""COMPUTED_VALUE"""),43836.6666666666)</f>
        <v>43836.666666666599</v>
      </c>
      <c r="P257" s="2">
        <f ca="1">IFERROR(__xludf.DUMMYFUNCTION("""COMPUTED_VALUE"""),59.27)</f>
        <v>59.27</v>
      </c>
      <c r="Q257" s="3">
        <f ca="1">IFERROR(__xludf.DUMMYFUNCTION("""COMPUTED_VALUE"""),43836.6666666666)</f>
        <v>43836.666666666599</v>
      </c>
      <c r="R257" s="2">
        <f ca="1">IFERROR(__xludf.DUMMYFUNCTION("""COMPUTED_VALUE"""),226.99)</f>
        <v>226.99</v>
      </c>
      <c r="S257" s="3">
        <f ca="1">IFERROR(__xludf.DUMMYFUNCTION("""COMPUTED_VALUE"""),43836.6666666666)</f>
        <v>43836.666666666599</v>
      </c>
      <c r="T257" s="2">
        <f ca="1">IFERROR(__xludf.DUMMYFUNCTION("""COMPUTED_VALUE"""),144.1)</f>
        <v>144.1</v>
      </c>
    </row>
    <row r="258" spans="1:20">
      <c r="A258" s="3">
        <f ca="1">IFERROR(__xludf.DUMMYFUNCTION("""COMPUTED_VALUE"""),43837.6666666666)</f>
        <v>43837.666666666599</v>
      </c>
      <c r="B258" s="2">
        <f ca="1">IFERROR(__xludf.DUMMYFUNCTION("""COMPUTED_VALUE"""),74.6)</f>
        <v>74.599999999999994</v>
      </c>
      <c r="C258" s="3">
        <f ca="1">IFERROR(__xludf.DUMMYFUNCTION("""COMPUTED_VALUE"""),43837.6666666666)</f>
        <v>43837.666666666599</v>
      </c>
      <c r="D258" s="2">
        <f ca="1">IFERROR(__xludf.DUMMYFUNCTION("""COMPUTED_VALUE"""),157.58)</f>
        <v>157.58000000000001</v>
      </c>
      <c r="E258" s="3">
        <f ca="1">IFERROR(__xludf.DUMMYFUNCTION("""COMPUTED_VALUE"""),43837.6666666666)</f>
        <v>43837.666666666599</v>
      </c>
      <c r="F258" s="2">
        <f ca="1">IFERROR(__xludf.DUMMYFUNCTION("""COMPUTED_VALUE"""),1906.86)</f>
        <v>1906.86</v>
      </c>
      <c r="G258" s="3">
        <f ca="1">IFERROR(__xludf.DUMMYFUNCTION("""COMPUTED_VALUE"""),43837.6666666666)</f>
        <v>43837.666666666599</v>
      </c>
      <c r="H258" s="2">
        <f ca="1">IFERROR(__xludf.DUMMYFUNCTION("""COMPUTED_VALUE"""),1395.11)</f>
        <v>1395.11</v>
      </c>
      <c r="I258" s="3">
        <f ca="1">IFERROR(__xludf.DUMMYFUNCTION("""COMPUTED_VALUE"""),43837.6666666666)</f>
        <v>43837.666666666599</v>
      </c>
      <c r="J258" s="2">
        <f ca="1">IFERROR(__xludf.DUMMYFUNCTION("""COMPUTED_VALUE"""),1393.34)</f>
        <v>1393.34</v>
      </c>
      <c r="K258" s="3">
        <f ca="1">IFERROR(__xludf.DUMMYFUNCTION("""COMPUTED_VALUE"""),43837.6666666666)</f>
        <v>43837.666666666599</v>
      </c>
      <c r="L258" s="2">
        <f ca="1">IFERROR(__xludf.DUMMYFUNCTION("""COMPUTED_VALUE"""),213.06)</f>
        <v>213.06</v>
      </c>
      <c r="M258" s="3">
        <f ca="1">IFERROR(__xludf.DUMMYFUNCTION("""COMPUTED_VALUE"""),43837.6666666666)</f>
        <v>43837.666666666599</v>
      </c>
      <c r="N258" s="2">
        <f ca="1">IFERROR(__xludf.DUMMYFUNCTION("""COMPUTED_VALUE"""),93.81)</f>
        <v>93.81</v>
      </c>
      <c r="O258" s="3">
        <f ca="1">IFERROR(__xludf.DUMMYFUNCTION("""COMPUTED_VALUE"""),43837.6666666666)</f>
        <v>43837.666666666599</v>
      </c>
      <c r="P258" s="2">
        <f ca="1">IFERROR(__xludf.DUMMYFUNCTION("""COMPUTED_VALUE"""),59.98)</f>
        <v>59.98</v>
      </c>
      <c r="Q258" s="3">
        <f ca="1">IFERROR(__xludf.DUMMYFUNCTION("""COMPUTED_VALUE"""),43837.6666666666)</f>
        <v>43837.666666666599</v>
      </c>
      <c r="R258" s="2">
        <f ca="1">IFERROR(__xludf.DUMMYFUNCTION("""COMPUTED_VALUE"""),225.92)</f>
        <v>225.92</v>
      </c>
      <c r="S258" s="3">
        <f ca="1">IFERROR(__xludf.DUMMYFUNCTION("""COMPUTED_VALUE"""),43837.6666666666)</f>
        <v>43837.666666666599</v>
      </c>
      <c r="T258" s="2">
        <f ca="1">IFERROR(__xludf.DUMMYFUNCTION("""COMPUTED_VALUE"""),144.98)</f>
        <v>144.97999999999999</v>
      </c>
    </row>
    <row r="259" spans="1:20">
      <c r="A259" s="3">
        <f ca="1">IFERROR(__xludf.DUMMYFUNCTION("""COMPUTED_VALUE"""),43838.6666666666)</f>
        <v>43838.666666666599</v>
      </c>
      <c r="B259" s="2">
        <f ca="1">IFERROR(__xludf.DUMMYFUNCTION("""COMPUTED_VALUE"""),75.8)</f>
        <v>75.8</v>
      </c>
      <c r="C259" s="3">
        <f ca="1">IFERROR(__xludf.DUMMYFUNCTION("""COMPUTED_VALUE"""),43838.6666666666)</f>
        <v>43838.666666666599</v>
      </c>
      <c r="D259" s="2">
        <f ca="1">IFERROR(__xludf.DUMMYFUNCTION("""COMPUTED_VALUE"""),160.09)</f>
        <v>160.09</v>
      </c>
      <c r="E259" s="3">
        <f ca="1">IFERROR(__xludf.DUMMYFUNCTION("""COMPUTED_VALUE"""),43838.6666666666)</f>
        <v>43838.666666666599</v>
      </c>
      <c r="F259" s="2">
        <f ca="1">IFERROR(__xludf.DUMMYFUNCTION("""COMPUTED_VALUE"""),1891.97)</f>
        <v>1891.97</v>
      </c>
      <c r="G259" s="3">
        <f ca="1">IFERROR(__xludf.DUMMYFUNCTION("""COMPUTED_VALUE"""),43838.6666666666)</f>
        <v>43838.666666666599</v>
      </c>
      <c r="H259" s="2">
        <f ca="1">IFERROR(__xludf.DUMMYFUNCTION("""COMPUTED_VALUE"""),1405.04)</f>
        <v>1405.04</v>
      </c>
      <c r="I259" s="3">
        <f ca="1">IFERROR(__xludf.DUMMYFUNCTION("""COMPUTED_VALUE"""),43838.6666666666)</f>
        <v>43838.666666666599</v>
      </c>
      <c r="J259" s="2">
        <f ca="1">IFERROR(__xludf.DUMMYFUNCTION("""COMPUTED_VALUE"""),1404.32)</f>
        <v>1404.32</v>
      </c>
      <c r="K259" s="3">
        <f ca="1">IFERROR(__xludf.DUMMYFUNCTION("""COMPUTED_VALUE"""),43838.6666666666)</f>
        <v>43838.666666666599</v>
      </c>
      <c r="L259" s="2">
        <f ca="1">IFERROR(__xludf.DUMMYFUNCTION("""COMPUTED_VALUE"""),215.22)</f>
        <v>215.22</v>
      </c>
      <c r="M259" s="3">
        <f ca="1">IFERROR(__xludf.DUMMYFUNCTION("""COMPUTED_VALUE"""),43838.6666666666)</f>
        <v>43838.666666666599</v>
      </c>
      <c r="N259" s="2">
        <f ca="1">IFERROR(__xludf.DUMMYFUNCTION("""COMPUTED_VALUE"""),98.43)</f>
        <v>98.43</v>
      </c>
      <c r="O259" s="3">
        <f ca="1">IFERROR(__xludf.DUMMYFUNCTION("""COMPUTED_VALUE"""),43838.6666666666)</f>
        <v>43838.666666666599</v>
      </c>
      <c r="P259" s="2">
        <f ca="1">IFERROR(__xludf.DUMMYFUNCTION("""COMPUTED_VALUE"""),60.1)</f>
        <v>60.1</v>
      </c>
      <c r="Q259" s="3">
        <f ca="1">IFERROR(__xludf.DUMMYFUNCTION("""COMPUTED_VALUE"""),43838.6666666666)</f>
        <v>43838.666666666599</v>
      </c>
      <c r="R259" s="2">
        <f ca="1">IFERROR(__xludf.DUMMYFUNCTION("""COMPUTED_VALUE"""),225.99)</f>
        <v>225.99</v>
      </c>
      <c r="S259" s="3">
        <f ca="1">IFERROR(__xludf.DUMMYFUNCTION("""COMPUTED_VALUE"""),43838.6666666666)</f>
        <v>43838.666666666599</v>
      </c>
      <c r="T259" s="2">
        <f ca="1">IFERROR(__xludf.DUMMYFUNCTION("""COMPUTED_VALUE"""),144.96)</f>
        <v>144.96</v>
      </c>
    </row>
    <row r="260" spans="1:20">
      <c r="A260" s="3">
        <f ca="1">IFERROR(__xludf.DUMMYFUNCTION("""COMPUTED_VALUE"""),43839.6666666666)</f>
        <v>43839.666666666599</v>
      </c>
      <c r="B260" s="2">
        <f ca="1">IFERROR(__xludf.DUMMYFUNCTION("""COMPUTED_VALUE"""),77.41)</f>
        <v>77.41</v>
      </c>
      <c r="C260" s="3">
        <f ca="1">IFERROR(__xludf.DUMMYFUNCTION("""COMPUTED_VALUE"""),43839.6666666666)</f>
        <v>43839.666666666599</v>
      </c>
      <c r="D260" s="2">
        <f ca="1">IFERROR(__xludf.DUMMYFUNCTION("""COMPUTED_VALUE"""),162.09)</f>
        <v>162.09</v>
      </c>
      <c r="E260" s="3">
        <f ca="1">IFERROR(__xludf.DUMMYFUNCTION("""COMPUTED_VALUE"""),43839.6666666666)</f>
        <v>43839.666666666599</v>
      </c>
      <c r="F260" s="2">
        <f ca="1">IFERROR(__xludf.DUMMYFUNCTION("""COMPUTED_VALUE"""),1901.05)</f>
        <v>1901.05</v>
      </c>
      <c r="G260" s="3">
        <f ca="1">IFERROR(__xludf.DUMMYFUNCTION("""COMPUTED_VALUE"""),43839.6666666666)</f>
        <v>43839.666666666599</v>
      </c>
      <c r="H260" s="2">
        <f ca="1">IFERROR(__xludf.DUMMYFUNCTION("""COMPUTED_VALUE"""),1419.79)</f>
        <v>1419.79</v>
      </c>
      <c r="I260" s="3">
        <f ca="1">IFERROR(__xludf.DUMMYFUNCTION("""COMPUTED_VALUE"""),43839.6666666666)</f>
        <v>43839.666666666599</v>
      </c>
      <c r="J260" s="2">
        <f ca="1">IFERROR(__xludf.DUMMYFUNCTION("""COMPUTED_VALUE"""),1419.83)</f>
        <v>1419.83</v>
      </c>
      <c r="K260" s="3">
        <f ca="1">IFERROR(__xludf.DUMMYFUNCTION("""COMPUTED_VALUE"""),43839.6666666666)</f>
        <v>43839.666666666599</v>
      </c>
      <c r="L260" s="2">
        <f ca="1">IFERROR(__xludf.DUMMYFUNCTION("""COMPUTED_VALUE"""),218.3)</f>
        <v>218.3</v>
      </c>
      <c r="M260" s="3">
        <f ca="1">IFERROR(__xludf.DUMMYFUNCTION("""COMPUTED_VALUE"""),43839.6666666666)</f>
        <v>43839.666666666599</v>
      </c>
      <c r="N260" s="2">
        <f ca="1">IFERROR(__xludf.DUMMYFUNCTION("""COMPUTED_VALUE"""),96.27)</f>
        <v>96.27</v>
      </c>
      <c r="O260" s="3">
        <f ca="1">IFERROR(__xludf.DUMMYFUNCTION("""COMPUTED_VALUE"""),43839.6666666666)</f>
        <v>43839.666666666599</v>
      </c>
      <c r="P260" s="2">
        <f ca="1">IFERROR(__xludf.DUMMYFUNCTION("""COMPUTED_VALUE"""),60.76)</f>
        <v>60.76</v>
      </c>
      <c r="Q260" s="3">
        <f ca="1">IFERROR(__xludf.DUMMYFUNCTION("""COMPUTED_VALUE"""),43839.6666666666)</f>
        <v>43839.666666666599</v>
      </c>
      <c r="R260" s="2">
        <f ca="1">IFERROR(__xludf.DUMMYFUNCTION("""COMPUTED_VALUE"""),228.65)</f>
        <v>228.65</v>
      </c>
      <c r="S260" s="3">
        <f ca="1">IFERROR(__xludf.DUMMYFUNCTION("""COMPUTED_VALUE"""),43839.6666666666)</f>
        <v>43839.666666666599</v>
      </c>
      <c r="T260" s="2">
        <f ca="1">IFERROR(__xludf.DUMMYFUNCTION("""COMPUTED_VALUE"""),145.39)</f>
        <v>145.38999999999999</v>
      </c>
    </row>
    <row r="261" spans="1:20">
      <c r="A261" s="3">
        <f ca="1">IFERROR(__xludf.DUMMYFUNCTION("""COMPUTED_VALUE"""),43840.6666666666)</f>
        <v>43840.666666666599</v>
      </c>
      <c r="B261" s="2">
        <f ca="1">IFERROR(__xludf.DUMMYFUNCTION("""COMPUTED_VALUE"""),77.58)</f>
        <v>77.58</v>
      </c>
      <c r="C261" s="3">
        <f ca="1">IFERROR(__xludf.DUMMYFUNCTION("""COMPUTED_VALUE"""),43840.6666666666)</f>
        <v>43840.666666666599</v>
      </c>
      <c r="D261" s="2">
        <f ca="1">IFERROR(__xludf.DUMMYFUNCTION("""COMPUTED_VALUE"""),161.34)</f>
        <v>161.34</v>
      </c>
      <c r="E261" s="3">
        <f ca="1">IFERROR(__xludf.DUMMYFUNCTION("""COMPUTED_VALUE"""),43840.6666666666)</f>
        <v>43840.666666666599</v>
      </c>
      <c r="F261" s="2">
        <f ca="1">IFERROR(__xludf.DUMMYFUNCTION("""COMPUTED_VALUE"""),1883.16)</f>
        <v>1883.16</v>
      </c>
      <c r="G261" s="3">
        <f ca="1">IFERROR(__xludf.DUMMYFUNCTION("""COMPUTED_VALUE"""),43840.6666666666)</f>
        <v>43840.666666666599</v>
      </c>
      <c r="H261" s="2">
        <f ca="1">IFERROR(__xludf.DUMMYFUNCTION("""COMPUTED_VALUE"""),1428.96)</f>
        <v>1428.96</v>
      </c>
      <c r="I261" s="3">
        <f ca="1">IFERROR(__xludf.DUMMYFUNCTION("""COMPUTED_VALUE"""),43840.6666666666)</f>
        <v>43840.666666666599</v>
      </c>
      <c r="J261" s="2">
        <f ca="1">IFERROR(__xludf.DUMMYFUNCTION("""COMPUTED_VALUE"""),1429.73)</f>
        <v>1429.73</v>
      </c>
      <c r="K261" s="3">
        <f ca="1">IFERROR(__xludf.DUMMYFUNCTION("""COMPUTED_VALUE"""),43840.6666666666)</f>
        <v>43840.666666666599</v>
      </c>
      <c r="L261" s="2">
        <f ca="1">IFERROR(__xludf.DUMMYFUNCTION("""COMPUTED_VALUE"""),218.06)</f>
        <v>218.06</v>
      </c>
      <c r="M261" s="3">
        <f ca="1">IFERROR(__xludf.DUMMYFUNCTION("""COMPUTED_VALUE"""),43840.6666666666)</f>
        <v>43840.666666666599</v>
      </c>
      <c r="N261" s="2">
        <f ca="1">IFERROR(__xludf.DUMMYFUNCTION("""COMPUTED_VALUE"""),95.63)</f>
        <v>95.63</v>
      </c>
      <c r="O261" s="3">
        <f ca="1">IFERROR(__xludf.DUMMYFUNCTION("""COMPUTED_VALUE"""),43840.6666666666)</f>
        <v>43840.666666666599</v>
      </c>
      <c r="P261" s="2">
        <f ca="1">IFERROR(__xludf.DUMMYFUNCTION("""COMPUTED_VALUE"""),61.08)</f>
        <v>61.08</v>
      </c>
      <c r="Q261" s="3">
        <f ca="1">IFERROR(__xludf.DUMMYFUNCTION("""COMPUTED_VALUE"""),43840.6666666666)</f>
        <v>43840.666666666599</v>
      </c>
      <c r="R261" s="2">
        <f ca="1">IFERROR(__xludf.DUMMYFUNCTION("""COMPUTED_VALUE"""),226.62)</f>
        <v>226.62</v>
      </c>
      <c r="S261" s="3">
        <f ca="1">IFERROR(__xludf.DUMMYFUNCTION("""COMPUTED_VALUE"""),43840.6666666666)</f>
        <v>43840.666666666599</v>
      </c>
      <c r="T261" s="2">
        <f ca="1">IFERROR(__xludf.DUMMYFUNCTION("""COMPUTED_VALUE"""),145.06)</f>
        <v>145.06</v>
      </c>
    </row>
    <row r="262" spans="1:20">
      <c r="A262" s="3">
        <f ca="1">IFERROR(__xludf.DUMMYFUNCTION("""COMPUTED_VALUE"""),43843.6666666666)</f>
        <v>43843.666666666599</v>
      </c>
      <c r="B262" s="2">
        <f ca="1">IFERROR(__xludf.DUMMYFUNCTION("""COMPUTED_VALUE"""),79.24)</f>
        <v>79.239999999999995</v>
      </c>
      <c r="C262" s="3">
        <f ca="1">IFERROR(__xludf.DUMMYFUNCTION("""COMPUTED_VALUE"""),43843.6666666666)</f>
        <v>43843.666666666599</v>
      </c>
      <c r="D262" s="2">
        <f ca="1">IFERROR(__xludf.DUMMYFUNCTION("""COMPUTED_VALUE"""),163.28)</f>
        <v>163.28</v>
      </c>
      <c r="E262" s="3">
        <f ca="1">IFERROR(__xludf.DUMMYFUNCTION("""COMPUTED_VALUE"""),43843.6666666666)</f>
        <v>43843.666666666599</v>
      </c>
      <c r="F262" s="2">
        <f ca="1">IFERROR(__xludf.DUMMYFUNCTION("""COMPUTED_VALUE"""),1891.3)</f>
        <v>1891.3</v>
      </c>
      <c r="G262" s="3">
        <f ca="1">IFERROR(__xludf.DUMMYFUNCTION("""COMPUTED_VALUE"""),43843.6666666666)</f>
        <v>43843.666666666599</v>
      </c>
      <c r="H262" s="2">
        <f ca="1">IFERROR(__xludf.DUMMYFUNCTION("""COMPUTED_VALUE"""),1440.03)</f>
        <v>1440.03</v>
      </c>
      <c r="I262" s="3">
        <f ca="1">IFERROR(__xludf.DUMMYFUNCTION("""COMPUTED_VALUE"""),43843.6666666666)</f>
        <v>43843.666666666599</v>
      </c>
      <c r="J262" s="2">
        <f ca="1">IFERROR(__xludf.DUMMYFUNCTION("""COMPUTED_VALUE"""),1439.23)</f>
        <v>1439.23</v>
      </c>
      <c r="K262" s="3">
        <f ca="1">IFERROR(__xludf.DUMMYFUNCTION("""COMPUTED_VALUE"""),43843.6666666666)</f>
        <v>43843.666666666599</v>
      </c>
      <c r="L262" s="2">
        <f ca="1">IFERROR(__xludf.DUMMYFUNCTION("""COMPUTED_VALUE"""),221.91)</f>
        <v>221.91</v>
      </c>
      <c r="M262" s="3">
        <f ca="1">IFERROR(__xludf.DUMMYFUNCTION("""COMPUTED_VALUE"""),43843.6666666666)</f>
        <v>43843.666666666599</v>
      </c>
      <c r="N262" s="2">
        <f ca="1">IFERROR(__xludf.DUMMYFUNCTION("""COMPUTED_VALUE"""),104.97)</f>
        <v>104.97</v>
      </c>
      <c r="O262" s="3">
        <f ca="1">IFERROR(__xludf.DUMMYFUNCTION("""COMPUTED_VALUE"""),43843.6666666666)</f>
        <v>43843.666666666599</v>
      </c>
      <c r="P262" s="2">
        <f ca="1">IFERROR(__xludf.DUMMYFUNCTION("""COMPUTED_VALUE"""),63)</f>
        <v>63</v>
      </c>
      <c r="Q262" s="3">
        <f ca="1">IFERROR(__xludf.DUMMYFUNCTION("""COMPUTED_VALUE"""),43843.6666666666)</f>
        <v>43843.666666666599</v>
      </c>
      <c r="R262" s="2">
        <f ca="1">IFERROR(__xludf.DUMMYFUNCTION("""COMPUTED_VALUE"""),228.45)</f>
        <v>228.45</v>
      </c>
      <c r="S262" s="3">
        <f ca="1">IFERROR(__xludf.DUMMYFUNCTION("""COMPUTED_VALUE"""),43843.6666666666)</f>
        <v>43843.666666666599</v>
      </c>
      <c r="T262" s="2">
        <f ca="1">IFERROR(__xludf.DUMMYFUNCTION("""COMPUTED_VALUE"""),145.7)</f>
        <v>145.69999999999999</v>
      </c>
    </row>
    <row r="263" spans="1:20">
      <c r="A263" s="3">
        <f ca="1">IFERROR(__xludf.DUMMYFUNCTION("""COMPUTED_VALUE"""),43844.6666666666)</f>
        <v>43844.666666666599</v>
      </c>
      <c r="B263" s="2">
        <f ca="1">IFERROR(__xludf.DUMMYFUNCTION("""COMPUTED_VALUE"""),78.17)</f>
        <v>78.17</v>
      </c>
      <c r="C263" s="3">
        <f ca="1">IFERROR(__xludf.DUMMYFUNCTION("""COMPUTED_VALUE"""),43844.6666666666)</f>
        <v>43844.666666666599</v>
      </c>
      <c r="D263" s="2">
        <f ca="1">IFERROR(__xludf.DUMMYFUNCTION("""COMPUTED_VALUE"""),162.13)</f>
        <v>162.13</v>
      </c>
      <c r="E263" s="3">
        <f ca="1">IFERROR(__xludf.DUMMYFUNCTION("""COMPUTED_VALUE"""),43844.6666666666)</f>
        <v>43844.666666666599</v>
      </c>
      <c r="F263" s="2">
        <f ca="1">IFERROR(__xludf.DUMMYFUNCTION("""COMPUTED_VALUE"""),1869.44)</f>
        <v>1869.44</v>
      </c>
      <c r="G263" s="3">
        <f ca="1">IFERROR(__xludf.DUMMYFUNCTION("""COMPUTED_VALUE"""),43844.6666666666)</f>
        <v>43844.666666666599</v>
      </c>
      <c r="H263" s="2">
        <f ca="1">IFERROR(__xludf.DUMMYFUNCTION("""COMPUTED_VALUE"""),1430.59)</f>
        <v>1430.59</v>
      </c>
      <c r="I263" s="3">
        <f ca="1">IFERROR(__xludf.DUMMYFUNCTION("""COMPUTED_VALUE"""),43844.6666666666)</f>
        <v>43844.666666666599</v>
      </c>
      <c r="J263" s="2">
        <f ca="1">IFERROR(__xludf.DUMMYFUNCTION("""COMPUTED_VALUE"""),1430.88)</f>
        <v>1430.88</v>
      </c>
      <c r="K263" s="3">
        <f ca="1">IFERROR(__xludf.DUMMYFUNCTION("""COMPUTED_VALUE"""),43844.6666666666)</f>
        <v>43844.666666666599</v>
      </c>
      <c r="L263" s="2">
        <f ca="1">IFERROR(__xludf.DUMMYFUNCTION("""COMPUTED_VALUE"""),219.06)</f>
        <v>219.06</v>
      </c>
      <c r="M263" s="3">
        <f ca="1">IFERROR(__xludf.DUMMYFUNCTION("""COMPUTED_VALUE"""),43844.6666666666)</f>
        <v>43844.666666666599</v>
      </c>
      <c r="N263" s="2">
        <f ca="1">IFERROR(__xludf.DUMMYFUNCTION("""COMPUTED_VALUE"""),107.58)</f>
        <v>107.58</v>
      </c>
      <c r="O263" s="3">
        <f ca="1">IFERROR(__xludf.DUMMYFUNCTION("""COMPUTED_VALUE"""),43844.6666666666)</f>
        <v>43844.666666666599</v>
      </c>
      <c r="P263" s="2">
        <f ca="1">IFERROR(__xludf.DUMMYFUNCTION("""COMPUTED_VALUE"""),61.82)</f>
        <v>61.82</v>
      </c>
      <c r="Q263" s="3">
        <f ca="1">IFERROR(__xludf.DUMMYFUNCTION("""COMPUTED_VALUE"""),43844.6666666666)</f>
        <v>43844.666666666599</v>
      </c>
      <c r="R263" s="2">
        <f ca="1">IFERROR(__xludf.DUMMYFUNCTION("""COMPUTED_VALUE"""),227.17)</f>
        <v>227.17</v>
      </c>
      <c r="S263" s="3">
        <f ca="1">IFERROR(__xludf.DUMMYFUNCTION("""COMPUTED_VALUE"""),43844.6666666666)</f>
        <v>43844.666666666599</v>
      </c>
      <c r="T263" s="2">
        <f ca="1">IFERROR(__xludf.DUMMYFUNCTION("""COMPUTED_VALUE"""),146.52)</f>
        <v>146.52000000000001</v>
      </c>
    </row>
    <row r="264" spans="1:20">
      <c r="A264" s="3">
        <f ca="1">IFERROR(__xludf.DUMMYFUNCTION("""COMPUTED_VALUE"""),43845.6666666666)</f>
        <v>43845.666666666599</v>
      </c>
      <c r="B264" s="2">
        <f ca="1">IFERROR(__xludf.DUMMYFUNCTION("""COMPUTED_VALUE"""),77.83)</f>
        <v>77.83</v>
      </c>
      <c r="C264" s="3">
        <f ca="1">IFERROR(__xludf.DUMMYFUNCTION("""COMPUTED_VALUE"""),43845.6666666666)</f>
        <v>43845.666666666599</v>
      </c>
      <c r="D264" s="2">
        <f ca="1">IFERROR(__xludf.DUMMYFUNCTION("""COMPUTED_VALUE"""),163.18)</f>
        <v>163.18</v>
      </c>
      <c r="E264" s="3">
        <f ca="1">IFERROR(__xludf.DUMMYFUNCTION("""COMPUTED_VALUE"""),43845.6666666666)</f>
        <v>43845.666666666599</v>
      </c>
      <c r="F264" s="2">
        <f ca="1">IFERROR(__xludf.DUMMYFUNCTION("""COMPUTED_VALUE"""),1862.02)</f>
        <v>1862.02</v>
      </c>
      <c r="G264" s="3">
        <f ca="1">IFERROR(__xludf.DUMMYFUNCTION("""COMPUTED_VALUE"""),43845.6666666666)</f>
        <v>43845.666666666599</v>
      </c>
      <c r="H264" s="2">
        <f ca="1">IFERROR(__xludf.DUMMYFUNCTION("""COMPUTED_VALUE"""),1439.2)</f>
        <v>1439.2</v>
      </c>
      <c r="I264" s="3">
        <f ca="1">IFERROR(__xludf.DUMMYFUNCTION("""COMPUTED_VALUE"""),43845.6666666666)</f>
        <v>43845.666666666599</v>
      </c>
      <c r="J264" s="2">
        <f ca="1">IFERROR(__xludf.DUMMYFUNCTION("""COMPUTED_VALUE"""),1439.2)</f>
        <v>1439.2</v>
      </c>
      <c r="K264" s="3">
        <f ca="1">IFERROR(__xludf.DUMMYFUNCTION("""COMPUTED_VALUE"""),43845.6666666666)</f>
        <v>43845.666666666599</v>
      </c>
      <c r="L264" s="2">
        <f ca="1">IFERROR(__xludf.DUMMYFUNCTION("""COMPUTED_VALUE"""),221.15)</f>
        <v>221.15</v>
      </c>
      <c r="M264" s="3">
        <f ca="1">IFERROR(__xludf.DUMMYFUNCTION("""COMPUTED_VALUE"""),43845.6666666666)</f>
        <v>43845.666666666599</v>
      </c>
      <c r="N264" s="2">
        <f ca="1">IFERROR(__xludf.DUMMYFUNCTION("""COMPUTED_VALUE"""),103.7)</f>
        <v>103.7</v>
      </c>
      <c r="O264" s="3">
        <f ca="1">IFERROR(__xludf.DUMMYFUNCTION("""COMPUTED_VALUE"""),43845.6666666666)</f>
        <v>43845.666666666599</v>
      </c>
      <c r="P264" s="2">
        <f ca="1">IFERROR(__xludf.DUMMYFUNCTION("""COMPUTED_VALUE"""),61.39)</f>
        <v>61.39</v>
      </c>
      <c r="Q264" s="3">
        <f ca="1">IFERROR(__xludf.DUMMYFUNCTION("""COMPUTED_VALUE"""),43845.6666666666)</f>
        <v>43845.666666666599</v>
      </c>
      <c r="R264" s="2">
        <f ca="1">IFERROR(__xludf.DUMMYFUNCTION("""COMPUTED_VALUE"""),228.35)</f>
        <v>228.35</v>
      </c>
      <c r="S264" s="3">
        <f ca="1">IFERROR(__xludf.DUMMYFUNCTION("""COMPUTED_VALUE"""),43845.6666666666)</f>
        <v>43845.666666666599</v>
      </c>
      <c r="T264" s="2">
        <f ca="1">IFERROR(__xludf.DUMMYFUNCTION("""COMPUTED_VALUE"""),147.01)</f>
        <v>147.01</v>
      </c>
    </row>
    <row r="265" spans="1:20">
      <c r="A265" s="3">
        <f ca="1">IFERROR(__xludf.DUMMYFUNCTION("""COMPUTED_VALUE"""),43846.6666666666)</f>
        <v>43846.666666666599</v>
      </c>
      <c r="B265" s="2">
        <f ca="1">IFERROR(__xludf.DUMMYFUNCTION("""COMPUTED_VALUE"""),78.81)</f>
        <v>78.81</v>
      </c>
      <c r="C265" s="3">
        <f ca="1">IFERROR(__xludf.DUMMYFUNCTION("""COMPUTED_VALUE"""),43846.6666666666)</f>
        <v>43846.666666666599</v>
      </c>
      <c r="D265" s="2">
        <f ca="1">IFERROR(__xludf.DUMMYFUNCTION("""COMPUTED_VALUE"""),166.17)</f>
        <v>166.17</v>
      </c>
      <c r="E265" s="3">
        <f ca="1">IFERROR(__xludf.DUMMYFUNCTION("""COMPUTED_VALUE"""),43846.6666666666)</f>
        <v>43846.666666666599</v>
      </c>
      <c r="F265" s="2">
        <f ca="1">IFERROR(__xludf.DUMMYFUNCTION("""COMPUTED_VALUE"""),1877.94)</f>
        <v>1877.94</v>
      </c>
      <c r="G265" s="3">
        <f ca="1">IFERROR(__xludf.DUMMYFUNCTION("""COMPUTED_VALUE"""),43846.6666666666)</f>
        <v>43846.666666666599</v>
      </c>
      <c r="H265" s="2">
        <f ca="1">IFERROR(__xludf.DUMMYFUNCTION("""COMPUTED_VALUE"""),1450.16)</f>
        <v>1450.16</v>
      </c>
      <c r="I265" s="3">
        <f ca="1">IFERROR(__xludf.DUMMYFUNCTION("""COMPUTED_VALUE"""),43846.6666666666)</f>
        <v>43846.666666666599</v>
      </c>
      <c r="J265" s="2">
        <f ca="1">IFERROR(__xludf.DUMMYFUNCTION("""COMPUTED_VALUE"""),1451.7)</f>
        <v>1451.7</v>
      </c>
      <c r="K265" s="3">
        <f ca="1">IFERROR(__xludf.DUMMYFUNCTION("""COMPUTED_VALUE"""),43846.6666666666)</f>
        <v>43846.666666666599</v>
      </c>
      <c r="L265" s="2">
        <f ca="1">IFERROR(__xludf.DUMMYFUNCTION("""COMPUTED_VALUE"""),221.77)</f>
        <v>221.77</v>
      </c>
      <c r="M265" s="3">
        <f ca="1">IFERROR(__xludf.DUMMYFUNCTION("""COMPUTED_VALUE"""),43846.6666666666)</f>
        <v>43846.666666666599</v>
      </c>
      <c r="N265" s="2">
        <f ca="1">IFERROR(__xludf.DUMMYFUNCTION("""COMPUTED_VALUE"""),102.7)</f>
        <v>102.7</v>
      </c>
      <c r="O265" s="3">
        <f ca="1">IFERROR(__xludf.DUMMYFUNCTION("""COMPUTED_VALUE"""),43846.6666666666)</f>
        <v>43846.666666666599</v>
      </c>
      <c r="P265" s="2">
        <f ca="1">IFERROR(__xludf.DUMMYFUNCTION("""COMPUTED_VALUE"""),62.23)</f>
        <v>62.23</v>
      </c>
      <c r="Q265" s="3">
        <f ca="1">IFERROR(__xludf.DUMMYFUNCTION("""COMPUTED_VALUE"""),43846.6666666666)</f>
        <v>43846.666666666599</v>
      </c>
      <c r="R265" s="2">
        <f ca="1">IFERROR(__xludf.DUMMYFUNCTION("""COMPUTED_VALUE"""),229.73)</f>
        <v>229.73</v>
      </c>
      <c r="S265" s="3">
        <f ca="1">IFERROR(__xludf.DUMMYFUNCTION("""COMPUTED_VALUE"""),43846.6666666666)</f>
        <v>43846.666666666599</v>
      </c>
      <c r="T265" s="2">
        <f ca="1">IFERROR(__xludf.DUMMYFUNCTION("""COMPUTED_VALUE"""),148.2)</f>
        <v>148.19999999999999</v>
      </c>
    </row>
    <row r="266" spans="1:20">
      <c r="A266" s="3">
        <f ca="1">IFERROR(__xludf.DUMMYFUNCTION("""COMPUTED_VALUE"""),43847.6666666666)</f>
        <v>43847.666666666599</v>
      </c>
      <c r="B266" s="2">
        <f ca="1">IFERROR(__xludf.DUMMYFUNCTION("""COMPUTED_VALUE"""),79.68)</f>
        <v>79.680000000000007</v>
      </c>
      <c r="C266" s="3">
        <f ca="1">IFERROR(__xludf.DUMMYFUNCTION("""COMPUTED_VALUE"""),43847.6666666666)</f>
        <v>43847.666666666599</v>
      </c>
      <c r="D266" s="2">
        <f ca="1">IFERROR(__xludf.DUMMYFUNCTION("""COMPUTED_VALUE"""),167.1)</f>
        <v>167.1</v>
      </c>
      <c r="E266" s="3">
        <f ca="1">IFERROR(__xludf.DUMMYFUNCTION("""COMPUTED_VALUE"""),43847.6666666666)</f>
        <v>43847.666666666599</v>
      </c>
      <c r="F266" s="2">
        <f ca="1">IFERROR(__xludf.DUMMYFUNCTION("""COMPUTED_VALUE"""),1864.72)</f>
        <v>1864.72</v>
      </c>
      <c r="G266" s="3">
        <f ca="1">IFERROR(__xludf.DUMMYFUNCTION("""COMPUTED_VALUE"""),43847.6666666666)</f>
        <v>43847.666666666599</v>
      </c>
      <c r="H266" s="2">
        <f ca="1">IFERROR(__xludf.DUMMYFUNCTION("""COMPUTED_VALUE"""),1479.52)</f>
        <v>1479.52</v>
      </c>
      <c r="I266" s="3">
        <f ca="1">IFERROR(__xludf.DUMMYFUNCTION("""COMPUTED_VALUE"""),43847.6666666666)</f>
        <v>43847.666666666599</v>
      </c>
      <c r="J266" s="2">
        <f ca="1">IFERROR(__xludf.DUMMYFUNCTION("""COMPUTED_VALUE"""),1480.39)</f>
        <v>1480.39</v>
      </c>
      <c r="K266" s="3">
        <f ca="1">IFERROR(__xludf.DUMMYFUNCTION("""COMPUTED_VALUE"""),43847.6666666666)</f>
        <v>43847.666666666599</v>
      </c>
      <c r="L266" s="2">
        <f ca="1">IFERROR(__xludf.DUMMYFUNCTION("""COMPUTED_VALUE"""),222.14)</f>
        <v>222.14</v>
      </c>
      <c r="M266" s="3">
        <f ca="1">IFERROR(__xludf.DUMMYFUNCTION("""COMPUTED_VALUE"""),43847.6666666666)</f>
        <v>43847.666666666599</v>
      </c>
      <c r="N266" s="2">
        <f ca="1">IFERROR(__xludf.DUMMYFUNCTION("""COMPUTED_VALUE"""),102.1)</f>
        <v>102.1</v>
      </c>
      <c r="O266" s="3">
        <f ca="1">IFERROR(__xludf.DUMMYFUNCTION("""COMPUTED_VALUE"""),43847.6666666666)</f>
        <v>43847.666666666599</v>
      </c>
      <c r="P266" s="2">
        <f ca="1">IFERROR(__xludf.DUMMYFUNCTION("""COMPUTED_VALUE"""),62.32)</f>
        <v>62.32</v>
      </c>
      <c r="Q266" s="3">
        <f ca="1">IFERROR(__xludf.DUMMYFUNCTION("""COMPUTED_VALUE"""),43847.6666666666)</f>
        <v>43847.666666666599</v>
      </c>
      <c r="R266" s="2">
        <f ca="1">IFERROR(__xludf.DUMMYFUNCTION("""COMPUTED_VALUE"""),230.2)</f>
        <v>230.2</v>
      </c>
      <c r="S266" s="3">
        <f ca="1">IFERROR(__xludf.DUMMYFUNCTION("""COMPUTED_VALUE"""),43847.6666666666)</f>
        <v>43847.666666666599</v>
      </c>
      <c r="T266" s="2">
        <f ca="1">IFERROR(__xludf.DUMMYFUNCTION("""COMPUTED_VALUE"""),149.17)</f>
        <v>149.16999999999999</v>
      </c>
    </row>
    <row r="267" spans="1:20">
      <c r="A267" s="3">
        <f ca="1">IFERROR(__xludf.DUMMYFUNCTION("""COMPUTED_VALUE"""),43851.6666666666)</f>
        <v>43851.666666666599</v>
      </c>
      <c r="B267" s="2">
        <f ca="1">IFERROR(__xludf.DUMMYFUNCTION("""COMPUTED_VALUE"""),79.14)</f>
        <v>79.14</v>
      </c>
      <c r="C267" s="3">
        <f ca="1">IFERROR(__xludf.DUMMYFUNCTION("""COMPUTED_VALUE"""),43851.6666666666)</f>
        <v>43851.666666666599</v>
      </c>
      <c r="D267" s="2">
        <f ca="1">IFERROR(__xludf.DUMMYFUNCTION("""COMPUTED_VALUE"""),166.5)</f>
        <v>166.5</v>
      </c>
      <c r="E267" s="3">
        <f ca="1">IFERROR(__xludf.DUMMYFUNCTION("""COMPUTED_VALUE"""),43851.6666666666)</f>
        <v>43851.666666666599</v>
      </c>
      <c r="F267" s="2">
        <f ca="1">IFERROR(__xludf.DUMMYFUNCTION("""COMPUTED_VALUE"""),1892)</f>
        <v>1892</v>
      </c>
      <c r="G267" s="3">
        <f ca="1">IFERROR(__xludf.DUMMYFUNCTION("""COMPUTED_VALUE"""),43851.6666666666)</f>
        <v>43851.666666666599</v>
      </c>
      <c r="H267" s="2">
        <f ca="1">IFERROR(__xludf.DUMMYFUNCTION("""COMPUTED_VALUE"""),1482.25)</f>
        <v>1482.25</v>
      </c>
      <c r="I267" s="3">
        <f ca="1">IFERROR(__xludf.DUMMYFUNCTION("""COMPUTED_VALUE"""),43851.6666666666)</f>
        <v>43851.666666666599</v>
      </c>
      <c r="J267" s="2">
        <f ca="1">IFERROR(__xludf.DUMMYFUNCTION("""COMPUTED_VALUE"""),1484.4)</f>
        <v>1484.4</v>
      </c>
      <c r="K267" s="3">
        <f ca="1">IFERROR(__xludf.DUMMYFUNCTION("""COMPUTED_VALUE"""),43851.6666666666)</f>
        <v>43851.666666666599</v>
      </c>
      <c r="L267" s="2">
        <f ca="1">IFERROR(__xludf.DUMMYFUNCTION("""COMPUTED_VALUE"""),221.44)</f>
        <v>221.44</v>
      </c>
      <c r="M267" s="3">
        <f ca="1">IFERROR(__xludf.DUMMYFUNCTION("""COMPUTED_VALUE"""),43851.6666666666)</f>
        <v>43851.666666666599</v>
      </c>
      <c r="N267" s="2">
        <f ca="1">IFERROR(__xludf.DUMMYFUNCTION("""COMPUTED_VALUE"""),109.44)</f>
        <v>109.44</v>
      </c>
      <c r="O267" s="3">
        <f ca="1">IFERROR(__xludf.DUMMYFUNCTION("""COMPUTED_VALUE"""),43851.6666666666)</f>
        <v>43851.666666666599</v>
      </c>
      <c r="P267" s="2">
        <f ca="1">IFERROR(__xludf.DUMMYFUNCTION("""COMPUTED_VALUE"""),61.99)</f>
        <v>61.99</v>
      </c>
      <c r="Q267" s="3">
        <f ca="1">IFERROR(__xludf.DUMMYFUNCTION("""COMPUTED_VALUE"""),43851.6666666666)</f>
        <v>43851.666666666599</v>
      </c>
      <c r="R267" s="2">
        <f ca="1">IFERROR(__xludf.DUMMYFUNCTION("""COMPUTED_VALUE"""),228.63)</f>
        <v>228.63</v>
      </c>
      <c r="S267" s="3">
        <f ca="1">IFERROR(__xludf.DUMMYFUNCTION("""COMPUTED_VALUE"""),43851.6666666666)</f>
        <v>43851.666666666599</v>
      </c>
      <c r="T267" s="2">
        <f ca="1">IFERROR(__xludf.DUMMYFUNCTION("""COMPUTED_VALUE"""),149.27)</f>
        <v>149.27000000000001</v>
      </c>
    </row>
    <row r="268" spans="1:20">
      <c r="A268" s="3">
        <f ca="1">IFERROR(__xludf.DUMMYFUNCTION("""COMPUTED_VALUE"""),43852.6666666666)</f>
        <v>43852.666666666599</v>
      </c>
      <c r="B268" s="2">
        <f ca="1">IFERROR(__xludf.DUMMYFUNCTION("""COMPUTED_VALUE"""),79.43)</f>
        <v>79.430000000000007</v>
      </c>
      <c r="C268" s="3">
        <f ca="1">IFERROR(__xludf.DUMMYFUNCTION("""COMPUTED_VALUE"""),43852.6666666666)</f>
        <v>43852.666666666599</v>
      </c>
      <c r="D268" s="2">
        <f ca="1">IFERROR(__xludf.DUMMYFUNCTION("""COMPUTED_VALUE"""),165.7)</f>
        <v>165.7</v>
      </c>
      <c r="E268" s="3">
        <f ca="1">IFERROR(__xludf.DUMMYFUNCTION("""COMPUTED_VALUE"""),43852.6666666666)</f>
        <v>43852.666666666599</v>
      </c>
      <c r="F268" s="2">
        <f ca="1">IFERROR(__xludf.DUMMYFUNCTION("""COMPUTED_VALUE"""),1887.46)</f>
        <v>1887.46</v>
      </c>
      <c r="G268" s="3">
        <f ca="1">IFERROR(__xludf.DUMMYFUNCTION("""COMPUTED_VALUE"""),43852.6666666666)</f>
        <v>43852.666666666599</v>
      </c>
      <c r="H268" s="2">
        <f ca="1">IFERROR(__xludf.DUMMYFUNCTION("""COMPUTED_VALUE"""),1484.17)</f>
        <v>1484.17</v>
      </c>
      <c r="I268" s="3">
        <f ca="1">IFERROR(__xludf.DUMMYFUNCTION("""COMPUTED_VALUE"""),43852.6666666666)</f>
        <v>43852.666666666599</v>
      </c>
      <c r="J268" s="2">
        <f ca="1">IFERROR(__xludf.DUMMYFUNCTION("""COMPUTED_VALUE"""),1485.95)</f>
        <v>1485.95</v>
      </c>
      <c r="K268" s="3">
        <f ca="1">IFERROR(__xludf.DUMMYFUNCTION("""COMPUTED_VALUE"""),43852.6666666666)</f>
        <v>43852.666666666599</v>
      </c>
      <c r="L268" s="2">
        <f ca="1">IFERROR(__xludf.DUMMYFUNCTION("""COMPUTED_VALUE"""),221.32)</f>
        <v>221.32</v>
      </c>
      <c r="M268" s="3">
        <f ca="1">IFERROR(__xludf.DUMMYFUNCTION("""COMPUTED_VALUE"""),43852.6666666666)</f>
        <v>43852.666666666599</v>
      </c>
      <c r="N268" s="2">
        <f ca="1">IFERROR(__xludf.DUMMYFUNCTION("""COMPUTED_VALUE"""),113.91)</f>
        <v>113.91</v>
      </c>
      <c r="O268" s="3">
        <f ca="1">IFERROR(__xludf.DUMMYFUNCTION("""COMPUTED_VALUE"""),43852.6666666666)</f>
        <v>43852.666666666599</v>
      </c>
      <c r="P268" s="2">
        <f ca="1">IFERROR(__xludf.DUMMYFUNCTION("""COMPUTED_VALUE"""),62.51)</f>
        <v>62.51</v>
      </c>
      <c r="Q268" s="3">
        <f ca="1">IFERROR(__xludf.DUMMYFUNCTION("""COMPUTED_VALUE"""),43852.6666666666)</f>
        <v>43852.666666666599</v>
      </c>
      <c r="R268" s="2">
        <f ca="1">IFERROR(__xludf.DUMMYFUNCTION("""COMPUTED_VALUE"""),229.54)</f>
        <v>229.54</v>
      </c>
      <c r="S268" s="3">
        <f ca="1">IFERROR(__xludf.DUMMYFUNCTION("""COMPUTED_VALUE"""),43852.6666666666)</f>
        <v>43852.666666666599</v>
      </c>
      <c r="T268" s="2">
        <f ca="1">IFERROR(__xludf.DUMMYFUNCTION("""COMPUTED_VALUE"""),148.25)</f>
        <v>148.25</v>
      </c>
    </row>
    <row r="269" spans="1:20">
      <c r="A269" s="3">
        <f ca="1">IFERROR(__xludf.DUMMYFUNCTION("""COMPUTED_VALUE"""),43853.6666666666)</f>
        <v>43853.666666666599</v>
      </c>
      <c r="B269" s="2">
        <f ca="1">IFERROR(__xludf.DUMMYFUNCTION("""COMPUTED_VALUE"""),79.81)</f>
        <v>79.81</v>
      </c>
      <c r="C269" s="3">
        <f ca="1">IFERROR(__xludf.DUMMYFUNCTION("""COMPUTED_VALUE"""),43853.6666666666)</f>
        <v>43853.666666666599</v>
      </c>
      <c r="D269" s="2">
        <f ca="1">IFERROR(__xludf.DUMMYFUNCTION("""COMPUTED_VALUE"""),166.72)</f>
        <v>166.72</v>
      </c>
      <c r="E269" s="3">
        <f ca="1">IFERROR(__xludf.DUMMYFUNCTION("""COMPUTED_VALUE"""),43853.6666666666)</f>
        <v>43853.666666666599</v>
      </c>
      <c r="F269" s="2">
        <f ca="1">IFERROR(__xludf.DUMMYFUNCTION("""COMPUTED_VALUE"""),1884.58)</f>
        <v>1884.58</v>
      </c>
      <c r="G269" s="3">
        <f ca="1">IFERROR(__xludf.DUMMYFUNCTION("""COMPUTED_VALUE"""),43853.6666666666)</f>
        <v>43853.666666666599</v>
      </c>
      <c r="H269" s="2">
        <f ca="1">IFERROR(__xludf.DUMMYFUNCTION("""COMPUTED_VALUE"""),1484.69)</f>
        <v>1484.69</v>
      </c>
      <c r="I269" s="3">
        <f ca="1">IFERROR(__xludf.DUMMYFUNCTION("""COMPUTED_VALUE"""),43853.6666666666)</f>
        <v>43853.666666666599</v>
      </c>
      <c r="J269" s="2">
        <f ca="1">IFERROR(__xludf.DUMMYFUNCTION("""COMPUTED_VALUE"""),1486.65)</f>
        <v>1486.65</v>
      </c>
      <c r="K269" s="3">
        <f ca="1">IFERROR(__xludf.DUMMYFUNCTION("""COMPUTED_VALUE"""),43853.6666666666)</f>
        <v>43853.666666666599</v>
      </c>
      <c r="L269" s="2">
        <f ca="1">IFERROR(__xludf.DUMMYFUNCTION("""COMPUTED_VALUE"""),219.76)</f>
        <v>219.76</v>
      </c>
      <c r="M269" s="3">
        <f ca="1">IFERROR(__xludf.DUMMYFUNCTION("""COMPUTED_VALUE"""),43853.6666666666)</f>
        <v>43853.666666666599</v>
      </c>
      <c r="N269" s="2">
        <f ca="1">IFERROR(__xludf.DUMMYFUNCTION("""COMPUTED_VALUE"""),114.44)</f>
        <v>114.44</v>
      </c>
      <c r="O269" s="3">
        <f ca="1">IFERROR(__xludf.DUMMYFUNCTION("""COMPUTED_VALUE"""),43853.6666666666)</f>
        <v>43853.666666666599</v>
      </c>
      <c r="P269" s="2">
        <f ca="1">IFERROR(__xludf.DUMMYFUNCTION("""COMPUTED_VALUE"""),63.22)</f>
        <v>63.22</v>
      </c>
      <c r="Q269" s="3">
        <f ca="1">IFERROR(__xludf.DUMMYFUNCTION("""COMPUTED_VALUE"""),43853.6666666666)</f>
        <v>43853.666666666599</v>
      </c>
      <c r="R269" s="2">
        <f ca="1">IFERROR(__xludf.DUMMYFUNCTION("""COMPUTED_VALUE"""),229.38)</f>
        <v>229.38</v>
      </c>
      <c r="S269" s="3">
        <f ca="1">IFERROR(__xludf.DUMMYFUNCTION("""COMPUTED_VALUE"""),43853.6666666666)</f>
        <v>43853.666666666599</v>
      </c>
      <c r="T269" s="2">
        <f ca="1">IFERROR(__xludf.DUMMYFUNCTION("""COMPUTED_VALUE"""),148.53)</f>
        <v>148.53</v>
      </c>
    </row>
    <row r="270" spans="1:20">
      <c r="A270" s="3">
        <f ca="1">IFERROR(__xludf.DUMMYFUNCTION("""COMPUTED_VALUE"""),43854.6666666666)</f>
        <v>43854.666666666599</v>
      </c>
      <c r="B270" s="2">
        <f ca="1">IFERROR(__xludf.DUMMYFUNCTION("""COMPUTED_VALUE"""),79.58)</f>
        <v>79.58</v>
      </c>
      <c r="C270" s="3">
        <f ca="1">IFERROR(__xludf.DUMMYFUNCTION("""COMPUTED_VALUE"""),43854.6666666666)</f>
        <v>43854.666666666599</v>
      </c>
      <c r="D270" s="2">
        <f ca="1">IFERROR(__xludf.DUMMYFUNCTION("""COMPUTED_VALUE"""),165.04)</f>
        <v>165.04</v>
      </c>
      <c r="E270" s="3">
        <f ca="1">IFERROR(__xludf.DUMMYFUNCTION("""COMPUTED_VALUE"""),43854.6666666666)</f>
        <v>43854.666666666599</v>
      </c>
      <c r="F270" s="2">
        <f ca="1">IFERROR(__xludf.DUMMYFUNCTION("""COMPUTED_VALUE"""),1861.64)</f>
        <v>1861.64</v>
      </c>
      <c r="G270" s="3">
        <f ca="1">IFERROR(__xludf.DUMMYFUNCTION("""COMPUTED_VALUE"""),43854.6666666666)</f>
        <v>43854.666666666599</v>
      </c>
      <c r="H270" s="2">
        <f ca="1">IFERROR(__xludf.DUMMYFUNCTION("""COMPUTED_VALUE"""),1466.17)</f>
        <v>1466.17</v>
      </c>
      <c r="I270" s="3">
        <f ca="1">IFERROR(__xludf.DUMMYFUNCTION("""COMPUTED_VALUE"""),43854.6666666666)</f>
        <v>43854.666666666599</v>
      </c>
      <c r="J270" s="2">
        <f ca="1">IFERROR(__xludf.DUMMYFUNCTION("""COMPUTED_VALUE"""),1466.71)</f>
        <v>1466.71</v>
      </c>
      <c r="K270" s="3">
        <f ca="1">IFERROR(__xludf.DUMMYFUNCTION("""COMPUTED_VALUE"""),43854.6666666666)</f>
        <v>43854.666666666599</v>
      </c>
      <c r="L270" s="2">
        <f ca="1">IFERROR(__xludf.DUMMYFUNCTION("""COMPUTED_VALUE"""),217.94)</f>
        <v>217.94</v>
      </c>
      <c r="M270" s="3">
        <f ca="1">IFERROR(__xludf.DUMMYFUNCTION("""COMPUTED_VALUE"""),43854.6666666666)</f>
        <v>43854.666666666599</v>
      </c>
      <c r="N270" s="2">
        <f ca="1">IFERROR(__xludf.DUMMYFUNCTION("""COMPUTED_VALUE"""),112.96)</f>
        <v>112.96</v>
      </c>
      <c r="O270" s="3">
        <f ca="1">IFERROR(__xludf.DUMMYFUNCTION("""COMPUTED_VALUE"""),43854.6666666666)</f>
        <v>43854.666666666599</v>
      </c>
      <c r="P270" s="2">
        <f ca="1">IFERROR(__xludf.DUMMYFUNCTION("""COMPUTED_VALUE"""),62.62)</f>
        <v>62.62</v>
      </c>
      <c r="Q270" s="3">
        <f ca="1">IFERROR(__xludf.DUMMYFUNCTION("""COMPUTED_VALUE"""),43854.6666666666)</f>
        <v>43854.666666666599</v>
      </c>
      <c r="R270" s="2">
        <f ca="1">IFERROR(__xludf.DUMMYFUNCTION("""COMPUTED_VALUE"""),226.86)</f>
        <v>226.86</v>
      </c>
      <c r="S270" s="3">
        <f ca="1">IFERROR(__xludf.DUMMYFUNCTION("""COMPUTED_VALUE"""),43854.6666666666)</f>
        <v>43854.666666666599</v>
      </c>
      <c r="T270" s="2">
        <f ca="1">IFERROR(__xludf.DUMMYFUNCTION("""COMPUTED_VALUE"""),148.32)</f>
        <v>148.32</v>
      </c>
    </row>
    <row r="271" spans="1:20">
      <c r="A271" s="3">
        <f ca="1">IFERROR(__xludf.DUMMYFUNCTION("""COMPUTED_VALUE"""),43857.6666666666)</f>
        <v>43857.666666666599</v>
      </c>
      <c r="B271" s="2">
        <f ca="1">IFERROR(__xludf.DUMMYFUNCTION("""COMPUTED_VALUE"""),77.24)</f>
        <v>77.239999999999995</v>
      </c>
      <c r="C271" s="3">
        <f ca="1">IFERROR(__xludf.DUMMYFUNCTION("""COMPUTED_VALUE"""),43857.6666666666)</f>
        <v>43857.666666666599</v>
      </c>
      <c r="D271" s="2">
        <f ca="1">IFERROR(__xludf.DUMMYFUNCTION("""COMPUTED_VALUE"""),162.28)</f>
        <v>162.28</v>
      </c>
      <c r="E271" s="3">
        <f ca="1">IFERROR(__xludf.DUMMYFUNCTION("""COMPUTED_VALUE"""),43857.6666666666)</f>
        <v>43857.666666666599</v>
      </c>
      <c r="F271" s="2">
        <f ca="1">IFERROR(__xludf.DUMMYFUNCTION("""COMPUTED_VALUE"""),1828.34)</f>
        <v>1828.34</v>
      </c>
      <c r="G271" s="3">
        <f ca="1">IFERROR(__xludf.DUMMYFUNCTION("""COMPUTED_VALUE"""),43857.6666666666)</f>
        <v>43857.666666666599</v>
      </c>
      <c r="H271" s="2">
        <f ca="1">IFERROR(__xludf.DUMMYFUNCTION("""COMPUTED_VALUE"""),1431.73)</f>
        <v>1431.73</v>
      </c>
      <c r="I271" s="3">
        <f ca="1">IFERROR(__xludf.DUMMYFUNCTION("""COMPUTED_VALUE"""),43857.6666666666)</f>
        <v>43857.666666666599</v>
      </c>
      <c r="J271" s="2">
        <f ca="1">IFERROR(__xludf.DUMMYFUNCTION("""COMPUTED_VALUE"""),1433.9)</f>
        <v>1433.9</v>
      </c>
      <c r="K271" s="3">
        <f ca="1">IFERROR(__xludf.DUMMYFUNCTION("""COMPUTED_VALUE"""),43857.6666666666)</f>
        <v>43857.666666666599</v>
      </c>
      <c r="L271" s="2">
        <f ca="1">IFERROR(__xludf.DUMMYFUNCTION("""COMPUTED_VALUE"""),214.87)</f>
        <v>214.87</v>
      </c>
      <c r="M271" s="3">
        <f ca="1">IFERROR(__xludf.DUMMYFUNCTION("""COMPUTED_VALUE"""),43857.6666666666)</f>
        <v>43857.666666666599</v>
      </c>
      <c r="N271" s="2">
        <f ca="1">IFERROR(__xludf.DUMMYFUNCTION("""COMPUTED_VALUE"""),111.6)</f>
        <v>111.6</v>
      </c>
      <c r="O271" s="3">
        <f ca="1">IFERROR(__xludf.DUMMYFUNCTION("""COMPUTED_VALUE"""),43857.6666666666)</f>
        <v>43857.666666666599</v>
      </c>
      <c r="P271" s="2">
        <f ca="1">IFERROR(__xludf.DUMMYFUNCTION("""COMPUTED_VALUE"""),60.05)</f>
        <v>60.05</v>
      </c>
      <c r="Q271" s="3">
        <f ca="1">IFERROR(__xludf.DUMMYFUNCTION("""COMPUTED_VALUE"""),43857.6666666666)</f>
        <v>43857.666666666599</v>
      </c>
      <c r="R271" s="2">
        <f ca="1">IFERROR(__xludf.DUMMYFUNCTION("""COMPUTED_VALUE"""),222.45)</f>
        <v>222.45</v>
      </c>
      <c r="S271" s="3">
        <f ca="1">IFERROR(__xludf.DUMMYFUNCTION("""COMPUTED_VALUE"""),43857.6666666666)</f>
        <v>43857.666666666599</v>
      </c>
      <c r="T271" s="2">
        <f ca="1">IFERROR(__xludf.DUMMYFUNCTION("""COMPUTED_VALUE"""),148.75)</f>
        <v>148.75</v>
      </c>
    </row>
    <row r="272" spans="1:20">
      <c r="A272" s="3">
        <f ca="1">IFERROR(__xludf.DUMMYFUNCTION("""COMPUTED_VALUE"""),43858.6666666666)</f>
        <v>43858.666666666599</v>
      </c>
      <c r="B272" s="2">
        <f ca="1">IFERROR(__xludf.DUMMYFUNCTION("""COMPUTED_VALUE"""),79.42)</f>
        <v>79.42</v>
      </c>
      <c r="C272" s="3">
        <f ca="1">IFERROR(__xludf.DUMMYFUNCTION("""COMPUTED_VALUE"""),43858.6666666666)</f>
        <v>43858.666666666599</v>
      </c>
      <c r="D272" s="2">
        <f ca="1">IFERROR(__xludf.DUMMYFUNCTION("""COMPUTED_VALUE"""),165.46)</f>
        <v>165.46</v>
      </c>
      <c r="E272" s="3">
        <f ca="1">IFERROR(__xludf.DUMMYFUNCTION("""COMPUTED_VALUE"""),43858.6666666666)</f>
        <v>43858.666666666599</v>
      </c>
      <c r="F272" s="2">
        <f ca="1">IFERROR(__xludf.DUMMYFUNCTION("""COMPUTED_VALUE"""),1853.25)</f>
        <v>1853.25</v>
      </c>
      <c r="G272" s="3">
        <f ca="1">IFERROR(__xludf.DUMMYFUNCTION("""COMPUTED_VALUE"""),43858.6666666666)</f>
        <v>43858.666666666599</v>
      </c>
      <c r="H272" s="2">
        <f ca="1">IFERROR(__xludf.DUMMYFUNCTION("""COMPUTED_VALUE"""),1450.5)</f>
        <v>1450.5</v>
      </c>
      <c r="I272" s="3">
        <f ca="1">IFERROR(__xludf.DUMMYFUNCTION("""COMPUTED_VALUE"""),43858.6666666666)</f>
        <v>43858.666666666599</v>
      </c>
      <c r="J272" s="2">
        <f ca="1">IFERROR(__xludf.DUMMYFUNCTION("""COMPUTED_VALUE"""),1452.56)</f>
        <v>1452.56</v>
      </c>
      <c r="K272" s="3">
        <f ca="1">IFERROR(__xludf.DUMMYFUNCTION("""COMPUTED_VALUE"""),43858.6666666666)</f>
        <v>43858.666666666599</v>
      </c>
      <c r="L272" s="2">
        <f ca="1">IFERROR(__xludf.DUMMYFUNCTION("""COMPUTED_VALUE"""),217.79)</f>
        <v>217.79</v>
      </c>
      <c r="M272" s="3">
        <f ca="1">IFERROR(__xludf.DUMMYFUNCTION("""COMPUTED_VALUE"""),43858.6666666666)</f>
        <v>43858.666666666599</v>
      </c>
      <c r="N272" s="2">
        <f ca="1">IFERROR(__xludf.DUMMYFUNCTION("""COMPUTED_VALUE"""),113.38)</f>
        <v>113.38</v>
      </c>
      <c r="O272" s="3">
        <f ca="1">IFERROR(__xludf.DUMMYFUNCTION("""COMPUTED_VALUE"""),43858.6666666666)</f>
        <v>43858.666666666599</v>
      </c>
      <c r="P272" s="2">
        <f ca="1">IFERROR(__xludf.DUMMYFUNCTION("""COMPUTED_VALUE"""),61.99)</f>
        <v>61.99</v>
      </c>
      <c r="Q272" s="3">
        <f ca="1">IFERROR(__xludf.DUMMYFUNCTION("""COMPUTED_VALUE"""),43858.6666666666)</f>
        <v>43858.666666666599</v>
      </c>
      <c r="R272" s="2">
        <f ca="1">IFERROR(__xludf.DUMMYFUNCTION("""COMPUTED_VALUE"""),224.03)</f>
        <v>224.03</v>
      </c>
      <c r="S272" s="3">
        <f ca="1">IFERROR(__xludf.DUMMYFUNCTION("""COMPUTED_VALUE"""),43858.6666666666)</f>
        <v>43858.666666666599</v>
      </c>
      <c r="T272" s="2">
        <f ca="1">IFERROR(__xludf.DUMMYFUNCTION("""COMPUTED_VALUE"""),149.5)</f>
        <v>149.5</v>
      </c>
    </row>
    <row r="273" spans="1:20">
      <c r="A273" s="3">
        <f ca="1">IFERROR(__xludf.DUMMYFUNCTION("""COMPUTED_VALUE"""),43859.6666666666)</f>
        <v>43859.666666666599</v>
      </c>
      <c r="B273" s="2">
        <f ca="1">IFERROR(__xludf.DUMMYFUNCTION("""COMPUTED_VALUE"""),81.08)</f>
        <v>81.08</v>
      </c>
      <c r="C273" s="3">
        <f ca="1">IFERROR(__xludf.DUMMYFUNCTION("""COMPUTED_VALUE"""),43859.6666666666)</f>
        <v>43859.666666666599</v>
      </c>
      <c r="D273" s="2">
        <f ca="1">IFERROR(__xludf.DUMMYFUNCTION("""COMPUTED_VALUE"""),168.04)</f>
        <v>168.04</v>
      </c>
      <c r="E273" s="3">
        <f ca="1">IFERROR(__xludf.DUMMYFUNCTION("""COMPUTED_VALUE"""),43859.6666666666)</f>
        <v>43859.666666666599</v>
      </c>
      <c r="F273" s="2">
        <f ca="1">IFERROR(__xludf.DUMMYFUNCTION("""COMPUTED_VALUE"""),1858)</f>
        <v>1858</v>
      </c>
      <c r="G273" s="3">
        <f ca="1">IFERROR(__xludf.DUMMYFUNCTION("""COMPUTED_VALUE"""),43859.6666666666)</f>
        <v>43859.666666666599</v>
      </c>
      <c r="H273" s="2">
        <f ca="1">IFERROR(__xludf.DUMMYFUNCTION("""COMPUTED_VALUE"""),1456.7)</f>
        <v>1456.7</v>
      </c>
      <c r="I273" s="3">
        <f ca="1">IFERROR(__xludf.DUMMYFUNCTION("""COMPUTED_VALUE"""),43859.6666666666)</f>
        <v>43859.666666666599</v>
      </c>
      <c r="J273" s="2">
        <f ca="1">IFERROR(__xludf.DUMMYFUNCTION("""COMPUTED_VALUE"""),1458.63)</f>
        <v>1458.63</v>
      </c>
      <c r="K273" s="3">
        <f ca="1">IFERROR(__xludf.DUMMYFUNCTION("""COMPUTED_VALUE"""),43859.6666666666)</f>
        <v>43859.666666666599</v>
      </c>
      <c r="L273" s="2">
        <f ca="1">IFERROR(__xludf.DUMMYFUNCTION("""COMPUTED_VALUE"""),223.23)</f>
        <v>223.23</v>
      </c>
      <c r="M273" s="3">
        <f ca="1">IFERROR(__xludf.DUMMYFUNCTION("""COMPUTED_VALUE"""),43859.6666666666)</f>
        <v>43859.666666666599</v>
      </c>
      <c r="N273" s="2">
        <f ca="1">IFERROR(__xludf.DUMMYFUNCTION("""COMPUTED_VALUE"""),116.2)</f>
        <v>116.2</v>
      </c>
      <c r="O273" s="3">
        <f ca="1">IFERROR(__xludf.DUMMYFUNCTION("""COMPUTED_VALUE"""),43859.6666666666)</f>
        <v>43859.666666666599</v>
      </c>
      <c r="P273" s="2">
        <f ca="1">IFERROR(__xludf.DUMMYFUNCTION("""COMPUTED_VALUE"""),61.39)</f>
        <v>61.39</v>
      </c>
      <c r="Q273" s="3">
        <f ca="1">IFERROR(__xludf.DUMMYFUNCTION("""COMPUTED_VALUE"""),43859.6666666666)</f>
        <v>43859.666666666599</v>
      </c>
      <c r="R273" s="2">
        <f ca="1">IFERROR(__xludf.DUMMYFUNCTION("""COMPUTED_VALUE"""),224.5)</f>
        <v>224.5</v>
      </c>
      <c r="S273" s="3">
        <f ca="1">IFERROR(__xludf.DUMMYFUNCTION("""COMPUTED_VALUE"""),43859.6666666666)</f>
        <v>43859.666666666599</v>
      </c>
      <c r="T273" s="2">
        <f ca="1">IFERROR(__xludf.DUMMYFUNCTION("""COMPUTED_VALUE"""),150.54)</f>
        <v>150.54</v>
      </c>
    </row>
    <row r="274" spans="1:20">
      <c r="A274" s="3">
        <f ca="1">IFERROR(__xludf.DUMMYFUNCTION("""COMPUTED_VALUE"""),43860.6666666666)</f>
        <v>43860.666666666599</v>
      </c>
      <c r="B274" s="2">
        <f ca="1">IFERROR(__xludf.DUMMYFUNCTION("""COMPUTED_VALUE"""),80.97)</f>
        <v>80.97</v>
      </c>
      <c r="C274" s="3">
        <f ca="1">IFERROR(__xludf.DUMMYFUNCTION("""COMPUTED_VALUE"""),43860.6666666666)</f>
        <v>43860.666666666599</v>
      </c>
      <c r="D274" s="2">
        <f ca="1">IFERROR(__xludf.DUMMYFUNCTION("""COMPUTED_VALUE"""),172.78)</f>
        <v>172.78</v>
      </c>
      <c r="E274" s="3">
        <f ca="1">IFERROR(__xludf.DUMMYFUNCTION("""COMPUTED_VALUE"""),43860.6666666666)</f>
        <v>43860.666666666599</v>
      </c>
      <c r="F274" s="2">
        <f ca="1">IFERROR(__xludf.DUMMYFUNCTION("""COMPUTED_VALUE"""),1870.68)</f>
        <v>1870.68</v>
      </c>
      <c r="G274" s="3">
        <f ca="1">IFERROR(__xludf.DUMMYFUNCTION("""COMPUTED_VALUE"""),43860.6666666666)</f>
        <v>43860.666666666599</v>
      </c>
      <c r="H274" s="2">
        <f ca="1">IFERROR(__xludf.DUMMYFUNCTION("""COMPUTED_VALUE"""),1454.25)</f>
        <v>1454.25</v>
      </c>
      <c r="I274" s="3">
        <f ca="1">IFERROR(__xludf.DUMMYFUNCTION("""COMPUTED_VALUE"""),43860.6666666666)</f>
        <v>43860.666666666599</v>
      </c>
      <c r="J274" s="2">
        <f ca="1">IFERROR(__xludf.DUMMYFUNCTION("""COMPUTED_VALUE"""),1455.84)</f>
        <v>1455.84</v>
      </c>
      <c r="K274" s="3">
        <f ca="1">IFERROR(__xludf.DUMMYFUNCTION("""COMPUTED_VALUE"""),43860.6666666666)</f>
        <v>43860.666666666599</v>
      </c>
      <c r="L274" s="2">
        <f ca="1">IFERROR(__xludf.DUMMYFUNCTION("""COMPUTED_VALUE"""),209.53)</f>
        <v>209.53</v>
      </c>
      <c r="M274" s="3">
        <f ca="1">IFERROR(__xludf.DUMMYFUNCTION("""COMPUTED_VALUE"""),43860.6666666666)</f>
        <v>43860.666666666599</v>
      </c>
      <c r="N274" s="2">
        <f ca="1">IFERROR(__xludf.DUMMYFUNCTION("""COMPUTED_VALUE"""),128.16)</f>
        <v>128.16</v>
      </c>
      <c r="O274" s="3">
        <f ca="1">IFERROR(__xludf.DUMMYFUNCTION("""COMPUTED_VALUE"""),43860.6666666666)</f>
        <v>43860.666666666599</v>
      </c>
      <c r="P274" s="2">
        <f ca="1">IFERROR(__xludf.DUMMYFUNCTION("""COMPUTED_VALUE"""),61.45)</f>
        <v>61.45</v>
      </c>
      <c r="Q274" s="3">
        <f ca="1">IFERROR(__xludf.DUMMYFUNCTION("""COMPUTED_VALUE"""),43860.6666666666)</f>
        <v>43860.666666666599</v>
      </c>
      <c r="R274" s="2">
        <f ca="1">IFERROR(__xludf.DUMMYFUNCTION("""COMPUTED_VALUE"""),227.88)</f>
        <v>227.88</v>
      </c>
      <c r="S274" s="3">
        <f ca="1">IFERROR(__xludf.DUMMYFUNCTION("""COMPUTED_VALUE"""),43860.6666666666)</f>
        <v>43860.666666666599</v>
      </c>
      <c r="T274" s="2">
        <f ca="1">IFERROR(__xludf.DUMMYFUNCTION("""COMPUTED_VALUE"""),150.36)</f>
        <v>150.36000000000001</v>
      </c>
    </row>
    <row r="275" spans="1:20">
      <c r="A275" s="3">
        <f ca="1">IFERROR(__xludf.DUMMYFUNCTION("""COMPUTED_VALUE"""),43861.6666666666)</f>
        <v>43861.666666666599</v>
      </c>
      <c r="B275" s="2">
        <f ca="1">IFERROR(__xludf.DUMMYFUNCTION("""COMPUTED_VALUE"""),77.38)</f>
        <v>77.38</v>
      </c>
      <c r="C275" s="3">
        <f ca="1">IFERROR(__xludf.DUMMYFUNCTION("""COMPUTED_VALUE"""),43861.6666666666)</f>
        <v>43861.666666666599</v>
      </c>
      <c r="D275" s="2">
        <f ca="1">IFERROR(__xludf.DUMMYFUNCTION("""COMPUTED_VALUE"""),170.23)</f>
        <v>170.23</v>
      </c>
      <c r="E275" s="3">
        <f ca="1">IFERROR(__xludf.DUMMYFUNCTION("""COMPUTED_VALUE"""),43861.6666666666)</f>
        <v>43861.666666666599</v>
      </c>
      <c r="F275" s="2">
        <f ca="1">IFERROR(__xludf.DUMMYFUNCTION("""COMPUTED_VALUE"""),2008.72)</f>
        <v>2008.72</v>
      </c>
      <c r="G275" s="3">
        <f ca="1">IFERROR(__xludf.DUMMYFUNCTION("""COMPUTED_VALUE"""),43861.6666666666)</f>
        <v>43861.666666666599</v>
      </c>
      <c r="H275" s="2">
        <f ca="1">IFERROR(__xludf.DUMMYFUNCTION("""COMPUTED_VALUE"""),1432.78)</f>
        <v>1432.78</v>
      </c>
      <c r="I275" s="3">
        <f ca="1">IFERROR(__xludf.DUMMYFUNCTION("""COMPUTED_VALUE"""),43861.6666666666)</f>
        <v>43861.666666666599</v>
      </c>
      <c r="J275" s="2">
        <f ca="1">IFERROR(__xludf.DUMMYFUNCTION("""COMPUTED_VALUE"""),1434.23)</f>
        <v>1434.23</v>
      </c>
      <c r="K275" s="3">
        <f ca="1">IFERROR(__xludf.DUMMYFUNCTION("""COMPUTED_VALUE"""),43861.6666666666)</f>
        <v>43861.666666666599</v>
      </c>
      <c r="L275" s="2">
        <f ca="1">IFERROR(__xludf.DUMMYFUNCTION("""COMPUTED_VALUE"""),201.91)</f>
        <v>201.91</v>
      </c>
      <c r="M275" s="3">
        <f ca="1">IFERROR(__xludf.DUMMYFUNCTION("""COMPUTED_VALUE"""),43861.6666666666)</f>
        <v>43861.666666666599</v>
      </c>
      <c r="N275" s="2">
        <f ca="1">IFERROR(__xludf.DUMMYFUNCTION("""COMPUTED_VALUE"""),130.11)</f>
        <v>130.11000000000001</v>
      </c>
      <c r="O275" s="3">
        <f ca="1">IFERROR(__xludf.DUMMYFUNCTION("""COMPUTED_VALUE"""),43861.6666666666)</f>
        <v>43861.666666666599</v>
      </c>
      <c r="P275" s="2">
        <f ca="1">IFERROR(__xludf.DUMMYFUNCTION("""COMPUTED_VALUE"""),59.11)</f>
        <v>59.11</v>
      </c>
      <c r="Q275" s="3">
        <f ca="1">IFERROR(__xludf.DUMMYFUNCTION("""COMPUTED_VALUE"""),43861.6666666666)</f>
        <v>43861.666666666599</v>
      </c>
      <c r="R275" s="2">
        <f ca="1">IFERROR(__xludf.DUMMYFUNCTION("""COMPUTED_VALUE"""),224.43)</f>
        <v>224.43</v>
      </c>
      <c r="S275" s="3">
        <f ca="1">IFERROR(__xludf.DUMMYFUNCTION("""COMPUTED_VALUE"""),43861.6666666666)</f>
        <v>43861.666666666599</v>
      </c>
      <c r="T275" s="2">
        <f ca="1">IFERROR(__xludf.DUMMYFUNCTION("""COMPUTED_VALUE"""),148.87)</f>
        <v>148.87</v>
      </c>
    </row>
    <row r="276" spans="1:20">
      <c r="A276" s="3">
        <f ca="1">IFERROR(__xludf.DUMMYFUNCTION("""COMPUTED_VALUE"""),43864.6666666666)</f>
        <v>43864.666666666599</v>
      </c>
      <c r="B276" s="2">
        <f ca="1">IFERROR(__xludf.DUMMYFUNCTION("""COMPUTED_VALUE"""),77.17)</f>
        <v>77.17</v>
      </c>
      <c r="C276" s="3">
        <f ca="1">IFERROR(__xludf.DUMMYFUNCTION("""COMPUTED_VALUE"""),43864.6666666666)</f>
        <v>43864.666666666599</v>
      </c>
      <c r="D276" s="2">
        <f ca="1">IFERROR(__xludf.DUMMYFUNCTION("""COMPUTED_VALUE"""),174.38)</f>
        <v>174.38</v>
      </c>
      <c r="E276" s="3">
        <f ca="1">IFERROR(__xludf.DUMMYFUNCTION("""COMPUTED_VALUE"""),43864.6666666666)</f>
        <v>43864.666666666599</v>
      </c>
      <c r="F276" s="2">
        <f ca="1">IFERROR(__xludf.DUMMYFUNCTION("""COMPUTED_VALUE"""),2004.2)</f>
        <v>2004.2</v>
      </c>
      <c r="G276" s="3">
        <f ca="1">IFERROR(__xludf.DUMMYFUNCTION("""COMPUTED_VALUE"""),43864.6666666666)</f>
        <v>43864.666666666599</v>
      </c>
      <c r="H276" s="2">
        <f ca="1">IFERROR(__xludf.DUMMYFUNCTION("""COMPUTED_VALUE"""),1482.6)</f>
        <v>1482.6</v>
      </c>
      <c r="I276" s="3">
        <f ca="1">IFERROR(__xludf.DUMMYFUNCTION("""COMPUTED_VALUE"""),43864.6666666666)</f>
        <v>43864.666666666599</v>
      </c>
      <c r="J276" s="2">
        <f ca="1">IFERROR(__xludf.DUMMYFUNCTION("""COMPUTED_VALUE"""),1485.94)</f>
        <v>1485.94</v>
      </c>
      <c r="K276" s="3">
        <f ca="1">IFERROR(__xludf.DUMMYFUNCTION("""COMPUTED_VALUE"""),43864.6666666666)</f>
        <v>43864.666666666599</v>
      </c>
      <c r="L276" s="2">
        <f ca="1">IFERROR(__xludf.DUMMYFUNCTION("""COMPUTED_VALUE"""),204.19)</f>
        <v>204.19</v>
      </c>
      <c r="M276" s="3">
        <f ca="1">IFERROR(__xludf.DUMMYFUNCTION("""COMPUTED_VALUE"""),43864.6666666666)</f>
        <v>43864.666666666599</v>
      </c>
      <c r="N276" s="2">
        <f ca="1">IFERROR(__xludf.DUMMYFUNCTION("""COMPUTED_VALUE"""),156)</f>
        <v>156</v>
      </c>
      <c r="O276" s="3">
        <f ca="1">IFERROR(__xludf.DUMMYFUNCTION("""COMPUTED_VALUE"""),43864.6666666666)</f>
        <v>43864.666666666599</v>
      </c>
      <c r="P276" s="2">
        <f ca="1">IFERROR(__xludf.DUMMYFUNCTION("""COMPUTED_VALUE"""),60.08)</f>
        <v>60.08</v>
      </c>
      <c r="Q276" s="3">
        <f ca="1">IFERROR(__xludf.DUMMYFUNCTION("""COMPUTED_VALUE"""),43864.6666666666)</f>
        <v>43864.666666666599</v>
      </c>
      <c r="R276" s="2">
        <f ca="1">IFERROR(__xludf.DUMMYFUNCTION("""COMPUTED_VALUE"""),223.47)</f>
        <v>223.47</v>
      </c>
      <c r="S276" s="3">
        <f ca="1">IFERROR(__xludf.DUMMYFUNCTION("""COMPUTED_VALUE"""),43864.6666666666)</f>
        <v>43864.666666666599</v>
      </c>
      <c r="T276" s="2">
        <f ca="1">IFERROR(__xludf.DUMMYFUNCTION("""COMPUTED_VALUE"""),150.17)</f>
        <v>150.16999999999999</v>
      </c>
    </row>
    <row r="277" spans="1:20">
      <c r="A277" s="3">
        <f ca="1">IFERROR(__xludf.DUMMYFUNCTION("""COMPUTED_VALUE"""),43865.6666666666)</f>
        <v>43865.666666666599</v>
      </c>
      <c r="B277" s="2">
        <f ca="1">IFERROR(__xludf.DUMMYFUNCTION("""COMPUTED_VALUE"""),79.71)</f>
        <v>79.709999999999994</v>
      </c>
      <c r="C277" s="3">
        <f ca="1">IFERROR(__xludf.DUMMYFUNCTION("""COMPUTED_VALUE"""),43865.6666666666)</f>
        <v>43865.666666666599</v>
      </c>
      <c r="D277" s="2">
        <f ca="1">IFERROR(__xludf.DUMMYFUNCTION("""COMPUTED_VALUE"""),180.12)</f>
        <v>180.12</v>
      </c>
      <c r="E277" s="3">
        <f ca="1">IFERROR(__xludf.DUMMYFUNCTION("""COMPUTED_VALUE"""),43865.6666666666)</f>
        <v>43865.666666666599</v>
      </c>
      <c r="F277" s="2">
        <f ca="1">IFERROR(__xludf.DUMMYFUNCTION("""COMPUTED_VALUE"""),2049.67)</f>
        <v>2049.67</v>
      </c>
      <c r="G277" s="3">
        <f ca="1">IFERROR(__xludf.DUMMYFUNCTION("""COMPUTED_VALUE"""),43865.6666666666)</f>
        <v>43865.666666666599</v>
      </c>
      <c r="H277" s="2">
        <f ca="1">IFERROR(__xludf.DUMMYFUNCTION("""COMPUTED_VALUE"""),1445.41)</f>
        <v>1445.41</v>
      </c>
      <c r="I277" s="3">
        <f ca="1">IFERROR(__xludf.DUMMYFUNCTION("""COMPUTED_VALUE"""),43865.6666666666)</f>
        <v>43865.666666666599</v>
      </c>
      <c r="J277" s="2">
        <f ca="1">IFERROR(__xludf.DUMMYFUNCTION("""COMPUTED_VALUE"""),1447.07)</f>
        <v>1447.07</v>
      </c>
      <c r="K277" s="3">
        <f ca="1">IFERROR(__xludf.DUMMYFUNCTION("""COMPUTED_VALUE"""),43865.6666666666)</f>
        <v>43865.666666666599</v>
      </c>
      <c r="L277" s="2">
        <f ca="1">IFERROR(__xludf.DUMMYFUNCTION("""COMPUTED_VALUE"""),209.83)</f>
        <v>209.83</v>
      </c>
      <c r="M277" s="3">
        <f ca="1">IFERROR(__xludf.DUMMYFUNCTION("""COMPUTED_VALUE"""),43865.6666666666)</f>
        <v>43865.666666666599</v>
      </c>
      <c r="N277" s="2">
        <f ca="1">IFERROR(__xludf.DUMMYFUNCTION("""COMPUTED_VALUE"""),177.41)</f>
        <v>177.41</v>
      </c>
      <c r="O277" s="3">
        <f ca="1">IFERROR(__xludf.DUMMYFUNCTION("""COMPUTED_VALUE"""),43865.6666666666)</f>
        <v>43865.666666666599</v>
      </c>
      <c r="P277" s="2">
        <f ca="1">IFERROR(__xludf.DUMMYFUNCTION("""COMPUTED_VALUE"""),61.78)</f>
        <v>61.78</v>
      </c>
      <c r="Q277" s="3">
        <f ca="1">IFERROR(__xludf.DUMMYFUNCTION("""COMPUTED_VALUE"""),43865.6666666666)</f>
        <v>43865.666666666599</v>
      </c>
      <c r="R277" s="2">
        <f ca="1">IFERROR(__xludf.DUMMYFUNCTION("""COMPUTED_VALUE"""),225.08)</f>
        <v>225.08</v>
      </c>
      <c r="S277" s="3">
        <f ca="1">IFERROR(__xludf.DUMMYFUNCTION("""COMPUTED_VALUE"""),43865.6666666666)</f>
        <v>43865.666666666599</v>
      </c>
      <c r="T277" s="2">
        <f ca="1">IFERROR(__xludf.DUMMYFUNCTION("""COMPUTED_VALUE"""),151.6)</f>
        <v>151.6</v>
      </c>
    </row>
    <row r="278" spans="1:20">
      <c r="A278" s="3">
        <f ca="1">IFERROR(__xludf.DUMMYFUNCTION("""COMPUTED_VALUE"""),43866.6666666666)</f>
        <v>43866.666666666599</v>
      </c>
      <c r="B278" s="2">
        <f ca="1">IFERROR(__xludf.DUMMYFUNCTION("""COMPUTED_VALUE"""),80.36)</f>
        <v>80.36</v>
      </c>
      <c r="C278" s="3">
        <f ca="1">IFERROR(__xludf.DUMMYFUNCTION("""COMPUTED_VALUE"""),43866.6666666666)</f>
        <v>43866.666666666599</v>
      </c>
      <c r="D278" s="2">
        <f ca="1">IFERROR(__xludf.DUMMYFUNCTION("""COMPUTED_VALUE"""),179.9)</f>
        <v>179.9</v>
      </c>
      <c r="E278" s="3">
        <f ca="1">IFERROR(__xludf.DUMMYFUNCTION("""COMPUTED_VALUE"""),43866.6666666666)</f>
        <v>43866.666666666599</v>
      </c>
      <c r="F278" s="2">
        <f ca="1">IFERROR(__xludf.DUMMYFUNCTION("""COMPUTED_VALUE"""),2039.87)</f>
        <v>2039.87</v>
      </c>
      <c r="G278" s="3">
        <f ca="1">IFERROR(__xludf.DUMMYFUNCTION("""COMPUTED_VALUE"""),43866.6666666666)</f>
        <v>43866.666666666599</v>
      </c>
      <c r="H278" s="2">
        <f ca="1">IFERROR(__xludf.DUMMYFUNCTION("""COMPUTED_VALUE"""),1446.05)</f>
        <v>1446.05</v>
      </c>
      <c r="I278" s="3">
        <f ca="1">IFERROR(__xludf.DUMMYFUNCTION("""COMPUTED_VALUE"""),43866.6666666666)</f>
        <v>43866.666666666599</v>
      </c>
      <c r="J278" s="2">
        <f ca="1">IFERROR(__xludf.DUMMYFUNCTION("""COMPUTED_VALUE"""),1448.23)</f>
        <v>1448.23</v>
      </c>
      <c r="K278" s="3">
        <f ca="1">IFERROR(__xludf.DUMMYFUNCTION("""COMPUTED_VALUE"""),43866.6666666666)</f>
        <v>43866.666666666599</v>
      </c>
      <c r="L278" s="2">
        <f ca="1">IFERROR(__xludf.DUMMYFUNCTION("""COMPUTED_VALUE"""),210.11)</f>
        <v>210.11</v>
      </c>
      <c r="M278" s="3">
        <f ca="1">IFERROR(__xludf.DUMMYFUNCTION("""COMPUTED_VALUE"""),43866.6666666666)</f>
        <v>43866.666666666599</v>
      </c>
      <c r="N278" s="2">
        <f ca="1">IFERROR(__xludf.DUMMYFUNCTION("""COMPUTED_VALUE"""),146.94)</f>
        <v>146.94</v>
      </c>
      <c r="O278" s="3">
        <f ca="1">IFERROR(__xludf.DUMMYFUNCTION("""COMPUTED_VALUE"""),43866.6666666666)</f>
        <v>43866.666666666599</v>
      </c>
      <c r="P278" s="2">
        <f ca="1">IFERROR(__xludf.DUMMYFUNCTION("""COMPUTED_VALUE"""),62.69)</f>
        <v>62.69</v>
      </c>
      <c r="Q278" s="3">
        <f ca="1">IFERROR(__xludf.DUMMYFUNCTION("""COMPUTED_VALUE"""),43866.6666666666)</f>
        <v>43866.666666666599</v>
      </c>
      <c r="R278" s="2">
        <f ca="1">IFERROR(__xludf.DUMMYFUNCTION("""COMPUTED_VALUE"""),228.65)</f>
        <v>228.65</v>
      </c>
      <c r="S278" s="3">
        <f ca="1">IFERROR(__xludf.DUMMYFUNCTION("""COMPUTED_VALUE"""),43866.6666666666)</f>
        <v>43866.666666666599</v>
      </c>
      <c r="T278" s="2">
        <f ca="1">IFERROR(__xludf.DUMMYFUNCTION("""COMPUTED_VALUE"""),153.99)</f>
        <v>153.99</v>
      </c>
    </row>
    <row r="279" spans="1:20">
      <c r="A279" s="3">
        <f ca="1">IFERROR(__xludf.DUMMYFUNCTION("""COMPUTED_VALUE"""),43867.6666666666)</f>
        <v>43867.666666666599</v>
      </c>
      <c r="B279" s="2">
        <f ca="1">IFERROR(__xludf.DUMMYFUNCTION("""COMPUTED_VALUE"""),81.3)</f>
        <v>81.3</v>
      </c>
      <c r="C279" s="3">
        <f ca="1">IFERROR(__xludf.DUMMYFUNCTION("""COMPUTED_VALUE"""),43867.6666666666)</f>
        <v>43867.666666666599</v>
      </c>
      <c r="D279" s="2">
        <f ca="1">IFERROR(__xludf.DUMMYFUNCTION("""COMPUTED_VALUE"""),183.63)</f>
        <v>183.63</v>
      </c>
      <c r="E279" s="3">
        <f ca="1">IFERROR(__xludf.DUMMYFUNCTION("""COMPUTED_VALUE"""),43867.6666666666)</f>
        <v>43867.666666666599</v>
      </c>
      <c r="F279" s="2">
        <f ca="1">IFERROR(__xludf.DUMMYFUNCTION("""COMPUTED_VALUE"""),2050.23)</f>
        <v>2050.23</v>
      </c>
      <c r="G279" s="3">
        <f ca="1">IFERROR(__xludf.DUMMYFUNCTION("""COMPUTED_VALUE"""),43867.6666666666)</f>
        <v>43867.666666666599</v>
      </c>
      <c r="H279" s="2">
        <f ca="1">IFERROR(__xludf.DUMMYFUNCTION("""COMPUTED_VALUE"""),1475.97)</f>
        <v>1475.97</v>
      </c>
      <c r="I279" s="3">
        <f ca="1">IFERROR(__xludf.DUMMYFUNCTION("""COMPUTED_VALUE"""),43867.6666666666)</f>
        <v>43867.666666666599</v>
      </c>
      <c r="J279" s="2">
        <f ca="1">IFERROR(__xludf.DUMMYFUNCTION("""COMPUTED_VALUE"""),1476.23)</f>
        <v>1476.23</v>
      </c>
      <c r="K279" s="3">
        <f ca="1">IFERROR(__xludf.DUMMYFUNCTION("""COMPUTED_VALUE"""),43867.6666666666)</f>
        <v>43867.666666666599</v>
      </c>
      <c r="L279" s="2">
        <f ca="1">IFERROR(__xludf.DUMMYFUNCTION("""COMPUTED_VALUE"""),210.85)</f>
        <v>210.85</v>
      </c>
      <c r="M279" s="3">
        <f ca="1">IFERROR(__xludf.DUMMYFUNCTION("""COMPUTED_VALUE"""),43867.6666666666)</f>
        <v>43867.666666666599</v>
      </c>
      <c r="N279" s="2">
        <f ca="1">IFERROR(__xludf.DUMMYFUNCTION("""COMPUTED_VALUE"""),149.79)</f>
        <v>149.79</v>
      </c>
      <c r="O279" s="3">
        <f ca="1">IFERROR(__xludf.DUMMYFUNCTION("""COMPUTED_VALUE"""),43867.6666666666)</f>
        <v>43867.666666666599</v>
      </c>
      <c r="P279" s="2">
        <f ca="1">IFERROR(__xludf.DUMMYFUNCTION("""COMPUTED_VALUE"""),63.56)</f>
        <v>63.56</v>
      </c>
      <c r="Q279" s="3">
        <f ca="1">IFERROR(__xludf.DUMMYFUNCTION("""COMPUTED_VALUE"""),43867.6666666666)</f>
        <v>43867.666666666599</v>
      </c>
      <c r="R279" s="2">
        <f ca="1">IFERROR(__xludf.DUMMYFUNCTION("""COMPUTED_VALUE"""),229.61)</f>
        <v>229.61</v>
      </c>
      <c r="S279" s="3">
        <f ca="1">IFERROR(__xludf.DUMMYFUNCTION("""COMPUTED_VALUE"""),43867.6666666666)</f>
        <v>43867.666666666599</v>
      </c>
      <c r="T279" s="2">
        <f ca="1">IFERROR(__xludf.DUMMYFUNCTION("""COMPUTED_VALUE"""),153.53)</f>
        <v>153.53</v>
      </c>
    </row>
    <row r="280" spans="1:20">
      <c r="A280" s="3">
        <f ca="1">IFERROR(__xludf.DUMMYFUNCTION("""COMPUTED_VALUE"""),43868.6666666666)</f>
        <v>43868.666666666599</v>
      </c>
      <c r="B280" s="2">
        <f ca="1">IFERROR(__xludf.DUMMYFUNCTION("""COMPUTED_VALUE"""),80.01)</f>
        <v>80.010000000000005</v>
      </c>
      <c r="C280" s="3">
        <f ca="1">IFERROR(__xludf.DUMMYFUNCTION("""COMPUTED_VALUE"""),43868.6666666666)</f>
        <v>43868.666666666599</v>
      </c>
      <c r="D280" s="2">
        <f ca="1">IFERROR(__xludf.DUMMYFUNCTION("""COMPUTED_VALUE"""),183.89)</f>
        <v>183.89</v>
      </c>
      <c r="E280" s="3">
        <f ca="1">IFERROR(__xludf.DUMMYFUNCTION("""COMPUTED_VALUE"""),43868.6666666666)</f>
        <v>43868.666666666599</v>
      </c>
      <c r="F280" s="2">
        <f ca="1">IFERROR(__xludf.DUMMYFUNCTION("""COMPUTED_VALUE"""),2079.28)</f>
        <v>2079.2800000000002</v>
      </c>
      <c r="G280" s="3">
        <f ca="1">IFERROR(__xludf.DUMMYFUNCTION("""COMPUTED_VALUE"""),43868.6666666666)</f>
        <v>43868.666666666599</v>
      </c>
      <c r="H280" s="2">
        <f ca="1">IFERROR(__xludf.DUMMYFUNCTION("""COMPUTED_VALUE"""),1479.11)</f>
        <v>1479.11</v>
      </c>
      <c r="I280" s="3">
        <f ca="1">IFERROR(__xludf.DUMMYFUNCTION("""COMPUTED_VALUE"""),43868.6666666666)</f>
        <v>43868.666666666599</v>
      </c>
      <c r="J280" s="2">
        <f ca="1">IFERROR(__xludf.DUMMYFUNCTION("""COMPUTED_VALUE"""),1479.23)</f>
        <v>1479.23</v>
      </c>
      <c r="K280" s="3">
        <f ca="1">IFERROR(__xludf.DUMMYFUNCTION("""COMPUTED_VALUE"""),43868.6666666666)</f>
        <v>43868.666666666599</v>
      </c>
      <c r="L280" s="2">
        <f ca="1">IFERROR(__xludf.DUMMYFUNCTION("""COMPUTED_VALUE"""),212.33)</f>
        <v>212.33</v>
      </c>
      <c r="M280" s="3">
        <f ca="1">IFERROR(__xludf.DUMMYFUNCTION("""COMPUTED_VALUE"""),43868.6666666666)</f>
        <v>43868.666666666599</v>
      </c>
      <c r="N280" s="2">
        <f ca="1">IFERROR(__xludf.DUMMYFUNCTION("""COMPUTED_VALUE"""),149.61)</f>
        <v>149.61000000000001</v>
      </c>
      <c r="O280" s="3">
        <f ca="1">IFERROR(__xludf.DUMMYFUNCTION("""COMPUTED_VALUE"""),43868.6666666666)</f>
        <v>43868.666666666599</v>
      </c>
      <c r="P280" s="2">
        <f ca="1">IFERROR(__xludf.DUMMYFUNCTION("""COMPUTED_VALUE"""),62.9)</f>
        <v>62.9</v>
      </c>
      <c r="Q280" s="3">
        <f ca="1">IFERROR(__xludf.DUMMYFUNCTION("""COMPUTED_VALUE"""),43868.6666666666)</f>
        <v>43868.666666666599</v>
      </c>
      <c r="R280" s="2">
        <f ca="1">IFERROR(__xludf.DUMMYFUNCTION("""COMPUTED_VALUE"""),227.38)</f>
        <v>227.38</v>
      </c>
      <c r="S280" s="3">
        <f ca="1">IFERROR(__xludf.DUMMYFUNCTION("""COMPUTED_VALUE"""),43868.6666666666)</f>
        <v>43868.666666666599</v>
      </c>
      <c r="T280" s="2">
        <f ca="1">IFERROR(__xludf.DUMMYFUNCTION("""COMPUTED_VALUE"""),151.89)</f>
        <v>151.88999999999999</v>
      </c>
    </row>
    <row r="281" spans="1:20">
      <c r="A281" s="3">
        <f ca="1">IFERROR(__xludf.DUMMYFUNCTION("""COMPUTED_VALUE"""),43871.6666666666)</f>
        <v>43871.666666666599</v>
      </c>
      <c r="B281" s="2">
        <f ca="1">IFERROR(__xludf.DUMMYFUNCTION("""COMPUTED_VALUE"""),80.39)</f>
        <v>80.39</v>
      </c>
      <c r="C281" s="3">
        <f ca="1">IFERROR(__xludf.DUMMYFUNCTION("""COMPUTED_VALUE"""),43871.6666666666)</f>
        <v>43871.666666666599</v>
      </c>
      <c r="D281" s="2">
        <f ca="1">IFERROR(__xludf.DUMMYFUNCTION("""COMPUTED_VALUE"""),188.7)</f>
        <v>188.7</v>
      </c>
      <c r="E281" s="3">
        <f ca="1">IFERROR(__xludf.DUMMYFUNCTION("""COMPUTED_VALUE"""),43871.6666666666)</f>
        <v>43871.666666666599</v>
      </c>
      <c r="F281" s="2">
        <f ca="1">IFERROR(__xludf.DUMMYFUNCTION("""COMPUTED_VALUE"""),2133.91)</f>
        <v>2133.91</v>
      </c>
      <c r="G281" s="3">
        <f ca="1">IFERROR(__xludf.DUMMYFUNCTION("""COMPUTED_VALUE"""),43871.6666666666)</f>
        <v>43871.666666666599</v>
      </c>
      <c r="H281" s="2">
        <f ca="1">IFERROR(__xludf.DUMMYFUNCTION("""COMPUTED_VALUE"""),1508.66)</f>
        <v>1508.66</v>
      </c>
      <c r="I281" s="3">
        <f ca="1">IFERROR(__xludf.DUMMYFUNCTION("""COMPUTED_VALUE"""),43871.6666666666)</f>
        <v>43871.666666666599</v>
      </c>
      <c r="J281" s="2">
        <f ca="1">IFERROR(__xludf.DUMMYFUNCTION("""COMPUTED_VALUE"""),1508.68)</f>
        <v>1508.68</v>
      </c>
      <c r="K281" s="3">
        <f ca="1">IFERROR(__xludf.DUMMYFUNCTION("""COMPUTED_VALUE"""),43871.6666666666)</f>
        <v>43871.666666666599</v>
      </c>
      <c r="L281" s="2">
        <f ca="1">IFERROR(__xludf.DUMMYFUNCTION("""COMPUTED_VALUE"""),213.06)</f>
        <v>213.06</v>
      </c>
      <c r="M281" s="3">
        <f ca="1">IFERROR(__xludf.DUMMYFUNCTION("""COMPUTED_VALUE"""),43871.6666666666)</f>
        <v>43871.666666666599</v>
      </c>
      <c r="N281" s="2">
        <f ca="1">IFERROR(__xludf.DUMMYFUNCTION("""COMPUTED_VALUE"""),154.26)</f>
        <v>154.26</v>
      </c>
      <c r="O281" s="3">
        <f ca="1">IFERROR(__xludf.DUMMYFUNCTION("""COMPUTED_VALUE"""),43871.6666666666)</f>
        <v>43871.666666666599</v>
      </c>
      <c r="P281" s="2">
        <f ca="1">IFERROR(__xludf.DUMMYFUNCTION("""COMPUTED_VALUE"""),65.74)</f>
        <v>65.739999999999995</v>
      </c>
      <c r="Q281" s="3">
        <f ca="1">IFERROR(__xludf.DUMMYFUNCTION("""COMPUTED_VALUE"""),43871.6666666666)</f>
        <v>43871.666666666599</v>
      </c>
      <c r="R281" s="2">
        <f ca="1">IFERROR(__xludf.DUMMYFUNCTION("""COMPUTED_VALUE"""),227.11)</f>
        <v>227.11</v>
      </c>
      <c r="S281" s="3">
        <f ca="1">IFERROR(__xludf.DUMMYFUNCTION("""COMPUTED_VALUE"""),43871.6666666666)</f>
        <v>43871.666666666599</v>
      </c>
      <c r="T281" s="2">
        <f ca="1">IFERROR(__xludf.DUMMYFUNCTION("""COMPUTED_VALUE"""),151.86)</f>
        <v>151.86000000000001</v>
      </c>
    </row>
    <row r="282" spans="1:20">
      <c r="A282" s="3">
        <f ca="1">IFERROR(__xludf.DUMMYFUNCTION("""COMPUTED_VALUE"""),43872.6666666666)</f>
        <v>43872.666666666599</v>
      </c>
      <c r="B282" s="2">
        <f ca="1">IFERROR(__xludf.DUMMYFUNCTION("""COMPUTED_VALUE"""),79.9)</f>
        <v>79.900000000000006</v>
      </c>
      <c r="C282" s="3">
        <f ca="1">IFERROR(__xludf.DUMMYFUNCTION("""COMPUTED_VALUE"""),43872.6666666666)</f>
        <v>43872.666666666599</v>
      </c>
      <c r="D282" s="2">
        <f ca="1">IFERROR(__xludf.DUMMYFUNCTION("""COMPUTED_VALUE"""),184.44)</f>
        <v>184.44</v>
      </c>
      <c r="E282" s="3">
        <f ca="1">IFERROR(__xludf.DUMMYFUNCTION("""COMPUTED_VALUE"""),43872.6666666666)</f>
        <v>43872.666666666599</v>
      </c>
      <c r="F282" s="2">
        <f ca="1">IFERROR(__xludf.DUMMYFUNCTION("""COMPUTED_VALUE"""),2150.8)</f>
        <v>2150.8000000000002</v>
      </c>
      <c r="G282" s="3">
        <f ca="1">IFERROR(__xludf.DUMMYFUNCTION("""COMPUTED_VALUE"""),43872.6666666666)</f>
        <v>43872.666666666599</v>
      </c>
      <c r="H282" s="2">
        <f ca="1">IFERROR(__xludf.DUMMYFUNCTION("""COMPUTED_VALUE"""),1510.06)</f>
        <v>1510.06</v>
      </c>
      <c r="I282" s="3">
        <f ca="1">IFERROR(__xludf.DUMMYFUNCTION("""COMPUTED_VALUE"""),43872.6666666666)</f>
        <v>43872.666666666599</v>
      </c>
      <c r="J282" s="2">
        <f ca="1">IFERROR(__xludf.DUMMYFUNCTION("""COMPUTED_VALUE"""),1508.79)</f>
        <v>1508.79</v>
      </c>
      <c r="K282" s="3">
        <f ca="1">IFERROR(__xludf.DUMMYFUNCTION("""COMPUTED_VALUE"""),43872.6666666666)</f>
        <v>43872.666666666599</v>
      </c>
      <c r="L282" s="2">
        <f ca="1">IFERROR(__xludf.DUMMYFUNCTION("""COMPUTED_VALUE"""),207.19)</f>
        <v>207.19</v>
      </c>
      <c r="M282" s="3">
        <f ca="1">IFERROR(__xludf.DUMMYFUNCTION("""COMPUTED_VALUE"""),43872.6666666666)</f>
        <v>43872.666666666599</v>
      </c>
      <c r="N282" s="2">
        <f ca="1">IFERROR(__xludf.DUMMYFUNCTION("""COMPUTED_VALUE"""),154.88)</f>
        <v>154.88</v>
      </c>
      <c r="O282" s="3">
        <f ca="1">IFERROR(__xludf.DUMMYFUNCTION("""COMPUTED_VALUE"""),43872.6666666666)</f>
        <v>43872.666666666599</v>
      </c>
      <c r="P282" s="2">
        <f ca="1">IFERROR(__xludf.DUMMYFUNCTION("""COMPUTED_VALUE"""),66.97)</f>
        <v>66.97</v>
      </c>
      <c r="Q282" s="3">
        <f ca="1">IFERROR(__xludf.DUMMYFUNCTION("""COMPUTED_VALUE"""),43872.6666666666)</f>
        <v>43872.666666666599</v>
      </c>
      <c r="R282" s="2">
        <f ca="1">IFERROR(__xludf.DUMMYFUNCTION("""COMPUTED_VALUE"""),227.33)</f>
        <v>227.33</v>
      </c>
      <c r="S282" s="3">
        <f ca="1">IFERROR(__xludf.DUMMYFUNCTION("""COMPUTED_VALUE"""),43872.6666666666)</f>
        <v>43872.666666666599</v>
      </c>
      <c r="T282" s="2">
        <f ca="1">IFERROR(__xludf.DUMMYFUNCTION("""COMPUTED_VALUE"""),151.99)</f>
        <v>151.99</v>
      </c>
    </row>
    <row r="283" spans="1:20">
      <c r="A283" s="3">
        <f ca="1">IFERROR(__xludf.DUMMYFUNCTION("""COMPUTED_VALUE"""),43873.6666666666)</f>
        <v>43873.666666666599</v>
      </c>
      <c r="B283" s="2">
        <f ca="1">IFERROR(__xludf.DUMMYFUNCTION("""COMPUTED_VALUE"""),81.8)</f>
        <v>81.8</v>
      </c>
      <c r="C283" s="3">
        <f ca="1">IFERROR(__xludf.DUMMYFUNCTION("""COMPUTED_VALUE"""),43873.6666666666)</f>
        <v>43873.666666666599</v>
      </c>
      <c r="D283" s="2">
        <f ca="1">IFERROR(__xludf.DUMMYFUNCTION("""COMPUTED_VALUE"""),184.71)</f>
        <v>184.71</v>
      </c>
      <c r="E283" s="3">
        <f ca="1">IFERROR(__xludf.DUMMYFUNCTION("""COMPUTED_VALUE"""),43873.6666666666)</f>
        <v>43873.666666666599</v>
      </c>
      <c r="F283" s="2">
        <f ca="1">IFERROR(__xludf.DUMMYFUNCTION("""COMPUTED_VALUE"""),2160)</f>
        <v>2160</v>
      </c>
      <c r="G283" s="3">
        <f ca="1">IFERROR(__xludf.DUMMYFUNCTION("""COMPUTED_VALUE"""),43873.6666666666)</f>
        <v>43873.666666666599</v>
      </c>
      <c r="H283" s="2">
        <f ca="1">IFERROR(__xludf.DUMMYFUNCTION("""COMPUTED_VALUE"""),1518.63)</f>
        <v>1518.63</v>
      </c>
      <c r="I283" s="3">
        <f ca="1">IFERROR(__xludf.DUMMYFUNCTION("""COMPUTED_VALUE"""),43873.6666666666)</f>
        <v>43873.666666666599</v>
      </c>
      <c r="J283" s="2">
        <f ca="1">IFERROR(__xludf.DUMMYFUNCTION("""COMPUTED_VALUE"""),1518.27)</f>
        <v>1518.27</v>
      </c>
      <c r="K283" s="3">
        <f ca="1">IFERROR(__xludf.DUMMYFUNCTION("""COMPUTED_VALUE"""),43873.6666666666)</f>
        <v>43873.666666666599</v>
      </c>
      <c r="L283" s="2">
        <f ca="1">IFERROR(__xludf.DUMMYFUNCTION("""COMPUTED_VALUE"""),210.76)</f>
        <v>210.76</v>
      </c>
      <c r="M283" s="3">
        <f ca="1">IFERROR(__xludf.DUMMYFUNCTION("""COMPUTED_VALUE"""),43873.6666666666)</f>
        <v>43873.666666666599</v>
      </c>
      <c r="N283" s="2">
        <f ca="1">IFERROR(__xludf.DUMMYFUNCTION("""COMPUTED_VALUE"""),153.46)</f>
        <v>153.46</v>
      </c>
      <c r="O283" s="3">
        <f ca="1">IFERROR(__xludf.DUMMYFUNCTION("""COMPUTED_VALUE"""),43873.6666666666)</f>
        <v>43873.666666666599</v>
      </c>
      <c r="P283" s="2">
        <f ca="1">IFERROR(__xludf.DUMMYFUNCTION("""COMPUTED_VALUE"""),68.14)</f>
        <v>68.14</v>
      </c>
      <c r="Q283" s="3">
        <f ca="1">IFERROR(__xludf.DUMMYFUNCTION("""COMPUTED_VALUE"""),43873.6666666666)</f>
        <v>43873.666666666599</v>
      </c>
      <c r="R283" s="2">
        <f ca="1">IFERROR(__xludf.DUMMYFUNCTION("""COMPUTED_VALUE"""),227.44)</f>
        <v>227.44</v>
      </c>
      <c r="S283" s="3">
        <f ca="1">IFERROR(__xludf.DUMMYFUNCTION("""COMPUTED_VALUE"""),43873.6666666666)</f>
        <v>43873.666666666599</v>
      </c>
      <c r="T283" s="2">
        <f ca="1">IFERROR(__xludf.DUMMYFUNCTION("""COMPUTED_VALUE"""),151.09)</f>
        <v>151.09</v>
      </c>
    </row>
    <row r="284" spans="1:20">
      <c r="A284" s="3">
        <f ca="1">IFERROR(__xludf.DUMMYFUNCTION("""COMPUTED_VALUE"""),43874.6666666666)</f>
        <v>43874.666666666599</v>
      </c>
      <c r="B284" s="2">
        <f ca="1">IFERROR(__xludf.DUMMYFUNCTION("""COMPUTED_VALUE"""),81.22)</f>
        <v>81.22</v>
      </c>
      <c r="C284" s="3">
        <f ca="1">IFERROR(__xludf.DUMMYFUNCTION("""COMPUTED_VALUE"""),43874.6666666666)</f>
        <v>43874.666666666599</v>
      </c>
      <c r="D284" s="2">
        <f ca="1">IFERROR(__xludf.DUMMYFUNCTION("""COMPUTED_VALUE"""),183.71)</f>
        <v>183.71</v>
      </c>
      <c r="E284" s="3">
        <f ca="1">IFERROR(__xludf.DUMMYFUNCTION("""COMPUTED_VALUE"""),43874.6666666666)</f>
        <v>43874.666666666599</v>
      </c>
      <c r="F284" s="2">
        <f ca="1">IFERROR(__xludf.DUMMYFUNCTION("""COMPUTED_VALUE"""),2149.87)</f>
        <v>2149.87</v>
      </c>
      <c r="G284" s="3">
        <f ca="1">IFERROR(__xludf.DUMMYFUNCTION("""COMPUTED_VALUE"""),43874.6666666666)</f>
        <v>43874.666666666599</v>
      </c>
      <c r="H284" s="2">
        <f ca="1">IFERROR(__xludf.DUMMYFUNCTION("""COMPUTED_VALUE"""),1513.39)</f>
        <v>1513.39</v>
      </c>
      <c r="I284" s="3">
        <f ca="1">IFERROR(__xludf.DUMMYFUNCTION("""COMPUTED_VALUE"""),43874.6666666666)</f>
        <v>43874.666666666599</v>
      </c>
      <c r="J284" s="2">
        <f ca="1">IFERROR(__xludf.DUMMYFUNCTION("""COMPUTED_VALUE"""),1514.66)</f>
        <v>1514.66</v>
      </c>
      <c r="K284" s="3">
        <f ca="1">IFERROR(__xludf.DUMMYFUNCTION("""COMPUTED_VALUE"""),43874.6666666666)</f>
        <v>43874.666666666599</v>
      </c>
      <c r="L284" s="2">
        <f ca="1">IFERROR(__xludf.DUMMYFUNCTION("""COMPUTED_VALUE"""),213.14)</f>
        <v>213.14</v>
      </c>
      <c r="M284" s="3">
        <f ca="1">IFERROR(__xludf.DUMMYFUNCTION("""COMPUTED_VALUE"""),43874.6666666666)</f>
        <v>43874.666666666599</v>
      </c>
      <c r="N284" s="2">
        <f ca="1">IFERROR(__xludf.DUMMYFUNCTION("""COMPUTED_VALUE"""),160.8)</f>
        <v>160.80000000000001</v>
      </c>
      <c r="O284" s="3">
        <f ca="1">IFERROR(__xludf.DUMMYFUNCTION("""COMPUTED_VALUE"""),43874.6666666666)</f>
        <v>43874.666666666599</v>
      </c>
      <c r="P284" s="2">
        <f ca="1">IFERROR(__xludf.DUMMYFUNCTION("""COMPUTED_VALUE"""),67.69)</f>
        <v>67.69</v>
      </c>
      <c r="Q284" s="3">
        <f ca="1">IFERROR(__xludf.DUMMYFUNCTION("""COMPUTED_VALUE"""),43874.6666666666)</f>
        <v>43874.666666666599</v>
      </c>
      <c r="R284" s="2">
        <f ca="1">IFERROR(__xludf.DUMMYFUNCTION("""COMPUTED_VALUE"""),226.47)</f>
        <v>226.47</v>
      </c>
      <c r="S284" s="3">
        <f ca="1">IFERROR(__xludf.DUMMYFUNCTION("""COMPUTED_VALUE"""),43874.6666666666)</f>
        <v>43874.666666666599</v>
      </c>
      <c r="T284" s="2">
        <f ca="1">IFERROR(__xludf.DUMMYFUNCTION("""COMPUTED_VALUE"""),150.09)</f>
        <v>150.09</v>
      </c>
    </row>
    <row r="285" spans="1:20">
      <c r="A285" s="3">
        <f ca="1">IFERROR(__xludf.DUMMYFUNCTION("""COMPUTED_VALUE"""),43875.6666666666)</f>
        <v>43875.666666666599</v>
      </c>
      <c r="B285" s="2">
        <f ca="1">IFERROR(__xludf.DUMMYFUNCTION("""COMPUTED_VALUE"""),81.24)</f>
        <v>81.239999999999995</v>
      </c>
      <c r="C285" s="3">
        <f ca="1">IFERROR(__xludf.DUMMYFUNCTION("""COMPUTED_VALUE"""),43875.6666666666)</f>
        <v>43875.666666666599</v>
      </c>
      <c r="D285" s="2">
        <f ca="1">IFERROR(__xludf.DUMMYFUNCTION("""COMPUTED_VALUE"""),185.35)</f>
        <v>185.35</v>
      </c>
      <c r="E285" s="3">
        <f ca="1">IFERROR(__xludf.DUMMYFUNCTION("""COMPUTED_VALUE"""),43875.6666666666)</f>
        <v>43875.666666666599</v>
      </c>
      <c r="F285" s="2">
        <f ca="1">IFERROR(__xludf.DUMMYFUNCTION("""COMPUTED_VALUE"""),2134.87)</f>
        <v>2134.87</v>
      </c>
      <c r="G285" s="3">
        <f ca="1">IFERROR(__xludf.DUMMYFUNCTION("""COMPUTED_VALUE"""),43875.6666666666)</f>
        <v>43875.666666666599</v>
      </c>
      <c r="H285" s="2">
        <f ca="1">IFERROR(__xludf.DUMMYFUNCTION("""COMPUTED_VALUE"""),1518.73)</f>
        <v>1518.73</v>
      </c>
      <c r="I285" s="3">
        <f ca="1">IFERROR(__xludf.DUMMYFUNCTION("""COMPUTED_VALUE"""),43875.6666666666)</f>
        <v>43875.666666666599</v>
      </c>
      <c r="J285" s="2">
        <f ca="1">IFERROR(__xludf.DUMMYFUNCTION("""COMPUTED_VALUE"""),1520.74)</f>
        <v>1520.74</v>
      </c>
      <c r="K285" s="3">
        <f ca="1">IFERROR(__xludf.DUMMYFUNCTION("""COMPUTED_VALUE"""),43875.6666666666)</f>
        <v>43875.666666666599</v>
      </c>
      <c r="L285" s="2">
        <f ca="1">IFERROR(__xludf.DUMMYFUNCTION("""COMPUTED_VALUE"""),214.18)</f>
        <v>214.18</v>
      </c>
      <c r="M285" s="3">
        <f ca="1">IFERROR(__xludf.DUMMYFUNCTION("""COMPUTED_VALUE"""),43875.6666666666)</f>
        <v>43875.666666666599</v>
      </c>
      <c r="N285" s="2">
        <f ca="1">IFERROR(__xludf.DUMMYFUNCTION("""COMPUTED_VALUE"""),160.01)</f>
        <v>160.01</v>
      </c>
      <c r="O285" s="3">
        <f ca="1">IFERROR(__xludf.DUMMYFUNCTION("""COMPUTED_VALUE"""),43875.6666666666)</f>
        <v>43875.666666666599</v>
      </c>
      <c r="P285" s="2">
        <f ca="1">IFERROR(__xludf.DUMMYFUNCTION("""COMPUTED_VALUE"""),72.45)</f>
        <v>72.45</v>
      </c>
      <c r="Q285" s="3">
        <f ca="1">IFERROR(__xludf.DUMMYFUNCTION("""COMPUTED_VALUE"""),43875.6666666666)</f>
        <v>43875.666666666599</v>
      </c>
      <c r="R285" s="2">
        <f ca="1">IFERROR(__xludf.DUMMYFUNCTION("""COMPUTED_VALUE"""),226.8)</f>
        <v>226.8</v>
      </c>
      <c r="S285" s="3">
        <f ca="1">IFERROR(__xludf.DUMMYFUNCTION("""COMPUTED_VALUE"""),43875.6666666666)</f>
        <v>43875.666666666599</v>
      </c>
      <c r="T285" s="2">
        <f ca="1">IFERROR(__xludf.DUMMYFUNCTION("""COMPUTED_VALUE"""),150.13)</f>
        <v>150.13</v>
      </c>
    </row>
    <row r="286" spans="1:20">
      <c r="A286" s="3">
        <f ca="1">IFERROR(__xludf.DUMMYFUNCTION("""COMPUTED_VALUE"""),43879.6666666666)</f>
        <v>43879.666666666599</v>
      </c>
      <c r="B286" s="2">
        <f ca="1">IFERROR(__xludf.DUMMYFUNCTION("""COMPUTED_VALUE"""),79.75)</f>
        <v>79.75</v>
      </c>
      <c r="C286" s="3">
        <f ca="1">IFERROR(__xludf.DUMMYFUNCTION("""COMPUTED_VALUE"""),43879.6666666666)</f>
        <v>43879.666666666599</v>
      </c>
      <c r="D286" s="2">
        <f ca="1">IFERROR(__xludf.DUMMYFUNCTION("""COMPUTED_VALUE"""),187.23)</f>
        <v>187.23</v>
      </c>
      <c r="E286" s="3">
        <f ca="1">IFERROR(__xludf.DUMMYFUNCTION("""COMPUTED_VALUE"""),43879.6666666666)</f>
        <v>43879.666666666599</v>
      </c>
      <c r="F286" s="2">
        <f ca="1">IFERROR(__xludf.DUMMYFUNCTION("""COMPUTED_VALUE"""),2155.67)</f>
        <v>2155.67</v>
      </c>
      <c r="G286" s="3">
        <f ca="1">IFERROR(__xludf.DUMMYFUNCTION("""COMPUTED_VALUE"""),43879.6666666666)</f>
        <v>43879.666666666599</v>
      </c>
      <c r="H286" s="2">
        <f ca="1">IFERROR(__xludf.DUMMYFUNCTION("""COMPUTED_VALUE"""),1519.44)</f>
        <v>1519.44</v>
      </c>
      <c r="I286" s="3">
        <f ca="1">IFERROR(__xludf.DUMMYFUNCTION("""COMPUTED_VALUE"""),43879.6666666666)</f>
        <v>43879.666666666599</v>
      </c>
      <c r="J286" s="2">
        <f ca="1">IFERROR(__xludf.DUMMYFUNCTION("""COMPUTED_VALUE"""),1519.67)</f>
        <v>1519.67</v>
      </c>
      <c r="K286" s="3">
        <f ca="1">IFERROR(__xludf.DUMMYFUNCTION("""COMPUTED_VALUE"""),43879.6666666666)</f>
        <v>43879.666666666599</v>
      </c>
      <c r="L286" s="2">
        <f ca="1">IFERROR(__xludf.DUMMYFUNCTION("""COMPUTED_VALUE"""),217.8)</f>
        <v>217.8</v>
      </c>
      <c r="M286" s="3">
        <f ca="1">IFERROR(__xludf.DUMMYFUNCTION("""COMPUTED_VALUE"""),43879.6666666666)</f>
        <v>43879.666666666599</v>
      </c>
      <c r="N286" s="2">
        <f ca="1">IFERROR(__xludf.DUMMYFUNCTION("""COMPUTED_VALUE"""),171.68)</f>
        <v>171.68</v>
      </c>
      <c r="O286" s="3">
        <f ca="1">IFERROR(__xludf.DUMMYFUNCTION("""COMPUTED_VALUE"""),43879.6666666666)</f>
        <v>43879.666666666599</v>
      </c>
      <c r="P286" s="2">
        <f ca="1">IFERROR(__xludf.DUMMYFUNCTION("""COMPUTED_VALUE"""),74.14)</f>
        <v>74.14</v>
      </c>
      <c r="Q286" s="3">
        <f ca="1">IFERROR(__xludf.DUMMYFUNCTION("""COMPUTED_VALUE"""),43879.6666666666)</f>
        <v>43879.666666666599</v>
      </c>
      <c r="R286" s="2">
        <f ca="1">IFERROR(__xludf.DUMMYFUNCTION("""COMPUTED_VALUE"""),226.77)</f>
        <v>226.77</v>
      </c>
      <c r="S286" s="3">
        <f ca="1">IFERROR(__xludf.DUMMYFUNCTION("""COMPUTED_VALUE"""),43879.6666666666)</f>
        <v>43879.666666666599</v>
      </c>
      <c r="T286" s="2">
        <f ca="1">IFERROR(__xludf.DUMMYFUNCTION("""COMPUTED_VALUE"""),149.14)</f>
        <v>149.13999999999999</v>
      </c>
    </row>
    <row r="287" spans="1:20">
      <c r="A287" s="3">
        <f ca="1">IFERROR(__xludf.DUMMYFUNCTION("""COMPUTED_VALUE"""),43880.6666666666)</f>
        <v>43880.666666666599</v>
      </c>
      <c r="B287" s="2">
        <f ca="1">IFERROR(__xludf.DUMMYFUNCTION("""COMPUTED_VALUE"""),80.91)</f>
        <v>80.91</v>
      </c>
      <c r="C287" s="3">
        <f ca="1">IFERROR(__xludf.DUMMYFUNCTION("""COMPUTED_VALUE"""),43880.6666666666)</f>
        <v>43880.666666666599</v>
      </c>
      <c r="D287" s="2">
        <f ca="1">IFERROR(__xludf.DUMMYFUNCTION("""COMPUTED_VALUE"""),187.28)</f>
        <v>187.28</v>
      </c>
      <c r="E287" s="3">
        <f ca="1">IFERROR(__xludf.DUMMYFUNCTION("""COMPUTED_VALUE"""),43880.6666666666)</f>
        <v>43880.666666666599</v>
      </c>
      <c r="F287" s="2">
        <f ca="1">IFERROR(__xludf.DUMMYFUNCTION("""COMPUTED_VALUE"""),2170.22)</f>
        <v>2170.2199999999998</v>
      </c>
      <c r="G287" s="3">
        <f ca="1">IFERROR(__xludf.DUMMYFUNCTION("""COMPUTED_VALUE"""),43880.6666666666)</f>
        <v>43880.666666666599</v>
      </c>
      <c r="H287" s="2">
        <f ca="1">IFERROR(__xludf.DUMMYFUNCTION("""COMPUTED_VALUE"""),1524.87)</f>
        <v>1524.87</v>
      </c>
      <c r="I287" s="3">
        <f ca="1">IFERROR(__xludf.DUMMYFUNCTION("""COMPUTED_VALUE"""),43880.6666666666)</f>
        <v>43880.666666666599</v>
      </c>
      <c r="J287" s="2">
        <f ca="1">IFERROR(__xludf.DUMMYFUNCTION("""COMPUTED_VALUE"""),1526.69)</f>
        <v>1526.69</v>
      </c>
      <c r="K287" s="3">
        <f ca="1">IFERROR(__xludf.DUMMYFUNCTION("""COMPUTED_VALUE"""),43880.6666666666)</f>
        <v>43880.666666666599</v>
      </c>
      <c r="L287" s="2">
        <f ca="1">IFERROR(__xludf.DUMMYFUNCTION("""COMPUTED_VALUE"""),217.49)</f>
        <v>217.49</v>
      </c>
      <c r="M287" s="3">
        <f ca="1">IFERROR(__xludf.DUMMYFUNCTION("""COMPUTED_VALUE"""),43880.6666666666)</f>
        <v>43880.666666666599</v>
      </c>
      <c r="N287" s="2">
        <f ca="1">IFERROR(__xludf.DUMMYFUNCTION("""COMPUTED_VALUE"""),183.48)</f>
        <v>183.48</v>
      </c>
      <c r="O287" s="3">
        <f ca="1">IFERROR(__xludf.DUMMYFUNCTION("""COMPUTED_VALUE"""),43880.6666666666)</f>
        <v>43880.666666666599</v>
      </c>
      <c r="P287" s="2">
        <f ca="1">IFERROR(__xludf.DUMMYFUNCTION("""COMPUTED_VALUE"""),78.68)</f>
        <v>78.680000000000007</v>
      </c>
      <c r="Q287" s="3">
        <f ca="1">IFERROR(__xludf.DUMMYFUNCTION("""COMPUTED_VALUE"""),43880.6666666666)</f>
        <v>43880.666666666599</v>
      </c>
      <c r="R287" s="2">
        <f ca="1">IFERROR(__xludf.DUMMYFUNCTION("""COMPUTED_VALUE"""),229.24)</f>
        <v>229.24</v>
      </c>
      <c r="S287" s="3">
        <f ca="1">IFERROR(__xludf.DUMMYFUNCTION("""COMPUTED_VALUE"""),43880.6666666666)</f>
        <v>43880.666666666599</v>
      </c>
      <c r="T287" s="2">
        <f ca="1">IFERROR(__xludf.DUMMYFUNCTION("""COMPUTED_VALUE"""),148.94)</f>
        <v>148.94</v>
      </c>
    </row>
    <row r="288" spans="1:20">
      <c r="A288" s="3">
        <f ca="1">IFERROR(__xludf.DUMMYFUNCTION("""COMPUTED_VALUE"""),43881.6666666666)</f>
        <v>43881.666666666599</v>
      </c>
      <c r="B288" s="2">
        <f ca="1">IFERROR(__xludf.DUMMYFUNCTION("""COMPUTED_VALUE"""),80.08)</f>
        <v>80.08</v>
      </c>
      <c r="C288" s="3">
        <f ca="1">IFERROR(__xludf.DUMMYFUNCTION("""COMPUTED_VALUE"""),43881.6666666666)</f>
        <v>43881.666666666599</v>
      </c>
      <c r="D288" s="2">
        <f ca="1">IFERROR(__xludf.DUMMYFUNCTION("""COMPUTED_VALUE"""),184.42)</f>
        <v>184.42</v>
      </c>
      <c r="E288" s="3">
        <f ca="1">IFERROR(__xludf.DUMMYFUNCTION("""COMPUTED_VALUE"""),43881.6666666666)</f>
        <v>43881.666666666599</v>
      </c>
      <c r="F288" s="2">
        <f ca="1">IFERROR(__xludf.DUMMYFUNCTION("""COMPUTED_VALUE"""),2153.1)</f>
        <v>2153.1</v>
      </c>
      <c r="G288" s="3">
        <f ca="1">IFERROR(__xludf.DUMMYFUNCTION("""COMPUTED_VALUE"""),43881.6666666666)</f>
        <v>43881.666666666599</v>
      </c>
      <c r="H288" s="2">
        <f ca="1">IFERROR(__xludf.DUMMYFUNCTION("""COMPUTED_VALUE"""),1516.99)</f>
        <v>1516.99</v>
      </c>
      <c r="I288" s="3">
        <f ca="1">IFERROR(__xludf.DUMMYFUNCTION("""COMPUTED_VALUE"""),43881.6666666666)</f>
        <v>43881.666666666599</v>
      </c>
      <c r="J288" s="2">
        <f ca="1">IFERROR(__xludf.DUMMYFUNCTION("""COMPUTED_VALUE"""),1518.15)</f>
        <v>1518.15</v>
      </c>
      <c r="K288" s="3">
        <f ca="1">IFERROR(__xludf.DUMMYFUNCTION("""COMPUTED_VALUE"""),43881.6666666666)</f>
        <v>43881.666666666599</v>
      </c>
      <c r="L288" s="2">
        <f ca="1">IFERROR(__xludf.DUMMYFUNCTION("""COMPUTED_VALUE"""),214.58)</f>
        <v>214.58</v>
      </c>
      <c r="M288" s="3">
        <f ca="1">IFERROR(__xludf.DUMMYFUNCTION("""COMPUTED_VALUE"""),43881.6666666666)</f>
        <v>43881.666666666599</v>
      </c>
      <c r="N288" s="2">
        <f ca="1">IFERROR(__xludf.DUMMYFUNCTION("""COMPUTED_VALUE"""),179.88)</f>
        <v>179.88</v>
      </c>
      <c r="O288" s="3">
        <f ca="1">IFERROR(__xludf.DUMMYFUNCTION("""COMPUTED_VALUE"""),43881.6666666666)</f>
        <v>43881.666666666599</v>
      </c>
      <c r="P288" s="2">
        <f ca="1">IFERROR(__xludf.DUMMYFUNCTION("""COMPUTED_VALUE"""),77.18)</f>
        <v>77.180000000000007</v>
      </c>
      <c r="Q288" s="3">
        <f ca="1">IFERROR(__xludf.DUMMYFUNCTION("""COMPUTED_VALUE"""),43881.6666666666)</f>
        <v>43881.666666666599</v>
      </c>
      <c r="R288" s="2">
        <f ca="1">IFERROR(__xludf.DUMMYFUNCTION("""COMPUTED_VALUE"""),228.17)</f>
        <v>228.17</v>
      </c>
      <c r="S288" s="3">
        <f ca="1">IFERROR(__xludf.DUMMYFUNCTION("""COMPUTED_VALUE"""),43881.6666666666)</f>
        <v>43881.666666666599</v>
      </c>
      <c r="T288" s="2">
        <f ca="1">IFERROR(__xludf.DUMMYFUNCTION("""COMPUTED_VALUE"""),148.37)</f>
        <v>148.37</v>
      </c>
    </row>
    <row r="289" spans="1:20">
      <c r="A289" s="3">
        <f ca="1">IFERROR(__xludf.DUMMYFUNCTION("""COMPUTED_VALUE"""),43882.6666666666)</f>
        <v>43882.666666666599</v>
      </c>
      <c r="B289" s="2">
        <f ca="1">IFERROR(__xludf.DUMMYFUNCTION("""COMPUTED_VALUE"""),78.26)</f>
        <v>78.260000000000005</v>
      </c>
      <c r="C289" s="3">
        <f ca="1">IFERROR(__xludf.DUMMYFUNCTION("""COMPUTED_VALUE"""),43882.6666666666)</f>
        <v>43882.666666666599</v>
      </c>
      <c r="D289" s="2">
        <f ca="1">IFERROR(__xludf.DUMMYFUNCTION("""COMPUTED_VALUE"""),178.59)</f>
        <v>178.59</v>
      </c>
      <c r="E289" s="3">
        <f ca="1">IFERROR(__xludf.DUMMYFUNCTION("""COMPUTED_VALUE"""),43882.6666666666)</f>
        <v>43882.666666666599</v>
      </c>
      <c r="F289" s="2">
        <f ca="1">IFERROR(__xludf.DUMMYFUNCTION("""COMPUTED_VALUE"""),2095.97)</f>
        <v>2095.9699999999998</v>
      </c>
      <c r="G289" s="3">
        <f ca="1">IFERROR(__xludf.DUMMYFUNCTION("""COMPUTED_VALUE"""),43882.6666666666)</f>
        <v>43882.666666666599</v>
      </c>
      <c r="H289" s="2">
        <f ca="1">IFERROR(__xludf.DUMMYFUNCTION("""COMPUTED_VALUE"""),1483.46)</f>
        <v>1483.46</v>
      </c>
      <c r="I289" s="3">
        <f ca="1">IFERROR(__xludf.DUMMYFUNCTION("""COMPUTED_VALUE"""),43882.6666666666)</f>
        <v>43882.666666666599</v>
      </c>
      <c r="J289" s="2">
        <f ca="1">IFERROR(__xludf.DUMMYFUNCTION("""COMPUTED_VALUE"""),1485.11)</f>
        <v>1485.11</v>
      </c>
      <c r="K289" s="3">
        <f ca="1">IFERROR(__xludf.DUMMYFUNCTION("""COMPUTED_VALUE"""),43882.6666666666)</f>
        <v>43882.666666666599</v>
      </c>
      <c r="L289" s="2">
        <f ca="1">IFERROR(__xludf.DUMMYFUNCTION("""COMPUTED_VALUE"""),210.18)</f>
        <v>210.18</v>
      </c>
      <c r="M289" s="3">
        <f ca="1">IFERROR(__xludf.DUMMYFUNCTION("""COMPUTED_VALUE"""),43882.6666666666)</f>
        <v>43882.666666666599</v>
      </c>
      <c r="N289" s="2">
        <f ca="1">IFERROR(__xludf.DUMMYFUNCTION("""COMPUTED_VALUE"""),180.2)</f>
        <v>180.2</v>
      </c>
      <c r="O289" s="3">
        <f ca="1">IFERROR(__xludf.DUMMYFUNCTION("""COMPUTED_VALUE"""),43882.6666666666)</f>
        <v>43882.666666666599</v>
      </c>
      <c r="P289" s="2">
        <f ca="1">IFERROR(__xludf.DUMMYFUNCTION("""COMPUTED_VALUE"""),73.52)</f>
        <v>73.52</v>
      </c>
      <c r="Q289" s="3">
        <f ca="1">IFERROR(__xludf.DUMMYFUNCTION("""COMPUTED_VALUE"""),43882.6666666666)</f>
        <v>43882.666666666599</v>
      </c>
      <c r="R289" s="2">
        <f ca="1">IFERROR(__xludf.DUMMYFUNCTION("""COMPUTED_VALUE"""),229.33)</f>
        <v>229.33</v>
      </c>
      <c r="S289" s="3">
        <f ca="1">IFERROR(__xludf.DUMMYFUNCTION("""COMPUTED_VALUE"""),43882.6666666666)</f>
        <v>43882.666666666599</v>
      </c>
      <c r="T289" s="2">
        <f ca="1">IFERROR(__xludf.DUMMYFUNCTION("""COMPUTED_VALUE"""),149.93)</f>
        <v>149.93</v>
      </c>
    </row>
    <row r="290" spans="1:20">
      <c r="A290" s="3">
        <f ca="1">IFERROR(__xludf.DUMMYFUNCTION("""COMPUTED_VALUE"""),43885.6666666666)</f>
        <v>43885.666666666599</v>
      </c>
      <c r="B290" s="2">
        <f ca="1">IFERROR(__xludf.DUMMYFUNCTION("""COMPUTED_VALUE"""),74.55)</f>
        <v>74.55</v>
      </c>
      <c r="C290" s="3">
        <f ca="1">IFERROR(__xludf.DUMMYFUNCTION("""COMPUTED_VALUE"""),43885.6666666666)</f>
        <v>43885.666666666599</v>
      </c>
      <c r="D290" s="2">
        <f ca="1">IFERROR(__xludf.DUMMYFUNCTION("""COMPUTED_VALUE"""),170.89)</f>
        <v>170.89</v>
      </c>
      <c r="E290" s="3">
        <f ca="1">IFERROR(__xludf.DUMMYFUNCTION("""COMPUTED_VALUE"""),43885.6666666666)</f>
        <v>43885.666666666599</v>
      </c>
      <c r="F290" s="2">
        <f ca="1">IFERROR(__xludf.DUMMYFUNCTION("""COMPUTED_VALUE"""),2009.29)</f>
        <v>2009.29</v>
      </c>
      <c r="G290" s="3">
        <f ca="1">IFERROR(__xludf.DUMMYFUNCTION("""COMPUTED_VALUE"""),43885.6666666666)</f>
        <v>43885.666666666599</v>
      </c>
      <c r="H290" s="2">
        <f ca="1">IFERROR(__xludf.DUMMYFUNCTION("""COMPUTED_VALUE"""),1419.86)</f>
        <v>1419.86</v>
      </c>
      <c r="I290" s="3">
        <f ca="1">IFERROR(__xludf.DUMMYFUNCTION("""COMPUTED_VALUE"""),43885.6666666666)</f>
        <v>43885.666666666599</v>
      </c>
      <c r="J290" s="2">
        <f ca="1">IFERROR(__xludf.DUMMYFUNCTION("""COMPUTED_VALUE"""),1421.59)</f>
        <v>1421.59</v>
      </c>
      <c r="K290" s="3">
        <f ca="1">IFERROR(__xludf.DUMMYFUNCTION("""COMPUTED_VALUE"""),43885.6666666666)</f>
        <v>43885.666666666599</v>
      </c>
      <c r="L290" s="2">
        <f ca="1">IFERROR(__xludf.DUMMYFUNCTION("""COMPUTED_VALUE"""),200.72)</f>
        <v>200.72</v>
      </c>
      <c r="M290" s="3">
        <f ca="1">IFERROR(__xludf.DUMMYFUNCTION("""COMPUTED_VALUE"""),43885.6666666666)</f>
        <v>43885.666666666599</v>
      </c>
      <c r="N290" s="2">
        <f ca="1">IFERROR(__xludf.DUMMYFUNCTION("""COMPUTED_VALUE"""),166.76)</f>
        <v>166.76</v>
      </c>
      <c r="O290" s="3">
        <f ca="1">IFERROR(__xludf.DUMMYFUNCTION("""COMPUTED_VALUE"""),43885.6666666666)</f>
        <v>43885.666666666599</v>
      </c>
      <c r="P290" s="2">
        <f ca="1">IFERROR(__xludf.DUMMYFUNCTION("""COMPUTED_VALUE"""),68.32)</f>
        <v>68.319999999999993</v>
      </c>
      <c r="Q290" s="3">
        <f ca="1">IFERROR(__xludf.DUMMYFUNCTION("""COMPUTED_VALUE"""),43885.6666666666)</f>
        <v>43885.666666666599</v>
      </c>
      <c r="R290" s="2">
        <f ca="1">IFERROR(__xludf.DUMMYFUNCTION("""COMPUTED_VALUE"""),221.69)</f>
        <v>221.69</v>
      </c>
      <c r="S290" s="3">
        <f ca="1">IFERROR(__xludf.DUMMYFUNCTION("""COMPUTED_VALUE"""),43885.6666666666)</f>
        <v>43885.666666666599</v>
      </c>
      <c r="T290" s="2">
        <f ca="1">IFERROR(__xludf.DUMMYFUNCTION("""COMPUTED_VALUE"""),145.91)</f>
        <v>145.91</v>
      </c>
    </row>
    <row r="291" spans="1:20">
      <c r="A291" s="3">
        <f ca="1">IFERROR(__xludf.DUMMYFUNCTION("""COMPUTED_VALUE"""),43886.6666666666)</f>
        <v>43886.666666666599</v>
      </c>
      <c r="B291" s="2">
        <f ca="1">IFERROR(__xludf.DUMMYFUNCTION("""COMPUTED_VALUE"""),72.02)</f>
        <v>72.02</v>
      </c>
      <c r="C291" s="3">
        <f ca="1">IFERROR(__xludf.DUMMYFUNCTION("""COMPUTED_VALUE"""),43886.6666666666)</f>
        <v>43886.666666666599</v>
      </c>
      <c r="D291" s="2">
        <f ca="1">IFERROR(__xludf.DUMMYFUNCTION("""COMPUTED_VALUE"""),168.07)</f>
        <v>168.07</v>
      </c>
      <c r="E291" s="3">
        <f ca="1">IFERROR(__xludf.DUMMYFUNCTION("""COMPUTED_VALUE"""),43886.6666666666)</f>
        <v>43886.666666666599</v>
      </c>
      <c r="F291" s="2">
        <f ca="1">IFERROR(__xludf.DUMMYFUNCTION("""COMPUTED_VALUE"""),1972.74)</f>
        <v>1972.74</v>
      </c>
      <c r="G291" s="3">
        <f ca="1">IFERROR(__xludf.DUMMYFUNCTION("""COMPUTED_VALUE"""),43886.6666666666)</f>
        <v>43886.666666666599</v>
      </c>
      <c r="H291" s="2">
        <f ca="1">IFERROR(__xludf.DUMMYFUNCTION("""COMPUTED_VALUE"""),1386.32)</f>
        <v>1386.32</v>
      </c>
      <c r="I291" s="3">
        <f ca="1">IFERROR(__xludf.DUMMYFUNCTION("""COMPUTED_VALUE"""),43886.6666666666)</f>
        <v>43886.666666666599</v>
      </c>
      <c r="J291" s="2">
        <f ca="1">IFERROR(__xludf.DUMMYFUNCTION("""COMPUTED_VALUE"""),1388.45)</f>
        <v>1388.45</v>
      </c>
      <c r="K291" s="3">
        <f ca="1">IFERROR(__xludf.DUMMYFUNCTION("""COMPUTED_VALUE"""),43886.6666666666)</f>
        <v>43886.666666666599</v>
      </c>
      <c r="L291" s="2">
        <f ca="1">IFERROR(__xludf.DUMMYFUNCTION("""COMPUTED_VALUE"""),196.77)</f>
        <v>196.77</v>
      </c>
      <c r="M291" s="3">
        <f ca="1">IFERROR(__xludf.DUMMYFUNCTION("""COMPUTED_VALUE"""),43886.6666666666)</f>
        <v>43886.666666666599</v>
      </c>
      <c r="N291" s="2">
        <f ca="1">IFERROR(__xludf.DUMMYFUNCTION("""COMPUTED_VALUE"""),159.98)</f>
        <v>159.97999999999999</v>
      </c>
      <c r="O291" s="3">
        <f ca="1">IFERROR(__xludf.DUMMYFUNCTION("""COMPUTED_VALUE"""),43886.6666666666)</f>
        <v>43886.666666666599</v>
      </c>
      <c r="P291" s="2">
        <f ca="1">IFERROR(__xludf.DUMMYFUNCTION("""COMPUTED_VALUE"""),65.51)</f>
        <v>65.510000000000005</v>
      </c>
      <c r="Q291" s="3">
        <f ca="1">IFERROR(__xludf.DUMMYFUNCTION("""COMPUTED_VALUE"""),43886.6666666666)</f>
        <v>43886.666666666599</v>
      </c>
      <c r="R291" s="2">
        <f ca="1">IFERROR(__xludf.DUMMYFUNCTION("""COMPUTED_VALUE"""),218.05)</f>
        <v>218.05</v>
      </c>
      <c r="S291" s="3">
        <f ca="1">IFERROR(__xludf.DUMMYFUNCTION("""COMPUTED_VALUE"""),43886.6666666666)</f>
        <v>43886.666666666599</v>
      </c>
      <c r="T291" s="2">
        <f ca="1">IFERROR(__xludf.DUMMYFUNCTION("""COMPUTED_VALUE"""),144.65)</f>
        <v>144.65</v>
      </c>
    </row>
    <row r="292" spans="1:20">
      <c r="A292" s="3">
        <f ca="1">IFERROR(__xludf.DUMMYFUNCTION("""COMPUTED_VALUE"""),43887.6666666666)</f>
        <v>43887.666666666599</v>
      </c>
      <c r="B292" s="2">
        <f ca="1">IFERROR(__xludf.DUMMYFUNCTION("""COMPUTED_VALUE"""),73.16)</f>
        <v>73.16</v>
      </c>
      <c r="C292" s="3">
        <f ca="1">IFERROR(__xludf.DUMMYFUNCTION("""COMPUTED_VALUE"""),43887.6666666666)</f>
        <v>43887.666666666599</v>
      </c>
      <c r="D292" s="2">
        <f ca="1">IFERROR(__xludf.DUMMYFUNCTION("""COMPUTED_VALUE"""),170.17)</f>
        <v>170.17</v>
      </c>
      <c r="E292" s="3">
        <f ca="1">IFERROR(__xludf.DUMMYFUNCTION("""COMPUTED_VALUE"""),43887.6666666666)</f>
        <v>43887.666666666599</v>
      </c>
      <c r="F292" s="2">
        <f ca="1">IFERROR(__xludf.DUMMYFUNCTION("""COMPUTED_VALUE"""),1979.59)</f>
        <v>1979.59</v>
      </c>
      <c r="G292" s="3">
        <f ca="1">IFERROR(__xludf.DUMMYFUNCTION("""COMPUTED_VALUE"""),43887.6666666666)</f>
        <v>43887.666666666599</v>
      </c>
      <c r="H292" s="2">
        <f ca="1">IFERROR(__xludf.DUMMYFUNCTION("""COMPUTED_VALUE"""),1390.47)</f>
        <v>1390.47</v>
      </c>
      <c r="I292" s="3">
        <f ca="1">IFERROR(__xludf.DUMMYFUNCTION("""COMPUTED_VALUE"""),43887.6666666666)</f>
        <v>43887.666666666599</v>
      </c>
      <c r="J292" s="2">
        <f ca="1">IFERROR(__xludf.DUMMYFUNCTION("""COMPUTED_VALUE"""),1393.18)</f>
        <v>1393.18</v>
      </c>
      <c r="K292" s="3">
        <f ca="1">IFERROR(__xludf.DUMMYFUNCTION("""COMPUTED_VALUE"""),43887.6666666666)</f>
        <v>43887.666666666599</v>
      </c>
      <c r="L292" s="2">
        <f ca="1">IFERROR(__xludf.DUMMYFUNCTION("""COMPUTED_VALUE"""),197.2)</f>
        <v>197.2</v>
      </c>
      <c r="M292" s="3">
        <f ca="1">IFERROR(__xludf.DUMMYFUNCTION("""COMPUTED_VALUE"""),43887.6666666666)</f>
        <v>43887.666666666599</v>
      </c>
      <c r="N292" s="2">
        <f ca="1">IFERROR(__xludf.DUMMYFUNCTION("""COMPUTED_VALUE"""),155.76)</f>
        <v>155.76</v>
      </c>
      <c r="O292" s="3">
        <f ca="1">IFERROR(__xludf.DUMMYFUNCTION("""COMPUTED_VALUE"""),43887.6666666666)</f>
        <v>43887.666666666599</v>
      </c>
      <c r="P292" s="2">
        <f ca="1">IFERROR(__xludf.DUMMYFUNCTION("""COMPUTED_VALUE"""),66.91)</f>
        <v>66.91</v>
      </c>
      <c r="Q292" s="3">
        <f ca="1">IFERROR(__xludf.DUMMYFUNCTION("""COMPUTED_VALUE"""),43887.6666666666)</f>
        <v>43887.666666666599</v>
      </c>
      <c r="R292" s="2">
        <f ca="1">IFERROR(__xludf.DUMMYFUNCTION("""COMPUTED_VALUE"""),216.06)</f>
        <v>216.06</v>
      </c>
      <c r="S292" s="3">
        <f ca="1">IFERROR(__xludf.DUMMYFUNCTION("""COMPUTED_VALUE"""),43887.6666666666)</f>
        <v>43887.666666666599</v>
      </c>
      <c r="T292" s="2">
        <f ca="1">IFERROR(__xludf.DUMMYFUNCTION("""COMPUTED_VALUE"""),143.68)</f>
        <v>143.68</v>
      </c>
    </row>
    <row r="293" spans="1:20">
      <c r="A293" s="3">
        <f ca="1">IFERROR(__xludf.DUMMYFUNCTION("""COMPUTED_VALUE"""),43888.6666666666)</f>
        <v>43888.666666666599</v>
      </c>
      <c r="B293" s="2">
        <f ca="1">IFERROR(__xludf.DUMMYFUNCTION("""COMPUTED_VALUE"""),68.38)</f>
        <v>68.38</v>
      </c>
      <c r="C293" s="3">
        <f ca="1">IFERROR(__xludf.DUMMYFUNCTION("""COMPUTED_VALUE"""),43888.6666666666)</f>
        <v>43888.666666666599</v>
      </c>
      <c r="D293" s="2">
        <f ca="1">IFERROR(__xludf.DUMMYFUNCTION("""COMPUTED_VALUE"""),158.18)</f>
        <v>158.18</v>
      </c>
      <c r="E293" s="3">
        <f ca="1">IFERROR(__xludf.DUMMYFUNCTION("""COMPUTED_VALUE"""),43888.6666666666)</f>
        <v>43888.666666666599</v>
      </c>
      <c r="F293" s="2">
        <f ca="1">IFERROR(__xludf.DUMMYFUNCTION("""COMPUTED_VALUE"""),1884.3)</f>
        <v>1884.3</v>
      </c>
      <c r="G293" s="3">
        <f ca="1">IFERROR(__xludf.DUMMYFUNCTION("""COMPUTED_VALUE"""),43888.6666666666)</f>
        <v>43888.666666666599</v>
      </c>
      <c r="H293" s="2">
        <f ca="1">IFERROR(__xludf.DUMMYFUNCTION("""COMPUTED_VALUE"""),1314.95)</f>
        <v>1314.95</v>
      </c>
      <c r="I293" s="3">
        <f ca="1">IFERROR(__xludf.DUMMYFUNCTION("""COMPUTED_VALUE"""),43888.6666666666)</f>
        <v>43888.666666666599</v>
      </c>
      <c r="J293" s="2">
        <f ca="1">IFERROR(__xludf.DUMMYFUNCTION("""COMPUTED_VALUE"""),1318.09)</f>
        <v>1318.09</v>
      </c>
      <c r="K293" s="3">
        <f ca="1">IFERROR(__xludf.DUMMYFUNCTION("""COMPUTED_VALUE"""),43888.6666666666)</f>
        <v>43888.666666666599</v>
      </c>
      <c r="L293" s="2">
        <f ca="1">IFERROR(__xludf.DUMMYFUNCTION("""COMPUTED_VALUE"""),189.75)</f>
        <v>189.75</v>
      </c>
      <c r="M293" s="3">
        <f ca="1">IFERROR(__xludf.DUMMYFUNCTION("""COMPUTED_VALUE"""),43888.6666666666)</f>
        <v>43888.666666666599</v>
      </c>
      <c r="N293" s="2">
        <f ca="1">IFERROR(__xludf.DUMMYFUNCTION("""COMPUTED_VALUE"""),135.8)</f>
        <v>135.80000000000001</v>
      </c>
      <c r="O293" s="3">
        <f ca="1">IFERROR(__xludf.DUMMYFUNCTION("""COMPUTED_VALUE"""),43888.6666666666)</f>
        <v>43888.666666666599</v>
      </c>
      <c r="P293" s="2">
        <f ca="1">IFERROR(__xludf.DUMMYFUNCTION("""COMPUTED_VALUE"""),63.15)</f>
        <v>63.15</v>
      </c>
      <c r="Q293" s="3">
        <f ca="1">IFERROR(__xludf.DUMMYFUNCTION("""COMPUTED_VALUE"""),43888.6666666666)</f>
        <v>43888.666666666599</v>
      </c>
      <c r="R293" s="2">
        <f ca="1">IFERROR(__xludf.DUMMYFUNCTION("""COMPUTED_VALUE"""),207.67)</f>
        <v>207.67</v>
      </c>
      <c r="S293" s="3">
        <f ca="1">IFERROR(__xludf.DUMMYFUNCTION("""COMPUTED_VALUE"""),43888.6666666666)</f>
        <v>43888.666666666599</v>
      </c>
      <c r="T293" s="2">
        <f ca="1">IFERROR(__xludf.DUMMYFUNCTION("""COMPUTED_VALUE"""),139.12)</f>
        <v>139.12</v>
      </c>
    </row>
    <row r="294" spans="1:20">
      <c r="A294" s="3">
        <f ca="1">IFERROR(__xludf.DUMMYFUNCTION("""COMPUTED_VALUE"""),43889.6666666666)</f>
        <v>43889.666666666599</v>
      </c>
      <c r="B294" s="2">
        <f ca="1">IFERROR(__xludf.DUMMYFUNCTION("""COMPUTED_VALUE"""),68.34)</f>
        <v>68.34</v>
      </c>
      <c r="C294" s="3">
        <f ca="1">IFERROR(__xludf.DUMMYFUNCTION("""COMPUTED_VALUE"""),43889.6666666666)</f>
        <v>43889.666666666599</v>
      </c>
      <c r="D294" s="2">
        <f ca="1">IFERROR(__xludf.DUMMYFUNCTION("""COMPUTED_VALUE"""),162.01)</f>
        <v>162.01</v>
      </c>
      <c r="E294" s="3">
        <f ca="1">IFERROR(__xludf.DUMMYFUNCTION("""COMPUTED_VALUE"""),43889.6666666666)</f>
        <v>43889.666666666599</v>
      </c>
      <c r="F294" s="2">
        <f ca="1">IFERROR(__xludf.DUMMYFUNCTION("""COMPUTED_VALUE"""),1883.75)</f>
        <v>1883.75</v>
      </c>
      <c r="G294" s="3">
        <f ca="1">IFERROR(__xludf.DUMMYFUNCTION("""COMPUTED_VALUE"""),43889.6666666666)</f>
        <v>43889.666666666599</v>
      </c>
      <c r="H294" s="2">
        <f ca="1">IFERROR(__xludf.DUMMYFUNCTION("""COMPUTED_VALUE"""),1339.25)</f>
        <v>1339.25</v>
      </c>
      <c r="I294" s="3">
        <f ca="1">IFERROR(__xludf.DUMMYFUNCTION("""COMPUTED_VALUE"""),43889.6666666666)</f>
        <v>43889.666666666599</v>
      </c>
      <c r="J294" s="2">
        <f ca="1">IFERROR(__xludf.DUMMYFUNCTION("""COMPUTED_VALUE"""),1339.33)</f>
        <v>1339.33</v>
      </c>
      <c r="K294" s="3">
        <f ca="1">IFERROR(__xludf.DUMMYFUNCTION("""COMPUTED_VALUE"""),43889.6666666666)</f>
        <v>43889.666666666599</v>
      </c>
      <c r="L294" s="2">
        <f ca="1">IFERROR(__xludf.DUMMYFUNCTION("""COMPUTED_VALUE"""),192.47)</f>
        <v>192.47</v>
      </c>
      <c r="M294" s="3">
        <f ca="1">IFERROR(__xludf.DUMMYFUNCTION("""COMPUTED_VALUE"""),43889.6666666666)</f>
        <v>43889.666666666599</v>
      </c>
      <c r="N294" s="2">
        <f ca="1">IFERROR(__xludf.DUMMYFUNCTION("""COMPUTED_VALUE"""),133.6)</f>
        <v>133.6</v>
      </c>
      <c r="O294" s="3">
        <f ca="1">IFERROR(__xludf.DUMMYFUNCTION("""COMPUTED_VALUE"""),43889.6666666666)</f>
        <v>43889.666666666599</v>
      </c>
      <c r="P294" s="2">
        <f ca="1">IFERROR(__xludf.DUMMYFUNCTION("""COMPUTED_VALUE"""),67.52)</f>
        <v>67.52</v>
      </c>
      <c r="Q294" s="3">
        <f ca="1">IFERROR(__xludf.DUMMYFUNCTION("""COMPUTED_VALUE"""),43889.6666666666)</f>
        <v>43889.666666666599</v>
      </c>
      <c r="R294" s="2">
        <f ca="1">IFERROR(__xludf.DUMMYFUNCTION("""COMPUTED_VALUE"""),206.34)</f>
        <v>206.34</v>
      </c>
      <c r="S294" s="3">
        <f ca="1">IFERROR(__xludf.DUMMYFUNCTION("""COMPUTED_VALUE"""),43889.6666666666)</f>
        <v>43889.666666666599</v>
      </c>
      <c r="T294" s="2">
        <f ca="1">IFERROR(__xludf.DUMMYFUNCTION("""COMPUTED_VALUE"""),134.48)</f>
        <v>134.47999999999999</v>
      </c>
    </row>
    <row r="295" spans="1:20">
      <c r="A295" s="3">
        <f ca="1">IFERROR(__xludf.DUMMYFUNCTION("""COMPUTED_VALUE"""),43892.6666666666)</f>
        <v>43892.666666666599</v>
      </c>
      <c r="B295" s="2">
        <f ca="1">IFERROR(__xludf.DUMMYFUNCTION("""COMPUTED_VALUE"""),74.7)</f>
        <v>74.7</v>
      </c>
      <c r="C295" s="3">
        <f ca="1">IFERROR(__xludf.DUMMYFUNCTION("""COMPUTED_VALUE"""),43892.6666666666)</f>
        <v>43892.666666666599</v>
      </c>
      <c r="D295" s="2">
        <f ca="1">IFERROR(__xludf.DUMMYFUNCTION("""COMPUTED_VALUE"""),172.79)</f>
        <v>172.79</v>
      </c>
      <c r="E295" s="3">
        <f ca="1">IFERROR(__xludf.DUMMYFUNCTION("""COMPUTED_VALUE"""),43892.6666666666)</f>
        <v>43892.666666666599</v>
      </c>
      <c r="F295" s="2">
        <f ca="1">IFERROR(__xludf.DUMMYFUNCTION("""COMPUTED_VALUE"""),1953.95)</f>
        <v>1953.95</v>
      </c>
      <c r="G295" s="3">
        <f ca="1">IFERROR(__xludf.DUMMYFUNCTION("""COMPUTED_VALUE"""),43892.6666666666)</f>
        <v>43892.666666666599</v>
      </c>
      <c r="H295" s="2">
        <f ca="1">IFERROR(__xludf.DUMMYFUNCTION("""COMPUTED_VALUE"""),1386.32)</f>
        <v>1386.32</v>
      </c>
      <c r="I295" s="3">
        <f ca="1">IFERROR(__xludf.DUMMYFUNCTION("""COMPUTED_VALUE"""),43892.6666666666)</f>
        <v>43892.666666666599</v>
      </c>
      <c r="J295" s="2">
        <f ca="1">IFERROR(__xludf.DUMMYFUNCTION("""COMPUTED_VALUE"""),1389.11)</f>
        <v>1389.11</v>
      </c>
      <c r="K295" s="3">
        <f ca="1">IFERROR(__xludf.DUMMYFUNCTION("""COMPUTED_VALUE"""),43892.6666666666)</f>
        <v>43892.666666666599</v>
      </c>
      <c r="L295" s="2">
        <f ca="1">IFERROR(__xludf.DUMMYFUNCTION("""COMPUTED_VALUE"""),196.44)</f>
        <v>196.44</v>
      </c>
      <c r="M295" s="3">
        <f ca="1">IFERROR(__xludf.DUMMYFUNCTION("""COMPUTED_VALUE"""),43892.6666666666)</f>
        <v>43892.666666666599</v>
      </c>
      <c r="N295" s="2">
        <f ca="1">IFERROR(__xludf.DUMMYFUNCTION("""COMPUTED_VALUE"""),148.72)</f>
        <v>148.72</v>
      </c>
      <c r="O295" s="3">
        <f ca="1">IFERROR(__xludf.DUMMYFUNCTION("""COMPUTED_VALUE"""),43892.6666666666)</f>
        <v>43892.666666666599</v>
      </c>
      <c r="P295" s="2">
        <f ca="1">IFERROR(__xludf.DUMMYFUNCTION("""COMPUTED_VALUE"""),69.11)</f>
        <v>69.11</v>
      </c>
      <c r="Q295" s="3">
        <f ca="1">IFERROR(__xludf.DUMMYFUNCTION("""COMPUTED_VALUE"""),43892.6666666666)</f>
        <v>43892.666666666599</v>
      </c>
      <c r="R295" s="2">
        <f ca="1">IFERROR(__xludf.DUMMYFUNCTION("""COMPUTED_VALUE"""),217.63)</f>
        <v>217.63</v>
      </c>
      <c r="S295" s="3">
        <f ca="1">IFERROR(__xludf.DUMMYFUNCTION("""COMPUTED_VALUE"""),43892.6666666666)</f>
        <v>43892.666666666599</v>
      </c>
      <c r="T295" s="2">
        <f ca="1">IFERROR(__xludf.DUMMYFUNCTION("""COMPUTED_VALUE"""),140.02)</f>
        <v>140.02000000000001</v>
      </c>
    </row>
    <row r="296" spans="1:20">
      <c r="A296" s="3">
        <f ca="1">IFERROR(__xludf.DUMMYFUNCTION("""COMPUTED_VALUE"""),43893.6666666666)</f>
        <v>43893.666666666599</v>
      </c>
      <c r="B296" s="2">
        <f ca="1">IFERROR(__xludf.DUMMYFUNCTION("""COMPUTED_VALUE"""),72.33)</f>
        <v>72.33</v>
      </c>
      <c r="C296" s="3">
        <f ca="1">IFERROR(__xludf.DUMMYFUNCTION("""COMPUTED_VALUE"""),43893.6666666666)</f>
        <v>43893.666666666599</v>
      </c>
      <c r="D296" s="2">
        <f ca="1">IFERROR(__xludf.DUMMYFUNCTION("""COMPUTED_VALUE"""),164.51)</f>
        <v>164.51</v>
      </c>
      <c r="E296" s="3">
        <f ca="1">IFERROR(__xludf.DUMMYFUNCTION("""COMPUTED_VALUE"""),43893.6666666666)</f>
        <v>43893.666666666599</v>
      </c>
      <c r="F296" s="2">
        <f ca="1">IFERROR(__xludf.DUMMYFUNCTION("""COMPUTED_VALUE"""),1908.99)</f>
        <v>1908.99</v>
      </c>
      <c r="G296" s="3">
        <f ca="1">IFERROR(__xludf.DUMMYFUNCTION("""COMPUTED_VALUE"""),43893.6666666666)</f>
        <v>43893.666666666599</v>
      </c>
      <c r="H296" s="2">
        <f ca="1">IFERROR(__xludf.DUMMYFUNCTION("""COMPUTED_VALUE"""),1337.72)</f>
        <v>1337.72</v>
      </c>
      <c r="I296" s="3">
        <f ca="1">IFERROR(__xludf.DUMMYFUNCTION("""COMPUTED_VALUE"""),43893.6666666666)</f>
        <v>43893.666666666599</v>
      </c>
      <c r="J296" s="2">
        <f ca="1">IFERROR(__xludf.DUMMYFUNCTION("""COMPUTED_VALUE"""),1341.39)</f>
        <v>1341.39</v>
      </c>
      <c r="K296" s="3">
        <f ca="1">IFERROR(__xludf.DUMMYFUNCTION("""COMPUTED_VALUE"""),43893.6666666666)</f>
        <v>43893.666666666599</v>
      </c>
      <c r="L296" s="2">
        <f ca="1">IFERROR(__xludf.DUMMYFUNCTION("""COMPUTED_VALUE"""),185.89)</f>
        <v>185.89</v>
      </c>
      <c r="M296" s="3">
        <f ca="1">IFERROR(__xludf.DUMMYFUNCTION("""COMPUTED_VALUE"""),43893.6666666666)</f>
        <v>43893.666666666599</v>
      </c>
      <c r="N296" s="2">
        <f ca="1">IFERROR(__xludf.DUMMYFUNCTION("""COMPUTED_VALUE"""),149.1)</f>
        <v>149.1</v>
      </c>
      <c r="O296" s="3">
        <f ca="1">IFERROR(__xludf.DUMMYFUNCTION("""COMPUTED_VALUE"""),43893.6666666666)</f>
        <v>43893.666666666599</v>
      </c>
      <c r="P296" s="2">
        <f ca="1">IFERROR(__xludf.DUMMYFUNCTION("""COMPUTED_VALUE"""),66.47)</f>
        <v>66.47</v>
      </c>
      <c r="Q296" s="3">
        <f ca="1">IFERROR(__xludf.DUMMYFUNCTION("""COMPUTED_VALUE"""),43893.6666666666)</f>
        <v>43893.666666666599</v>
      </c>
      <c r="R296" s="2">
        <f ca="1">IFERROR(__xludf.DUMMYFUNCTION("""COMPUTED_VALUE"""),208.81)</f>
        <v>208.81</v>
      </c>
      <c r="S296" s="3">
        <f ca="1">IFERROR(__xludf.DUMMYFUNCTION("""COMPUTED_VALUE"""),43893.6666666666)</f>
        <v>43893.666666666599</v>
      </c>
      <c r="T296" s="2">
        <f ca="1">IFERROR(__xludf.DUMMYFUNCTION("""COMPUTED_VALUE"""),135.59)</f>
        <v>135.59</v>
      </c>
    </row>
    <row r="297" spans="1:20">
      <c r="A297" s="3">
        <f ca="1">IFERROR(__xludf.DUMMYFUNCTION("""COMPUTED_VALUE"""),43894.6666666666)</f>
        <v>43894.666666666599</v>
      </c>
      <c r="B297" s="2">
        <f ca="1">IFERROR(__xludf.DUMMYFUNCTION("""COMPUTED_VALUE"""),75.69)</f>
        <v>75.69</v>
      </c>
      <c r="C297" s="3">
        <f ca="1">IFERROR(__xludf.DUMMYFUNCTION("""COMPUTED_VALUE"""),43894.6666666666)</f>
        <v>43894.666666666599</v>
      </c>
      <c r="D297" s="2">
        <f ca="1">IFERROR(__xludf.DUMMYFUNCTION("""COMPUTED_VALUE"""),170.55)</f>
        <v>170.55</v>
      </c>
      <c r="E297" s="3">
        <f ca="1">IFERROR(__xludf.DUMMYFUNCTION("""COMPUTED_VALUE"""),43894.6666666666)</f>
        <v>43894.666666666599</v>
      </c>
      <c r="F297" s="2">
        <f ca="1">IFERROR(__xludf.DUMMYFUNCTION("""COMPUTED_VALUE"""),1975.83)</f>
        <v>1975.83</v>
      </c>
      <c r="G297" s="3">
        <f ca="1">IFERROR(__xludf.DUMMYFUNCTION("""COMPUTED_VALUE"""),43894.6666666666)</f>
        <v>43894.666666666599</v>
      </c>
      <c r="H297" s="2">
        <f ca="1">IFERROR(__xludf.DUMMYFUNCTION("""COMPUTED_VALUE"""),1381.6)</f>
        <v>1381.6</v>
      </c>
      <c r="I297" s="3">
        <f ca="1">IFERROR(__xludf.DUMMYFUNCTION("""COMPUTED_VALUE"""),43894.6666666666)</f>
        <v>43894.666666666599</v>
      </c>
      <c r="J297" s="2">
        <f ca="1">IFERROR(__xludf.DUMMYFUNCTION("""COMPUTED_VALUE"""),1386.52)</f>
        <v>1386.52</v>
      </c>
      <c r="K297" s="3">
        <f ca="1">IFERROR(__xludf.DUMMYFUNCTION("""COMPUTED_VALUE"""),43894.6666666666)</f>
        <v>43894.666666666599</v>
      </c>
      <c r="L297" s="2">
        <f ca="1">IFERROR(__xludf.DUMMYFUNCTION("""COMPUTED_VALUE"""),191.76)</f>
        <v>191.76</v>
      </c>
      <c r="M297" s="3">
        <f ca="1">IFERROR(__xludf.DUMMYFUNCTION("""COMPUTED_VALUE"""),43894.6666666666)</f>
        <v>43894.666666666599</v>
      </c>
      <c r="N297" s="2">
        <f ca="1">IFERROR(__xludf.DUMMYFUNCTION("""COMPUTED_VALUE"""),149.9)</f>
        <v>149.9</v>
      </c>
      <c r="O297" s="3">
        <f ca="1">IFERROR(__xludf.DUMMYFUNCTION("""COMPUTED_VALUE"""),43894.6666666666)</f>
        <v>43894.666666666599</v>
      </c>
      <c r="P297" s="2">
        <f ca="1">IFERROR(__xludf.DUMMYFUNCTION("""COMPUTED_VALUE"""),71.13)</f>
        <v>71.13</v>
      </c>
      <c r="Q297" s="3">
        <f ca="1">IFERROR(__xludf.DUMMYFUNCTION("""COMPUTED_VALUE"""),43894.6666666666)</f>
        <v>43894.666666666599</v>
      </c>
      <c r="R297" s="2">
        <f ca="1">IFERROR(__xludf.DUMMYFUNCTION("""COMPUTED_VALUE"""),217.86)</f>
        <v>217.86</v>
      </c>
      <c r="S297" s="3">
        <f ca="1">IFERROR(__xludf.DUMMYFUNCTION("""COMPUTED_VALUE"""),43894.6666666666)</f>
        <v>43894.666666666599</v>
      </c>
      <c r="T297" s="2">
        <f ca="1">IFERROR(__xludf.DUMMYFUNCTION("""COMPUTED_VALUE"""),143.48)</f>
        <v>143.47999999999999</v>
      </c>
    </row>
    <row r="298" spans="1:20">
      <c r="A298" s="3">
        <f ca="1">IFERROR(__xludf.DUMMYFUNCTION("""COMPUTED_VALUE"""),43895.6666666666)</f>
        <v>43895.666666666599</v>
      </c>
      <c r="B298" s="2">
        <f ca="1">IFERROR(__xludf.DUMMYFUNCTION("""COMPUTED_VALUE"""),73.23)</f>
        <v>73.23</v>
      </c>
      <c r="C298" s="3">
        <f ca="1">IFERROR(__xludf.DUMMYFUNCTION("""COMPUTED_VALUE"""),43895.6666666666)</f>
        <v>43895.666666666599</v>
      </c>
      <c r="D298" s="2">
        <f ca="1">IFERROR(__xludf.DUMMYFUNCTION("""COMPUTED_VALUE"""),166.27)</f>
        <v>166.27</v>
      </c>
      <c r="E298" s="3">
        <f ca="1">IFERROR(__xludf.DUMMYFUNCTION("""COMPUTED_VALUE"""),43895.6666666666)</f>
        <v>43895.666666666599</v>
      </c>
      <c r="F298" s="2">
        <f ca="1">IFERROR(__xludf.DUMMYFUNCTION("""COMPUTED_VALUE"""),1924.03)</f>
        <v>1924.03</v>
      </c>
      <c r="G298" s="3">
        <f ca="1">IFERROR(__xludf.DUMMYFUNCTION("""COMPUTED_VALUE"""),43895.6666666666)</f>
        <v>43895.666666666599</v>
      </c>
      <c r="H298" s="2">
        <f ca="1">IFERROR(__xludf.DUMMYFUNCTION("""COMPUTED_VALUE"""),1314.76)</f>
        <v>1314.76</v>
      </c>
      <c r="I298" s="3">
        <f ca="1">IFERROR(__xludf.DUMMYFUNCTION("""COMPUTED_VALUE"""),43895.6666666666)</f>
        <v>43895.666666666599</v>
      </c>
      <c r="J298" s="2">
        <f ca="1">IFERROR(__xludf.DUMMYFUNCTION("""COMPUTED_VALUE"""),1319.04)</f>
        <v>1319.04</v>
      </c>
      <c r="K298" s="3">
        <f ca="1">IFERROR(__xludf.DUMMYFUNCTION("""COMPUTED_VALUE"""),43895.6666666666)</f>
        <v>43895.666666666599</v>
      </c>
      <c r="L298" s="2">
        <f ca="1">IFERROR(__xludf.DUMMYFUNCTION("""COMPUTED_VALUE"""),185.17)</f>
        <v>185.17</v>
      </c>
      <c r="M298" s="3">
        <f ca="1">IFERROR(__xludf.DUMMYFUNCTION("""COMPUTED_VALUE"""),43895.6666666666)</f>
        <v>43895.666666666599</v>
      </c>
      <c r="N298" s="2">
        <f ca="1">IFERROR(__xludf.DUMMYFUNCTION("""COMPUTED_VALUE"""),144.91)</f>
        <v>144.91</v>
      </c>
      <c r="O298" s="3">
        <f ca="1">IFERROR(__xludf.DUMMYFUNCTION("""COMPUTED_VALUE"""),43895.6666666666)</f>
        <v>43895.666666666599</v>
      </c>
      <c r="P298" s="2">
        <f ca="1">IFERROR(__xludf.DUMMYFUNCTION("""COMPUTED_VALUE"""),68.32)</f>
        <v>68.319999999999993</v>
      </c>
      <c r="Q298" s="3">
        <f ca="1">IFERROR(__xludf.DUMMYFUNCTION("""COMPUTED_VALUE"""),43895.6666666666)</f>
        <v>43895.666666666599</v>
      </c>
      <c r="R298" s="2">
        <f ca="1">IFERROR(__xludf.DUMMYFUNCTION("""COMPUTED_VALUE"""),208.96)</f>
        <v>208.96</v>
      </c>
      <c r="S298" s="3">
        <f ca="1">IFERROR(__xludf.DUMMYFUNCTION("""COMPUTED_VALUE"""),43895.6666666666)</f>
        <v>43895.666666666599</v>
      </c>
      <c r="T298" s="2">
        <f ca="1">IFERROR(__xludf.DUMMYFUNCTION("""COMPUTED_VALUE"""),142.01)</f>
        <v>142.01</v>
      </c>
    </row>
    <row r="299" spans="1:20">
      <c r="A299" s="3">
        <f ca="1">IFERROR(__xludf.DUMMYFUNCTION("""COMPUTED_VALUE"""),43896.6666666666)</f>
        <v>43896.666666666599</v>
      </c>
      <c r="B299" s="2">
        <f ca="1">IFERROR(__xludf.DUMMYFUNCTION("""COMPUTED_VALUE"""),72.26)</f>
        <v>72.260000000000005</v>
      </c>
      <c r="C299" s="3">
        <f ca="1">IFERROR(__xludf.DUMMYFUNCTION("""COMPUTED_VALUE"""),43896.6666666666)</f>
        <v>43896.666666666599</v>
      </c>
      <c r="D299" s="2">
        <f ca="1">IFERROR(__xludf.DUMMYFUNCTION("""COMPUTED_VALUE"""),161.57)</f>
        <v>161.57</v>
      </c>
      <c r="E299" s="3">
        <f ca="1">IFERROR(__xludf.DUMMYFUNCTION("""COMPUTED_VALUE"""),43896.6666666666)</f>
        <v>43896.666666666599</v>
      </c>
      <c r="F299" s="2">
        <f ca="1">IFERROR(__xludf.DUMMYFUNCTION("""COMPUTED_VALUE"""),1901.09)</f>
        <v>1901.09</v>
      </c>
      <c r="G299" s="3">
        <f ca="1">IFERROR(__xludf.DUMMYFUNCTION("""COMPUTED_VALUE"""),43896.6666666666)</f>
        <v>43896.666666666599</v>
      </c>
      <c r="H299" s="2">
        <f ca="1">IFERROR(__xludf.DUMMYFUNCTION("""COMPUTED_VALUE"""),1295.74)</f>
        <v>1295.74</v>
      </c>
      <c r="I299" s="3">
        <f ca="1">IFERROR(__xludf.DUMMYFUNCTION("""COMPUTED_VALUE"""),43896.6666666666)</f>
        <v>43896.666666666599</v>
      </c>
      <c r="J299" s="2">
        <f ca="1">IFERROR(__xludf.DUMMYFUNCTION("""COMPUTED_VALUE"""),1298.41)</f>
        <v>1298.4100000000001</v>
      </c>
      <c r="K299" s="3">
        <f ca="1">IFERROR(__xludf.DUMMYFUNCTION("""COMPUTED_VALUE"""),43896.6666666666)</f>
        <v>43896.666666666599</v>
      </c>
      <c r="L299" s="2">
        <f ca="1">IFERROR(__xludf.DUMMYFUNCTION("""COMPUTED_VALUE"""),181.09)</f>
        <v>181.09</v>
      </c>
      <c r="M299" s="3">
        <f ca="1">IFERROR(__xludf.DUMMYFUNCTION("""COMPUTED_VALUE"""),43896.6666666666)</f>
        <v>43896.666666666599</v>
      </c>
      <c r="N299" s="2">
        <f ca="1">IFERROR(__xludf.DUMMYFUNCTION("""COMPUTED_VALUE"""),140.7)</f>
        <v>140.69999999999999</v>
      </c>
      <c r="O299" s="3">
        <f ca="1">IFERROR(__xludf.DUMMYFUNCTION("""COMPUTED_VALUE"""),43896.6666666666)</f>
        <v>43896.666666666599</v>
      </c>
      <c r="P299" s="2">
        <f ca="1">IFERROR(__xludf.DUMMYFUNCTION("""COMPUTED_VALUE"""),66.51)</f>
        <v>66.510000000000005</v>
      </c>
      <c r="Q299" s="3">
        <f ca="1">IFERROR(__xludf.DUMMYFUNCTION("""COMPUTED_VALUE"""),43896.6666666666)</f>
        <v>43896.666666666599</v>
      </c>
      <c r="R299" s="2">
        <f ca="1">IFERROR(__xludf.DUMMYFUNCTION("""COMPUTED_VALUE"""),205.98)</f>
        <v>205.98</v>
      </c>
      <c r="S299" s="3">
        <f ca="1">IFERROR(__xludf.DUMMYFUNCTION("""COMPUTED_VALUE"""),43896.6666666666)</f>
        <v>43896.666666666599</v>
      </c>
      <c r="T299" s="2">
        <f ca="1">IFERROR(__xludf.DUMMYFUNCTION("""COMPUTED_VALUE"""),142.03)</f>
        <v>142.03</v>
      </c>
    </row>
    <row r="300" spans="1:20">
      <c r="A300" s="3">
        <f ca="1">IFERROR(__xludf.DUMMYFUNCTION("""COMPUTED_VALUE"""),43899.6666666666)</f>
        <v>43899.666666666599</v>
      </c>
      <c r="B300" s="2">
        <f ca="1">IFERROR(__xludf.DUMMYFUNCTION("""COMPUTED_VALUE"""),66.54)</f>
        <v>66.540000000000006</v>
      </c>
      <c r="C300" s="3">
        <f ca="1">IFERROR(__xludf.DUMMYFUNCTION("""COMPUTED_VALUE"""),43899.6666666666)</f>
        <v>43899.666666666599</v>
      </c>
      <c r="D300" s="2">
        <f ca="1">IFERROR(__xludf.DUMMYFUNCTION("""COMPUTED_VALUE"""),150.62)</f>
        <v>150.62</v>
      </c>
      <c r="E300" s="3">
        <f ca="1">IFERROR(__xludf.DUMMYFUNCTION("""COMPUTED_VALUE"""),43899.6666666666)</f>
        <v>43899.666666666599</v>
      </c>
      <c r="F300" s="2">
        <f ca="1">IFERROR(__xludf.DUMMYFUNCTION("""COMPUTED_VALUE"""),1800.61)</f>
        <v>1800.61</v>
      </c>
      <c r="G300" s="3">
        <f ca="1">IFERROR(__xludf.DUMMYFUNCTION("""COMPUTED_VALUE"""),43899.6666666666)</f>
        <v>43899.666666666599</v>
      </c>
      <c r="H300" s="2">
        <f ca="1">IFERROR(__xludf.DUMMYFUNCTION("""COMPUTED_VALUE"""),1215.79)</f>
        <v>1215.79</v>
      </c>
      <c r="I300" s="3">
        <f ca="1">IFERROR(__xludf.DUMMYFUNCTION("""COMPUTED_VALUE"""),43899.6666666666)</f>
        <v>43899.666666666599</v>
      </c>
      <c r="J300" s="2">
        <f ca="1">IFERROR(__xludf.DUMMYFUNCTION("""COMPUTED_VALUE"""),1215.56)</f>
        <v>1215.56</v>
      </c>
      <c r="K300" s="3">
        <f ca="1">IFERROR(__xludf.DUMMYFUNCTION("""COMPUTED_VALUE"""),43899.6666666666)</f>
        <v>43899.666666666599</v>
      </c>
      <c r="L300" s="2">
        <f ca="1">IFERROR(__xludf.DUMMYFUNCTION("""COMPUTED_VALUE"""),169.5)</f>
        <v>169.5</v>
      </c>
      <c r="M300" s="3">
        <f ca="1">IFERROR(__xludf.DUMMYFUNCTION("""COMPUTED_VALUE"""),43899.6666666666)</f>
        <v>43899.666666666599</v>
      </c>
      <c r="N300" s="2">
        <f ca="1">IFERROR(__xludf.DUMMYFUNCTION("""COMPUTED_VALUE"""),121.6)</f>
        <v>121.6</v>
      </c>
      <c r="O300" s="3">
        <f ca="1">IFERROR(__xludf.DUMMYFUNCTION("""COMPUTED_VALUE"""),43899.6666666666)</f>
        <v>43899.666666666599</v>
      </c>
      <c r="P300" s="2">
        <f ca="1">IFERROR(__xludf.DUMMYFUNCTION("""COMPUTED_VALUE"""),61.36)</f>
        <v>61.36</v>
      </c>
      <c r="Q300" s="3">
        <f ca="1">IFERROR(__xludf.DUMMYFUNCTION("""COMPUTED_VALUE"""),43899.6666666666)</f>
        <v>43899.666666666599</v>
      </c>
      <c r="R300" s="2">
        <f ca="1">IFERROR(__xludf.DUMMYFUNCTION("""COMPUTED_VALUE"""),193.13)</f>
        <v>193.13</v>
      </c>
      <c r="S300" s="3">
        <f ca="1">IFERROR(__xludf.DUMMYFUNCTION("""COMPUTED_VALUE"""),43899.6666666666)</f>
        <v>43899.666666666599</v>
      </c>
      <c r="T300" s="2">
        <f ca="1">IFERROR(__xludf.DUMMYFUNCTION("""COMPUTED_VALUE"""),136.44)</f>
        <v>136.44</v>
      </c>
    </row>
    <row r="301" spans="1:20">
      <c r="A301" s="3">
        <f ca="1">IFERROR(__xludf.DUMMYFUNCTION("""COMPUTED_VALUE"""),43900.6666666666)</f>
        <v>43900.666666666599</v>
      </c>
      <c r="B301" s="2">
        <f ca="1">IFERROR(__xludf.DUMMYFUNCTION("""COMPUTED_VALUE"""),71.33)</f>
        <v>71.33</v>
      </c>
      <c r="C301" s="3">
        <f ca="1">IFERROR(__xludf.DUMMYFUNCTION("""COMPUTED_VALUE"""),43900.6666666666)</f>
        <v>43900.666666666599</v>
      </c>
      <c r="D301" s="2">
        <f ca="1">IFERROR(__xludf.DUMMYFUNCTION("""COMPUTED_VALUE"""),160.92)</f>
        <v>160.91999999999999</v>
      </c>
      <c r="E301" s="3">
        <f ca="1">IFERROR(__xludf.DUMMYFUNCTION("""COMPUTED_VALUE"""),43900.6666666666)</f>
        <v>43900.666666666599</v>
      </c>
      <c r="F301" s="2">
        <f ca="1">IFERROR(__xludf.DUMMYFUNCTION("""COMPUTED_VALUE"""),1891.82)</f>
        <v>1891.82</v>
      </c>
      <c r="G301" s="3">
        <f ca="1">IFERROR(__xludf.DUMMYFUNCTION("""COMPUTED_VALUE"""),43900.6666666666)</f>
        <v>43900.666666666599</v>
      </c>
      <c r="H301" s="2">
        <f ca="1">IFERROR(__xludf.DUMMYFUNCTION("""COMPUTED_VALUE"""),1275.17)</f>
        <v>1275.17</v>
      </c>
      <c r="I301" s="3">
        <f ca="1">IFERROR(__xludf.DUMMYFUNCTION("""COMPUTED_VALUE"""),43900.6666666666)</f>
        <v>43900.666666666599</v>
      </c>
      <c r="J301" s="2">
        <f ca="1">IFERROR(__xludf.DUMMYFUNCTION("""COMPUTED_VALUE"""),1280.39)</f>
        <v>1280.3900000000001</v>
      </c>
      <c r="K301" s="3">
        <f ca="1">IFERROR(__xludf.DUMMYFUNCTION("""COMPUTED_VALUE"""),43900.6666666666)</f>
        <v>43900.666666666599</v>
      </c>
      <c r="L301" s="2">
        <f ca="1">IFERROR(__xludf.DUMMYFUNCTION("""COMPUTED_VALUE"""),178.19)</f>
        <v>178.19</v>
      </c>
      <c r="M301" s="3">
        <f ca="1">IFERROR(__xludf.DUMMYFUNCTION("""COMPUTED_VALUE"""),43900.6666666666)</f>
        <v>43900.666666666599</v>
      </c>
      <c r="N301" s="2">
        <f ca="1">IFERROR(__xludf.DUMMYFUNCTION("""COMPUTED_VALUE"""),129.07)</f>
        <v>129.07</v>
      </c>
      <c r="O301" s="3">
        <f ca="1">IFERROR(__xludf.DUMMYFUNCTION("""COMPUTED_VALUE"""),43900.6666666666)</f>
        <v>43900.666666666599</v>
      </c>
      <c r="P301" s="2">
        <f ca="1">IFERROR(__xludf.DUMMYFUNCTION("""COMPUTED_VALUE"""),65.27)</f>
        <v>65.27</v>
      </c>
      <c r="Q301" s="3">
        <f ca="1">IFERROR(__xludf.DUMMYFUNCTION("""COMPUTED_VALUE"""),43900.6666666666)</f>
        <v>43900.666666666599</v>
      </c>
      <c r="R301" s="2">
        <f ca="1">IFERROR(__xludf.DUMMYFUNCTION("""COMPUTED_VALUE"""),202.73)</f>
        <v>202.73</v>
      </c>
      <c r="S301" s="3">
        <f ca="1">IFERROR(__xludf.DUMMYFUNCTION("""COMPUTED_VALUE"""),43900.6666666666)</f>
        <v>43900.666666666599</v>
      </c>
      <c r="T301" s="2">
        <f ca="1">IFERROR(__xludf.DUMMYFUNCTION("""COMPUTED_VALUE"""),141.64)</f>
        <v>141.63999999999999</v>
      </c>
    </row>
    <row r="302" spans="1:20">
      <c r="A302" s="3">
        <f ca="1">IFERROR(__xludf.DUMMYFUNCTION("""COMPUTED_VALUE"""),43901.6666666666)</f>
        <v>43901.666666666599</v>
      </c>
      <c r="B302" s="2">
        <f ca="1">IFERROR(__xludf.DUMMYFUNCTION("""COMPUTED_VALUE"""),68.86)</f>
        <v>68.86</v>
      </c>
      <c r="C302" s="3">
        <f ca="1">IFERROR(__xludf.DUMMYFUNCTION("""COMPUTED_VALUE"""),43901.6666666666)</f>
        <v>43901.666666666599</v>
      </c>
      <c r="D302" s="2">
        <f ca="1">IFERROR(__xludf.DUMMYFUNCTION("""COMPUTED_VALUE"""),153.63)</f>
        <v>153.63</v>
      </c>
      <c r="E302" s="3">
        <f ca="1">IFERROR(__xludf.DUMMYFUNCTION("""COMPUTED_VALUE"""),43901.6666666666)</f>
        <v>43901.666666666599</v>
      </c>
      <c r="F302" s="2">
        <f ca="1">IFERROR(__xludf.DUMMYFUNCTION("""COMPUTED_VALUE"""),1820.86)</f>
        <v>1820.86</v>
      </c>
      <c r="G302" s="3">
        <f ca="1">IFERROR(__xludf.DUMMYFUNCTION("""COMPUTED_VALUE"""),43901.6666666666)</f>
        <v>43901.666666666599</v>
      </c>
      <c r="H302" s="2">
        <f ca="1">IFERROR(__xludf.DUMMYFUNCTION("""COMPUTED_VALUE"""),1210.9)</f>
        <v>1210.9000000000001</v>
      </c>
      <c r="I302" s="3">
        <f ca="1">IFERROR(__xludf.DUMMYFUNCTION("""COMPUTED_VALUE"""),43901.6666666666)</f>
        <v>43901.666666666599</v>
      </c>
      <c r="J302" s="2">
        <f ca="1">IFERROR(__xludf.DUMMYFUNCTION("""COMPUTED_VALUE"""),1215.41)</f>
        <v>1215.4100000000001</v>
      </c>
      <c r="K302" s="3">
        <f ca="1">IFERROR(__xludf.DUMMYFUNCTION("""COMPUTED_VALUE"""),43901.6666666666)</f>
        <v>43901.666666666599</v>
      </c>
      <c r="L302" s="2">
        <f ca="1">IFERROR(__xludf.DUMMYFUNCTION("""COMPUTED_VALUE"""),170.24)</f>
        <v>170.24</v>
      </c>
      <c r="M302" s="3">
        <f ca="1">IFERROR(__xludf.DUMMYFUNCTION("""COMPUTED_VALUE"""),43901.6666666666)</f>
        <v>43901.666666666599</v>
      </c>
      <c r="N302" s="2">
        <f ca="1">IFERROR(__xludf.DUMMYFUNCTION("""COMPUTED_VALUE"""),126.85)</f>
        <v>126.85</v>
      </c>
      <c r="O302" s="3">
        <f ca="1">IFERROR(__xludf.DUMMYFUNCTION("""COMPUTED_VALUE"""),43901.6666666666)</f>
        <v>43901.666666666599</v>
      </c>
      <c r="P302" s="2">
        <f ca="1">IFERROR(__xludf.DUMMYFUNCTION("""COMPUTED_VALUE"""),61.62)</f>
        <v>61.62</v>
      </c>
      <c r="Q302" s="3">
        <f ca="1">IFERROR(__xludf.DUMMYFUNCTION("""COMPUTED_VALUE"""),43901.6666666666)</f>
        <v>43901.666666666599</v>
      </c>
      <c r="R302" s="2">
        <f ca="1">IFERROR(__xludf.DUMMYFUNCTION("""COMPUTED_VALUE"""),194.64)</f>
        <v>194.64</v>
      </c>
      <c r="S302" s="3">
        <f ca="1">IFERROR(__xludf.DUMMYFUNCTION("""COMPUTED_VALUE"""),43901.6666666666)</f>
        <v>43901.666666666599</v>
      </c>
      <c r="T302" s="2">
        <f ca="1">IFERROR(__xludf.DUMMYFUNCTION("""COMPUTED_VALUE"""),131.8)</f>
        <v>131.80000000000001</v>
      </c>
    </row>
    <row r="303" spans="1:20">
      <c r="A303" s="3">
        <f ca="1">IFERROR(__xludf.DUMMYFUNCTION("""COMPUTED_VALUE"""),43902.6666666666)</f>
        <v>43902.666666666599</v>
      </c>
      <c r="B303" s="2">
        <f ca="1">IFERROR(__xludf.DUMMYFUNCTION("""COMPUTED_VALUE"""),62.06)</f>
        <v>62.06</v>
      </c>
      <c r="C303" s="3">
        <f ca="1">IFERROR(__xludf.DUMMYFUNCTION("""COMPUTED_VALUE"""),43902.6666666666)</f>
        <v>43902.666666666599</v>
      </c>
      <c r="D303" s="2">
        <f ca="1">IFERROR(__xludf.DUMMYFUNCTION("""COMPUTED_VALUE"""),139.06)</f>
        <v>139.06</v>
      </c>
      <c r="E303" s="3">
        <f ca="1">IFERROR(__xludf.DUMMYFUNCTION("""COMPUTED_VALUE"""),43902.6666666666)</f>
        <v>43902.666666666599</v>
      </c>
      <c r="F303" s="2">
        <f ca="1">IFERROR(__xludf.DUMMYFUNCTION("""COMPUTED_VALUE"""),1676.61)</f>
        <v>1676.61</v>
      </c>
      <c r="G303" s="3">
        <f ca="1">IFERROR(__xludf.DUMMYFUNCTION("""COMPUTED_VALUE"""),43902.6666666666)</f>
        <v>43902.666666666599</v>
      </c>
      <c r="H303" s="2">
        <f ca="1">IFERROR(__xludf.DUMMYFUNCTION("""COMPUTED_VALUE"""),1111.55)</f>
        <v>1111.55</v>
      </c>
      <c r="I303" s="3">
        <f ca="1">IFERROR(__xludf.DUMMYFUNCTION("""COMPUTED_VALUE"""),43902.6666666666)</f>
        <v>43902.666666666599</v>
      </c>
      <c r="J303" s="2">
        <f ca="1">IFERROR(__xludf.DUMMYFUNCTION("""COMPUTED_VALUE"""),1114.91)</f>
        <v>1114.9100000000001</v>
      </c>
      <c r="K303" s="3">
        <f ca="1">IFERROR(__xludf.DUMMYFUNCTION("""COMPUTED_VALUE"""),43902.6666666666)</f>
        <v>43902.666666666599</v>
      </c>
      <c r="L303" s="2">
        <f ca="1">IFERROR(__xludf.DUMMYFUNCTION("""COMPUTED_VALUE"""),154.47)</f>
        <v>154.47</v>
      </c>
      <c r="M303" s="3">
        <f ca="1">IFERROR(__xludf.DUMMYFUNCTION("""COMPUTED_VALUE"""),43902.6666666666)</f>
        <v>43902.666666666599</v>
      </c>
      <c r="N303" s="2">
        <f ca="1">IFERROR(__xludf.DUMMYFUNCTION("""COMPUTED_VALUE"""),112.11)</f>
        <v>112.11</v>
      </c>
      <c r="O303" s="3">
        <f ca="1">IFERROR(__xludf.DUMMYFUNCTION("""COMPUTED_VALUE"""),43902.6666666666)</f>
        <v>43902.666666666599</v>
      </c>
      <c r="P303" s="2">
        <f ca="1">IFERROR(__xludf.DUMMYFUNCTION("""COMPUTED_VALUE"""),54.08)</f>
        <v>54.08</v>
      </c>
      <c r="Q303" s="3">
        <f ca="1">IFERROR(__xludf.DUMMYFUNCTION("""COMPUTED_VALUE"""),43902.6666666666)</f>
        <v>43902.666666666599</v>
      </c>
      <c r="R303" s="2">
        <f ca="1">IFERROR(__xludf.DUMMYFUNCTION("""COMPUTED_VALUE"""),175.97)</f>
        <v>175.97</v>
      </c>
      <c r="S303" s="3">
        <f ca="1">IFERROR(__xludf.DUMMYFUNCTION("""COMPUTED_VALUE"""),43902.6666666666)</f>
        <v>43902.666666666599</v>
      </c>
      <c r="T303" s="2">
        <f ca="1">IFERROR(__xludf.DUMMYFUNCTION("""COMPUTED_VALUE"""),125.41)</f>
        <v>125.41</v>
      </c>
    </row>
    <row r="304" spans="1:20">
      <c r="A304" s="3">
        <f ca="1">IFERROR(__xludf.DUMMYFUNCTION("""COMPUTED_VALUE"""),43903.6666666666)</f>
        <v>43903.666666666599</v>
      </c>
      <c r="B304" s="2">
        <f ca="1">IFERROR(__xludf.DUMMYFUNCTION("""COMPUTED_VALUE"""),69.49)</f>
        <v>69.489999999999995</v>
      </c>
      <c r="C304" s="3">
        <f ca="1">IFERROR(__xludf.DUMMYFUNCTION("""COMPUTED_VALUE"""),43903.6666666666)</f>
        <v>43903.666666666599</v>
      </c>
      <c r="D304" s="2">
        <f ca="1">IFERROR(__xludf.DUMMYFUNCTION("""COMPUTED_VALUE"""),158.83)</f>
        <v>158.83000000000001</v>
      </c>
      <c r="E304" s="3">
        <f ca="1">IFERROR(__xludf.DUMMYFUNCTION("""COMPUTED_VALUE"""),43903.6666666666)</f>
        <v>43903.666666666599</v>
      </c>
      <c r="F304" s="2">
        <f ca="1">IFERROR(__xludf.DUMMYFUNCTION("""COMPUTED_VALUE"""),1785)</f>
        <v>1785</v>
      </c>
      <c r="G304" s="3">
        <f ca="1">IFERROR(__xludf.DUMMYFUNCTION("""COMPUTED_VALUE"""),43903.6666666666)</f>
        <v>43903.666666666599</v>
      </c>
      <c r="H304" s="2">
        <f ca="1">IFERROR(__xludf.DUMMYFUNCTION("""COMPUTED_VALUE"""),1214.27)</f>
        <v>1214.27</v>
      </c>
      <c r="I304" s="3">
        <f ca="1">IFERROR(__xludf.DUMMYFUNCTION("""COMPUTED_VALUE"""),43903.6666666666)</f>
        <v>43903.666666666599</v>
      </c>
      <c r="J304" s="2">
        <f ca="1">IFERROR(__xludf.DUMMYFUNCTION("""COMPUTED_VALUE"""),1219.73)</f>
        <v>1219.73</v>
      </c>
      <c r="K304" s="3">
        <f ca="1">IFERROR(__xludf.DUMMYFUNCTION("""COMPUTED_VALUE"""),43903.6666666666)</f>
        <v>43903.666666666599</v>
      </c>
      <c r="L304" s="2">
        <f ca="1">IFERROR(__xludf.DUMMYFUNCTION("""COMPUTED_VALUE"""),170.28)</f>
        <v>170.28</v>
      </c>
      <c r="M304" s="3">
        <f ca="1">IFERROR(__xludf.DUMMYFUNCTION("""COMPUTED_VALUE"""),43903.6666666666)</f>
        <v>43903.666666666599</v>
      </c>
      <c r="N304" s="2">
        <f ca="1">IFERROR(__xludf.DUMMYFUNCTION("""COMPUTED_VALUE"""),109.32)</f>
        <v>109.32</v>
      </c>
      <c r="O304" s="3">
        <f ca="1">IFERROR(__xludf.DUMMYFUNCTION("""COMPUTED_VALUE"""),43903.6666666666)</f>
        <v>43903.666666666599</v>
      </c>
      <c r="P304" s="2">
        <f ca="1">IFERROR(__xludf.DUMMYFUNCTION("""COMPUTED_VALUE"""),60.21)</f>
        <v>60.21</v>
      </c>
      <c r="Q304" s="3">
        <f ca="1">IFERROR(__xludf.DUMMYFUNCTION("""COMPUTED_VALUE"""),43903.6666666666)</f>
        <v>43903.666666666599</v>
      </c>
      <c r="R304" s="2">
        <f ca="1">IFERROR(__xludf.DUMMYFUNCTION("""COMPUTED_VALUE"""),196.4)</f>
        <v>196.4</v>
      </c>
      <c r="S304" s="3">
        <f ca="1">IFERROR(__xludf.DUMMYFUNCTION("""COMPUTED_VALUE"""),43903.6666666666)</f>
        <v>43903.666666666599</v>
      </c>
      <c r="T304" s="2">
        <f ca="1">IFERROR(__xludf.DUMMYFUNCTION("""COMPUTED_VALUE"""),134.29)</f>
        <v>134.29</v>
      </c>
    </row>
    <row r="305" spans="1:20">
      <c r="A305" s="3">
        <f ca="1">IFERROR(__xludf.DUMMYFUNCTION("""COMPUTED_VALUE"""),43906.6666666666)</f>
        <v>43906.666666666599</v>
      </c>
      <c r="B305" s="2">
        <f ca="1">IFERROR(__xludf.DUMMYFUNCTION("""COMPUTED_VALUE"""),60.55)</f>
        <v>60.55</v>
      </c>
      <c r="C305" s="3">
        <f ca="1">IFERROR(__xludf.DUMMYFUNCTION("""COMPUTED_VALUE"""),43906.6666666666)</f>
        <v>43906.666666666599</v>
      </c>
      <c r="D305" s="2">
        <f ca="1">IFERROR(__xludf.DUMMYFUNCTION("""COMPUTED_VALUE"""),135.42)</f>
        <v>135.41999999999999</v>
      </c>
      <c r="E305" s="3">
        <f ca="1">IFERROR(__xludf.DUMMYFUNCTION("""COMPUTED_VALUE"""),43906.6666666666)</f>
        <v>43906.666666666599</v>
      </c>
      <c r="F305" s="2">
        <f ca="1">IFERROR(__xludf.DUMMYFUNCTION("""COMPUTED_VALUE"""),1689.15)</f>
        <v>1689.15</v>
      </c>
      <c r="G305" s="3">
        <f ca="1">IFERROR(__xludf.DUMMYFUNCTION("""COMPUTED_VALUE"""),43906.6666666666)</f>
        <v>43906.666666666599</v>
      </c>
      <c r="H305" s="2">
        <f ca="1">IFERROR(__xludf.DUMMYFUNCTION("""COMPUTED_VALUE"""),1073)</f>
        <v>1073</v>
      </c>
      <c r="I305" s="3">
        <f ca="1">IFERROR(__xludf.DUMMYFUNCTION("""COMPUTED_VALUE"""),43906.6666666666)</f>
        <v>43906.666666666599</v>
      </c>
      <c r="J305" s="2">
        <f ca="1">IFERROR(__xludf.DUMMYFUNCTION("""COMPUTED_VALUE"""),1084.33)</f>
        <v>1084.33</v>
      </c>
      <c r="K305" s="3">
        <f ca="1">IFERROR(__xludf.DUMMYFUNCTION("""COMPUTED_VALUE"""),43906.6666666666)</f>
        <v>43906.666666666599</v>
      </c>
      <c r="L305" s="2">
        <f ca="1">IFERROR(__xludf.DUMMYFUNCTION("""COMPUTED_VALUE"""),146.01)</f>
        <v>146.01</v>
      </c>
      <c r="M305" s="3">
        <f ca="1">IFERROR(__xludf.DUMMYFUNCTION("""COMPUTED_VALUE"""),43906.6666666666)</f>
        <v>43906.666666666599</v>
      </c>
      <c r="N305" s="2">
        <f ca="1">IFERROR(__xludf.DUMMYFUNCTION("""COMPUTED_VALUE"""),89.01)</f>
        <v>89.01</v>
      </c>
      <c r="O305" s="3">
        <f ca="1">IFERROR(__xludf.DUMMYFUNCTION("""COMPUTED_VALUE"""),43906.6666666666)</f>
        <v>43906.666666666599</v>
      </c>
      <c r="P305" s="2">
        <f ca="1">IFERROR(__xludf.DUMMYFUNCTION("""COMPUTED_VALUE"""),49.1)</f>
        <v>49.1</v>
      </c>
      <c r="Q305" s="3">
        <f ca="1">IFERROR(__xludf.DUMMYFUNCTION("""COMPUTED_VALUE"""),43906.6666666666)</f>
        <v>43906.666666666599</v>
      </c>
      <c r="R305" s="2">
        <f ca="1">IFERROR(__xludf.DUMMYFUNCTION("""COMPUTED_VALUE"""),177.77)</f>
        <v>177.77</v>
      </c>
      <c r="S305" s="3">
        <f ca="1">IFERROR(__xludf.DUMMYFUNCTION("""COMPUTED_VALUE"""),43906.6666666666)</f>
        <v>43906.666666666599</v>
      </c>
      <c r="T305" s="2">
        <f ca="1">IFERROR(__xludf.DUMMYFUNCTION("""COMPUTED_VALUE"""),127.13)</f>
        <v>127.13</v>
      </c>
    </row>
    <row r="306" spans="1:20">
      <c r="A306" s="3">
        <f ca="1">IFERROR(__xludf.DUMMYFUNCTION("""COMPUTED_VALUE"""),43907.6666666666)</f>
        <v>43907.666666666599</v>
      </c>
      <c r="B306" s="2">
        <f ca="1">IFERROR(__xludf.DUMMYFUNCTION("""COMPUTED_VALUE"""),63.22)</f>
        <v>63.22</v>
      </c>
      <c r="C306" s="3">
        <f ca="1">IFERROR(__xludf.DUMMYFUNCTION("""COMPUTED_VALUE"""),43907.6666666666)</f>
        <v>43907.666666666599</v>
      </c>
      <c r="D306" s="2">
        <f ca="1">IFERROR(__xludf.DUMMYFUNCTION("""COMPUTED_VALUE"""),146.57)</f>
        <v>146.57</v>
      </c>
      <c r="E306" s="3">
        <f ca="1">IFERROR(__xludf.DUMMYFUNCTION("""COMPUTED_VALUE"""),43907.6666666666)</f>
        <v>43907.666666666599</v>
      </c>
      <c r="F306" s="2">
        <f ca="1">IFERROR(__xludf.DUMMYFUNCTION("""COMPUTED_VALUE"""),1807.84)</f>
        <v>1807.84</v>
      </c>
      <c r="G306" s="3">
        <f ca="1">IFERROR(__xludf.DUMMYFUNCTION("""COMPUTED_VALUE"""),43907.6666666666)</f>
        <v>43907.666666666599</v>
      </c>
      <c r="H306" s="2">
        <f ca="1">IFERROR(__xludf.DUMMYFUNCTION("""COMPUTED_VALUE"""),1118.06)</f>
        <v>1118.06</v>
      </c>
      <c r="I306" s="3">
        <f ca="1">IFERROR(__xludf.DUMMYFUNCTION("""COMPUTED_VALUE"""),43907.6666666666)</f>
        <v>43907.666666666599</v>
      </c>
      <c r="J306" s="2">
        <f ca="1">IFERROR(__xludf.DUMMYFUNCTION("""COMPUTED_VALUE"""),1119.8)</f>
        <v>1119.8</v>
      </c>
      <c r="K306" s="3">
        <f ca="1">IFERROR(__xludf.DUMMYFUNCTION("""COMPUTED_VALUE"""),43907.6666666666)</f>
        <v>43907.666666666599</v>
      </c>
      <c r="L306" s="2">
        <f ca="1">IFERROR(__xludf.DUMMYFUNCTION("""COMPUTED_VALUE"""),149.42)</f>
        <v>149.41999999999999</v>
      </c>
      <c r="M306" s="3">
        <f ca="1">IFERROR(__xludf.DUMMYFUNCTION("""COMPUTED_VALUE"""),43907.6666666666)</f>
        <v>43907.666666666599</v>
      </c>
      <c r="N306" s="2">
        <f ca="1">IFERROR(__xludf.DUMMYFUNCTION("""COMPUTED_VALUE"""),86.04)</f>
        <v>86.04</v>
      </c>
      <c r="O306" s="3">
        <f ca="1">IFERROR(__xludf.DUMMYFUNCTION("""COMPUTED_VALUE"""),43907.6666666666)</f>
        <v>43907.666666666599</v>
      </c>
      <c r="P306" s="2">
        <f ca="1">IFERROR(__xludf.DUMMYFUNCTION("""COMPUTED_VALUE"""),54.32)</f>
        <v>54.32</v>
      </c>
      <c r="Q306" s="3">
        <f ca="1">IFERROR(__xludf.DUMMYFUNCTION("""COMPUTED_VALUE"""),43907.6666666666)</f>
        <v>43907.666666666599</v>
      </c>
      <c r="R306" s="2">
        <f ca="1">IFERROR(__xludf.DUMMYFUNCTION("""COMPUTED_VALUE"""),187.6)</f>
        <v>187.6</v>
      </c>
      <c r="S306" s="3">
        <f ca="1">IFERROR(__xludf.DUMMYFUNCTION("""COMPUTED_VALUE"""),43907.6666666666)</f>
        <v>43907.666666666599</v>
      </c>
      <c r="T306" s="2">
        <f ca="1">IFERROR(__xludf.DUMMYFUNCTION("""COMPUTED_VALUE"""),136.59)</f>
        <v>136.59</v>
      </c>
    </row>
    <row r="307" spans="1:20">
      <c r="A307" s="3">
        <f ca="1">IFERROR(__xludf.DUMMYFUNCTION("""COMPUTED_VALUE"""),43908.6666666666)</f>
        <v>43908.666666666599</v>
      </c>
      <c r="B307" s="2">
        <f ca="1">IFERROR(__xludf.DUMMYFUNCTION("""COMPUTED_VALUE"""),61.67)</f>
        <v>61.67</v>
      </c>
      <c r="C307" s="3">
        <f ca="1">IFERROR(__xludf.DUMMYFUNCTION("""COMPUTED_VALUE"""),43908.6666666666)</f>
        <v>43908.666666666599</v>
      </c>
      <c r="D307" s="2">
        <f ca="1">IFERROR(__xludf.DUMMYFUNCTION("""COMPUTED_VALUE"""),140.4)</f>
        <v>140.4</v>
      </c>
      <c r="E307" s="3">
        <f ca="1">IFERROR(__xludf.DUMMYFUNCTION("""COMPUTED_VALUE"""),43908.6666666666)</f>
        <v>43908.666666666599</v>
      </c>
      <c r="F307" s="2">
        <f ca="1">IFERROR(__xludf.DUMMYFUNCTION("""COMPUTED_VALUE"""),1830)</f>
        <v>1830</v>
      </c>
      <c r="G307" s="3">
        <f ca="1">IFERROR(__xludf.DUMMYFUNCTION("""COMPUTED_VALUE"""),43908.6666666666)</f>
        <v>43908.666666666599</v>
      </c>
      <c r="H307" s="2">
        <f ca="1">IFERROR(__xludf.DUMMYFUNCTION("""COMPUTED_VALUE"""),1091.19)</f>
        <v>1091.19</v>
      </c>
      <c r="I307" s="3">
        <f ca="1">IFERROR(__xludf.DUMMYFUNCTION("""COMPUTED_VALUE"""),43908.6666666666)</f>
        <v>43908.666666666599</v>
      </c>
      <c r="J307" s="2">
        <f ca="1">IFERROR(__xludf.DUMMYFUNCTION("""COMPUTED_VALUE"""),1096.8)</f>
        <v>1096.8</v>
      </c>
      <c r="K307" s="3">
        <f ca="1">IFERROR(__xludf.DUMMYFUNCTION("""COMPUTED_VALUE"""),43908.6666666666)</f>
        <v>43908.666666666599</v>
      </c>
      <c r="L307" s="2">
        <f ca="1">IFERROR(__xludf.DUMMYFUNCTION("""COMPUTED_VALUE"""),146.96)</f>
        <v>146.96</v>
      </c>
      <c r="M307" s="3">
        <f ca="1">IFERROR(__xludf.DUMMYFUNCTION("""COMPUTED_VALUE"""),43908.6666666666)</f>
        <v>43908.666666666599</v>
      </c>
      <c r="N307" s="2">
        <f ca="1">IFERROR(__xludf.DUMMYFUNCTION("""COMPUTED_VALUE"""),72.24)</f>
        <v>72.239999999999995</v>
      </c>
      <c r="O307" s="3">
        <f ca="1">IFERROR(__xludf.DUMMYFUNCTION("""COMPUTED_VALUE"""),43908.6666666666)</f>
        <v>43908.666666666599</v>
      </c>
      <c r="P307" s="2">
        <f ca="1">IFERROR(__xludf.DUMMYFUNCTION("""COMPUTED_VALUE"""),50.71)</f>
        <v>50.71</v>
      </c>
      <c r="Q307" s="3">
        <f ca="1">IFERROR(__xludf.DUMMYFUNCTION("""COMPUTED_VALUE"""),43908.6666666666)</f>
        <v>43908.666666666599</v>
      </c>
      <c r="R307" s="2">
        <f ca="1">IFERROR(__xludf.DUMMYFUNCTION("""COMPUTED_VALUE"""),172.44)</f>
        <v>172.44</v>
      </c>
      <c r="S307" s="3">
        <f ca="1">IFERROR(__xludf.DUMMYFUNCTION("""COMPUTED_VALUE"""),43908.6666666666)</f>
        <v>43908.666666666599</v>
      </c>
      <c r="T307" s="2">
        <f ca="1">IFERROR(__xludf.DUMMYFUNCTION("""COMPUTED_VALUE"""),134.96)</f>
        <v>134.96</v>
      </c>
    </row>
    <row r="308" spans="1:20">
      <c r="A308" s="3">
        <f ca="1">IFERROR(__xludf.DUMMYFUNCTION("""COMPUTED_VALUE"""),43909.6666666666)</f>
        <v>43909.666666666599</v>
      </c>
      <c r="B308" s="2">
        <f ca="1">IFERROR(__xludf.DUMMYFUNCTION("""COMPUTED_VALUE"""),61.2)</f>
        <v>61.2</v>
      </c>
      <c r="C308" s="3">
        <f ca="1">IFERROR(__xludf.DUMMYFUNCTION("""COMPUTED_VALUE"""),43909.6666666666)</f>
        <v>43909.666666666599</v>
      </c>
      <c r="D308" s="2">
        <f ca="1">IFERROR(__xludf.DUMMYFUNCTION("""COMPUTED_VALUE"""),142.71)</f>
        <v>142.71</v>
      </c>
      <c r="E308" s="3">
        <f ca="1">IFERROR(__xludf.DUMMYFUNCTION("""COMPUTED_VALUE"""),43909.6666666666)</f>
        <v>43909.666666666599</v>
      </c>
      <c r="F308" s="2">
        <f ca="1">IFERROR(__xludf.DUMMYFUNCTION("""COMPUTED_VALUE"""),1880.93)</f>
        <v>1880.93</v>
      </c>
      <c r="G308" s="3">
        <f ca="1">IFERROR(__xludf.DUMMYFUNCTION("""COMPUTED_VALUE"""),43909.6666666666)</f>
        <v>43909.666666666599</v>
      </c>
      <c r="H308" s="2">
        <f ca="1">IFERROR(__xludf.DUMMYFUNCTION("""COMPUTED_VALUE"""),1111.67)</f>
        <v>1111.67</v>
      </c>
      <c r="I308" s="3">
        <f ca="1">IFERROR(__xludf.DUMMYFUNCTION("""COMPUTED_VALUE"""),43909.6666666666)</f>
        <v>43909.666666666599</v>
      </c>
      <c r="J308" s="2">
        <f ca="1">IFERROR(__xludf.DUMMYFUNCTION("""COMPUTED_VALUE"""),1115.29)</f>
        <v>1115.29</v>
      </c>
      <c r="K308" s="3">
        <f ca="1">IFERROR(__xludf.DUMMYFUNCTION("""COMPUTED_VALUE"""),43909.6666666666)</f>
        <v>43909.666666666599</v>
      </c>
      <c r="L308" s="2">
        <f ca="1">IFERROR(__xludf.DUMMYFUNCTION("""COMPUTED_VALUE"""),153.13)</f>
        <v>153.13</v>
      </c>
      <c r="M308" s="3">
        <f ca="1">IFERROR(__xludf.DUMMYFUNCTION("""COMPUTED_VALUE"""),43909.6666666666)</f>
        <v>43909.666666666599</v>
      </c>
      <c r="N308" s="2">
        <f ca="1">IFERROR(__xludf.DUMMYFUNCTION("""COMPUTED_VALUE"""),85.53)</f>
        <v>85.53</v>
      </c>
      <c r="O308" s="3">
        <f ca="1">IFERROR(__xludf.DUMMYFUNCTION("""COMPUTED_VALUE"""),43909.6666666666)</f>
        <v>43909.666666666599</v>
      </c>
      <c r="P308" s="2">
        <f ca="1">IFERROR(__xludf.DUMMYFUNCTION("""COMPUTED_VALUE"""),53.24)</f>
        <v>53.24</v>
      </c>
      <c r="Q308" s="3">
        <f ca="1">IFERROR(__xludf.DUMMYFUNCTION("""COMPUTED_VALUE"""),43909.6666666666)</f>
        <v>43909.666666666599</v>
      </c>
      <c r="R308" s="2">
        <f ca="1">IFERROR(__xludf.DUMMYFUNCTION("""COMPUTED_VALUE"""),174.68)</f>
        <v>174.68</v>
      </c>
      <c r="S308" s="3">
        <f ca="1">IFERROR(__xludf.DUMMYFUNCTION("""COMPUTED_VALUE"""),43909.6666666666)</f>
        <v>43909.666666666599</v>
      </c>
      <c r="T308" s="2">
        <f ca="1">IFERROR(__xludf.DUMMYFUNCTION("""COMPUTED_VALUE"""),127.05)</f>
        <v>127.05</v>
      </c>
    </row>
    <row r="309" spans="1:20">
      <c r="A309" s="3">
        <f ca="1">IFERROR(__xludf.DUMMYFUNCTION("""COMPUTED_VALUE"""),43910.6666666666)</f>
        <v>43910.666666666599</v>
      </c>
      <c r="B309" s="2">
        <f ca="1">IFERROR(__xludf.DUMMYFUNCTION("""COMPUTED_VALUE"""),57.31)</f>
        <v>57.31</v>
      </c>
      <c r="C309" s="3">
        <f ca="1">IFERROR(__xludf.DUMMYFUNCTION("""COMPUTED_VALUE"""),43910.6666666666)</f>
        <v>43910.666666666599</v>
      </c>
      <c r="D309" s="2">
        <f ca="1">IFERROR(__xludf.DUMMYFUNCTION("""COMPUTED_VALUE"""),137.35)</f>
        <v>137.35</v>
      </c>
      <c r="E309" s="3">
        <f ca="1">IFERROR(__xludf.DUMMYFUNCTION("""COMPUTED_VALUE"""),43910.6666666666)</f>
        <v>43910.666666666599</v>
      </c>
      <c r="F309" s="2">
        <f ca="1">IFERROR(__xludf.DUMMYFUNCTION("""COMPUTED_VALUE"""),1846.09)</f>
        <v>1846.09</v>
      </c>
      <c r="G309" s="3">
        <f ca="1">IFERROR(__xludf.DUMMYFUNCTION("""COMPUTED_VALUE"""),43910.6666666666)</f>
        <v>43910.666666666599</v>
      </c>
      <c r="H309" s="2">
        <f ca="1">IFERROR(__xludf.DUMMYFUNCTION("""COMPUTED_VALUE"""),1068.21)</f>
        <v>1068.21</v>
      </c>
      <c r="I309" s="3">
        <f ca="1">IFERROR(__xludf.DUMMYFUNCTION("""COMPUTED_VALUE"""),43910.6666666666)</f>
        <v>43910.666666666599</v>
      </c>
      <c r="J309" s="2">
        <f ca="1">IFERROR(__xludf.DUMMYFUNCTION("""COMPUTED_VALUE"""),1072.32)</f>
        <v>1072.32</v>
      </c>
      <c r="K309" s="3">
        <f ca="1">IFERROR(__xludf.DUMMYFUNCTION("""COMPUTED_VALUE"""),43910.6666666666)</f>
        <v>43910.666666666599</v>
      </c>
      <c r="L309" s="2">
        <f ca="1">IFERROR(__xludf.DUMMYFUNCTION("""COMPUTED_VALUE"""),149.73)</f>
        <v>149.72999999999999</v>
      </c>
      <c r="M309" s="3">
        <f ca="1">IFERROR(__xludf.DUMMYFUNCTION("""COMPUTED_VALUE"""),43910.6666666666)</f>
        <v>43910.666666666599</v>
      </c>
      <c r="N309" s="2">
        <f ca="1">IFERROR(__xludf.DUMMYFUNCTION("""COMPUTED_VALUE"""),85.51)</f>
        <v>85.51</v>
      </c>
      <c r="O309" s="3">
        <f ca="1">IFERROR(__xludf.DUMMYFUNCTION("""COMPUTED_VALUE"""),43910.6666666666)</f>
        <v>43910.666666666599</v>
      </c>
      <c r="P309" s="2">
        <f ca="1">IFERROR(__xludf.DUMMYFUNCTION("""COMPUTED_VALUE"""),51.44)</f>
        <v>51.44</v>
      </c>
      <c r="Q309" s="3">
        <f ca="1">IFERROR(__xludf.DUMMYFUNCTION("""COMPUTED_VALUE"""),43910.6666666666)</f>
        <v>43910.666666666599</v>
      </c>
      <c r="R309" s="2">
        <f ca="1">IFERROR(__xludf.DUMMYFUNCTION("""COMPUTED_VALUE"""),170.06)</f>
        <v>170.06</v>
      </c>
      <c r="S309" s="3">
        <f ca="1">IFERROR(__xludf.DUMMYFUNCTION("""COMPUTED_VALUE"""),43910.6666666666)</f>
        <v>43910.666666666599</v>
      </c>
      <c r="T309" s="2">
        <f ca="1">IFERROR(__xludf.DUMMYFUNCTION("""COMPUTED_VALUE"""),119.89)</f>
        <v>119.89</v>
      </c>
    </row>
    <row r="310" spans="1:20">
      <c r="A310" s="3">
        <f ca="1">IFERROR(__xludf.DUMMYFUNCTION("""COMPUTED_VALUE"""),43913.6666666666)</f>
        <v>43913.666666666599</v>
      </c>
      <c r="B310" s="2">
        <f ca="1">IFERROR(__xludf.DUMMYFUNCTION("""COMPUTED_VALUE"""),56.09)</f>
        <v>56.09</v>
      </c>
      <c r="C310" s="3">
        <f ca="1">IFERROR(__xludf.DUMMYFUNCTION("""COMPUTED_VALUE"""),43913.6666666666)</f>
        <v>43913.666666666599</v>
      </c>
      <c r="D310" s="2">
        <f ca="1">IFERROR(__xludf.DUMMYFUNCTION("""COMPUTED_VALUE"""),135.98)</f>
        <v>135.97999999999999</v>
      </c>
      <c r="E310" s="3">
        <f ca="1">IFERROR(__xludf.DUMMYFUNCTION("""COMPUTED_VALUE"""),43913.6666666666)</f>
        <v>43913.666666666599</v>
      </c>
      <c r="F310" s="2">
        <f ca="1">IFERROR(__xludf.DUMMYFUNCTION("""COMPUTED_VALUE"""),1902.83)</f>
        <v>1902.83</v>
      </c>
      <c r="G310" s="3">
        <f ca="1">IFERROR(__xludf.DUMMYFUNCTION("""COMPUTED_VALUE"""),43913.6666666666)</f>
        <v>43913.666666666599</v>
      </c>
      <c r="H310" s="2">
        <f ca="1">IFERROR(__xludf.DUMMYFUNCTION("""COMPUTED_VALUE"""),1054.13)</f>
        <v>1054.1300000000001</v>
      </c>
      <c r="I310" s="3">
        <f ca="1">IFERROR(__xludf.DUMMYFUNCTION("""COMPUTED_VALUE"""),43913.6666666666)</f>
        <v>43913.666666666599</v>
      </c>
      <c r="J310" s="2">
        <f ca="1">IFERROR(__xludf.DUMMYFUNCTION("""COMPUTED_VALUE"""),1056.62)</f>
        <v>1056.6199999999999</v>
      </c>
      <c r="K310" s="3">
        <f ca="1">IFERROR(__xludf.DUMMYFUNCTION("""COMPUTED_VALUE"""),43913.6666666666)</f>
        <v>43913.666666666599</v>
      </c>
      <c r="L310" s="2">
        <f ca="1">IFERROR(__xludf.DUMMYFUNCTION("""COMPUTED_VALUE"""),148.1)</f>
        <v>148.1</v>
      </c>
      <c r="M310" s="3">
        <f ca="1">IFERROR(__xludf.DUMMYFUNCTION("""COMPUTED_VALUE"""),43913.6666666666)</f>
        <v>43913.666666666599</v>
      </c>
      <c r="N310" s="2">
        <f ca="1">IFERROR(__xludf.DUMMYFUNCTION("""COMPUTED_VALUE"""),86.86)</f>
        <v>86.86</v>
      </c>
      <c r="O310" s="3">
        <f ca="1">IFERROR(__xludf.DUMMYFUNCTION("""COMPUTED_VALUE"""),43913.6666666666)</f>
        <v>43913.666666666599</v>
      </c>
      <c r="P310" s="2">
        <f ca="1">IFERROR(__xludf.DUMMYFUNCTION("""COMPUTED_VALUE"""),53.17)</f>
        <v>53.17</v>
      </c>
      <c r="Q310" s="3">
        <f ca="1">IFERROR(__xludf.DUMMYFUNCTION("""COMPUTED_VALUE"""),43913.6666666666)</f>
        <v>43913.666666666599</v>
      </c>
      <c r="R310" s="2">
        <f ca="1">IFERROR(__xludf.DUMMYFUNCTION("""COMPUTED_VALUE"""),162.13)</f>
        <v>162.13</v>
      </c>
      <c r="S310" s="3">
        <f ca="1">IFERROR(__xludf.DUMMYFUNCTION("""COMPUTED_VALUE"""),43913.6666666666)</f>
        <v>43913.666666666599</v>
      </c>
      <c r="T310" s="2">
        <f ca="1">IFERROR(__xludf.DUMMYFUNCTION("""COMPUTED_VALUE"""),111.14)</f>
        <v>111.14</v>
      </c>
    </row>
    <row r="311" spans="1:20">
      <c r="A311" s="3">
        <f ca="1">IFERROR(__xludf.DUMMYFUNCTION("""COMPUTED_VALUE"""),43914.6666666666)</f>
        <v>43914.666666666599</v>
      </c>
      <c r="B311" s="2">
        <f ca="1">IFERROR(__xludf.DUMMYFUNCTION("""COMPUTED_VALUE"""),61.72)</f>
        <v>61.72</v>
      </c>
      <c r="C311" s="3">
        <f ca="1">IFERROR(__xludf.DUMMYFUNCTION("""COMPUTED_VALUE"""),43914.6666666666)</f>
        <v>43914.666666666599</v>
      </c>
      <c r="D311" s="2">
        <f ca="1">IFERROR(__xludf.DUMMYFUNCTION("""COMPUTED_VALUE"""),148.34)</f>
        <v>148.34</v>
      </c>
      <c r="E311" s="3">
        <f ca="1">IFERROR(__xludf.DUMMYFUNCTION("""COMPUTED_VALUE"""),43914.6666666666)</f>
        <v>43914.666666666599</v>
      </c>
      <c r="F311" s="2">
        <f ca="1">IFERROR(__xludf.DUMMYFUNCTION("""COMPUTED_VALUE"""),1940.1)</f>
        <v>1940.1</v>
      </c>
      <c r="G311" s="3">
        <f ca="1">IFERROR(__xludf.DUMMYFUNCTION("""COMPUTED_VALUE"""),43914.6666666666)</f>
        <v>43914.666666666599</v>
      </c>
      <c r="H311" s="2">
        <f ca="1">IFERROR(__xludf.DUMMYFUNCTION("""COMPUTED_VALUE"""),1130.01)</f>
        <v>1130.01</v>
      </c>
      <c r="I311" s="3">
        <f ca="1">IFERROR(__xludf.DUMMYFUNCTION("""COMPUTED_VALUE"""),43914.6666666666)</f>
        <v>43914.666666666599</v>
      </c>
      <c r="J311" s="2">
        <f ca="1">IFERROR(__xludf.DUMMYFUNCTION("""COMPUTED_VALUE"""),1134.46)</f>
        <v>1134.46</v>
      </c>
      <c r="K311" s="3">
        <f ca="1">IFERROR(__xludf.DUMMYFUNCTION("""COMPUTED_VALUE"""),43914.6666666666)</f>
        <v>43914.666666666599</v>
      </c>
      <c r="L311" s="2">
        <f ca="1">IFERROR(__xludf.DUMMYFUNCTION("""COMPUTED_VALUE"""),160.98)</f>
        <v>160.97999999999999</v>
      </c>
      <c r="M311" s="3">
        <f ca="1">IFERROR(__xludf.DUMMYFUNCTION("""COMPUTED_VALUE"""),43914.6666666666)</f>
        <v>43914.666666666599</v>
      </c>
      <c r="N311" s="2">
        <f ca="1">IFERROR(__xludf.DUMMYFUNCTION("""COMPUTED_VALUE"""),101)</f>
        <v>101</v>
      </c>
      <c r="O311" s="3">
        <f ca="1">IFERROR(__xludf.DUMMYFUNCTION("""COMPUTED_VALUE"""),43914.6666666666)</f>
        <v>43914.666666666599</v>
      </c>
      <c r="P311" s="2">
        <f ca="1">IFERROR(__xludf.DUMMYFUNCTION("""COMPUTED_VALUE"""),62.3)</f>
        <v>62.3</v>
      </c>
      <c r="Q311" s="3">
        <f ca="1">IFERROR(__xludf.DUMMYFUNCTION("""COMPUTED_VALUE"""),43914.6666666666)</f>
        <v>43914.666666666599</v>
      </c>
      <c r="R311" s="2">
        <f ca="1">IFERROR(__xludf.DUMMYFUNCTION("""COMPUTED_VALUE"""),178.2)</f>
        <v>178.2</v>
      </c>
      <c r="S311" s="3">
        <f ca="1">IFERROR(__xludf.DUMMYFUNCTION("""COMPUTED_VALUE"""),43914.6666666666)</f>
        <v>43914.666666666599</v>
      </c>
      <c r="T311" s="2">
        <f ca="1">IFERROR(__xludf.DUMMYFUNCTION("""COMPUTED_VALUE"""),119.18)</f>
        <v>119.18</v>
      </c>
    </row>
    <row r="312" spans="1:20">
      <c r="A312" s="3">
        <f ca="1">IFERROR(__xludf.DUMMYFUNCTION("""COMPUTED_VALUE"""),43915.6666666666)</f>
        <v>43915.666666666599</v>
      </c>
      <c r="B312" s="2">
        <f ca="1">IFERROR(__xludf.DUMMYFUNCTION("""COMPUTED_VALUE"""),61.38)</f>
        <v>61.38</v>
      </c>
      <c r="C312" s="3">
        <f ca="1">IFERROR(__xludf.DUMMYFUNCTION("""COMPUTED_VALUE"""),43915.6666666666)</f>
        <v>43915.666666666599</v>
      </c>
      <c r="D312" s="2">
        <f ca="1">IFERROR(__xludf.DUMMYFUNCTION("""COMPUTED_VALUE"""),146.92)</f>
        <v>146.91999999999999</v>
      </c>
      <c r="E312" s="3">
        <f ca="1">IFERROR(__xludf.DUMMYFUNCTION("""COMPUTED_VALUE"""),43915.6666666666)</f>
        <v>43915.666666666599</v>
      </c>
      <c r="F312" s="2">
        <f ca="1">IFERROR(__xludf.DUMMYFUNCTION("""COMPUTED_VALUE"""),1885.84)</f>
        <v>1885.84</v>
      </c>
      <c r="G312" s="3">
        <f ca="1">IFERROR(__xludf.DUMMYFUNCTION("""COMPUTED_VALUE"""),43915.6666666666)</f>
        <v>43915.666666666599</v>
      </c>
      <c r="H312" s="2">
        <f ca="1">IFERROR(__xludf.DUMMYFUNCTION("""COMPUTED_VALUE"""),1101.62)</f>
        <v>1101.6199999999999</v>
      </c>
      <c r="I312" s="3">
        <f ca="1">IFERROR(__xludf.DUMMYFUNCTION("""COMPUTED_VALUE"""),43915.6666666666)</f>
        <v>43915.666666666599</v>
      </c>
      <c r="J312" s="2">
        <f ca="1">IFERROR(__xludf.DUMMYFUNCTION("""COMPUTED_VALUE"""),1102.49)</f>
        <v>1102.49</v>
      </c>
      <c r="K312" s="3">
        <f ca="1">IFERROR(__xludf.DUMMYFUNCTION("""COMPUTED_VALUE"""),43915.6666666666)</f>
        <v>43915.666666666599</v>
      </c>
      <c r="L312" s="2">
        <f ca="1">IFERROR(__xludf.DUMMYFUNCTION("""COMPUTED_VALUE"""),156.21)</f>
        <v>156.21</v>
      </c>
      <c r="M312" s="3">
        <f ca="1">IFERROR(__xludf.DUMMYFUNCTION("""COMPUTED_VALUE"""),43915.6666666666)</f>
        <v>43915.666666666599</v>
      </c>
      <c r="N312" s="2">
        <f ca="1">IFERROR(__xludf.DUMMYFUNCTION("""COMPUTED_VALUE"""),107.85)</f>
        <v>107.85</v>
      </c>
      <c r="O312" s="3">
        <f ca="1">IFERROR(__xludf.DUMMYFUNCTION("""COMPUTED_VALUE"""),43915.6666666666)</f>
        <v>43915.666666666599</v>
      </c>
      <c r="P312" s="2">
        <f ca="1">IFERROR(__xludf.DUMMYFUNCTION("""COMPUTED_VALUE"""),61.41)</f>
        <v>61.41</v>
      </c>
      <c r="Q312" s="3">
        <f ca="1">IFERROR(__xludf.DUMMYFUNCTION("""COMPUTED_VALUE"""),43915.6666666666)</f>
        <v>43915.666666666599</v>
      </c>
      <c r="R312" s="2">
        <f ca="1">IFERROR(__xludf.DUMMYFUNCTION("""COMPUTED_VALUE"""),180.47)</f>
        <v>180.47</v>
      </c>
      <c r="S312" s="3">
        <f ca="1">IFERROR(__xludf.DUMMYFUNCTION("""COMPUTED_VALUE"""),43915.6666666666)</f>
        <v>43915.666666666599</v>
      </c>
      <c r="T312" s="2">
        <f ca="1">IFERROR(__xludf.DUMMYFUNCTION("""COMPUTED_VALUE"""),119.4)</f>
        <v>119.4</v>
      </c>
    </row>
    <row r="313" spans="1:20">
      <c r="A313" s="3">
        <f ca="1">IFERROR(__xludf.DUMMYFUNCTION("""COMPUTED_VALUE"""),43916.6666666666)</f>
        <v>43916.666666666599</v>
      </c>
      <c r="B313" s="2">
        <f ca="1">IFERROR(__xludf.DUMMYFUNCTION("""COMPUTED_VALUE"""),64.61)</f>
        <v>64.61</v>
      </c>
      <c r="C313" s="3">
        <f ca="1">IFERROR(__xludf.DUMMYFUNCTION("""COMPUTED_VALUE"""),43916.6666666666)</f>
        <v>43916.666666666599</v>
      </c>
      <c r="D313" s="2">
        <f ca="1">IFERROR(__xludf.DUMMYFUNCTION("""COMPUTED_VALUE"""),156.11)</f>
        <v>156.11000000000001</v>
      </c>
      <c r="E313" s="3">
        <f ca="1">IFERROR(__xludf.DUMMYFUNCTION("""COMPUTED_VALUE"""),43916.6666666666)</f>
        <v>43916.666666666599</v>
      </c>
      <c r="F313" s="2">
        <f ca="1">IFERROR(__xludf.DUMMYFUNCTION("""COMPUTED_VALUE"""),1955.49)</f>
        <v>1955.49</v>
      </c>
      <c r="G313" s="3">
        <f ca="1">IFERROR(__xludf.DUMMYFUNCTION("""COMPUTED_VALUE"""),43916.6666666666)</f>
        <v>43916.666666666599</v>
      </c>
      <c r="H313" s="2">
        <f ca="1">IFERROR(__xludf.DUMMYFUNCTION("""COMPUTED_VALUE"""),1162.92)</f>
        <v>1162.92</v>
      </c>
      <c r="I313" s="3">
        <f ca="1">IFERROR(__xludf.DUMMYFUNCTION("""COMPUTED_VALUE"""),43916.6666666666)</f>
        <v>43916.666666666599</v>
      </c>
      <c r="J313" s="2">
        <f ca="1">IFERROR(__xludf.DUMMYFUNCTION("""COMPUTED_VALUE"""),1161.75)</f>
        <v>1161.75</v>
      </c>
      <c r="K313" s="3">
        <f ca="1">IFERROR(__xludf.DUMMYFUNCTION("""COMPUTED_VALUE"""),43916.6666666666)</f>
        <v>43916.666666666599</v>
      </c>
      <c r="L313" s="2">
        <f ca="1">IFERROR(__xludf.DUMMYFUNCTION("""COMPUTED_VALUE"""),163.34)</f>
        <v>163.34</v>
      </c>
      <c r="M313" s="3">
        <f ca="1">IFERROR(__xludf.DUMMYFUNCTION("""COMPUTED_VALUE"""),43916.6666666666)</f>
        <v>43916.666666666599</v>
      </c>
      <c r="N313" s="2">
        <f ca="1">IFERROR(__xludf.DUMMYFUNCTION("""COMPUTED_VALUE"""),105.63)</f>
        <v>105.63</v>
      </c>
      <c r="O313" s="3">
        <f ca="1">IFERROR(__xludf.DUMMYFUNCTION("""COMPUTED_VALUE"""),43916.6666666666)</f>
        <v>43916.666666666599</v>
      </c>
      <c r="P313" s="2">
        <f ca="1">IFERROR(__xludf.DUMMYFUNCTION("""COMPUTED_VALUE"""),64.31)</f>
        <v>64.31</v>
      </c>
      <c r="Q313" s="3">
        <f ca="1">IFERROR(__xludf.DUMMYFUNCTION("""COMPUTED_VALUE"""),43916.6666666666)</f>
        <v>43916.666666666599</v>
      </c>
      <c r="R313" s="2">
        <f ca="1">IFERROR(__xludf.DUMMYFUNCTION("""COMPUTED_VALUE"""),183.9)</f>
        <v>183.9</v>
      </c>
      <c r="S313" s="3">
        <f ca="1">IFERROR(__xludf.DUMMYFUNCTION("""COMPUTED_VALUE"""),43916.6666666666)</f>
        <v>43916.666666666599</v>
      </c>
      <c r="T313" s="2">
        <f ca="1">IFERROR(__xludf.DUMMYFUNCTION("""COMPUTED_VALUE"""),126.57)</f>
        <v>126.57</v>
      </c>
    </row>
    <row r="314" spans="1:20">
      <c r="A314" s="3">
        <f ca="1">IFERROR(__xludf.DUMMYFUNCTION("""COMPUTED_VALUE"""),43917.6666666666)</f>
        <v>43917.666666666599</v>
      </c>
      <c r="B314" s="2">
        <f ca="1">IFERROR(__xludf.DUMMYFUNCTION("""COMPUTED_VALUE"""),61.94)</f>
        <v>61.94</v>
      </c>
      <c r="C314" s="3">
        <f ca="1">IFERROR(__xludf.DUMMYFUNCTION("""COMPUTED_VALUE"""),43917.6666666666)</f>
        <v>43917.666666666599</v>
      </c>
      <c r="D314" s="2">
        <f ca="1">IFERROR(__xludf.DUMMYFUNCTION("""COMPUTED_VALUE"""),149.7)</f>
        <v>149.69999999999999</v>
      </c>
      <c r="E314" s="3">
        <f ca="1">IFERROR(__xludf.DUMMYFUNCTION("""COMPUTED_VALUE"""),43917.6666666666)</f>
        <v>43917.666666666599</v>
      </c>
      <c r="F314" s="2">
        <f ca="1">IFERROR(__xludf.DUMMYFUNCTION("""COMPUTED_VALUE"""),1900.1)</f>
        <v>1900.1</v>
      </c>
      <c r="G314" s="3">
        <f ca="1">IFERROR(__xludf.DUMMYFUNCTION("""COMPUTED_VALUE"""),43917.6666666666)</f>
        <v>43917.666666666599</v>
      </c>
      <c r="H314" s="2">
        <f ca="1">IFERROR(__xludf.DUMMYFUNCTION("""COMPUTED_VALUE"""),1110.26)</f>
        <v>1110.26</v>
      </c>
      <c r="I314" s="3">
        <f ca="1">IFERROR(__xludf.DUMMYFUNCTION("""COMPUTED_VALUE"""),43917.6666666666)</f>
        <v>43917.666666666599</v>
      </c>
      <c r="J314" s="2">
        <f ca="1">IFERROR(__xludf.DUMMYFUNCTION("""COMPUTED_VALUE"""),1110.71)</f>
        <v>1110.71</v>
      </c>
      <c r="K314" s="3">
        <f ca="1">IFERROR(__xludf.DUMMYFUNCTION("""COMPUTED_VALUE"""),43917.6666666666)</f>
        <v>43917.666666666599</v>
      </c>
      <c r="L314" s="2">
        <f ca="1">IFERROR(__xludf.DUMMYFUNCTION("""COMPUTED_VALUE"""),156.79)</f>
        <v>156.79</v>
      </c>
      <c r="M314" s="3">
        <f ca="1">IFERROR(__xludf.DUMMYFUNCTION("""COMPUTED_VALUE"""),43917.6666666666)</f>
        <v>43917.666666666599</v>
      </c>
      <c r="N314" s="2">
        <f ca="1">IFERROR(__xludf.DUMMYFUNCTION("""COMPUTED_VALUE"""),102.87)</f>
        <v>102.87</v>
      </c>
      <c r="O314" s="3">
        <f ca="1">IFERROR(__xludf.DUMMYFUNCTION("""COMPUTED_VALUE"""),43917.6666666666)</f>
        <v>43917.666666666599</v>
      </c>
      <c r="P314" s="2">
        <f ca="1">IFERROR(__xludf.DUMMYFUNCTION("""COMPUTED_VALUE"""),63.18)</f>
        <v>63.18</v>
      </c>
      <c r="Q314" s="3">
        <f ca="1">IFERROR(__xludf.DUMMYFUNCTION("""COMPUTED_VALUE"""),43917.6666666666)</f>
        <v>43917.666666666599</v>
      </c>
      <c r="R314" s="2">
        <f ca="1">IFERROR(__xludf.DUMMYFUNCTION("""COMPUTED_VALUE"""),179.66)</f>
        <v>179.66</v>
      </c>
      <c r="S314" s="3">
        <f ca="1">IFERROR(__xludf.DUMMYFUNCTION("""COMPUTED_VALUE"""),43917.6666666666)</f>
        <v>43917.666666666599</v>
      </c>
      <c r="T314" s="2">
        <f ca="1">IFERROR(__xludf.DUMMYFUNCTION("""COMPUTED_VALUE"""),123.16)</f>
        <v>123.16</v>
      </c>
    </row>
    <row r="315" spans="1:20">
      <c r="A315" s="3">
        <f ca="1">IFERROR(__xludf.DUMMYFUNCTION("""COMPUTED_VALUE"""),43920.6666666666)</f>
        <v>43920.666666666599</v>
      </c>
      <c r="B315" s="2">
        <f ca="1">IFERROR(__xludf.DUMMYFUNCTION("""COMPUTED_VALUE"""),63.7)</f>
        <v>63.7</v>
      </c>
      <c r="C315" s="3">
        <f ca="1">IFERROR(__xludf.DUMMYFUNCTION("""COMPUTED_VALUE"""),43920.6666666666)</f>
        <v>43920.666666666599</v>
      </c>
      <c r="D315" s="2">
        <f ca="1">IFERROR(__xludf.DUMMYFUNCTION("""COMPUTED_VALUE"""),160.23)</f>
        <v>160.22999999999999</v>
      </c>
      <c r="E315" s="3">
        <f ca="1">IFERROR(__xludf.DUMMYFUNCTION("""COMPUTED_VALUE"""),43920.6666666666)</f>
        <v>43920.666666666599</v>
      </c>
      <c r="F315" s="2">
        <f ca="1">IFERROR(__xludf.DUMMYFUNCTION("""COMPUTED_VALUE"""),1963.95)</f>
        <v>1963.95</v>
      </c>
      <c r="G315" s="3">
        <f ca="1">IFERROR(__xludf.DUMMYFUNCTION("""COMPUTED_VALUE"""),43920.6666666666)</f>
        <v>43920.666666666599</v>
      </c>
      <c r="H315" s="2">
        <f ca="1">IFERROR(__xludf.DUMMYFUNCTION("""COMPUTED_VALUE"""),1146.31)</f>
        <v>1146.31</v>
      </c>
      <c r="I315" s="3">
        <f ca="1">IFERROR(__xludf.DUMMYFUNCTION("""COMPUTED_VALUE"""),43920.6666666666)</f>
        <v>43920.666666666599</v>
      </c>
      <c r="J315" s="2">
        <f ca="1">IFERROR(__xludf.DUMMYFUNCTION("""COMPUTED_VALUE"""),1146.82)</f>
        <v>1146.82</v>
      </c>
      <c r="K315" s="3">
        <f ca="1">IFERROR(__xludf.DUMMYFUNCTION("""COMPUTED_VALUE"""),43920.6666666666)</f>
        <v>43920.666666666599</v>
      </c>
      <c r="L315" s="2">
        <f ca="1">IFERROR(__xludf.DUMMYFUNCTION("""COMPUTED_VALUE"""),165.95)</f>
        <v>165.95</v>
      </c>
      <c r="M315" s="3">
        <f ca="1">IFERROR(__xludf.DUMMYFUNCTION("""COMPUTED_VALUE"""),43920.6666666666)</f>
        <v>43920.666666666599</v>
      </c>
      <c r="N315" s="2">
        <f ca="1">IFERROR(__xludf.DUMMYFUNCTION("""COMPUTED_VALUE"""),100.43)</f>
        <v>100.43</v>
      </c>
      <c r="O315" s="3">
        <f ca="1">IFERROR(__xludf.DUMMYFUNCTION("""COMPUTED_VALUE"""),43920.6666666666)</f>
        <v>43920.666666666599</v>
      </c>
      <c r="P315" s="2">
        <f ca="1">IFERROR(__xludf.DUMMYFUNCTION("""COMPUTED_VALUE"""),66.4)</f>
        <v>66.400000000000006</v>
      </c>
      <c r="Q315" s="3">
        <f ca="1">IFERROR(__xludf.DUMMYFUNCTION("""COMPUTED_VALUE"""),43920.6666666666)</f>
        <v>43920.666666666599</v>
      </c>
      <c r="R315" s="2">
        <f ca="1">IFERROR(__xludf.DUMMYFUNCTION("""COMPUTED_VALUE"""),183.18)</f>
        <v>183.18</v>
      </c>
      <c r="S315" s="3">
        <f ca="1">IFERROR(__xludf.DUMMYFUNCTION("""COMPUTED_VALUE"""),43920.6666666666)</f>
        <v>43920.666666666599</v>
      </c>
      <c r="T315" s="2">
        <f ca="1">IFERROR(__xludf.DUMMYFUNCTION("""COMPUTED_VALUE"""),133.01)</f>
        <v>133.01</v>
      </c>
    </row>
    <row r="316" spans="1:20">
      <c r="A316" s="3">
        <f ca="1">IFERROR(__xludf.DUMMYFUNCTION("""COMPUTED_VALUE"""),43921.6666666666)</f>
        <v>43921.666666666599</v>
      </c>
      <c r="B316" s="2">
        <f ca="1">IFERROR(__xludf.DUMMYFUNCTION("""COMPUTED_VALUE"""),63.57)</f>
        <v>63.57</v>
      </c>
      <c r="C316" s="3">
        <f ca="1">IFERROR(__xludf.DUMMYFUNCTION("""COMPUTED_VALUE"""),43921.6666666666)</f>
        <v>43921.666666666599</v>
      </c>
      <c r="D316" s="2">
        <f ca="1">IFERROR(__xludf.DUMMYFUNCTION("""COMPUTED_VALUE"""),157.71)</f>
        <v>157.71</v>
      </c>
      <c r="E316" s="3">
        <f ca="1">IFERROR(__xludf.DUMMYFUNCTION("""COMPUTED_VALUE"""),43921.6666666666)</f>
        <v>43921.666666666599</v>
      </c>
      <c r="F316" s="2">
        <f ca="1">IFERROR(__xludf.DUMMYFUNCTION("""COMPUTED_VALUE"""),1949.72)</f>
        <v>1949.72</v>
      </c>
      <c r="G316" s="3">
        <f ca="1">IFERROR(__xludf.DUMMYFUNCTION("""COMPUTED_VALUE"""),43921.6666666666)</f>
        <v>43921.666666666599</v>
      </c>
      <c r="H316" s="2">
        <f ca="1">IFERROR(__xludf.DUMMYFUNCTION("""COMPUTED_VALUE"""),1161.95)</f>
        <v>1161.95</v>
      </c>
      <c r="I316" s="3">
        <f ca="1">IFERROR(__xludf.DUMMYFUNCTION("""COMPUTED_VALUE"""),43921.6666666666)</f>
        <v>43921.666666666599</v>
      </c>
      <c r="J316" s="2">
        <f ca="1">IFERROR(__xludf.DUMMYFUNCTION("""COMPUTED_VALUE"""),1162.81)</f>
        <v>1162.81</v>
      </c>
      <c r="K316" s="3">
        <f ca="1">IFERROR(__xludf.DUMMYFUNCTION("""COMPUTED_VALUE"""),43921.6666666666)</f>
        <v>43921.666666666599</v>
      </c>
      <c r="L316" s="2">
        <f ca="1">IFERROR(__xludf.DUMMYFUNCTION("""COMPUTED_VALUE"""),166.8)</f>
        <v>166.8</v>
      </c>
      <c r="M316" s="3">
        <f ca="1">IFERROR(__xludf.DUMMYFUNCTION("""COMPUTED_VALUE"""),43921.6666666666)</f>
        <v>43921.666666666599</v>
      </c>
      <c r="N316" s="2">
        <f ca="1">IFERROR(__xludf.DUMMYFUNCTION("""COMPUTED_VALUE"""),104.8)</f>
        <v>104.8</v>
      </c>
      <c r="O316" s="3">
        <f ca="1">IFERROR(__xludf.DUMMYFUNCTION("""COMPUTED_VALUE"""),43921.6666666666)</f>
        <v>43921.666666666599</v>
      </c>
      <c r="P316" s="2">
        <f ca="1">IFERROR(__xludf.DUMMYFUNCTION("""COMPUTED_VALUE"""),65.9)</f>
        <v>65.900000000000006</v>
      </c>
      <c r="Q316" s="3">
        <f ca="1">IFERROR(__xludf.DUMMYFUNCTION("""COMPUTED_VALUE"""),43921.6666666666)</f>
        <v>43921.666666666599</v>
      </c>
      <c r="R316" s="2">
        <f ca="1">IFERROR(__xludf.DUMMYFUNCTION("""COMPUTED_VALUE"""),182.83)</f>
        <v>182.83</v>
      </c>
      <c r="S316" s="3">
        <f ca="1">IFERROR(__xludf.DUMMYFUNCTION("""COMPUTED_VALUE"""),43921.6666666666)</f>
        <v>43921.666666666599</v>
      </c>
      <c r="T316" s="2">
        <f ca="1">IFERROR(__xludf.DUMMYFUNCTION("""COMPUTED_VALUE"""),131.13)</f>
        <v>131.13</v>
      </c>
    </row>
    <row r="317" spans="1:20">
      <c r="A317" s="3">
        <f ca="1">IFERROR(__xludf.DUMMYFUNCTION("""COMPUTED_VALUE"""),43922.6666666666)</f>
        <v>43922.666666666599</v>
      </c>
      <c r="B317" s="2">
        <f ca="1">IFERROR(__xludf.DUMMYFUNCTION("""COMPUTED_VALUE"""),60.23)</f>
        <v>60.23</v>
      </c>
      <c r="C317" s="3">
        <f ca="1">IFERROR(__xludf.DUMMYFUNCTION("""COMPUTED_VALUE"""),43922.6666666666)</f>
        <v>43922.666666666599</v>
      </c>
      <c r="D317" s="2">
        <f ca="1">IFERROR(__xludf.DUMMYFUNCTION("""COMPUTED_VALUE"""),152.11)</f>
        <v>152.11000000000001</v>
      </c>
      <c r="E317" s="3">
        <f ca="1">IFERROR(__xludf.DUMMYFUNCTION("""COMPUTED_VALUE"""),43922.6666666666)</f>
        <v>43922.666666666599</v>
      </c>
      <c r="F317" s="2">
        <f ca="1">IFERROR(__xludf.DUMMYFUNCTION("""COMPUTED_VALUE"""),1907.7)</f>
        <v>1907.7</v>
      </c>
      <c r="G317" s="3">
        <f ca="1">IFERROR(__xludf.DUMMYFUNCTION("""COMPUTED_VALUE"""),43922.6666666666)</f>
        <v>43922.666666666599</v>
      </c>
      <c r="H317" s="2">
        <f ca="1">IFERROR(__xludf.DUMMYFUNCTION("""COMPUTED_VALUE"""),1102.1)</f>
        <v>1102.0999999999999</v>
      </c>
      <c r="I317" s="3">
        <f ca="1">IFERROR(__xludf.DUMMYFUNCTION("""COMPUTED_VALUE"""),43922.6666666666)</f>
        <v>43922.666666666599</v>
      </c>
      <c r="J317" s="2">
        <f ca="1">IFERROR(__xludf.DUMMYFUNCTION("""COMPUTED_VALUE"""),1105.62)</f>
        <v>1105.6199999999999</v>
      </c>
      <c r="K317" s="3">
        <f ca="1">IFERROR(__xludf.DUMMYFUNCTION("""COMPUTED_VALUE"""),43922.6666666666)</f>
        <v>43922.666666666599</v>
      </c>
      <c r="L317" s="2">
        <f ca="1">IFERROR(__xludf.DUMMYFUNCTION("""COMPUTED_VALUE"""),159.6)</f>
        <v>159.6</v>
      </c>
      <c r="M317" s="3">
        <f ca="1">IFERROR(__xludf.DUMMYFUNCTION("""COMPUTED_VALUE"""),43922.6666666666)</f>
        <v>43922.666666666599</v>
      </c>
      <c r="N317" s="2">
        <f ca="1">IFERROR(__xludf.DUMMYFUNCTION("""COMPUTED_VALUE"""),96.31)</f>
        <v>96.31</v>
      </c>
      <c r="O317" s="3">
        <f ca="1">IFERROR(__xludf.DUMMYFUNCTION("""COMPUTED_VALUE"""),43922.6666666666)</f>
        <v>43922.666666666599</v>
      </c>
      <c r="P317" s="2">
        <f ca="1">IFERROR(__xludf.DUMMYFUNCTION("""COMPUTED_VALUE"""),60.77)</f>
        <v>60.77</v>
      </c>
      <c r="Q317" s="3">
        <f ca="1">IFERROR(__xludf.DUMMYFUNCTION("""COMPUTED_VALUE"""),43922.6666666666)</f>
        <v>43922.666666666599</v>
      </c>
      <c r="R317" s="2">
        <f ca="1">IFERROR(__xludf.DUMMYFUNCTION("""COMPUTED_VALUE"""),175.95)</f>
        <v>175.95</v>
      </c>
      <c r="S317" s="3">
        <f ca="1">IFERROR(__xludf.DUMMYFUNCTION("""COMPUTED_VALUE"""),43922.6666666666)</f>
        <v>43922.666666666599</v>
      </c>
      <c r="T317" s="2">
        <f ca="1">IFERROR(__xludf.DUMMYFUNCTION("""COMPUTED_VALUE"""),128.81)</f>
        <v>128.81</v>
      </c>
    </row>
    <row r="318" spans="1:20">
      <c r="A318" s="3">
        <f ca="1">IFERROR(__xludf.DUMMYFUNCTION("""COMPUTED_VALUE"""),43923.6666666666)</f>
        <v>43923.666666666599</v>
      </c>
      <c r="B318" s="2">
        <f ca="1">IFERROR(__xludf.DUMMYFUNCTION("""COMPUTED_VALUE"""),61.23)</f>
        <v>61.23</v>
      </c>
      <c r="C318" s="3">
        <f ca="1">IFERROR(__xludf.DUMMYFUNCTION("""COMPUTED_VALUE"""),43923.6666666666)</f>
        <v>43923.666666666599</v>
      </c>
      <c r="D318" s="2">
        <f ca="1">IFERROR(__xludf.DUMMYFUNCTION("""COMPUTED_VALUE"""),155.26)</f>
        <v>155.26</v>
      </c>
      <c r="E318" s="3">
        <f ca="1">IFERROR(__xludf.DUMMYFUNCTION("""COMPUTED_VALUE"""),43923.6666666666)</f>
        <v>43923.666666666599</v>
      </c>
      <c r="F318" s="2">
        <f ca="1">IFERROR(__xludf.DUMMYFUNCTION("""COMPUTED_VALUE"""),1918.83)</f>
        <v>1918.83</v>
      </c>
      <c r="G318" s="3">
        <f ca="1">IFERROR(__xludf.DUMMYFUNCTION("""COMPUTED_VALUE"""),43923.6666666666)</f>
        <v>43923.666666666599</v>
      </c>
      <c r="H318" s="2">
        <f ca="1">IFERROR(__xludf.DUMMYFUNCTION("""COMPUTED_VALUE"""),1117.03)</f>
        <v>1117.03</v>
      </c>
      <c r="I318" s="3">
        <f ca="1">IFERROR(__xludf.DUMMYFUNCTION("""COMPUTED_VALUE"""),43923.6666666666)</f>
        <v>43923.666666666599</v>
      </c>
      <c r="J318" s="2">
        <f ca="1">IFERROR(__xludf.DUMMYFUNCTION("""COMPUTED_VALUE"""),1120.84)</f>
        <v>1120.8399999999999</v>
      </c>
      <c r="K318" s="3">
        <f ca="1">IFERROR(__xludf.DUMMYFUNCTION("""COMPUTED_VALUE"""),43923.6666666666)</f>
        <v>43923.666666666599</v>
      </c>
      <c r="L318" s="2">
        <f ca="1">IFERROR(__xludf.DUMMYFUNCTION("""COMPUTED_VALUE"""),158.19)</f>
        <v>158.19</v>
      </c>
      <c r="M318" s="3">
        <f ca="1">IFERROR(__xludf.DUMMYFUNCTION("""COMPUTED_VALUE"""),43923.6666666666)</f>
        <v>43923.666666666599</v>
      </c>
      <c r="N318" s="2">
        <f ca="1">IFERROR(__xludf.DUMMYFUNCTION("""COMPUTED_VALUE"""),90.89)</f>
        <v>90.89</v>
      </c>
      <c r="O318" s="3">
        <f ca="1">IFERROR(__xludf.DUMMYFUNCTION("""COMPUTED_VALUE"""),43923.6666666666)</f>
        <v>43923.666666666599</v>
      </c>
      <c r="P318" s="2">
        <f ca="1">IFERROR(__xludf.DUMMYFUNCTION("""COMPUTED_VALUE"""),63.87)</f>
        <v>63.87</v>
      </c>
      <c r="Q318" s="3">
        <f ca="1">IFERROR(__xludf.DUMMYFUNCTION("""COMPUTED_VALUE"""),43923.6666666666)</f>
        <v>43923.666666666599</v>
      </c>
      <c r="R318" s="2">
        <f ca="1">IFERROR(__xludf.DUMMYFUNCTION("""COMPUTED_VALUE"""),179.73)</f>
        <v>179.73</v>
      </c>
      <c r="S318" s="3">
        <f ca="1">IFERROR(__xludf.DUMMYFUNCTION("""COMPUTED_VALUE"""),43923.6666666666)</f>
        <v>43923.666666666599</v>
      </c>
      <c r="T318" s="2">
        <f ca="1">IFERROR(__xludf.DUMMYFUNCTION("""COMPUTED_VALUE"""),133.15)</f>
        <v>133.15</v>
      </c>
    </row>
    <row r="319" spans="1:20">
      <c r="A319" s="3">
        <f ca="1">IFERROR(__xludf.DUMMYFUNCTION("""COMPUTED_VALUE"""),43924.6666666666)</f>
        <v>43924.666666666599</v>
      </c>
      <c r="B319" s="2">
        <f ca="1">IFERROR(__xludf.DUMMYFUNCTION("""COMPUTED_VALUE"""),60.35)</f>
        <v>60.35</v>
      </c>
      <c r="C319" s="3">
        <f ca="1">IFERROR(__xludf.DUMMYFUNCTION("""COMPUTED_VALUE"""),43924.6666666666)</f>
        <v>43924.666666666599</v>
      </c>
      <c r="D319" s="2">
        <f ca="1">IFERROR(__xludf.DUMMYFUNCTION("""COMPUTED_VALUE"""),153.83)</f>
        <v>153.83000000000001</v>
      </c>
      <c r="E319" s="3">
        <f ca="1">IFERROR(__xludf.DUMMYFUNCTION("""COMPUTED_VALUE"""),43924.6666666666)</f>
        <v>43924.666666666599</v>
      </c>
      <c r="F319" s="2">
        <f ca="1">IFERROR(__xludf.DUMMYFUNCTION("""COMPUTED_VALUE"""),1906.59)</f>
        <v>1906.59</v>
      </c>
      <c r="G319" s="3">
        <f ca="1">IFERROR(__xludf.DUMMYFUNCTION("""COMPUTED_VALUE"""),43924.6666666666)</f>
        <v>43924.666666666599</v>
      </c>
      <c r="H319" s="2">
        <f ca="1">IFERROR(__xludf.DUMMYFUNCTION("""COMPUTED_VALUE"""),1092.7)</f>
        <v>1092.7</v>
      </c>
      <c r="I319" s="3">
        <f ca="1">IFERROR(__xludf.DUMMYFUNCTION("""COMPUTED_VALUE"""),43924.6666666666)</f>
        <v>43924.666666666599</v>
      </c>
      <c r="J319" s="2">
        <f ca="1">IFERROR(__xludf.DUMMYFUNCTION("""COMPUTED_VALUE"""),1097.88)</f>
        <v>1097.8800000000001</v>
      </c>
      <c r="K319" s="3">
        <f ca="1">IFERROR(__xludf.DUMMYFUNCTION("""COMPUTED_VALUE"""),43924.6666666666)</f>
        <v>43924.666666666599</v>
      </c>
      <c r="L319" s="2">
        <f ca="1">IFERROR(__xludf.DUMMYFUNCTION("""COMPUTED_VALUE"""),154.18)</f>
        <v>154.18</v>
      </c>
      <c r="M319" s="3">
        <f ca="1">IFERROR(__xludf.DUMMYFUNCTION("""COMPUTED_VALUE"""),43924.6666666666)</f>
        <v>43924.666666666599</v>
      </c>
      <c r="N319" s="2">
        <f ca="1">IFERROR(__xludf.DUMMYFUNCTION("""COMPUTED_VALUE"""),96)</f>
        <v>96</v>
      </c>
      <c r="O319" s="3">
        <f ca="1">IFERROR(__xludf.DUMMYFUNCTION("""COMPUTED_VALUE"""),43924.6666666666)</f>
        <v>43924.666666666599</v>
      </c>
      <c r="P319" s="2">
        <f ca="1">IFERROR(__xludf.DUMMYFUNCTION("""COMPUTED_VALUE"""),60.98)</f>
        <v>60.98</v>
      </c>
      <c r="Q319" s="3">
        <f ca="1">IFERROR(__xludf.DUMMYFUNCTION("""COMPUTED_VALUE"""),43924.6666666666)</f>
        <v>43924.666666666599</v>
      </c>
      <c r="R319" s="2">
        <f ca="1">IFERROR(__xludf.DUMMYFUNCTION("""COMPUTED_VALUE"""),178.34)</f>
        <v>178.34</v>
      </c>
      <c r="S319" s="3">
        <f ca="1">IFERROR(__xludf.DUMMYFUNCTION("""COMPUTED_VALUE"""),43924.6666666666)</f>
        <v>43924.666666666599</v>
      </c>
      <c r="T319" s="2">
        <f ca="1">IFERROR(__xludf.DUMMYFUNCTION("""COMPUTED_VALUE"""),134.17)</f>
        <v>134.16999999999999</v>
      </c>
    </row>
    <row r="320" spans="1:20">
      <c r="A320" s="3">
        <f ca="1">IFERROR(__xludf.DUMMYFUNCTION("""COMPUTED_VALUE"""),43927.6666666666)</f>
        <v>43927.666666666599</v>
      </c>
      <c r="B320" s="2">
        <f ca="1">IFERROR(__xludf.DUMMYFUNCTION("""COMPUTED_VALUE"""),65.62)</f>
        <v>65.62</v>
      </c>
      <c r="C320" s="3">
        <f ca="1">IFERROR(__xludf.DUMMYFUNCTION("""COMPUTED_VALUE"""),43927.6666666666)</f>
        <v>43927.666666666599</v>
      </c>
      <c r="D320" s="2">
        <f ca="1">IFERROR(__xludf.DUMMYFUNCTION("""COMPUTED_VALUE"""),165.27)</f>
        <v>165.27</v>
      </c>
      <c r="E320" s="3">
        <f ca="1">IFERROR(__xludf.DUMMYFUNCTION("""COMPUTED_VALUE"""),43927.6666666666)</f>
        <v>43927.666666666599</v>
      </c>
      <c r="F320" s="2">
        <f ca="1">IFERROR(__xludf.DUMMYFUNCTION("""COMPUTED_VALUE"""),1997.59)</f>
        <v>1997.59</v>
      </c>
      <c r="G320" s="3">
        <f ca="1">IFERROR(__xludf.DUMMYFUNCTION("""COMPUTED_VALUE"""),43927.6666666666)</f>
        <v>43927.666666666599</v>
      </c>
      <c r="H320" s="2">
        <f ca="1">IFERROR(__xludf.DUMMYFUNCTION("""COMPUTED_VALUE"""),1183.19)</f>
        <v>1183.19</v>
      </c>
      <c r="I320" s="3">
        <f ca="1">IFERROR(__xludf.DUMMYFUNCTION("""COMPUTED_VALUE"""),43927.6666666666)</f>
        <v>43927.666666666599</v>
      </c>
      <c r="J320" s="2">
        <f ca="1">IFERROR(__xludf.DUMMYFUNCTION("""COMPUTED_VALUE"""),1186.92)</f>
        <v>1186.92</v>
      </c>
      <c r="K320" s="3">
        <f ca="1">IFERROR(__xludf.DUMMYFUNCTION("""COMPUTED_VALUE"""),43927.6666666666)</f>
        <v>43927.666666666599</v>
      </c>
      <c r="L320" s="2">
        <f ca="1">IFERROR(__xludf.DUMMYFUNCTION("""COMPUTED_VALUE"""),165.55)</f>
        <v>165.55</v>
      </c>
      <c r="M320" s="3">
        <f ca="1">IFERROR(__xludf.DUMMYFUNCTION("""COMPUTED_VALUE"""),43927.6666666666)</f>
        <v>43927.666666666599</v>
      </c>
      <c r="N320" s="2">
        <f ca="1">IFERROR(__xludf.DUMMYFUNCTION("""COMPUTED_VALUE"""),103.25)</f>
        <v>103.25</v>
      </c>
      <c r="O320" s="3">
        <f ca="1">IFERROR(__xludf.DUMMYFUNCTION("""COMPUTED_VALUE"""),43927.6666666666)</f>
        <v>43927.666666666599</v>
      </c>
      <c r="P320" s="2">
        <f ca="1">IFERROR(__xludf.DUMMYFUNCTION("""COMPUTED_VALUE"""),67.1)</f>
        <v>67.099999999999994</v>
      </c>
      <c r="Q320" s="3">
        <f ca="1">IFERROR(__xludf.DUMMYFUNCTION("""COMPUTED_VALUE"""),43927.6666666666)</f>
        <v>43927.666666666599</v>
      </c>
      <c r="R320" s="2">
        <f ca="1">IFERROR(__xludf.DUMMYFUNCTION("""COMPUTED_VALUE"""),185.24)</f>
        <v>185.24</v>
      </c>
      <c r="S320" s="3">
        <f ca="1">IFERROR(__xludf.DUMMYFUNCTION("""COMPUTED_VALUE"""),43927.6666666666)</f>
        <v>43927.666666666599</v>
      </c>
      <c r="T320" s="2">
        <f ca="1">IFERROR(__xludf.DUMMYFUNCTION("""COMPUTED_VALUE"""),139.76)</f>
        <v>139.76</v>
      </c>
    </row>
    <row r="321" spans="1:20">
      <c r="A321" s="3">
        <f ca="1">IFERROR(__xludf.DUMMYFUNCTION("""COMPUTED_VALUE"""),43928.6666666666)</f>
        <v>43928.666666666599</v>
      </c>
      <c r="B321" s="2">
        <f ca="1">IFERROR(__xludf.DUMMYFUNCTION("""COMPUTED_VALUE"""),64.86)</f>
        <v>64.86</v>
      </c>
      <c r="C321" s="3">
        <f ca="1">IFERROR(__xludf.DUMMYFUNCTION("""COMPUTED_VALUE"""),43928.6666666666)</f>
        <v>43928.666666666599</v>
      </c>
      <c r="D321" s="2">
        <f ca="1">IFERROR(__xludf.DUMMYFUNCTION("""COMPUTED_VALUE"""),163.49)</f>
        <v>163.49</v>
      </c>
      <c r="E321" s="3">
        <f ca="1">IFERROR(__xludf.DUMMYFUNCTION("""COMPUTED_VALUE"""),43928.6666666666)</f>
        <v>43928.666666666599</v>
      </c>
      <c r="F321" s="2">
        <f ca="1">IFERROR(__xludf.DUMMYFUNCTION("""COMPUTED_VALUE"""),2011.6)</f>
        <v>2011.6</v>
      </c>
      <c r="G321" s="3">
        <f ca="1">IFERROR(__xludf.DUMMYFUNCTION("""COMPUTED_VALUE"""),43928.6666666666)</f>
        <v>43928.666666666599</v>
      </c>
      <c r="H321" s="2">
        <f ca="1">IFERROR(__xludf.DUMMYFUNCTION("""COMPUTED_VALUE"""),1182.56)</f>
        <v>1182.56</v>
      </c>
      <c r="I321" s="3">
        <f ca="1">IFERROR(__xludf.DUMMYFUNCTION("""COMPUTED_VALUE"""),43928.6666666666)</f>
        <v>43928.666666666599</v>
      </c>
      <c r="J321" s="2">
        <f ca="1">IFERROR(__xludf.DUMMYFUNCTION("""COMPUTED_VALUE"""),1186.51)</f>
        <v>1186.51</v>
      </c>
      <c r="K321" s="3">
        <f ca="1">IFERROR(__xludf.DUMMYFUNCTION("""COMPUTED_VALUE"""),43928.6666666666)</f>
        <v>43928.666666666599</v>
      </c>
      <c r="L321" s="2">
        <f ca="1">IFERROR(__xludf.DUMMYFUNCTION("""COMPUTED_VALUE"""),168.83)</f>
        <v>168.83</v>
      </c>
      <c r="M321" s="3">
        <f ca="1">IFERROR(__xludf.DUMMYFUNCTION("""COMPUTED_VALUE"""),43928.6666666666)</f>
        <v>43928.666666666599</v>
      </c>
      <c r="N321" s="2">
        <f ca="1">IFERROR(__xludf.DUMMYFUNCTION("""COMPUTED_VALUE"""),109.09)</f>
        <v>109.09</v>
      </c>
      <c r="O321" s="3">
        <f ca="1">IFERROR(__xludf.DUMMYFUNCTION("""COMPUTED_VALUE"""),43928.6666666666)</f>
        <v>43928.666666666599</v>
      </c>
      <c r="P321" s="2">
        <f ca="1">IFERROR(__xludf.DUMMYFUNCTION("""COMPUTED_VALUE"""),64.76)</f>
        <v>64.760000000000005</v>
      </c>
      <c r="Q321" s="3">
        <f ca="1">IFERROR(__xludf.DUMMYFUNCTION("""COMPUTED_VALUE"""),43928.6666666666)</f>
        <v>43928.666666666599</v>
      </c>
      <c r="R321" s="2">
        <f ca="1">IFERROR(__xludf.DUMMYFUNCTION("""COMPUTED_VALUE"""),185.25)</f>
        <v>185.25</v>
      </c>
      <c r="S321" s="3">
        <f ca="1">IFERROR(__xludf.DUMMYFUNCTION("""COMPUTED_VALUE"""),43928.6666666666)</f>
        <v>43928.666666666599</v>
      </c>
      <c r="T321" s="2">
        <f ca="1">IFERROR(__xludf.DUMMYFUNCTION("""COMPUTED_VALUE"""),137.48)</f>
        <v>137.47999999999999</v>
      </c>
    </row>
    <row r="322" spans="1:20">
      <c r="A322" s="3">
        <f ca="1">IFERROR(__xludf.DUMMYFUNCTION("""COMPUTED_VALUE"""),43929.6666666666)</f>
        <v>43929.666666666599</v>
      </c>
      <c r="B322" s="2">
        <f ca="1">IFERROR(__xludf.DUMMYFUNCTION("""COMPUTED_VALUE"""),66.52)</f>
        <v>66.52</v>
      </c>
      <c r="C322" s="3">
        <f ca="1">IFERROR(__xludf.DUMMYFUNCTION("""COMPUTED_VALUE"""),43929.6666666666)</f>
        <v>43929.666666666599</v>
      </c>
      <c r="D322" s="2">
        <f ca="1">IFERROR(__xludf.DUMMYFUNCTION("""COMPUTED_VALUE"""),165.13)</f>
        <v>165.13</v>
      </c>
      <c r="E322" s="3">
        <f ca="1">IFERROR(__xludf.DUMMYFUNCTION("""COMPUTED_VALUE"""),43929.6666666666)</f>
        <v>43929.666666666599</v>
      </c>
      <c r="F322" s="2">
        <f ca="1">IFERROR(__xludf.DUMMYFUNCTION("""COMPUTED_VALUE"""),2043)</f>
        <v>2043</v>
      </c>
      <c r="G322" s="3">
        <f ca="1">IFERROR(__xludf.DUMMYFUNCTION("""COMPUTED_VALUE"""),43929.6666666666)</f>
        <v>43929.666666666599</v>
      </c>
      <c r="H322" s="2">
        <f ca="1">IFERROR(__xludf.DUMMYFUNCTION("""COMPUTED_VALUE"""),1207)</f>
        <v>1207</v>
      </c>
      <c r="I322" s="3">
        <f ca="1">IFERROR(__xludf.DUMMYFUNCTION("""COMPUTED_VALUE"""),43929.6666666666)</f>
        <v>43929.666666666599</v>
      </c>
      <c r="J322" s="2">
        <f ca="1">IFERROR(__xludf.DUMMYFUNCTION("""COMPUTED_VALUE"""),1210.28)</f>
        <v>1210.28</v>
      </c>
      <c r="K322" s="3">
        <f ca="1">IFERROR(__xludf.DUMMYFUNCTION("""COMPUTED_VALUE"""),43929.6666666666)</f>
        <v>43929.666666666599</v>
      </c>
      <c r="L322" s="2">
        <f ca="1">IFERROR(__xludf.DUMMYFUNCTION("""COMPUTED_VALUE"""),174.28)</f>
        <v>174.28</v>
      </c>
      <c r="M322" s="3">
        <f ca="1">IFERROR(__xludf.DUMMYFUNCTION("""COMPUTED_VALUE"""),43929.6666666666)</f>
        <v>43929.666666666599</v>
      </c>
      <c r="N322" s="2">
        <f ca="1">IFERROR(__xludf.DUMMYFUNCTION("""COMPUTED_VALUE"""),109.77)</f>
        <v>109.77</v>
      </c>
      <c r="O322" s="3">
        <f ca="1">IFERROR(__xludf.DUMMYFUNCTION("""COMPUTED_VALUE"""),43929.6666666666)</f>
        <v>43929.666666666599</v>
      </c>
      <c r="P322" s="2">
        <f ca="1">IFERROR(__xludf.DUMMYFUNCTION("""COMPUTED_VALUE"""),66.74)</f>
        <v>66.739999999999995</v>
      </c>
      <c r="Q322" s="3">
        <f ca="1">IFERROR(__xludf.DUMMYFUNCTION("""COMPUTED_VALUE"""),43929.6666666666)</f>
        <v>43929.666666666599</v>
      </c>
      <c r="R322" s="2">
        <f ca="1">IFERROR(__xludf.DUMMYFUNCTION("""COMPUTED_VALUE"""),191.01)</f>
        <v>191.01</v>
      </c>
      <c r="S322" s="3">
        <f ca="1">IFERROR(__xludf.DUMMYFUNCTION("""COMPUTED_VALUE"""),43929.6666666666)</f>
        <v>43929.666666666599</v>
      </c>
      <c r="T322" s="2">
        <f ca="1">IFERROR(__xludf.DUMMYFUNCTION("""COMPUTED_VALUE"""),143.26)</f>
        <v>143.26</v>
      </c>
    </row>
    <row r="323" spans="1:20">
      <c r="A323" s="3">
        <f ca="1">IFERROR(__xludf.DUMMYFUNCTION("""COMPUTED_VALUE"""),43930.6666666666)</f>
        <v>43930.666666666599</v>
      </c>
      <c r="B323" s="2">
        <f ca="1">IFERROR(__xludf.DUMMYFUNCTION("""COMPUTED_VALUE"""),67)</f>
        <v>67</v>
      </c>
      <c r="C323" s="3">
        <f ca="1">IFERROR(__xludf.DUMMYFUNCTION("""COMPUTED_VALUE"""),43930.6666666666)</f>
        <v>43930.666666666599</v>
      </c>
      <c r="D323" s="2">
        <f ca="1">IFERROR(__xludf.DUMMYFUNCTION("""COMPUTED_VALUE"""),165.14)</f>
        <v>165.14</v>
      </c>
      <c r="E323" s="3">
        <f ca="1">IFERROR(__xludf.DUMMYFUNCTION("""COMPUTED_VALUE"""),43930.6666666666)</f>
        <v>43930.666666666599</v>
      </c>
      <c r="F323" s="2">
        <f ca="1">IFERROR(__xludf.DUMMYFUNCTION("""COMPUTED_VALUE"""),2042.76)</f>
        <v>2042.76</v>
      </c>
      <c r="G323" s="3">
        <f ca="1">IFERROR(__xludf.DUMMYFUNCTION("""COMPUTED_VALUE"""),43930.6666666666)</f>
        <v>43930.666666666599</v>
      </c>
      <c r="H323" s="2">
        <f ca="1">IFERROR(__xludf.DUMMYFUNCTION("""COMPUTED_VALUE"""),1206.57)</f>
        <v>1206.57</v>
      </c>
      <c r="I323" s="3">
        <f ca="1">IFERROR(__xludf.DUMMYFUNCTION("""COMPUTED_VALUE"""),43930.6666666666)</f>
        <v>43930.666666666599</v>
      </c>
      <c r="J323" s="2">
        <f ca="1">IFERROR(__xludf.DUMMYFUNCTION("""COMPUTED_VALUE"""),1211.45)</f>
        <v>1211.45</v>
      </c>
      <c r="K323" s="3">
        <f ca="1">IFERROR(__xludf.DUMMYFUNCTION("""COMPUTED_VALUE"""),43930.6666666666)</f>
        <v>43930.666666666599</v>
      </c>
      <c r="L323" s="2">
        <f ca="1">IFERROR(__xludf.DUMMYFUNCTION("""COMPUTED_VALUE"""),175.19)</f>
        <v>175.19</v>
      </c>
      <c r="M323" s="3">
        <f ca="1">IFERROR(__xludf.DUMMYFUNCTION("""COMPUTED_VALUE"""),43930.6666666666)</f>
        <v>43930.666666666599</v>
      </c>
      <c r="N323" s="2">
        <f ca="1">IFERROR(__xludf.DUMMYFUNCTION("""COMPUTED_VALUE"""),114.6)</f>
        <v>114.6</v>
      </c>
      <c r="O323" s="3">
        <f ca="1">IFERROR(__xludf.DUMMYFUNCTION("""COMPUTED_VALUE"""),43930.6666666666)</f>
        <v>43930.666666666599</v>
      </c>
      <c r="P323" s="2">
        <f ca="1">IFERROR(__xludf.DUMMYFUNCTION("""COMPUTED_VALUE"""),65.74)</f>
        <v>65.739999999999995</v>
      </c>
      <c r="Q323" s="3">
        <f ca="1">IFERROR(__xludf.DUMMYFUNCTION("""COMPUTED_VALUE"""),43930.6666666666)</f>
        <v>43930.666666666599</v>
      </c>
      <c r="R323" s="2">
        <f ca="1">IFERROR(__xludf.DUMMYFUNCTION("""COMPUTED_VALUE"""),193.84)</f>
        <v>193.84</v>
      </c>
      <c r="S323" s="3">
        <f ca="1">IFERROR(__xludf.DUMMYFUNCTION("""COMPUTED_VALUE"""),43930.6666666666)</f>
        <v>43930.666666666599</v>
      </c>
      <c r="T323" s="2">
        <f ca="1">IFERROR(__xludf.DUMMYFUNCTION("""COMPUTED_VALUE"""),141.23)</f>
        <v>141.22999999999999</v>
      </c>
    </row>
    <row r="324" spans="1:20">
      <c r="A324" s="3">
        <f ca="1">IFERROR(__xludf.DUMMYFUNCTION("""COMPUTED_VALUE"""),43934.6666666666)</f>
        <v>43934.666666666599</v>
      </c>
      <c r="B324" s="2">
        <f ca="1">IFERROR(__xludf.DUMMYFUNCTION("""COMPUTED_VALUE"""),68.31)</f>
        <v>68.31</v>
      </c>
      <c r="C324" s="3">
        <f ca="1">IFERROR(__xludf.DUMMYFUNCTION("""COMPUTED_VALUE"""),43934.6666666666)</f>
        <v>43934.666666666599</v>
      </c>
      <c r="D324" s="2">
        <f ca="1">IFERROR(__xludf.DUMMYFUNCTION("""COMPUTED_VALUE"""),165.51)</f>
        <v>165.51</v>
      </c>
      <c r="E324" s="3">
        <f ca="1">IFERROR(__xludf.DUMMYFUNCTION("""COMPUTED_VALUE"""),43934.6666666666)</f>
        <v>43934.666666666599</v>
      </c>
      <c r="F324" s="2">
        <f ca="1">IFERROR(__xludf.DUMMYFUNCTION("""COMPUTED_VALUE"""),2168.87)</f>
        <v>2168.87</v>
      </c>
      <c r="G324" s="3">
        <f ca="1">IFERROR(__xludf.DUMMYFUNCTION("""COMPUTED_VALUE"""),43934.6666666666)</f>
        <v>43934.666666666599</v>
      </c>
      <c r="H324" s="2">
        <f ca="1">IFERROR(__xludf.DUMMYFUNCTION("""COMPUTED_VALUE"""),1210.41)</f>
        <v>1210.4100000000001</v>
      </c>
      <c r="I324" s="3">
        <f ca="1">IFERROR(__xludf.DUMMYFUNCTION("""COMPUTED_VALUE"""),43934.6666666666)</f>
        <v>43934.666666666599</v>
      </c>
      <c r="J324" s="2">
        <f ca="1">IFERROR(__xludf.DUMMYFUNCTION("""COMPUTED_VALUE"""),1217.56)</f>
        <v>1217.56</v>
      </c>
      <c r="K324" s="3">
        <f ca="1">IFERROR(__xludf.DUMMYFUNCTION("""COMPUTED_VALUE"""),43934.6666666666)</f>
        <v>43934.666666666599</v>
      </c>
      <c r="L324" s="2">
        <f ca="1">IFERROR(__xludf.DUMMYFUNCTION("""COMPUTED_VALUE"""),174.79)</f>
        <v>174.79</v>
      </c>
      <c r="M324" s="3">
        <f ca="1">IFERROR(__xludf.DUMMYFUNCTION("""COMPUTED_VALUE"""),43934.6666666666)</f>
        <v>43934.666666666599</v>
      </c>
      <c r="N324" s="2">
        <f ca="1">IFERROR(__xludf.DUMMYFUNCTION("""COMPUTED_VALUE"""),130.19)</f>
        <v>130.19</v>
      </c>
      <c r="O324" s="3">
        <f ca="1">IFERROR(__xludf.DUMMYFUNCTION("""COMPUTED_VALUE"""),43934.6666666666)</f>
        <v>43934.666666666599</v>
      </c>
      <c r="P324" s="2">
        <f ca="1">IFERROR(__xludf.DUMMYFUNCTION("""COMPUTED_VALUE"""),67.46)</f>
        <v>67.459999999999994</v>
      </c>
      <c r="Q324" s="3">
        <f ca="1">IFERROR(__xludf.DUMMYFUNCTION("""COMPUTED_VALUE"""),43934.6666666666)</f>
        <v>43934.666666666599</v>
      </c>
      <c r="R324" s="2">
        <f ca="1">IFERROR(__xludf.DUMMYFUNCTION("""COMPUTED_VALUE"""),188.77)</f>
        <v>188.77</v>
      </c>
      <c r="S324" s="3">
        <f ca="1">IFERROR(__xludf.DUMMYFUNCTION("""COMPUTED_VALUE"""),43934.6666666666)</f>
        <v>43934.666666666599</v>
      </c>
      <c r="T324" s="2">
        <f ca="1">IFERROR(__xludf.DUMMYFUNCTION("""COMPUTED_VALUE"""),139.77)</f>
        <v>139.77000000000001</v>
      </c>
    </row>
    <row r="325" spans="1:20">
      <c r="A325" s="3">
        <f ca="1">IFERROR(__xludf.DUMMYFUNCTION("""COMPUTED_VALUE"""),43935.6666666666)</f>
        <v>43935.666666666599</v>
      </c>
      <c r="B325" s="2">
        <f ca="1">IFERROR(__xludf.DUMMYFUNCTION("""COMPUTED_VALUE"""),71.76)</f>
        <v>71.760000000000005</v>
      </c>
      <c r="C325" s="3">
        <f ca="1">IFERROR(__xludf.DUMMYFUNCTION("""COMPUTED_VALUE"""),43935.6666666666)</f>
        <v>43935.666666666599</v>
      </c>
      <c r="D325" s="2">
        <f ca="1">IFERROR(__xludf.DUMMYFUNCTION("""COMPUTED_VALUE"""),173.7)</f>
        <v>173.7</v>
      </c>
      <c r="E325" s="3">
        <f ca="1">IFERROR(__xludf.DUMMYFUNCTION("""COMPUTED_VALUE"""),43935.6666666666)</f>
        <v>43935.666666666599</v>
      </c>
      <c r="F325" s="2">
        <f ca="1">IFERROR(__xludf.DUMMYFUNCTION("""COMPUTED_VALUE"""),2283.32)</f>
        <v>2283.3200000000002</v>
      </c>
      <c r="G325" s="3">
        <f ca="1">IFERROR(__xludf.DUMMYFUNCTION("""COMPUTED_VALUE"""),43935.6666666666)</f>
        <v>43935.666666666599</v>
      </c>
      <c r="H325" s="2">
        <f ca="1">IFERROR(__xludf.DUMMYFUNCTION("""COMPUTED_VALUE"""),1265.23)</f>
        <v>1265.23</v>
      </c>
      <c r="I325" s="3">
        <f ca="1">IFERROR(__xludf.DUMMYFUNCTION("""COMPUTED_VALUE"""),43935.6666666666)</f>
        <v>43935.666666666599</v>
      </c>
      <c r="J325" s="2">
        <f ca="1">IFERROR(__xludf.DUMMYFUNCTION("""COMPUTED_VALUE"""),1269.23)</f>
        <v>1269.23</v>
      </c>
      <c r="K325" s="3">
        <f ca="1">IFERROR(__xludf.DUMMYFUNCTION("""COMPUTED_VALUE"""),43935.6666666666)</f>
        <v>43935.666666666599</v>
      </c>
      <c r="L325" s="2">
        <f ca="1">IFERROR(__xludf.DUMMYFUNCTION("""COMPUTED_VALUE"""),178.17)</f>
        <v>178.17</v>
      </c>
      <c r="M325" s="3">
        <f ca="1">IFERROR(__xludf.DUMMYFUNCTION("""COMPUTED_VALUE"""),43935.6666666666)</f>
        <v>43935.666666666599</v>
      </c>
      <c r="N325" s="2">
        <f ca="1">IFERROR(__xludf.DUMMYFUNCTION("""COMPUTED_VALUE"""),141.98)</f>
        <v>141.97999999999999</v>
      </c>
      <c r="O325" s="3">
        <f ca="1">IFERROR(__xludf.DUMMYFUNCTION("""COMPUTED_VALUE"""),43935.6666666666)</f>
        <v>43935.666666666599</v>
      </c>
      <c r="P325" s="2">
        <f ca="1">IFERROR(__xludf.DUMMYFUNCTION("""COMPUTED_VALUE"""),70.99)</f>
        <v>70.989999999999995</v>
      </c>
      <c r="Q325" s="3">
        <f ca="1">IFERROR(__xludf.DUMMYFUNCTION("""COMPUTED_VALUE"""),43935.6666666666)</f>
        <v>43935.666666666599</v>
      </c>
      <c r="R325" s="2">
        <f ca="1">IFERROR(__xludf.DUMMYFUNCTION("""COMPUTED_VALUE"""),192.94)</f>
        <v>192.94</v>
      </c>
      <c r="S325" s="3">
        <f ca="1">IFERROR(__xludf.DUMMYFUNCTION("""COMPUTED_VALUE"""),43935.6666666666)</f>
        <v>43935.666666666599</v>
      </c>
      <c r="T325" s="2">
        <f ca="1">IFERROR(__xludf.DUMMYFUNCTION("""COMPUTED_VALUE"""),146.03)</f>
        <v>146.03</v>
      </c>
    </row>
    <row r="326" spans="1:20">
      <c r="A326" s="3">
        <f ca="1">IFERROR(__xludf.DUMMYFUNCTION("""COMPUTED_VALUE"""),43936.6666666666)</f>
        <v>43936.666666666599</v>
      </c>
      <c r="B326" s="2">
        <f ca="1">IFERROR(__xludf.DUMMYFUNCTION("""COMPUTED_VALUE"""),71.11)</f>
        <v>71.11</v>
      </c>
      <c r="C326" s="3">
        <f ca="1">IFERROR(__xludf.DUMMYFUNCTION("""COMPUTED_VALUE"""),43936.6666666666)</f>
        <v>43936.666666666599</v>
      </c>
      <c r="D326" s="2">
        <f ca="1">IFERROR(__xludf.DUMMYFUNCTION("""COMPUTED_VALUE"""),171.88)</f>
        <v>171.88</v>
      </c>
      <c r="E326" s="3">
        <f ca="1">IFERROR(__xludf.DUMMYFUNCTION("""COMPUTED_VALUE"""),43936.6666666666)</f>
        <v>43936.666666666599</v>
      </c>
      <c r="F326" s="2">
        <f ca="1">IFERROR(__xludf.DUMMYFUNCTION("""COMPUTED_VALUE"""),2307.68)</f>
        <v>2307.6799999999998</v>
      </c>
      <c r="G326" s="3">
        <f ca="1">IFERROR(__xludf.DUMMYFUNCTION("""COMPUTED_VALUE"""),43936.6666666666)</f>
        <v>43936.666666666599</v>
      </c>
      <c r="H326" s="2">
        <f ca="1">IFERROR(__xludf.DUMMYFUNCTION("""COMPUTED_VALUE"""),1257.3)</f>
        <v>1257.3</v>
      </c>
      <c r="I326" s="3">
        <f ca="1">IFERROR(__xludf.DUMMYFUNCTION("""COMPUTED_VALUE"""),43936.6666666666)</f>
        <v>43936.666666666599</v>
      </c>
      <c r="J326" s="2">
        <f ca="1">IFERROR(__xludf.DUMMYFUNCTION("""COMPUTED_VALUE"""),1262.47)</f>
        <v>1262.47</v>
      </c>
      <c r="K326" s="3">
        <f ca="1">IFERROR(__xludf.DUMMYFUNCTION("""COMPUTED_VALUE"""),43936.6666666666)</f>
        <v>43936.666666666599</v>
      </c>
      <c r="L326" s="2">
        <f ca="1">IFERROR(__xludf.DUMMYFUNCTION("""COMPUTED_VALUE"""),176.97)</f>
        <v>176.97</v>
      </c>
      <c r="M326" s="3">
        <f ca="1">IFERROR(__xludf.DUMMYFUNCTION("""COMPUTED_VALUE"""),43936.6666666666)</f>
        <v>43936.666666666599</v>
      </c>
      <c r="N326" s="2">
        <f ca="1">IFERROR(__xludf.DUMMYFUNCTION("""COMPUTED_VALUE"""),145.97)</f>
        <v>145.97</v>
      </c>
      <c r="O326" s="3">
        <f ca="1">IFERROR(__xludf.DUMMYFUNCTION("""COMPUTED_VALUE"""),43936.6666666666)</f>
        <v>43936.666666666599</v>
      </c>
      <c r="P326" s="2">
        <f ca="1">IFERROR(__xludf.DUMMYFUNCTION("""COMPUTED_VALUE"""),70.21)</f>
        <v>70.209999999999994</v>
      </c>
      <c r="Q326" s="3">
        <f ca="1">IFERROR(__xludf.DUMMYFUNCTION("""COMPUTED_VALUE"""),43936.6666666666)</f>
        <v>43936.666666666599</v>
      </c>
      <c r="R326" s="2">
        <f ca="1">IFERROR(__xludf.DUMMYFUNCTION("""COMPUTED_VALUE"""),188.57)</f>
        <v>188.57</v>
      </c>
      <c r="S326" s="3">
        <f ca="1">IFERROR(__xludf.DUMMYFUNCTION("""COMPUTED_VALUE"""),43936.6666666666)</f>
        <v>43936.666666666599</v>
      </c>
      <c r="T326" s="2">
        <f ca="1">IFERROR(__xludf.DUMMYFUNCTION("""COMPUTED_VALUE"""),147.66)</f>
        <v>147.66</v>
      </c>
    </row>
    <row r="327" spans="1:20">
      <c r="A327" s="3">
        <f ca="1">IFERROR(__xludf.DUMMYFUNCTION("""COMPUTED_VALUE"""),43937.6666666666)</f>
        <v>43937.666666666599</v>
      </c>
      <c r="B327" s="2">
        <f ca="1">IFERROR(__xludf.DUMMYFUNCTION("""COMPUTED_VALUE"""),71.67)</f>
        <v>71.67</v>
      </c>
      <c r="C327" s="3">
        <f ca="1">IFERROR(__xludf.DUMMYFUNCTION("""COMPUTED_VALUE"""),43937.6666666666)</f>
        <v>43937.666666666599</v>
      </c>
      <c r="D327" s="2">
        <f ca="1">IFERROR(__xludf.DUMMYFUNCTION("""COMPUTED_VALUE"""),177.04)</f>
        <v>177.04</v>
      </c>
      <c r="E327" s="3">
        <f ca="1">IFERROR(__xludf.DUMMYFUNCTION("""COMPUTED_VALUE"""),43937.6666666666)</f>
        <v>43937.666666666599</v>
      </c>
      <c r="F327" s="2">
        <f ca="1">IFERROR(__xludf.DUMMYFUNCTION("""COMPUTED_VALUE"""),2408.19)</f>
        <v>2408.19</v>
      </c>
      <c r="G327" s="3">
        <f ca="1">IFERROR(__xludf.DUMMYFUNCTION("""COMPUTED_VALUE"""),43937.6666666666)</f>
        <v>43937.666666666599</v>
      </c>
      <c r="H327" s="2">
        <f ca="1">IFERROR(__xludf.DUMMYFUNCTION("""COMPUTED_VALUE"""),1257.43)</f>
        <v>1257.43</v>
      </c>
      <c r="I327" s="3">
        <f ca="1">IFERROR(__xludf.DUMMYFUNCTION("""COMPUTED_VALUE"""),43937.6666666666)</f>
        <v>43937.666666666599</v>
      </c>
      <c r="J327" s="2">
        <f ca="1">IFERROR(__xludf.DUMMYFUNCTION("""COMPUTED_VALUE"""),1263.47)</f>
        <v>1263.47</v>
      </c>
      <c r="K327" s="3">
        <f ca="1">IFERROR(__xludf.DUMMYFUNCTION("""COMPUTED_VALUE"""),43937.6666666666)</f>
        <v>43937.666666666599</v>
      </c>
      <c r="L327" s="2">
        <f ca="1">IFERROR(__xludf.DUMMYFUNCTION("""COMPUTED_VALUE"""),176.25)</f>
        <v>176.25</v>
      </c>
      <c r="M327" s="3">
        <f ca="1">IFERROR(__xludf.DUMMYFUNCTION("""COMPUTED_VALUE"""),43937.6666666666)</f>
        <v>43937.666666666599</v>
      </c>
      <c r="N327" s="2">
        <f ca="1">IFERROR(__xludf.DUMMYFUNCTION("""COMPUTED_VALUE"""),149.04)</f>
        <v>149.04</v>
      </c>
      <c r="O327" s="3">
        <f ca="1">IFERROR(__xludf.DUMMYFUNCTION("""COMPUTED_VALUE"""),43937.6666666666)</f>
        <v>43937.666666666599</v>
      </c>
      <c r="P327" s="2">
        <f ca="1">IFERROR(__xludf.DUMMYFUNCTION("""COMPUTED_VALUE"""),73.68)</f>
        <v>73.680000000000007</v>
      </c>
      <c r="Q327" s="3">
        <f ca="1">IFERROR(__xludf.DUMMYFUNCTION("""COMPUTED_VALUE"""),43937.6666666666)</f>
        <v>43937.666666666599</v>
      </c>
      <c r="R327" s="2">
        <f ca="1">IFERROR(__xludf.DUMMYFUNCTION("""COMPUTED_VALUE"""),187.96)</f>
        <v>187.96</v>
      </c>
      <c r="S327" s="3">
        <f ca="1">IFERROR(__xludf.DUMMYFUNCTION("""COMPUTED_VALUE"""),43937.6666666666)</f>
        <v>43937.666666666599</v>
      </c>
      <c r="T327" s="2">
        <f ca="1">IFERROR(__xludf.DUMMYFUNCTION("""COMPUTED_VALUE"""),149.67)</f>
        <v>149.66999999999999</v>
      </c>
    </row>
    <row r="328" spans="1:20">
      <c r="A328" s="3">
        <f ca="1">IFERROR(__xludf.DUMMYFUNCTION("""COMPUTED_VALUE"""),43938.6666666666)</f>
        <v>43938.666666666599</v>
      </c>
      <c r="B328" s="2">
        <f ca="1">IFERROR(__xludf.DUMMYFUNCTION("""COMPUTED_VALUE"""),70.7)</f>
        <v>70.7</v>
      </c>
      <c r="C328" s="3">
        <f ca="1">IFERROR(__xludf.DUMMYFUNCTION("""COMPUTED_VALUE"""),43938.6666666666)</f>
        <v>43938.666666666599</v>
      </c>
      <c r="D328" s="2">
        <f ca="1">IFERROR(__xludf.DUMMYFUNCTION("""COMPUTED_VALUE"""),178.6)</f>
        <v>178.6</v>
      </c>
      <c r="E328" s="3">
        <f ca="1">IFERROR(__xludf.DUMMYFUNCTION("""COMPUTED_VALUE"""),43938.6666666666)</f>
        <v>43938.666666666599</v>
      </c>
      <c r="F328" s="2">
        <f ca="1">IFERROR(__xludf.DUMMYFUNCTION("""COMPUTED_VALUE"""),2375)</f>
        <v>2375</v>
      </c>
      <c r="G328" s="3">
        <f ca="1">IFERROR(__xludf.DUMMYFUNCTION("""COMPUTED_VALUE"""),43938.6666666666)</f>
        <v>43938.666666666599</v>
      </c>
      <c r="H328" s="2">
        <f ca="1">IFERROR(__xludf.DUMMYFUNCTION("""COMPUTED_VALUE"""),1279)</f>
        <v>1279</v>
      </c>
      <c r="I328" s="3">
        <f ca="1">IFERROR(__xludf.DUMMYFUNCTION("""COMPUTED_VALUE"""),43938.6666666666)</f>
        <v>43938.666666666599</v>
      </c>
      <c r="J328" s="2">
        <f ca="1">IFERROR(__xludf.DUMMYFUNCTION("""COMPUTED_VALUE"""),1283.25)</f>
        <v>1283.25</v>
      </c>
      <c r="K328" s="3">
        <f ca="1">IFERROR(__xludf.DUMMYFUNCTION("""COMPUTED_VALUE"""),43938.6666666666)</f>
        <v>43938.666666666599</v>
      </c>
      <c r="L328" s="2">
        <f ca="1">IFERROR(__xludf.DUMMYFUNCTION("""COMPUTED_VALUE"""),179.24)</f>
        <v>179.24</v>
      </c>
      <c r="M328" s="3">
        <f ca="1">IFERROR(__xludf.DUMMYFUNCTION("""COMPUTED_VALUE"""),43938.6666666666)</f>
        <v>43938.666666666599</v>
      </c>
      <c r="N328" s="2">
        <f ca="1">IFERROR(__xludf.DUMMYFUNCTION("""COMPUTED_VALUE"""),150.78)</f>
        <v>150.78</v>
      </c>
      <c r="O328" s="3">
        <f ca="1">IFERROR(__xludf.DUMMYFUNCTION("""COMPUTED_VALUE"""),43938.6666666666)</f>
        <v>43938.666666666599</v>
      </c>
      <c r="P328" s="2">
        <f ca="1">IFERROR(__xludf.DUMMYFUNCTION("""COMPUTED_VALUE"""),73.08)</f>
        <v>73.08</v>
      </c>
      <c r="Q328" s="3">
        <f ca="1">IFERROR(__xludf.DUMMYFUNCTION("""COMPUTED_VALUE"""),43938.6666666666)</f>
        <v>43938.666666666599</v>
      </c>
      <c r="R328" s="2">
        <f ca="1">IFERROR(__xludf.DUMMYFUNCTION("""COMPUTED_VALUE"""),191.2)</f>
        <v>191.2</v>
      </c>
      <c r="S328" s="3">
        <f ca="1">IFERROR(__xludf.DUMMYFUNCTION("""COMPUTED_VALUE"""),43938.6666666666)</f>
        <v>43938.666666666599</v>
      </c>
      <c r="T328" s="2">
        <f ca="1">IFERROR(__xludf.DUMMYFUNCTION("""COMPUTED_VALUE"""),152.02)</f>
        <v>152.02000000000001</v>
      </c>
    </row>
    <row r="329" spans="1:20">
      <c r="A329" s="3">
        <f ca="1">IFERROR(__xludf.DUMMYFUNCTION("""COMPUTED_VALUE"""),43941.6666666666)</f>
        <v>43941.666666666599</v>
      </c>
      <c r="B329" s="2">
        <f ca="1">IFERROR(__xludf.DUMMYFUNCTION("""COMPUTED_VALUE"""),69.23)</f>
        <v>69.23</v>
      </c>
      <c r="C329" s="3">
        <f ca="1">IFERROR(__xludf.DUMMYFUNCTION("""COMPUTED_VALUE"""),43941.6666666666)</f>
        <v>43941.666666666599</v>
      </c>
      <c r="D329" s="2">
        <f ca="1">IFERROR(__xludf.DUMMYFUNCTION("""COMPUTED_VALUE"""),175.06)</f>
        <v>175.06</v>
      </c>
      <c r="E329" s="3">
        <f ca="1">IFERROR(__xludf.DUMMYFUNCTION("""COMPUTED_VALUE"""),43941.6666666666)</f>
        <v>43941.666666666599</v>
      </c>
      <c r="F329" s="2">
        <f ca="1">IFERROR(__xludf.DUMMYFUNCTION("""COMPUTED_VALUE"""),2393.61)</f>
        <v>2393.61</v>
      </c>
      <c r="G329" s="3">
        <f ca="1">IFERROR(__xludf.DUMMYFUNCTION("""COMPUTED_VALUE"""),43941.6666666666)</f>
        <v>43941.666666666599</v>
      </c>
      <c r="H329" s="2">
        <f ca="1">IFERROR(__xludf.DUMMYFUNCTION("""COMPUTED_VALUE"""),1261.15)</f>
        <v>1261.1500000000001</v>
      </c>
      <c r="I329" s="3">
        <f ca="1">IFERROR(__xludf.DUMMYFUNCTION("""COMPUTED_VALUE"""),43941.6666666666)</f>
        <v>43941.666666666599</v>
      </c>
      <c r="J329" s="2">
        <f ca="1">IFERROR(__xludf.DUMMYFUNCTION("""COMPUTED_VALUE"""),1266.61)</f>
        <v>1266.6099999999999</v>
      </c>
      <c r="K329" s="3">
        <f ca="1">IFERROR(__xludf.DUMMYFUNCTION("""COMPUTED_VALUE"""),43941.6666666666)</f>
        <v>43941.666666666599</v>
      </c>
      <c r="L329" s="2">
        <f ca="1">IFERROR(__xludf.DUMMYFUNCTION("""COMPUTED_VALUE"""),178.24)</f>
        <v>178.24</v>
      </c>
      <c r="M329" s="3">
        <f ca="1">IFERROR(__xludf.DUMMYFUNCTION("""COMPUTED_VALUE"""),43941.6666666666)</f>
        <v>43941.666666666599</v>
      </c>
      <c r="N329" s="2">
        <f ca="1">IFERROR(__xludf.DUMMYFUNCTION("""COMPUTED_VALUE"""),149.27)</f>
        <v>149.27000000000001</v>
      </c>
      <c r="O329" s="3">
        <f ca="1">IFERROR(__xludf.DUMMYFUNCTION("""COMPUTED_VALUE"""),43941.6666666666)</f>
        <v>43941.666666666599</v>
      </c>
      <c r="P329" s="2">
        <f ca="1">IFERROR(__xludf.DUMMYFUNCTION("""COMPUTED_VALUE"""),71.76)</f>
        <v>71.760000000000005</v>
      </c>
      <c r="Q329" s="3">
        <f ca="1">IFERROR(__xludf.DUMMYFUNCTION("""COMPUTED_VALUE"""),43941.6666666666)</f>
        <v>43941.666666666599</v>
      </c>
      <c r="R329" s="2">
        <f ca="1">IFERROR(__xludf.DUMMYFUNCTION("""COMPUTED_VALUE"""),188.75)</f>
        <v>188.75</v>
      </c>
      <c r="S329" s="3">
        <f ca="1">IFERROR(__xludf.DUMMYFUNCTION("""COMPUTED_VALUE"""),43941.6666666666)</f>
        <v>43941.666666666599</v>
      </c>
      <c r="T329" s="2">
        <f ca="1">IFERROR(__xludf.DUMMYFUNCTION("""COMPUTED_VALUE"""),151.67)</f>
        <v>151.66999999999999</v>
      </c>
    </row>
    <row r="330" spans="1:20">
      <c r="A330" s="3">
        <f ca="1">IFERROR(__xludf.DUMMYFUNCTION("""COMPUTED_VALUE"""),43942.6666666666)</f>
        <v>43942.666666666599</v>
      </c>
      <c r="B330" s="2">
        <f ca="1">IFERROR(__xludf.DUMMYFUNCTION("""COMPUTED_VALUE"""),67.09)</f>
        <v>67.09</v>
      </c>
      <c r="C330" s="3">
        <f ca="1">IFERROR(__xludf.DUMMYFUNCTION("""COMPUTED_VALUE"""),43942.6666666666)</f>
        <v>43942.666666666599</v>
      </c>
      <c r="D330" s="2">
        <f ca="1">IFERROR(__xludf.DUMMYFUNCTION("""COMPUTED_VALUE"""),167.82)</f>
        <v>167.82</v>
      </c>
      <c r="E330" s="3">
        <f ca="1">IFERROR(__xludf.DUMMYFUNCTION("""COMPUTED_VALUE"""),43942.6666666666)</f>
        <v>43942.666666666599</v>
      </c>
      <c r="F330" s="2">
        <f ca="1">IFERROR(__xludf.DUMMYFUNCTION("""COMPUTED_VALUE"""),2328.12)</f>
        <v>2328.12</v>
      </c>
      <c r="G330" s="3">
        <f ca="1">IFERROR(__xludf.DUMMYFUNCTION("""COMPUTED_VALUE"""),43942.6666666666)</f>
        <v>43942.666666666599</v>
      </c>
      <c r="H330" s="2">
        <f ca="1">IFERROR(__xludf.DUMMYFUNCTION("""COMPUTED_VALUE"""),1212.16)</f>
        <v>1212.1600000000001</v>
      </c>
      <c r="I330" s="3">
        <f ca="1">IFERROR(__xludf.DUMMYFUNCTION("""COMPUTED_VALUE"""),43942.6666666666)</f>
        <v>43942.666666666599</v>
      </c>
      <c r="J330" s="2">
        <f ca="1">IFERROR(__xludf.DUMMYFUNCTION("""COMPUTED_VALUE"""),1216.34)</f>
        <v>1216.3399999999999</v>
      </c>
      <c r="K330" s="3">
        <f ca="1">IFERROR(__xludf.DUMMYFUNCTION("""COMPUTED_VALUE"""),43942.6666666666)</f>
        <v>43942.666666666599</v>
      </c>
      <c r="L330" s="2">
        <f ca="1">IFERROR(__xludf.DUMMYFUNCTION("""COMPUTED_VALUE"""),170.8)</f>
        <v>170.8</v>
      </c>
      <c r="M330" s="3">
        <f ca="1">IFERROR(__xludf.DUMMYFUNCTION("""COMPUTED_VALUE"""),43942.6666666666)</f>
        <v>43942.666666666599</v>
      </c>
      <c r="N330" s="2">
        <f ca="1">IFERROR(__xludf.DUMMYFUNCTION("""COMPUTED_VALUE"""),137.34)</f>
        <v>137.34</v>
      </c>
      <c r="O330" s="3">
        <f ca="1">IFERROR(__xludf.DUMMYFUNCTION("""COMPUTED_VALUE"""),43942.6666666666)</f>
        <v>43942.666666666599</v>
      </c>
      <c r="P330" s="2">
        <f ca="1">IFERROR(__xludf.DUMMYFUNCTION("""COMPUTED_VALUE"""),67.38)</f>
        <v>67.38</v>
      </c>
      <c r="Q330" s="3">
        <f ca="1">IFERROR(__xludf.DUMMYFUNCTION("""COMPUTED_VALUE"""),43942.6666666666)</f>
        <v>43942.666666666599</v>
      </c>
      <c r="R330" s="2">
        <f ca="1">IFERROR(__xludf.DUMMYFUNCTION("""COMPUTED_VALUE"""),183.48)</f>
        <v>183.48</v>
      </c>
      <c r="S330" s="3">
        <f ca="1">IFERROR(__xludf.DUMMYFUNCTION("""COMPUTED_VALUE"""),43942.6666666666)</f>
        <v>43942.666666666599</v>
      </c>
      <c r="T330" s="2">
        <f ca="1">IFERROR(__xludf.DUMMYFUNCTION("""COMPUTED_VALUE"""),149.68)</f>
        <v>149.68</v>
      </c>
    </row>
    <row r="331" spans="1:20">
      <c r="A331" s="3">
        <f ca="1">IFERROR(__xludf.DUMMYFUNCTION("""COMPUTED_VALUE"""),43943.6666666666)</f>
        <v>43943.666666666599</v>
      </c>
      <c r="B331" s="2">
        <f ca="1">IFERROR(__xludf.DUMMYFUNCTION("""COMPUTED_VALUE"""),69.03)</f>
        <v>69.03</v>
      </c>
      <c r="C331" s="3">
        <f ca="1">IFERROR(__xludf.DUMMYFUNCTION("""COMPUTED_VALUE"""),43943.6666666666)</f>
        <v>43943.666666666599</v>
      </c>
      <c r="D331" s="2">
        <f ca="1">IFERROR(__xludf.DUMMYFUNCTION("""COMPUTED_VALUE"""),173.52)</f>
        <v>173.52</v>
      </c>
      <c r="E331" s="3">
        <f ca="1">IFERROR(__xludf.DUMMYFUNCTION("""COMPUTED_VALUE"""),43943.6666666666)</f>
        <v>43943.666666666599</v>
      </c>
      <c r="F331" s="2">
        <f ca="1">IFERROR(__xludf.DUMMYFUNCTION("""COMPUTED_VALUE"""),2363.49)</f>
        <v>2363.4899999999998</v>
      </c>
      <c r="G331" s="3">
        <f ca="1">IFERROR(__xludf.DUMMYFUNCTION("""COMPUTED_VALUE"""),43943.6666666666)</f>
        <v>43943.666666666599</v>
      </c>
      <c r="H331" s="2">
        <f ca="1">IFERROR(__xludf.DUMMYFUNCTION("""COMPUTED_VALUE"""),1258.41)</f>
        <v>1258.4100000000001</v>
      </c>
      <c r="I331" s="3">
        <f ca="1">IFERROR(__xludf.DUMMYFUNCTION("""COMPUTED_VALUE"""),43943.6666666666)</f>
        <v>43943.666666666599</v>
      </c>
      <c r="J331" s="2">
        <f ca="1">IFERROR(__xludf.DUMMYFUNCTION("""COMPUTED_VALUE"""),1263.21)</f>
        <v>1263.21</v>
      </c>
      <c r="K331" s="3">
        <f ca="1">IFERROR(__xludf.DUMMYFUNCTION("""COMPUTED_VALUE"""),43943.6666666666)</f>
        <v>43943.666666666599</v>
      </c>
      <c r="L331" s="2">
        <f ca="1">IFERROR(__xludf.DUMMYFUNCTION("""COMPUTED_VALUE"""),182.28)</f>
        <v>182.28</v>
      </c>
      <c r="M331" s="3">
        <f ca="1">IFERROR(__xludf.DUMMYFUNCTION("""COMPUTED_VALUE"""),43943.6666666666)</f>
        <v>43943.666666666599</v>
      </c>
      <c r="N331" s="2">
        <f ca="1">IFERROR(__xludf.DUMMYFUNCTION("""COMPUTED_VALUE"""),146.42)</f>
        <v>146.41999999999999</v>
      </c>
      <c r="O331" s="3">
        <f ca="1">IFERROR(__xludf.DUMMYFUNCTION("""COMPUTED_VALUE"""),43943.6666666666)</f>
        <v>43943.666666666599</v>
      </c>
      <c r="P331" s="2">
        <f ca="1">IFERROR(__xludf.DUMMYFUNCTION("""COMPUTED_VALUE"""),71.54)</f>
        <v>71.540000000000006</v>
      </c>
      <c r="Q331" s="3">
        <f ca="1">IFERROR(__xludf.DUMMYFUNCTION("""COMPUTED_VALUE"""),43943.6666666666)</f>
        <v>43943.666666666599</v>
      </c>
      <c r="R331" s="2">
        <f ca="1">IFERROR(__xludf.DUMMYFUNCTION("""COMPUTED_VALUE"""),186.58)</f>
        <v>186.58</v>
      </c>
      <c r="S331" s="3">
        <f ca="1">IFERROR(__xludf.DUMMYFUNCTION("""COMPUTED_VALUE"""),43943.6666666666)</f>
        <v>43943.666666666599</v>
      </c>
      <c r="T331" s="2">
        <f ca="1">IFERROR(__xludf.DUMMYFUNCTION("""COMPUTED_VALUE"""),152.99)</f>
        <v>152.99</v>
      </c>
    </row>
    <row r="332" spans="1:20">
      <c r="A332" s="3">
        <f ca="1">IFERROR(__xludf.DUMMYFUNCTION("""COMPUTED_VALUE"""),43944.6666666666)</f>
        <v>43944.666666666599</v>
      </c>
      <c r="B332" s="2">
        <f ca="1">IFERROR(__xludf.DUMMYFUNCTION("""COMPUTED_VALUE"""),68.76)</f>
        <v>68.760000000000005</v>
      </c>
      <c r="C332" s="3">
        <f ca="1">IFERROR(__xludf.DUMMYFUNCTION("""COMPUTED_VALUE"""),43944.6666666666)</f>
        <v>43944.666666666599</v>
      </c>
      <c r="D332" s="2">
        <f ca="1">IFERROR(__xludf.DUMMYFUNCTION("""COMPUTED_VALUE"""),171.42)</f>
        <v>171.42</v>
      </c>
      <c r="E332" s="3">
        <f ca="1">IFERROR(__xludf.DUMMYFUNCTION("""COMPUTED_VALUE"""),43944.6666666666)</f>
        <v>43944.666666666599</v>
      </c>
      <c r="F332" s="2">
        <f ca="1">IFERROR(__xludf.DUMMYFUNCTION("""COMPUTED_VALUE"""),2399.45)</f>
        <v>2399.4499999999998</v>
      </c>
      <c r="G332" s="3">
        <f ca="1">IFERROR(__xludf.DUMMYFUNCTION("""COMPUTED_VALUE"""),43944.6666666666)</f>
        <v>43944.666666666599</v>
      </c>
      <c r="H332" s="2">
        <f ca="1">IFERROR(__xludf.DUMMYFUNCTION("""COMPUTED_VALUE"""),1271.17)</f>
        <v>1271.17</v>
      </c>
      <c r="I332" s="3">
        <f ca="1">IFERROR(__xludf.DUMMYFUNCTION("""COMPUTED_VALUE"""),43944.6666666666)</f>
        <v>43944.666666666599</v>
      </c>
      <c r="J332" s="2">
        <f ca="1">IFERROR(__xludf.DUMMYFUNCTION("""COMPUTED_VALUE"""),1276.31)</f>
        <v>1276.31</v>
      </c>
      <c r="K332" s="3">
        <f ca="1">IFERROR(__xludf.DUMMYFUNCTION("""COMPUTED_VALUE"""),43944.6666666666)</f>
        <v>43944.666666666599</v>
      </c>
      <c r="L332" s="2">
        <f ca="1">IFERROR(__xludf.DUMMYFUNCTION("""COMPUTED_VALUE"""),185.13)</f>
        <v>185.13</v>
      </c>
      <c r="M332" s="3">
        <f ca="1">IFERROR(__xludf.DUMMYFUNCTION("""COMPUTED_VALUE"""),43944.6666666666)</f>
        <v>43944.666666666599</v>
      </c>
      <c r="N332" s="2">
        <f ca="1">IFERROR(__xludf.DUMMYFUNCTION("""COMPUTED_VALUE"""),141.13)</f>
        <v>141.13</v>
      </c>
      <c r="O332" s="3">
        <f ca="1">IFERROR(__xludf.DUMMYFUNCTION("""COMPUTED_VALUE"""),43944.6666666666)</f>
        <v>43944.666666666599</v>
      </c>
      <c r="P332" s="2">
        <f ca="1">IFERROR(__xludf.DUMMYFUNCTION("""COMPUTED_VALUE"""),71)</f>
        <v>71</v>
      </c>
      <c r="Q332" s="3">
        <f ca="1">IFERROR(__xludf.DUMMYFUNCTION("""COMPUTED_VALUE"""),43944.6666666666)</f>
        <v>43944.666666666599</v>
      </c>
      <c r="R332" s="2">
        <f ca="1">IFERROR(__xludf.DUMMYFUNCTION("""COMPUTED_VALUE"""),185.63)</f>
        <v>185.63</v>
      </c>
      <c r="S332" s="3">
        <f ca="1">IFERROR(__xludf.DUMMYFUNCTION("""COMPUTED_VALUE"""),43944.6666666666)</f>
        <v>43944.666666666599</v>
      </c>
      <c r="T332" s="2">
        <f ca="1">IFERROR(__xludf.DUMMYFUNCTION("""COMPUTED_VALUE"""),155.51)</f>
        <v>155.51</v>
      </c>
    </row>
    <row r="333" spans="1:20">
      <c r="A333" s="3">
        <f ca="1">IFERROR(__xludf.DUMMYFUNCTION("""COMPUTED_VALUE"""),43945.6666666666)</f>
        <v>43945.666666666599</v>
      </c>
      <c r="B333" s="2">
        <f ca="1">IFERROR(__xludf.DUMMYFUNCTION("""COMPUTED_VALUE"""),70.74)</f>
        <v>70.739999999999995</v>
      </c>
      <c r="C333" s="3">
        <f ca="1">IFERROR(__xludf.DUMMYFUNCTION("""COMPUTED_VALUE"""),43945.6666666666)</f>
        <v>43945.666666666599</v>
      </c>
      <c r="D333" s="2">
        <f ca="1">IFERROR(__xludf.DUMMYFUNCTION("""COMPUTED_VALUE"""),174.55)</f>
        <v>174.55</v>
      </c>
      <c r="E333" s="3">
        <f ca="1">IFERROR(__xludf.DUMMYFUNCTION("""COMPUTED_VALUE"""),43945.6666666666)</f>
        <v>43945.666666666599</v>
      </c>
      <c r="F333" s="2">
        <f ca="1">IFERROR(__xludf.DUMMYFUNCTION("""COMPUTED_VALUE"""),2410.22)</f>
        <v>2410.2199999999998</v>
      </c>
      <c r="G333" s="3">
        <f ca="1">IFERROR(__xludf.DUMMYFUNCTION("""COMPUTED_VALUE"""),43945.6666666666)</f>
        <v>43945.666666666599</v>
      </c>
      <c r="H333" s="2">
        <f ca="1">IFERROR(__xludf.DUMMYFUNCTION("""COMPUTED_VALUE"""),1276.6)</f>
        <v>1276.5999999999999</v>
      </c>
      <c r="I333" s="3">
        <f ca="1">IFERROR(__xludf.DUMMYFUNCTION("""COMPUTED_VALUE"""),43945.6666666666)</f>
        <v>43945.666666666599</v>
      </c>
      <c r="J333" s="2">
        <f ca="1">IFERROR(__xludf.DUMMYFUNCTION("""COMPUTED_VALUE"""),1279.31)</f>
        <v>1279.31</v>
      </c>
      <c r="K333" s="3">
        <f ca="1">IFERROR(__xludf.DUMMYFUNCTION("""COMPUTED_VALUE"""),43945.6666666666)</f>
        <v>43945.666666666599</v>
      </c>
      <c r="L333" s="2">
        <f ca="1">IFERROR(__xludf.DUMMYFUNCTION("""COMPUTED_VALUE"""),190.07)</f>
        <v>190.07</v>
      </c>
      <c r="M333" s="3">
        <f ca="1">IFERROR(__xludf.DUMMYFUNCTION("""COMPUTED_VALUE"""),43945.6666666666)</f>
        <v>43945.666666666599</v>
      </c>
      <c r="N333" s="2">
        <f ca="1">IFERROR(__xludf.DUMMYFUNCTION("""COMPUTED_VALUE"""),145.03)</f>
        <v>145.03</v>
      </c>
      <c r="O333" s="3">
        <f ca="1">IFERROR(__xludf.DUMMYFUNCTION("""COMPUTED_VALUE"""),43945.6666666666)</f>
        <v>43945.666666666599</v>
      </c>
      <c r="P333" s="2">
        <f ca="1">IFERROR(__xludf.DUMMYFUNCTION("""COMPUTED_VALUE"""),72.4)</f>
        <v>72.400000000000006</v>
      </c>
      <c r="Q333" s="3">
        <f ca="1">IFERROR(__xludf.DUMMYFUNCTION("""COMPUTED_VALUE"""),43945.6666666666)</f>
        <v>43945.666666666599</v>
      </c>
      <c r="R333" s="2">
        <f ca="1">IFERROR(__xludf.DUMMYFUNCTION("""COMPUTED_VALUE"""),186.52)</f>
        <v>186.52</v>
      </c>
      <c r="S333" s="3">
        <f ca="1">IFERROR(__xludf.DUMMYFUNCTION("""COMPUTED_VALUE"""),43945.6666666666)</f>
        <v>43945.666666666599</v>
      </c>
      <c r="T333" s="2">
        <f ca="1">IFERROR(__xludf.DUMMYFUNCTION("""COMPUTED_VALUE"""),154.86)</f>
        <v>154.86000000000001</v>
      </c>
    </row>
    <row r="334" spans="1:20">
      <c r="A334" s="3">
        <f ca="1">IFERROR(__xludf.DUMMYFUNCTION("""COMPUTED_VALUE"""),43948.6666666666)</f>
        <v>43948.666666666599</v>
      </c>
      <c r="B334" s="2">
        <f ca="1">IFERROR(__xludf.DUMMYFUNCTION("""COMPUTED_VALUE"""),70.79)</f>
        <v>70.790000000000006</v>
      </c>
      <c r="C334" s="3">
        <f ca="1">IFERROR(__xludf.DUMMYFUNCTION("""COMPUTED_VALUE"""),43948.6666666666)</f>
        <v>43948.666666666599</v>
      </c>
      <c r="D334" s="2">
        <f ca="1">IFERROR(__xludf.DUMMYFUNCTION("""COMPUTED_VALUE"""),174.05)</f>
        <v>174.05</v>
      </c>
      <c r="E334" s="3">
        <f ca="1">IFERROR(__xludf.DUMMYFUNCTION("""COMPUTED_VALUE"""),43948.6666666666)</f>
        <v>43948.666666666599</v>
      </c>
      <c r="F334" s="2">
        <f ca="1">IFERROR(__xludf.DUMMYFUNCTION("""COMPUTED_VALUE"""),2376)</f>
        <v>2376</v>
      </c>
      <c r="G334" s="3">
        <f ca="1">IFERROR(__xludf.DUMMYFUNCTION("""COMPUTED_VALUE"""),43948.6666666666)</f>
        <v>43948.666666666599</v>
      </c>
      <c r="H334" s="2">
        <f ca="1">IFERROR(__xludf.DUMMYFUNCTION("""COMPUTED_VALUE"""),1270.86)</f>
        <v>1270.8599999999999</v>
      </c>
      <c r="I334" s="3">
        <f ca="1">IFERROR(__xludf.DUMMYFUNCTION("""COMPUTED_VALUE"""),43948.6666666666)</f>
        <v>43948.666666666599</v>
      </c>
      <c r="J334" s="2">
        <f ca="1">IFERROR(__xludf.DUMMYFUNCTION("""COMPUTED_VALUE"""),1275.88)</f>
        <v>1275.8800000000001</v>
      </c>
      <c r="K334" s="3">
        <f ca="1">IFERROR(__xludf.DUMMYFUNCTION("""COMPUTED_VALUE"""),43948.6666666666)</f>
        <v>43948.666666666599</v>
      </c>
      <c r="L334" s="2">
        <f ca="1">IFERROR(__xludf.DUMMYFUNCTION("""COMPUTED_VALUE"""),187.5)</f>
        <v>187.5</v>
      </c>
      <c r="M334" s="3">
        <f ca="1">IFERROR(__xludf.DUMMYFUNCTION("""COMPUTED_VALUE"""),43948.6666666666)</f>
        <v>43948.666666666599</v>
      </c>
      <c r="N334" s="2">
        <f ca="1">IFERROR(__xludf.DUMMYFUNCTION("""COMPUTED_VALUE"""),159.75)</f>
        <v>159.75</v>
      </c>
      <c r="O334" s="3">
        <f ca="1">IFERROR(__xludf.DUMMYFUNCTION("""COMPUTED_VALUE"""),43948.6666666666)</f>
        <v>43948.666666666599</v>
      </c>
      <c r="P334" s="2">
        <f ca="1">IFERROR(__xludf.DUMMYFUNCTION("""COMPUTED_VALUE"""),74.27)</f>
        <v>74.27</v>
      </c>
      <c r="Q334" s="3">
        <f ca="1">IFERROR(__xludf.DUMMYFUNCTION("""COMPUTED_VALUE"""),43948.6666666666)</f>
        <v>43948.666666666599</v>
      </c>
      <c r="R334" s="2">
        <f ca="1">IFERROR(__xludf.DUMMYFUNCTION("""COMPUTED_VALUE"""),187.46)</f>
        <v>187.46</v>
      </c>
      <c r="S334" s="3">
        <f ca="1">IFERROR(__xludf.DUMMYFUNCTION("""COMPUTED_VALUE"""),43948.6666666666)</f>
        <v>43948.666666666599</v>
      </c>
      <c r="T334" s="2">
        <f ca="1">IFERROR(__xludf.DUMMYFUNCTION("""COMPUTED_VALUE"""),154.29)</f>
        <v>154.29</v>
      </c>
    </row>
    <row r="335" spans="1:20">
      <c r="A335" s="3">
        <f ca="1">IFERROR(__xludf.DUMMYFUNCTION("""COMPUTED_VALUE"""),43949.6666666666)</f>
        <v>43949.666666666599</v>
      </c>
      <c r="B335" s="2">
        <f ca="1">IFERROR(__xludf.DUMMYFUNCTION("""COMPUTED_VALUE"""),69.65)</f>
        <v>69.650000000000006</v>
      </c>
      <c r="C335" s="3">
        <f ca="1">IFERROR(__xludf.DUMMYFUNCTION("""COMPUTED_VALUE"""),43949.6666666666)</f>
        <v>43949.666666666599</v>
      </c>
      <c r="D335" s="2">
        <f ca="1">IFERROR(__xludf.DUMMYFUNCTION("""COMPUTED_VALUE"""),169.81)</f>
        <v>169.81</v>
      </c>
      <c r="E335" s="3">
        <f ca="1">IFERROR(__xludf.DUMMYFUNCTION("""COMPUTED_VALUE"""),43949.6666666666)</f>
        <v>43949.666666666599</v>
      </c>
      <c r="F335" s="2">
        <f ca="1">IFERROR(__xludf.DUMMYFUNCTION("""COMPUTED_VALUE"""),2314.08)</f>
        <v>2314.08</v>
      </c>
      <c r="G335" s="3">
        <f ca="1">IFERROR(__xludf.DUMMYFUNCTION("""COMPUTED_VALUE"""),43949.6666666666)</f>
        <v>43949.666666666599</v>
      </c>
      <c r="H335" s="2">
        <f ca="1">IFERROR(__xludf.DUMMYFUNCTION("""COMPUTED_VALUE"""),1232.59)</f>
        <v>1232.5899999999999</v>
      </c>
      <c r="I335" s="3">
        <f ca="1">IFERROR(__xludf.DUMMYFUNCTION("""COMPUTED_VALUE"""),43949.6666666666)</f>
        <v>43949.666666666599</v>
      </c>
      <c r="J335" s="2">
        <f ca="1">IFERROR(__xludf.DUMMYFUNCTION("""COMPUTED_VALUE"""),1233.67)</f>
        <v>1233.67</v>
      </c>
      <c r="K335" s="3">
        <f ca="1">IFERROR(__xludf.DUMMYFUNCTION("""COMPUTED_VALUE"""),43949.6666666666)</f>
        <v>43949.666666666599</v>
      </c>
      <c r="L335" s="2">
        <f ca="1">IFERROR(__xludf.DUMMYFUNCTION("""COMPUTED_VALUE"""),182.91)</f>
        <v>182.91</v>
      </c>
      <c r="M335" s="3">
        <f ca="1">IFERROR(__xludf.DUMMYFUNCTION("""COMPUTED_VALUE"""),43949.6666666666)</f>
        <v>43949.666666666599</v>
      </c>
      <c r="N335" s="2">
        <f ca="1">IFERROR(__xludf.DUMMYFUNCTION("""COMPUTED_VALUE"""),153.82)</f>
        <v>153.82</v>
      </c>
      <c r="O335" s="3">
        <f ca="1">IFERROR(__xludf.DUMMYFUNCTION("""COMPUTED_VALUE"""),43949.6666666666)</f>
        <v>43949.666666666599</v>
      </c>
      <c r="P335" s="2">
        <f ca="1">IFERROR(__xludf.DUMMYFUNCTION("""COMPUTED_VALUE"""),72.84)</f>
        <v>72.84</v>
      </c>
      <c r="Q335" s="3">
        <f ca="1">IFERROR(__xludf.DUMMYFUNCTION("""COMPUTED_VALUE"""),43949.6666666666)</f>
        <v>43949.666666666599</v>
      </c>
      <c r="R335" s="2">
        <f ca="1">IFERROR(__xludf.DUMMYFUNCTION("""COMPUTED_VALUE"""),187.12)</f>
        <v>187.12</v>
      </c>
      <c r="S335" s="3">
        <f ca="1">IFERROR(__xludf.DUMMYFUNCTION("""COMPUTED_VALUE"""),43949.6666666666)</f>
        <v>43949.666666666599</v>
      </c>
      <c r="T335" s="2">
        <f ca="1">IFERROR(__xludf.DUMMYFUNCTION("""COMPUTED_VALUE"""),151.39)</f>
        <v>151.38999999999999</v>
      </c>
    </row>
    <row r="336" spans="1:20">
      <c r="A336" s="3">
        <f ca="1">IFERROR(__xludf.DUMMYFUNCTION("""COMPUTED_VALUE"""),43950.6666666666)</f>
        <v>43950.666666666599</v>
      </c>
      <c r="B336" s="2">
        <f ca="1">IFERROR(__xludf.DUMMYFUNCTION("""COMPUTED_VALUE"""),71.93)</f>
        <v>71.930000000000007</v>
      </c>
      <c r="C336" s="3">
        <f ca="1">IFERROR(__xludf.DUMMYFUNCTION("""COMPUTED_VALUE"""),43950.6666666666)</f>
        <v>43950.666666666599</v>
      </c>
      <c r="D336" s="2">
        <f ca="1">IFERROR(__xludf.DUMMYFUNCTION("""COMPUTED_VALUE"""),177.43)</f>
        <v>177.43</v>
      </c>
      <c r="E336" s="3">
        <f ca="1">IFERROR(__xludf.DUMMYFUNCTION("""COMPUTED_VALUE"""),43950.6666666666)</f>
        <v>43950.666666666599</v>
      </c>
      <c r="F336" s="2">
        <f ca="1">IFERROR(__xludf.DUMMYFUNCTION("""COMPUTED_VALUE"""),2372.71)</f>
        <v>2372.71</v>
      </c>
      <c r="G336" s="3">
        <f ca="1">IFERROR(__xludf.DUMMYFUNCTION("""COMPUTED_VALUE"""),43950.6666666666)</f>
        <v>43950.666666666599</v>
      </c>
      <c r="H336" s="2">
        <f ca="1">IFERROR(__xludf.DUMMYFUNCTION("""COMPUTED_VALUE"""),1342.18)</f>
        <v>1342.18</v>
      </c>
      <c r="I336" s="3">
        <f ca="1">IFERROR(__xludf.DUMMYFUNCTION("""COMPUTED_VALUE"""),43950.6666666666)</f>
        <v>43950.666666666599</v>
      </c>
      <c r="J336" s="2">
        <f ca="1">IFERROR(__xludf.DUMMYFUNCTION("""COMPUTED_VALUE"""),1341.48)</f>
        <v>1341.48</v>
      </c>
      <c r="K336" s="3">
        <f ca="1">IFERROR(__xludf.DUMMYFUNCTION("""COMPUTED_VALUE"""),43950.6666666666)</f>
        <v>43950.666666666599</v>
      </c>
      <c r="L336" s="2">
        <f ca="1">IFERROR(__xludf.DUMMYFUNCTION("""COMPUTED_VALUE"""),194.19)</f>
        <v>194.19</v>
      </c>
      <c r="M336" s="3">
        <f ca="1">IFERROR(__xludf.DUMMYFUNCTION("""COMPUTED_VALUE"""),43950.6666666666)</f>
        <v>43950.666666666599</v>
      </c>
      <c r="N336" s="2">
        <f ca="1">IFERROR(__xludf.DUMMYFUNCTION("""COMPUTED_VALUE"""),160.1)</f>
        <v>160.1</v>
      </c>
      <c r="O336" s="3">
        <f ca="1">IFERROR(__xludf.DUMMYFUNCTION("""COMPUTED_VALUE"""),43950.6666666666)</f>
        <v>43950.666666666599</v>
      </c>
      <c r="P336" s="2">
        <f ca="1">IFERROR(__xludf.DUMMYFUNCTION("""COMPUTED_VALUE"""),74.61)</f>
        <v>74.61</v>
      </c>
      <c r="Q336" s="3">
        <f ca="1">IFERROR(__xludf.DUMMYFUNCTION("""COMPUTED_VALUE"""),43950.6666666666)</f>
        <v>43950.666666666599</v>
      </c>
      <c r="R336" s="2">
        <f ca="1">IFERROR(__xludf.DUMMYFUNCTION("""COMPUTED_VALUE"""),189.61)</f>
        <v>189.61</v>
      </c>
      <c r="S336" s="3">
        <f ca="1">IFERROR(__xludf.DUMMYFUNCTION("""COMPUTED_VALUE"""),43950.6666666666)</f>
        <v>43950.666666666599</v>
      </c>
      <c r="T336" s="2">
        <f ca="1">IFERROR(__xludf.DUMMYFUNCTION("""COMPUTED_VALUE"""),150.24)</f>
        <v>150.24</v>
      </c>
    </row>
    <row r="337" spans="1:20">
      <c r="A337" s="3">
        <f ca="1">IFERROR(__xludf.DUMMYFUNCTION("""COMPUTED_VALUE"""),43951.6666666666)</f>
        <v>43951.666666666599</v>
      </c>
      <c r="B337" s="2">
        <f ca="1">IFERROR(__xludf.DUMMYFUNCTION("""COMPUTED_VALUE"""),73.45)</f>
        <v>73.45</v>
      </c>
      <c r="C337" s="3">
        <f ca="1">IFERROR(__xludf.DUMMYFUNCTION("""COMPUTED_VALUE"""),43951.6666666666)</f>
        <v>43951.666666666599</v>
      </c>
      <c r="D337" s="2">
        <f ca="1">IFERROR(__xludf.DUMMYFUNCTION("""COMPUTED_VALUE"""),179.21)</f>
        <v>179.21</v>
      </c>
      <c r="E337" s="3">
        <f ca="1">IFERROR(__xludf.DUMMYFUNCTION("""COMPUTED_VALUE"""),43951.6666666666)</f>
        <v>43951.666666666599</v>
      </c>
      <c r="F337" s="2">
        <f ca="1">IFERROR(__xludf.DUMMYFUNCTION("""COMPUTED_VALUE"""),2474)</f>
        <v>2474</v>
      </c>
      <c r="G337" s="3">
        <f ca="1">IFERROR(__xludf.DUMMYFUNCTION("""COMPUTED_VALUE"""),43951.6666666666)</f>
        <v>43951.666666666599</v>
      </c>
      <c r="H337" s="2">
        <f ca="1">IFERROR(__xludf.DUMMYFUNCTION("""COMPUTED_VALUE"""),1346.7)</f>
        <v>1346.7</v>
      </c>
      <c r="I337" s="3">
        <f ca="1">IFERROR(__xludf.DUMMYFUNCTION("""COMPUTED_VALUE"""),43951.6666666666)</f>
        <v>43951.666666666599</v>
      </c>
      <c r="J337" s="2">
        <f ca="1">IFERROR(__xludf.DUMMYFUNCTION("""COMPUTED_VALUE"""),1348.66)</f>
        <v>1348.66</v>
      </c>
      <c r="K337" s="3">
        <f ca="1">IFERROR(__xludf.DUMMYFUNCTION("""COMPUTED_VALUE"""),43951.6666666666)</f>
        <v>43951.666666666599</v>
      </c>
      <c r="L337" s="2">
        <f ca="1">IFERROR(__xludf.DUMMYFUNCTION("""COMPUTED_VALUE"""),204.71)</f>
        <v>204.71</v>
      </c>
      <c r="M337" s="3">
        <f ca="1">IFERROR(__xludf.DUMMYFUNCTION("""COMPUTED_VALUE"""),43951.6666666666)</f>
        <v>43951.666666666599</v>
      </c>
      <c r="N337" s="2">
        <f ca="1">IFERROR(__xludf.DUMMYFUNCTION("""COMPUTED_VALUE"""),156.38)</f>
        <v>156.38</v>
      </c>
      <c r="O337" s="3">
        <f ca="1">IFERROR(__xludf.DUMMYFUNCTION("""COMPUTED_VALUE"""),43951.6666666666)</f>
        <v>43951.666666666599</v>
      </c>
      <c r="P337" s="2">
        <f ca="1">IFERROR(__xludf.DUMMYFUNCTION("""COMPUTED_VALUE"""),73.07)</f>
        <v>73.069999999999993</v>
      </c>
      <c r="Q337" s="3">
        <f ca="1">IFERROR(__xludf.DUMMYFUNCTION("""COMPUTED_VALUE"""),43951.6666666666)</f>
        <v>43951.666666666599</v>
      </c>
      <c r="R337" s="2">
        <f ca="1">IFERROR(__xludf.DUMMYFUNCTION("""COMPUTED_VALUE"""),187.36)</f>
        <v>187.36</v>
      </c>
      <c r="S337" s="3">
        <f ca="1">IFERROR(__xludf.DUMMYFUNCTION("""COMPUTED_VALUE"""),43951.6666666666)</f>
        <v>43951.666666666599</v>
      </c>
      <c r="T337" s="2">
        <f ca="1">IFERROR(__xludf.DUMMYFUNCTION("""COMPUTED_VALUE"""),150.04)</f>
        <v>150.04</v>
      </c>
    </row>
    <row r="338" spans="1:20">
      <c r="A338" s="3">
        <f ca="1">IFERROR(__xludf.DUMMYFUNCTION("""COMPUTED_VALUE"""),43952.6666666666)</f>
        <v>43952.666666666599</v>
      </c>
      <c r="B338" s="2">
        <f ca="1">IFERROR(__xludf.DUMMYFUNCTION("""COMPUTED_VALUE"""),72.27)</f>
        <v>72.27</v>
      </c>
      <c r="C338" s="3">
        <f ca="1">IFERROR(__xludf.DUMMYFUNCTION("""COMPUTED_VALUE"""),43952.6666666666)</f>
        <v>43952.666666666599</v>
      </c>
      <c r="D338" s="2">
        <f ca="1">IFERROR(__xludf.DUMMYFUNCTION("""COMPUTED_VALUE"""),174.57)</f>
        <v>174.57</v>
      </c>
      <c r="E338" s="3">
        <f ca="1">IFERROR(__xludf.DUMMYFUNCTION("""COMPUTED_VALUE"""),43952.6666666666)</f>
        <v>43952.666666666599</v>
      </c>
      <c r="F338" s="2">
        <f ca="1">IFERROR(__xludf.DUMMYFUNCTION("""COMPUTED_VALUE"""),2286.04)</f>
        <v>2286.04</v>
      </c>
      <c r="G338" s="3">
        <f ca="1">IFERROR(__xludf.DUMMYFUNCTION("""COMPUTED_VALUE"""),43952.6666666666)</f>
        <v>43952.666666666599</v>
      </c>
      <c r="H338" s="2">
        <f ca="1">IFERROR(__xludf.DUMMYFUNCTION("""COMPUTED_VALUE"""),1317.32)</f>
        <v>1317.32</v>
      </c>
      <c r="I338" s="3">
        <f ca="1">IFERROR(__xludf.DUMMYFUNCTION("""COMPUTED_VALUE"""),43952.6666666666)</f>
        <v>43952.666666666599</v>
      </c>
      <c r="J338" s="2">
        <f ca="1">IFERROR(__xludf.DUMMYFUNCTION("""COMPUTED_VALUE"""),1320.61)</f>
        <v>1320.61</v>
      </c>
      <c r="K338" s="3">
        <f ca="1">IFERROR(__xludf.DUMMYFUNCTION("""COMPUTED_VALUE"""),43952.6666666666)</f>
        <v>43952.666666666599</v>
      </c>
      <c r="L338" s="2">
        <f ca="1">IFERROR(__xludf.DUMMYFUNCTION("""COMPUTED_VALUE"""),202.27)</f>
        <v>202.27</v>
      </c>
      <c r="M338" s="3">
        <f ca="1">IFERROR(__xludf.DUMMYFUNCTION("""COMPUTED_VALUE"""),43952.6666666666)</f>
        <v>43952.666666666599</v>
      </c>
      <c r="N338" s="2">
        <f ca="1">IFERROR(__xludf.DUMMYFUNCTION("""COMPUTED_VALUE"""),140.26)</f>
        <v>140.26</v>
      </c>
      <c r="O338" s="3">
        <f ca="1">IFERROR(__xludf.DUMMYFUNCTION("""COMPUTED_VALUE"""),43952.6666666666)</f>
        <v>43952.666666666599</v>
      </c>
      <c r="P338" s="2">
        <f ca="1">IFERROR(__xludf.DUMMYFUNCTION("""COMPUTED_VALUE"""),70.69)</f>
        <v>70.69</v>
      </c>
      <c r="Q338" s="3">
        <f ca="1">IFERROR(__xludf.DUMMYFUNCTION("""COMPUTED_VALUE"""),43952.6666666666)</f>
        <v>43952.666666666599</v>
      </c>
      <c r="R338" s="2">
        <f ca="1">IFERROR(__xludf.DUMMYFUNCTION("""COMPUTED_VALUE"""),182.67)</f>
        <v>182.67</v>
      </c>
      <c r="S338" s="3">
        <f ca="1">IFERROR(__xludf.DUMMYFUNCTION("""COMPUTED_VALUE"""),43952.6666666666)</f>
        <v>43952.666666666599</v>
      </c>
      <c r="T338" s="2">
        <f ca="1">IFERROR(__xludf.DUMMYFUNCTION("""COMPUTED_VALUE"""),148.29)</f>
        <v>148.29</v>
      </c>
    </row>
    <row r="339" spans="1:20">
      <c r="A339" s="3">
        <f ca="1">IFERROR(__xludf.DUMMYFUNCTION("""COMPUTED_VALUE"""),43955.6666666666)</f>
        <v>43955.666666666599</v>
      </c>
      <c r="B339" s="2">
        <f ca="1">IFERROR(__xludf.DUMMYFUNCTION("""COMPUTED_VALUE"""),73.29)</f>
        <v>73.290000000000006</v>
      </c>
      <c r="C339" s="3">
        <f ca="1">IFERROR(__xludf.DUMMYFUNCTION("""COMPUTED_VALUE"""),43955.6666666666)</f>
        <v>43955.666666666599</v>
      </c>
      <c r="D339" s="2">
        <f ca="1">IFERROR(__xludf.DUMMYFUNCTION("""COMPUTED_VALUE"""),178.84)</f>
        <v>178.84</v>
      </c>
      <c r="E339" s="3">
        <f ca="1">IFERROR(__xludf.DUMMYFUNCTION("""COMPUTED_VALUE"""),43955.6666666666)</f>
        <v>43955.666666666599</v>
      </c>
      <c r="F339" s="2">
        <f ca="1">IFERROR(__xludf.DUMMYFUNCTION("""COMPUTED_VALUE"""),2315.99)</f>
        <v>2315.9899999999998</v>
      </c>
      <c r="G339" s="3">
        <f ca="1">IFERROR(__xludf.DUMMYFUNCTION("""COMPUTED_VALUE"""),43955.6666666666)</f>
        <v>43955.666666666599</v>
      </c>
      <c r="H339" s="2">
        <f ca="1">IFERROR(__xludf.DUMMYFUNCTION("""COMPUTED_VALUE"""),1322.9)</f>
        <v>1322.9</v>
      </c>
      <c r="I339" s="3">
        <f ca="1">IFERROR(__xludf.DUMMYFUNCTION("""COMPUTED_VALUE"""),43955.6666666666)</f>
        <v>43955.666666666599</v>
      </c>
      <c r="J339" s="2">
        <f ca="1">IFERROR(__xludf.DUMMYFUNCTION("""COMPUTED_VALUE"""),1326.8)</f>
        <v>1326.8</v>
      </c>
      <c r="K339" s="3">
        <f ca="1">IFERROR(__xludf.DUMMYFUNCTION("""COMPUTED_VALUE"""),43955.6666666666)</f>
        <v>43955.666666666599</v>
      </c>
      <c r="L339" s="2">
        <f ca="1">IFERROR(__xludf.DUMMYFUNCTION("""COMPUTED_VALUE"""),205.26)</f>
        <v>205.26</v>
      </c>
      <c r="M339" s="3">
        <f ca="1">IFERROR(__xludf.DUMMYFUNCTION("""COMPUTED_VALUE"""),43955.6666666666)</f>
        <v>43955.666666666599</v>
      </c>
      <c r="N339" s="2">
        <f ca="1">IFERROR(__xludf.DUMMYFUNCTION("""COMPUTED_VALUE"""),152.24)</f>
        <v>152.24</v>
      </c>
      <c r="O339" s="3">
        <f ca="1">IFERROR(__xludf.DUMMYFUNCTION("""COMPUTED_VALUE"""),43955.6666666666)</f>
        <v>43955.666666666599</v>
      </c>
      <c r="P339" s="2">
        <f ca="1">IFERROR(__xludf.DUMMYFUNCTION("""COMPUTED_VALUE"""),72.82)</f>
        <v>72.819999999999993</v>
      </c>
      <c r="Q339" s="3">
        <f ca="1">IFERROR(__xludf.DUMMYFUNCTION("""COMPUTED_VALUE"""),43955.6666666666)</f>
        <v>43955.666666666599</v>
      </c>
      <c r="R339" s="2">
        <f ca="1">IFERROR(__xludf.DUMMYFUNCTION("""COMPUTED_VALUE"""),177.95)</f>
        <v>177.95</v>
      </c>
      <c r="S339" s="3">
        <f ca="1">IFERROR(__xludf.DUMMYFUNCTION("""COMPUTED_VALUE"""),43955.6666666666)</f>
        <v>43955.666666666599</v>
      </c>
      <c r="T339" s="2">
        <f ca="1">IFERROR(__xludf.DUMMYFUNCTION("""COMPUTED_VALUE"""),148.27)</f>
        <v>148.27000000000001</v>
      </c>
    </row>
    <row r="340" spans="1:20">
      <c r="A340" s="3">
        <f ca="1">IFERROR(__xludf.DUMMYFUNCTION("""COMPUTED_VALUE"""),43956.6666666666)</f>
        <v>43956.666666666599</v>
      </c>
      <c r="B340" s="2">
        <f ca="1">IFERROR(__xludf.DUMMYFUNCTION("""COMPUTED_VALUE"""),74.39)</f>
        <v>74.39</v>
      </c>
      <c r="C340" s="3">
        <f ca="1">IFERROR(__xludf.DUMMYFUNCTION("""COMPUTED_VALUE"""),43956.6666666666)</f>
        <v>43956.666666666599</v>
      </c>
      <c r="D340" s="2">
        <f ca="1">IFERROR(__xludf.DUMMYFUNCTION("""COMPUTED_VALUE"""),180.76)</f>
        <v>180.76</v>
      </c>
      <c r="E340" s="3">
        <f ca="1">IFERROR(__xludf.DUMMYFUNCTION("""COMPUTED_VALUE"""),43956.6666666666)</f>
        <v>43956.666666666599</v>
      </c>
      <c r="F340" s="2">
        <f ca="1">IFERROR(__xludf.DUMMYFUNCTION("""COMPUTED_VALUE"""),2317.8)</f>
        <v>2317.8000000000002</v>
      </c>
      <c r="G340" s="3">
        <f ca="1">IFERROR(__xludf.DUMMYFUNCTION("""COMPUTED_VALUE"""),43956.6666666666)</f>
        <v>43956.666666666599</v>
      </c>
      <c r="H340" s="2">
        <f ca="1">IFERROR(__xludf.DUMMYFUNCTION("""COMPUTED_VALUE"""),1349.02)</f>
        <v>1349.02</v>
      </c>
      <c r="I340" s="3">
        <f ca="1">IFERROR(__xludf.DUMMYFUNCTION("""COMPUTED_VALUE"""),43956.6666666666)</f>
        <v>43956.666666666599</v>
      </c>
      <c r="J340" s="2">
        <f ca="1">IFERROR(__xludf.DUMMYFUNCTION("""COMPUTED_VALUE"""),1351.11)</f>
        <v>1351.11</v>
      </c>
      <c r="K340" s="3">
        <f ca="1">IFERROR(__xludf.DUMMYFUNCTION("""COMPUTED_VALUE"""),43956.6666666666)</f>
        <v>43956.666666666599</v>
      </c>
      <c r="L340" s="2">
        <f ca="1">IFERROR(__xludf.DUMMYFUNCTION("""COMPUTED_VALUE"""),207.07)</f>
        <v>207.07</v>
      </c>
      <c r="M340" s="3">
        <f ca="1">IFERROR(__xludf.DUMMYFUNCTION("""COMPUTED_VALUE"""),43956.6666666666)</f>
        <v>43956.666666666599</v>
      </c>
      <c r="N340" s="2">
        <f ca="1">IFERROR(__xludf.DUMMYFUNCTION("""COMPUTED_VALUE"""),153.64)</f>
        <v>153.63999999999999</v>
      </c>
      <c r="O340" s="3">
        <f ca="1">IFERROR(__xludf.DUMMYFUNCTION("""COMPUTED_VALUE"""),43956.6666666666)</f>
        <v>43956.666666666599</v>
      </c>
      <c r="P340" s="2">
        <f ca="1">IFERROR(__xludf.DUMMYFUNCTION("""COMPUTED_VALUE"""),73.44)</f>
        <v>73.44</v>
      </c>
      <c r="Q340" s="3">
        <f ca="1">IFERROR(__xludf.DUMMYFUNCTION("""COMPUTED_VALUE"""),43956.6666666666)</f>
        <v>43956.666666666599</v>
      </c>
      <c r="R340" s="2">
        <f ca="1">IFERROR(__xludf.DUMMYFUNCTION("""COMPUTED_VALUE"""),176.03)</f>
        <v>176.03</v>
      </c>
      <c r="S340" s="3">
        <f ca="1">IFERROR(__xludf.DUMMYFUNCTION("""COMPUTED_VALUE"""),43956.6666666666)</f>
        <v>43956.666666666599</v>
      </c>
      <c r="T340" s="2">
        <f ca="1">IFERROR(__xludf.DUMMYFUNCTION("""COMPUTED_VALUE"""),149.5)</f>
        <v>149.5</v>
      </c>
    </row>
    <row r="341" spans="1:20">
      <c r="A341" s="3">
        <f ca="1">IFERROR(__xludf.DUMMYFUNCTION("""COMPUTED_VALUE"""),43957.6666666666)</f>
        <v>43957.666666666599</v>
      </c>
      <c r="B341" s="2">
        <f ca="1">IFERROR(__xludf.DUMMYFUNCTION("""COMPUTED_VALUE"""),75.16)</f>
        <v>75.16</v>
      </c>
      <c r="C341" s="3">
        <f ca="1">IFERROR(__xludf.DUMMYFUNCTION("""COMPUTED_VALUE"""),43957.6666666666)</f>
        <v>43957.666666666599</v>
      </c>
      <c r="D341" s="2">
        <f ca="1">IFERROR(__xludf.DUMMYFUNCTION("""COMPUTED_VALUE"""),182.54)</f>
        <v>182.54</v>
      </c>
      <c r="E341" s="3">
        <f ca="1">IFERROR(__xludf.DUMMYFUNCTION("""COMPUTED_VALUE"""),43957.6666666666)</f>
        <v>43957.666666666599</v>
      </c>
      <c r="F341" s="2">
        <f ca="1">IFERROR(__xludf.DUMMYFUNCTION("""COMPUTED_VALUE"""),2351.26)</f>
        <v>2351.2600000000002</v>
      </c>
      <c r="G341" s="3">
        <f ca="1">IFERROR(__xludf.DUMMYFUNCTION("""COMPUTED_VALUE"""),43957.6666666666)</f>
        <v>43957.666666666599</v>
      </c>
      <c r="H341" s="2">
        <f ca="1">IFERROR(__xludf.DUMMYFUNCTION("""COMPUTED_VALUE"""),1345.43)</f>
        <v>1345.43</v>
      </c>
      <c r="I341" s="3">
        <f ca="1">IFERROR(__xludf.DUMMYFUNCTION("""COMPUTED_VALUE"""),43957.6666666666)</f>
        <v>43957.666666666599</v>
      </c>
      <c r="J341" s="2">
        <f ca="1">IFERROR(__xludf.DUMMYFUNCTION("""COMPUTED_VALUE"""),1347.3)</f>
        <v>1347.3</v>
      </c>
      <c r="K341" s="3">
        <f ca="1">IFERROR(__xludf.DUMMYFUNCTION("""COMPUTED_VALUE"""),43957.6666666666)</f>
        <v>43957.666666666599</v>
      </c>
      <c r="L341" s="2">
        <f ca="1">IFERROR(__xludf.DUMMYFUNCTION("""COMPUTED_VALUE"""),208.47)</f>
        <v>208.47</v>
      </c>
      <c r="M341" s="3">
        <f ca="1">IFERROR(__xludf.DUMMYFUNCTION("""COMPUTED_VALUE"""),43957.6666666666)</f>
        <v>43957.666666666599</v>
      </c>
      <c r="N341" s="2">
        <f ca="1">IFERROR(__xludf.DUMMYFUNCTION("""COMPUTED_VALUE"""),156.52)</f>
        <v>156.52000000000001</v>
      </c>
      <c r="O341" s="3">
        <f ca="1">IFERROR(__xludf.DUMMYFUNCTION("""COMPUTED_VALUE"""),43957.6666666666)</f>
        <v>43957.666666666599</v>
      </c>
      <c r="P341" s="2">
        <f ca="1">IFERROR(__xludf.DUMMYFUNCTION("""COMPUTED_VALUE"""),74.45)</f>
        <v>74.45</v>
      </c>
      <c r="Q341" s="3">
        <f ca="1">IFERROR(__xludf.DUMMYFUNCTION("""COMPUTED_VALUE"""),43957.6666666666)</f>
        <v>43957.666666666599</v>
      </c>
      <c r="R341" s="2">
        <f ca="1">IFERROR(__xludf.DUMMYFUNCTION("""COMPUTED_VALUE"""),172.38)</f>
        <v>172.38</v>
      </c>
      <c r="S341" s="3">
        <f ca="1">IFERROR(__xludf.DUMMYFUNCTION("""COMPUTED_VALUE"""),43957.6666666666)</f>
        <v>43957.666666666599</v>
      </c>
      <c r="T341" s="2">
        <f ca="1">IFERROR(__xludf.DUMMYFUNCTION("""COMPUTED_VALUE"""),148.08)</f>
        <v>148.08000000000001</v>
      </c>
    </row>
    <row r="342" spans="1:20">
      <c r="A342" s="3">
        <f ca="1">IFERROR(__xludf.DUMMYFUNCTION("""COMPUTED_VALUE"""),43958.6666666666)</f>
        <v>43958.666666666599</v>
      </c>
      <c r="B342" s="2">
        <f ca="1">IFERROR(__xludf.DUMMYFUNCTION("""COMPUTED_VALUE"""),75.94)</f>
        <v>75.94</v>
      </c>
      <c r="C342" s="3">
        <f ca="1">IFERROR(__xludf.DUMMYFUNCTION("""COMPUTED_VALUE"""),43958.6666666666)</f>
        <v>43958.666666666599</v>
      </c>
      <c r="D342" s="2">
        <f ca="1">IFERROR(__xludf.DUMMYFUNCTION("""COMPUTED_VALUE"""),183.6)</f>
        <v>183.6</v>
      </c>
      <c r="E342" s="3">
        <f ca="1">IFERROR(__xludf.DUMMYFUNCTION("""COMPUTED_VALUE"""),43958.6666666666)</f>
        <v>43958.666666666599</v>
      </c>
      <c r="F342" s="2">
        <f ca="1">IFERROR(__xludf.DUMMYFUNCTION("""COMPUTED_VALUE"""),2367.61)</f>
        <v>2367.61</v>
      </c>
      <c r="G342" s="3">
        <f ca="1">IFERROR(__xludf.DUMMYFUNCTION("""COMPUTED_VALUE"""),43958.6666666666)</f>
        <v>43958.666666666599</v>
      </c>
      <c r="H342" s="2">
        <f ca="1">IFERROR(__xludf.DUMMYFUNCTION("""COMPUTED_VALUE"""),1369.28)</f>
        <v>1369.28</v>
      </c>
      <c r="I342" s="3">
        <f ca="1">IFERROR(__xludf.DUMMYFUNCTION("""COMPUTED_VALUE"""),43958.6666666666)</f>
        <v>43958.666666666599</v>
      </c>
      <c r="J342" s="2">
        <f ca="1">IFERROR(__xludf.DUMMYFUNCTION("""COMPUTED_VALUE"""),1372.56)</f>
        <v>1372.56</v>
      </c>
      <c r="K342" s="3">
        <f ca="1">IFERROR(__xludf.DUMMYFUNCTION("""COMPUTED_VALUE"""),43958.6666666666)</f>
        <v>43958.666666666599</v>
      </c>
      <c r="L342" s="2">
        <f ca="1">IFERROR(__xludf.DUMMYFUNCTION("""COMPUTED_VALUE"""),211.26)</f>
        <v>211.26</v>
      </c>
      <c r="M342" s="3">
        <f ca="1">IFERROR(__xludf.DUMMYFUNCTION("""COMPUTED_VALUE"""),43958.6666666666)</f>
        <v>43958.666666666599</v>
      </c>
      <c r="N342" s="2">
        <f ca="1">IFERROR(__xludf.DUMMYFUNCTION("""COMPUTED_VALUE"""),156.01)</f>
        <v>156.01</v>
      </c>
      <c r="O342" s="3">
        <f ca="1">IFERROR(__xludf.DUMMYFUNCTION("""COMPUTED_VALUE"""),43958.6666666666)</f>
        <v>43958.666666666599</v>
      </c>
      <c r="P342" s="2">
        <f ca="1">IFERROR(__xludf.DUMMYFUNCTION("""COMPUTED_VALUE"""),76.22)</f>
        <v>76.22</v>
      </c>
      <c r="Q342" s="3">
        <f ca="1">IFERROR(__xludf.DUMMYFUNCTION("""COMPUTED_VALUE"""),43958.6666666666)</f>
        <v>43958.666666666599</v>
      </c>
      <c r="R342" s="2">
        <f ca="1">IFERROR(__xludf.DUMMYFUNCTION("""COMPUTED_VALUE"""),173.48)</f>
        <v>173.48</v>
      </c>
      <c r="S342" s="3">
        <f ca="1">IFERROR(__xludf.DUMMYFUNCTION("""COMPUTED_VALUE"""),43958.6666666666)</f>
        <v>43958.666666666599</v>
      </c>
      <c r="T342" s="2">
        <f ca="1">IFERROR(__xludf.DUMMYFUNCTION("""COMPUTED_VALUE"""),147.59)</f>
        <v>147.59</v>
      </c>
    </row>
    <row r="343" spans="1:20">
      <c r="A343" s="3">
        <f ca="1">IFERROR(__xludf.DUMMYFUNCTION("""COMPUTED_VALUE"""),43959.6666666666)</f>
        <v>43959.666666666599</v>
      </c>
      <c r="B343" s="2">
        <f ca="1">IFERROR(__xludf.DUMMYFUNCTION("""COMPUTED_VALUE"""),77.53)</f>
        <v>77.53</v>
      </c>
      <c r="C343" s="3">
        <f ca="1">IFERROR(__xludf.DUMMYFUNCTION("""COMPUTED_VALUE"""),43959.6666666666)</f>
        <v>43959.666666666599</v>
      </c>
      <c r="D343" s="2">
        <f ca="1">IFERROR(__xludf.DUMMYFUNCTION("""COMPUTED_VALUE"""),184.68)</f>
        <v>184.68</v>
      </c>
      <c r="E343" s="3">
        <f ca="1">IFERROR(__xludf.DUMMYFUNCTION("""COMPUTED_VALUE"""),43959.6666666666)</f>
        <v>43959.666666666599</v>
      </c>
      <c r="F343" s="2">
        <f ca="1">IFERROR(__xludf.DUMMYFUNCTION("""COMPUTED_VALUE"""),2379.61)</f>
        <v>2379.61</v>
      </c>
      <c r="G343" s="3">
        <f ca="1">IFERROR(__xludf.DUMMYFUNCTION("""COMPUTED_VALUE"""),43959.6666666666)</f>
        <v>43959.666666666599</v>
      </c>
      <c r="H343" s="2">
        <f ca="1">IFERROR(__xludf.DUMMYFUNCTION("""COMPUTED_VALUE"""),1384.34)</f>
        <v>1384.34</v>
      </c>
      <c r="I343" s="3">
        <f ca="1">IFERROR(__xludf.DUMMYFUNCTION("""COMPUTED_VALUE"""),43959.6666666666)</f>
        <v>43959.666666666599</v>
      </c>
      <c r="J343" s="2">
        <f ca="1">IFERROR(__xludf.DUMMYFUNCTION("""COMPUTED_VALUE"""),1388.37)</f>
        <v>1388.37</v>
      </c>
      <c r="K343" s="3">
        <f ca="1">IFERROR(__xludf.DUMMYFUNCTION("""COMPUTED_VALUE"""),43959.6666666666)</f>
        <v>43959.666666666599</v>
      </c>
      <c r="L343" s="2">
        <f ca="1">IFERROR(__xludf.DUMMYFUNCTION("""COMPUTED_VALUE"""),212.35)</f>
        <v>212.35</v>
      </c>
      <c r="M343" s="3">
        <f ca="1">IFERROR(__xludf.DUMMYFUNCTION("""COMPUTED_VALUE"""),43959.6666666666)</f>
        <v>43959.666666666599</v>
      </c>
      <c r="N343" s="2">
        <f ca="1">IFERROR(__xludf.DUMMYFUNCTION("""COMPUTED_VALUE"""),163.88)</f>
        <v>163.88</v>
      </c>
      <c r="O343" s="3">
        <f ca="1">IFERROR(__xludf.DUMMYFUNCTION("""COMPUTED_VALUE"""),43959.6666666666)</f>
        <v>43959.666666666599</v>
      </c>
      <c r="P343" s="2">
        <f ca="1">IFERROR(__xludf.DUMMYFUNCTION("""COMPUTED_VALUE"""),78.13)</f>
        <v>78.13</v>
      </c>
      <c r="Q343" s="3">
        <f ca="1">IFERROR(__xludf.DUMMYFUNCTION("""COMPUTED_VALUE"""),43959.6666666666)</f>
        <v>43959.666666666599</v>
      </c>
      <c r="R343" s="2">
        <f ca="1">IFERROR(__xludf.DUMMYFUNCTION("""COMPUTED_VALUE"""),176.83)</f>
        <v>176.83</v>
      </c>
      <c r="S343" s="3">
        <f ca="1">IFERROR(__xludf.DUMMYFUNCTION("""COMPUTED_VALUE"""),43959.6666666666)</f>
        <v>43959.666666666599</v>
      </c>
      <c r="T343" s="2">
        <f ca="1">IFERROR(__xludf.DUMMYFUNCTION("""COMPUTED_VALUE"""),148.7)</f>
        <v>148.69999999999999</v>
      </c>
    </row>
    <row r="344" spans="1:20">
      <c r="A344" s="3">
        <f ca="1">IFERROR(__xludf.DUMMYFUNCTION("""COMPUTED_VALUE"""),43962.6666666666)</f>
        <v>43962.666666666599</v>
      </c>
      <c r="B344" s="2">
        <f ca="1">IFERROR(__xludf.DUMMYFUNCTION("""COMPUTED_VALUE"""),78.75)</f>
        <v>78.75</v>
      </c>
      <c r="C344" s="3">
        <f ca="1">IFERROR(__xludf.DUMMYFUNCTION("""COMPUTED_VALUE"""),43962.6666666666)</f>
        <v>43962.666666666599</v>
      </c>
      <c r="D344" s="2">
        <f ca="1">IFERROR(__xludf.DUMMYFUNCTION("""COMPUTED_VALUE"""),186.74)</f>
        <v>186.74</v>
      </c>
      <c r="E344" s="3">
        <f ca="1">IFERROR(__xludf.DUMMYFUNCTION("""COMPUTED_VALUE"""),43962.6666666666)</f>
        <v>43962.666666666599</v>
      </c>
      <c r="F344" s="2">
        <f ca="1">IFERROR(__xludf.DUMMYFUNCTION("""COMPUTED_VALUE"""),2409)</f>
        <v>2409</v>
      </c>
      <c r="G344" s="3">
        <f ca="1">IFERROR(__xludf.DUMMYFUNCTION("""COMPUTED_VALUE"""),43962.6666666666)</f>
        <v>43962.666666666599</v>
      </c>
      <c r="H344" s="2">
        <f ca="1">IFERROR(__xludf.DUMMYFUNCTION("""COMPUTED_VALUE"""),1403.59)</f>
        <v>1403.59</v>
      </c>
      <c r="I344" s="3">
        <f ca="1">IFERROR(__xludf.DUMMYFUNCTION("""COMPUTED_VALUE"""),43962.6666666666)</f>
        <v>43962.666666666599</v>
      </c>
      <c r="J344" s="2">
        <f ca="1">IFERROR(__xludf.DUMMYFUNCTION("""COMPUTED_VALUE"""),1403.26)</f>
        <v>1403.26</v>
      </c>
      <c r="K344" s="3">
        <f ca="1">IFERROR(__xludf.DUMMYFUNCTION("""COMPUTED_VALUE"""),43962.6666666666)</f>
        <v>43962.666666666599</v>
      </c>
      <c r="L344" s="2">
        <f ca="1">IFERROR(__xludf.DUMMYFUNCTION("""COMPUTED_VALUE"""),213.18)</f>
        <v>213.18</v>
      </c>
      <c r="M344" s="3">
        <f ca="1">IFERROR(__xludf.DUMMYFUNCTION("""COMPUTED_VALUE"""),43962.6666666666)</f>
        <v>43962.666666666599</v>
      </c>
      <c r="N344" s="2">
        <f ca="1">IFERROR(__xludf.DUMMYFUNCTION("""COMPUTED_VALUE"""),162.26)</f>
        <v>162.26</v>
      </c>
      <c r="O344" s="3">
        <f ca="1">IFERROR(__xludf.DUMMYFUNCTION("""COMPUTED_VALUE"""),43962.6666666666)</f>
        <v>43962.666666666599</v>
      </c>
      <c r="P344" s="2">
        <f ca="1">IFERROR(__xludf.DUMMYFUNCTION("""COMPUTED_VALUE"""),80.66)</f>
        <v>80.66</v>
      </c>
      <c r="Q344" s="3">
        <f ca="1">IFERROR(__xludf.DUMMYFUNCTION("""COMPUTED_VALUE"""),43962.6666666666)</f>
        <v>43962.666666666599</v>
      </c>
      <c r="R344" s="2">
        <f ca="1">IFERROR(__xludf.DUMMYFUNCTION("""COMPUTED_VALUE"""),174.64)</f>
        <v>174.64</v>
      </c>
      <c r="S344" s="3">
        <f ca="1">IFERROR(__xludf.DUMMYFUNCTION("""COMPUTED_VALUE"""),43962.6666666666)</f>
        <v>43962.666666666599</v>
      </c>
      <c r="T344" s="2">
        <f ca="1">IFERROR(__xludf.DUMMYFUNCTION("""COMPUTED_VALUE"""),149.11)</f>
        <v>149.11000000000001</v>
      </c>
    </row>
    <row r="345" spans="1:20">
      <c r="A345" s="3">
        <f ca="1">IFERROR(__xludf.DUMMYFUNCTION("""COMPUTED_VALUE"""),43963.6666666666)</f>
        <v>43963.666666666599</v>
      </c>
      <c r="B345" s="2">
        <f ca="1">IFERROR(__xludf.DUMMYFUNCTION("""COMPUTED_VALUE"""),77.85)</f>
        <v>77.849999999999994</v>
      </c>
      <c r="C345" s="3">
        <f ca="1">IFERROR(__xludf.DUMMYFUNCTION("""COMPUTED_VALUE"""),43963.6666666666)</f>
        <v>43963.666666666599</v>
      </c>
      <c r="D345" s="2">
        <f ca="1">IFERROR(__xludf.DUMMYFUNCTION("""COMPUTED_VALUE"""),182.51)</f>
        <v>182.51</v>
      </c>
      <c r="E345" s="3">
        <f ca="1">IFERROR(__xludf.DUMMYFUNCTION("""COMPUTED_VALUE"""),43963.6666666666)</f>
        <v>43963.666666666599</v>
      </c>
      <c r="F345" s="2">
        <f ca="1">IFERROR(__xludf.DUMMYFUNCTION("""COMPUTED_VALUE"""),2356.95)</f>
        <v>2356.9499999999998</v>
      </c>
      <c r="G345" s="3">
        <f ca="1">IFERROR(__xludf.DUMMYFUNCTION("""COMPUTED_VALUE"""),43963.6666666666)</f>
        <v>43963.666666666599</v>
      </c>
      <c r="H345" s="2">
        <f ca="1">IFERROR(__xludf.DUMMYFUNCTION("""COMPUTED_VALUE"""),1375.18)</f>
        <v>1375.18</v>
      </c>
      <c r="I345" s="3">
        <f ca="1">IFERROR(__xludf.DUMMYFUNCTION("""COMPUTED_VALUE"""),43963.6666666666)</f>
        <v>43963.666666666599</v>
      </c>
      <c r="J345" s="2">
        <f ca="1">IFERROR(__xludf.DUMMYFUNCTION("""COMPUTED_VALUE"""),1375.74)</f>
        <v>1375.74</v>
      </c>
      <c r="K345" s="3">
        <f ca="1">IFERROR(__xludf.DUMMYFUNCTION("""COMPUTED_VALUE"""),43963.6666666666)</f>
        <v>43963.666666666599</v>
      </c>
      <c r="L345" s="2">
        <f ca="1">IFERROR(__xludf.DUMMYFUNCTION("""COMPUTED_VALUE"""),210.1)</f>
        <v>210.1</v>
      </c>
      <c r="M345" s="3">
        <f ca="1">IFERROR(__xludf.DUMMYFUNCTION("""COMPUTED_VALUE"""),43963.6666666666)</f>
        <v>43963.666666666599</v>
      </c>
      <c r="N345" s="2">
        <f ca="1">IFERROR(__xludf.DUMMYFUNCTION("""COMPUTED_VALUE"""),161.88)</f>
        <v>161.88</v>
      </c>
      <c r="O345" s="3">
        <f ca="1">IFERROR(__xludf.DUMMYFUNCTION("""COMPUTED_VALUE"""),43963.6666666666)</f>
        <v>43963.666666666599</v>
      </c>
      <c r="P345" s="2">
        <f ca="1">IFERROR(__xludf.DUMMYFUNCTION("""COMPUTED_VALUE"""),78.03)</f>
        <v>78.03</v>
      </c>
      <c r="Q345" s="3">
        <f ca="1">IFERROR(__xludf.DUMMYFUNCTION("""COMPUTED_VALUE"""),43963.6666666666)</f>
        <v>43963.666666666599</v>
      </c>
      <c r="R345" s="2">
        <f ca="1">IFERROR(__xludf.DUMMYFUNCTION("""COMPUTED_VALUE"""),172.81)</f>
        <v>172.81</v>
      </c>
      <c r="S345" s="3">
        <f ca="1">IFERROR(__xludf.DUMMYFUNCTION("""COMPUTED_VALUE"""),43963.6666666666)</f>
        <v>43963.666666666599</v>
      </c>
      <c r="T345" s="2">
        <f ca="1">IFERROR(__xludf.DUMMYFUNCTION("""COMPUTED_VALUE"""),147.14)</f>
        <v>147.13999999999999</v>
      </c>
    </row>
    <row r="346" spans="1:20">
      <c r="A346" s="3">
        <f ca="1">IFERROR(__xludf.DUMMYFUNCTION("""COMPUTED_VALUE"""),43964.6666666666)</f>
        <v>43964.666666666599</v>
      </c>
      <c r="B346" s="2">
        <f ca="1">IFERROR(__xludf.DUMMYFUNCTION("""COMPUTED_VALUE"""),76.91)</f>
        <v>76.91</v>
      </c>
      <c r="C346" s="3">
        <f ca="1">IFERROR(__xludf.DUMMYFUNCTION("""COMPUTED_VALUE"""),43964.6666666666)</f>
        <v>43964.666666666599</v>
      </c>
      <c r="D346" s="2">
        <f ca="1">IFERROR(__xludf.DUMMYFUNCTION("""COMPUTED_VALUE"""),179.75)</f>
        <v>179.75</v>
      </c>
      <c r="E346" s="3">
        <f ca="1">IFERROR(__xludf.DUMMYFUNCTION("""COMPUTED_VALUE"""),43964.6666666666)</f>
        <v>43964.666666666599</v>
      </c>
      <c r="F346" s="2">
        <f ca="1">IFERROR(__xludf.DUMMYFUNCTION("""COMPUTED_VALUE"""),2367.92)</f>
        <v>2367.92</v>
      </c>
      <c r="G346" s="3">
        <f ca="1">IFERROR(__xludf.DUMMYFUNCTION("""COMPUTED_VALUE"""),43964.6666666666)</f>
        <v>43964.666666666599</v>
      </c>
      <c r="H346" s="2">
        <f ca="1">IFERROR(__xludf.DUMMYFUNCTION("""COMPUTED_VALUE"""),1348.33)</f>
        <v>1348.33</v>
      </c>
      <c r="I346" s="3">
        <f ca="1">IFERROR(__xludf.DUMMYFUNCTION("""COMPUTED_VALUE"""),43964.6666666666)</f>
        <v>43964.666666666599</v>
      </c>
      <c r="J346" s="2">
        <f ca="1">IFERROR(__xludf.DUMMYFUNCTION("""COMPUTED_VALUE"""),1349.33)</f>
        <v>1349.33</v>
      </c>
      <c r="K346" s="3">
        <f ca="1">IFERROR(__xludf.DUMMYFUNCTION("""COMPUTED_VALUE"""),43964.6666666666)</f>
        <v>43964.666666666599</v>
      </c>
      <c r="L346" s="2">
        <f ca="1">IFERROR(__xludf.DUMMYFUNCTION("""COMPUTED_VALUE"""),205.1)</f>
        <v>205.1</v>
      </c>
      <c r="M346" s="3">
        <f ca="1">IFERROR(__xludf.DUMMYFUNCTION("""COMPUTED_VALUE"""),43964.6666666666)</f>
        <v>43964.666666666599</v>
      </c>
      <c r="N346" s="2">
        <f ca="1">IFERROR(__xludf.DUMMYFUNCTION("""COMPUTED_VALUE"""),158.19)</f>
        <v>158.19</v>
      </c>
      <c r="O346" s="3">
        <f ca="1">IFERROR(__xludf.DUMMYFUNCTION("""COMPUTED_VALUE"""),43964.6666666666)</f>
        <v>43964.666666666599</v>
      </c>
      <c r="P346" s="2">
        <f ca="1">IFERROR(__xludf.DUMMYFUNCTION("""COMPUTED_VALUE"""),77.8)</f>
        <v>77.8</v>
      </c>
      <c r="Q346" s="3">
        <f ca="1">IFERROR(__xludf.DUMMYFUNCTION("""COMPUTED_VALUE"""),43964.6666666666)</f>
        <v>43964.666666666599</v>
      </c>
      <c r="R346" s="2">
        <f ca="1">IFERROR(__xludf.DUMMYFUNCTION("""COMPUTED_VALUE"""),170.57)</f>
        <v>170.57</v>
      </c>
      <c r="S346" s="3">
        <f ca="1">IFERROR(__xludf.DUMMYFUNCTION("""COMPUTED_VALUE"""),43964.6666666666)</f>
        <v>43964.666666666599</v>
      </c>
      <c r="T346" s="2">
        <f ca="1">IFERROR(__xludf.DUMMYFUNCTION("""COMPUTED_VALUE"""),147.13)</f>
        <v>147.13</v>
      </c>
    </row>
    <row r="347" spans="1:20">
      <c r="A347" s="3">
        <f ca="1">IFERROR(__xludf.DUMMYFUNCTION("""COMPUTED_VALUE"""),43965.6666666666)</f>
        <v>43965.666666666599</v>
      </c>
      <c r="B347" s="2">
        <f ca="1">IFERROR(__xludf.DUMMYFUNCTION("""COMPUTED_VALUE"""),77.39)</f>
        <v>77.39</v>
      </c>
      <c r="C347" s="3">
        <f ca="1">IFERROR(__xludf.DUMMYFUNCTION("""COMPUTED_VALUE"""),43965.6666666666)</f>
        <v>43965.666666666599</v>
      </c>
      <c r="D347" s="2">
        <f ca="1">IFERROR(__xludf.DUMMYFUNCTION("""COMPUTED_VALUE"""),180.53)</f>
        <v>180.53</v>
      </c>
      <c r="E347" s="3">
        <f ca="1">IFERROR(__xludf.DUMMYFUNCTION("""COMPUTED_VALUE"""),43965.6666666666)</f>
        <v>43965.666666666599</v>
      </c>
      <c r="F347" s="2">
        <f ca="1">IFERROR(__xludf.DUMMYFUNCTION("""COMPUTED_VALUE"""),2388.85)</f>
        <v>2388.85</v>
      </c>
      <c r="G347" s="3">
        <f ca="1">IFERROR(__xludf.DUMMYFUNCTION("""COMPUTED_VALUE"""),43965.6666666666)</f>
        <v>43965.666666666599</v>
      </c>
      <c r="H347" s="2">
        <f ca="1">IFERROR(__xludf.DUMMYFUNCTION("""COMPUTED_VALUE"""),1356.86)</f>
        <v>1356.86</v>
      </c>
      <c r="I347" s="3">
        <f ca="1">IFERROR(__xludf.DUMMYFUNCTION("""COMPUTED_VALUE"""),43965.6666666666)</f>
        <v>43965.666666666599</v>
      </c>
      <c r="J347" s="2">
        <f ca="1">IFERROR(__xludf.DUMMYFUNCTION("""COMPUTED_VALUE"""),1356.13)</f>
        <v>1356.13</v>
      </c>
      <c r="K347" s="3">
        <f ca="1">IFERROR(__xludf.DUMMYFUNCTION("""COMPUTED_VALUE"""),43965.6666666666)</f>
        <v>43965.666666666599</v>
      </c>
      <c r="L347" s="2">
        <f ca="1">IFERROR(__xludf.DUMMYFUNCTION("""COMPUTED_VALUE"""),206.81)</f>
        <v>206.81</v>
      </c>
      <c r="M347" s="3">
        <f ca="1">IFERROR(__xludf.DUMMYFUNCTION("""COMPUTED_VALUE"""),43965.6666666666)</f>
        <v>43965.666666666599</v>
      </c>
      <c r="N347" s="2">
        <f ca="1">IFERROR(__xludf.DUMMYFUNCTION("""COMPUTED_VALUE"""),160.67)</f>
        <v>160.66999999999999</v>
      </c>
      <c r="O347" s="3">
        <f ca="1">IFERROR(__xludf.DUMMYFUNCTION("""COMPUTED_VALUE"""),43965.6666666666)</f>
        <v>43965.666666666599</v>
      </c>
      <c r="P347" s="2">
        <f ca="1">IFERROR(__xludf.DUMMYFUNCTION("""COMPUTED_VALUE"""),80.31)</f>
        <v>80.31</v>
      </c>
      <c r="Q347" s="3">
        <f ca="1">IFERROR(__xludf.DUMMYFUNCTION("""COMPUTED_VALUE"""),43965.6666666666)</f>
        <v>43965.666666666599</v>
      </c>
      <c r="R347" s="2">
        <f ca="1">IFERROR(__xludf.DUMMYFUNCTION("""COMPUTED_VALUE"""),170.93)</f>
        <v>170.93</v>
      </c>
      <c r="S347" s="3">
        <f ca="1">IFERROR(__xludf.DUMMYFUNCTION("""COMPUTED_VALUE"""),43965.6666666666)</f>
        <v>43965.666666666599</v>
      </c>
      <c r="T347" s="2">
        <f ca="1">IFERROR(__xludf.DUMMYFUNCTION("""COMPUTED_VALUE"""),147.64)</f>
        <v>147.63999999999999</v>
      </c>
    </row>
    <row r="348" spans="1:20">
      <c r="A348" s="3">
        <f ca="1">IFERROR(__xludf.DUMMYFUNCTION("""COMPUTED_VALUE"""),43966.6666666666)</f>
        <v>43966.666666666599</v>
      </c>
      <c r="B348" s="2">
        <f ca="1">IFERROR(__xludf.DUMMYFUNCTION("""COMPUTED_VALUE"""),76.93)</f>
        <v>76.930000000000007</v>
      </c>
      <c r="C348" s="3">
        <f ca="1">IFERROR(__xludf.DUMMYFUNCTION("""COMPUTED_VALUE"""),43966.6666666666)</f>
        <v>43966.666666666599</v>
      </c>
      <c r="D348" s="2">
        <f ca="1">IFERROR(__xludf.DUMMYFUNCTION("""COMPUTED_VALUE"""),183.16)</f>
        <v>183.16</v>
      </c>
      <c r="E348" s="3">
        <f ca="1">IFERROR(__xludf.DUMMYFUNCTION("""COMPUTED_VALUE"""),43966.6666666666)</f>
        <v>43966.666666666599</v>
      </c>
      <c r="F348" s="2">
        <f ca="1">IFERROR(__xludf.DUMMYFUNCTION("""COMPUTED_VALUE"""),2409.78)</f>
        <v>2409.7800000000002</v>
      </c>
      <c r="G348" s="3">
        <f ca="1">IFERROR(__xludf.DUMMYFUNCTION("""COMPUTED_VALUE"""),43966.6666666666)</f>
        <v>43966.666666666599</v>
      </c>
      <c r="H348" s="2">
        <f ca="1">IFERROR(__xludf.DUMMYFUNCTION("""COMPUTED_VALUE"""),1373.06)</f>
        <v>1373.06</v>
      </c>
      <c r="I348" s="3">
        <f ca="1">IFERROR(__xludf.DUMMYFUNCTION("""COMPUTED_VALUE"""),43966.6666666666)</f>
        <v>43966.666666666599</v>
      </c>
      <c r="J348" s="2">
        <f ca="1">IFERROR(__xludf.DUMMYFUNCTION("""COMPUTED_VALUE"""),1373.19)</f>
        <v>1373.19</v>
      </c>
      <c r="K348" s="3">
        <f ca="1">IFERROR(__xludf.DUMMYFUNCTION("""COMPUTED_VALUE"""),43966.6666666666)</f>
        <v>43966.666666666599</v>
      </c>
      <c r="L348" s="2">
        <f ca="1">IFERROR(__xludf.DUMMYFUNCTION("""COMPUTED_VALUE"""),210.88)</f>
        <v>210.88</v>
      </c>
      <c r="M348" s="3">
        <f ca="1">IFERROR(__xludf.DUMMYFUNCTION("""COMPUTED_VALUE"""),43966.6666666666)</f>
        <v>43966.666666666599</v>
      </c>
      <c r="N348" s="2">
        <f ca="1">IFERROR(__xludf.DUMMYFUNCTION("""COMPUTED_VALUE"""),159.83)</f>
        <v>159.83000000000001</v>
      </c>
      <c r="O348" s="3">
        <f ca="1">IFERROR(__xludf.DUMMYFUNCTION("""COMPUTED_VALUE"""),43966.6666666666)</f>
        <v>43966.666666666599</v>
      </c>
      <c r="P348" s="2">
        <f ca="1">IFERROR(__xludf.DUMMYFUNCTION("""COMPUTED_VALUE"""),84.91)</f>
        <v>84.91</v>
      </c>
      <c r="Q348" s="3">
        <f ca="1">IFERROR(__xludf.DUMMYFUNCTION("""COMPUTED_VALUE"""),43966.6666666666)</f>
        <v>43966.666666666599</v>
      </c>
      <c r="R348" s="2">
        <f ca="1">IFERROR(__xludf.DUMMYFUNCTION("""COMPUTED_VALUE"""),169.25)</f>
        <v>169.25</v>
      </c>
      <c r="S348" s="3">
        <f ca="1">IFERROR(__xludf.DUMMYFUNCTION("""COMPUTED_VALUE"""),43966.6666666666)</f>
        <v>43966.666666666599</v>
      </c>
      <c r="T348" s="2">
        <f ca="1">IFERROR(__xludf.DUMMYFUNCTION("""COMPUTED_VALUE"""),150.44)</f>
        <v>150.44</v>
      </c>
    </row>
    <row r="349" spans="1:20">
      <c r="A349" s="3">
        <f ca="1">IFERROR(__xludf.DUMMYFUNCTION("""COMPUTED_VALUE"""),43969.6666666666)</f>
        <v>43969.666666666599</v>
      </c>
      <c r="B349" s="2">
        <f ca="1">IFERROR(__xludf.DUMMYFUNCTION("""COMPUTED_VALUE"""),78.74)</f>
        <v>78.739999999999995</v>
      </c>
      <c r="C349" s="3">
        <f ca="1">IFERROR(__xludf.DUMMYFUNCTION("""COMPUTED_VALUE"""),43969.6666666666)</f>
        <v>43969.666666666599</v>
      </c>
      <c r="D349" s="2">
        <f ca="1">IFERROR(__xludf.DUMMYFUNCTION("""COMPUTED_VALUE"""),184.91)</f>
        <v>184.91</v>
      </c>
      <c r="E349" s="3">
        <f ca="1">IFERROR(__xludf.DUMMYFUNCTION("""COMPUTED_VALUE"""),43969.6666666666)</f>
        <v>43969.666666666599</v>
      </c>
      <c r="F349" s="2">
        <f ca="1">IFERROR(__xludf.DUMMYFUNCTION("""COMPUTED_VALUE"""),2426.26)</f>
        <v>2426.2600000000002</v>
      </c>
      <c r="G349" s="3">
        <f ca="1">IFERROR(__xludf.DUMMYFUNCTION("""COMPUTED_VALUE"""),43969.6666666666)</f>
        <v>43969.666666666599</v>
      </c>
      <c r="H349" s="2">
        <f ca="1">IFERROR(__xludf.DUMMYFUNCTION("""COMPUTED_VALUE"""),1385.18)</f>
        <v>1385.18</v>
      </c>
      <c r="I349" s="3">
        <f ca="1">IFERROR(__xludf.DUMMYFUNCTION("""COMPUTED_VALUE"""),43969.6666666666)</f>
        <v>43969.666666666599</v>
      </c>
      <c r="J349" s="2">
        <f ca="1">IFERROR(__xludf.DUMMYFUNCTION("""COMPUTED_VALUE"""),1383.94)</f>
        <v>1383.94</v>
      </c>
      <c r="K349" s="3">
        <f ca="1">IFERROR(__xludf.DUMMYFUNCTION("""COMPUTED_VALUE"""),43969.6666666666)</f>
        <v>43969.666666666599</v>
      </c>
      <c r="L349" s="2">
        <f ca="1">IFERROR(__xludf.DUMMYFUNCTION("""COMPUTED_VALUE"""),213.19)</f>
        <v>213.19</v>
      </c>
      <c r="M349" s="3">
        <f ca="1">IFERROR(__xludf.DUMMYFUNCTION("""COMPUTED_VALUE"""),43969.6666666666)</f>
        <v>43969.666666666599</v>
      </c>
      <c r="N349" s="2">
        <f ca="1">IFERROR(__xludf.DUMMYFUNCTION("""COMPUTED_VALUE"""),162.73)</f>
        <v>162.72999999999999</v>
      </c>
      <c r="O349" s="3">
        <f ca="1">IFERROR(__xludf.DUMMYFUNCTION("""COMPUTED_VALUE"""),43969.6666666666)</f>
        <v>43969.666666666599</v>
      </c>
      <c r="P349" s="2">
        <f ca="1">IFERROR(__xludf.DUMMYFUNCTION("""COMPUTED_VALUE"""),87.5)</f>
        <v>87.5</v>
      </c>
      <c r="Q349" s="3">
        <f ca="1">IFERROR(__xludf.DUMMYFUNCTION("""COMPUTED_VALUE"""),43969.6666666666)</f>
        <v>43969.666666666599</v>
      </c>
      <c r="R349" s="2">
        <f ca="1">IFERROR(__xludf.DUMMYFUNCTION("""COMPUTED_VALUE"""),175.46)</f>
        <v>175.46</v>
      </c>
      <c r="S349" s="3">
        <f ca="1">IFERROR(__xludf.DUMMYFUNCTION("""COMPUTED_VALUE"""),43969.6666666666)</f>
        <v>43969.666666666599</v>
      </c>
      <c r="T349" s="2">
        <f ca="1">IFERROR(__xludf.DUMMYFUNCTION("""COMPUTED_VALUE"""),150.52)</f>
        <v>150.52000000000001</v>
      </c>
    </row>
    <row r="350" spans="1:20">
      <c r="A350" s="3">
        <f ca="1">IFERROR(__xludf.DUMMYFUNCTION("""COMPUTED_VALUE"""),43970.6666666666)</f>
        <v>43970.666666666599</v>
      </c>
      <c r="B350" s="2">
        <f ca="1">IFERROR(__xludf.DUMMYFUNCTION("""COMPUTED_VALUE"""),78.29)</f>
        <v>78.290000000000006</v>
      </c>
      <c r="C350" s="3">
        <f ca="1">IFERROR(__xludf.DUMMYFUNCTION("""COMPUTED_VALUE"""),43970.6666666666)</f>
        <v>43970.666666666599</v>
      </c>
      <c r="D350" s="2">
        <f ca="1">IFERROR(__xludf.DUMMYFUNCTION("""COMPUTED_VALUE"""),183.63)</f>
        <v>183.63</v>
      </c>
      <c r="E350" s="3">
        <f ca="1">IFERROR(__xludf.DUMMYFUNCTION("""COMPUTED_VALUE"""),43970.6666666666)</f>
        <v>43970.666666666599</v>
      </c>
      <c r="F350" s="2">
        <f ca="1">IFERROR(__xludf.DUMMYFUNCTION("""COMPUTED_VALUE"""),2449.33)</f>
        <v>2449.33</v>
      </c>
      <c r="G350" s="3">
        <f ca="1">IFERROR(__xludf.DUMMYFUNCTION("""COMPUTED_VALUE"""),43970.6666666666)</f>
        <v>43970.666666666599</v>
      </c>
      <c r="H350" s="2">
        <f ca="1">IFERROR(__xludf.DUMMYFUNCTION("""COMPUTED_VALUE"""),1374.4)</f>
        <v>1374.4</v>
      </c>
      <c r="I350" s="3">
        <f ca="1">IFERROR(__xludf.DUMMYFUNCTION("""COMPUTED_VALUE"""),43970.6666666666)</f>
        <v>43970.666666666599</v>
      </c>
      <c r="J350" s="2">
        <f ca="1">IFERROR(__xludf.DUMMYFUNCTION("""COMPUTED_VALUE"""),1373.49)</f>
        <v>1373.49</v>
      </c>
      <c r="K350" s="3">
        <f ca="1">IFERROR(__xludf.DUMMYFUNCTION("""COMPUTED_VALUE"""),43970.6666666666)</f>
        <v>43970.666666666599</v>
      </c>
      <c r="L350" s="2">
        <f ca="1">IFERROR(__xludf.DUMMYFUNCTION("""COMPUTED_VALUE"""),216.88)</f>
        <v>216.88</v>
      </c>
      <c r="M350" s="3">
        <f ca="1">IFERROR(__xludf.DUMMYFUNCTION("""COMPUTED_VALUE"""),43970.6666666666)</f>
        <v>43970.666666666599</v>
      </c>
      <c r="N350" s="2">
        <f ca="1">IFERROR(__xludf.DUMMYFUNCTION("""COMPUTED_VALUE"""),161.6)</f>
        <v>161.6</v>
      </c>
      <c r="O350" s="3">
        <f ca="1">IFERROR(__xludf.DUMMYFUNCTION("""COMPUTED_VALUE"""),43970.6666666666)</f>
        <v>43970.666666666599</v>
      </c>
      <c r="P350" s="2">
        <f ca="1">IFERROR(__xludf.DUMMYFUNCTION("""COMPUTED_VALUE"""),88.06)</f>
        <v>88.06</v>
      </c>
      <c r="Q350" s="3">
        <f ca="1">IFERROR(__xludf.DUMMYFUNCTION("""COMPUTED_VALUE"""),43970.6666666666)</f>
        <v>43970.666666666599</v>
      </c>
      <c r="R350" s="2">
        <f ca="1">IFERROR(__xludf.DUMMYFUNCTION("""COMPUTED_VALUE"""),172.49)</f>
        <v>172.49</v>
      </c>
      <c r="S350" s="3">
        <f ca="1">IFERROR(__xludf.DUMMYFUNCTION("""COMPUTED_VALUE"""),43970.6666666666)</f>
        <v>43970.666666666599</v>
      </c>
      <c r="T350" s="2">
        <f ca="1">IFERROR(__xludf.DUMMYFUNCTION("""COMPUTED_VALUE"""),149.02)</f>
        <v>149.02000000000001</v>
      </c>
    </row>
    <row r="351" spans="1:20">
      <c r="A351" s="3">
        <f ca="1">IFERROR(__xludf.DUMMYFUNCTION("""COMPUTED_VALUE"""),43971.6666666666)</f>
        <v>43971.666666666599</v>
      </c>
      <c r="B351" s="2">
        <f ca="1">IFERROR(__xludf.DUMMYFUNCTION("""COMPUTED_VALUE"""),79.81)</f>
        <v>79.81</v>
      </c>
      <c r="C351" s="3">
        <f ca="1">IFERROR(__xludf.DUMMYFUNCTION("""COMPUTED_VALUE"""),43971.6666666666)</f>
        <v>43971.666666666599</v>
      </c>
      <c r="D351" s="2">
        <f ca="1">IFERROR(__xludf.DUMMYFUNCTION("""COMPUTED_VALUE"""),185.66)</f>
        <v>185.66</v>
      </c>
      <c r="E351" s="3">
        <f ca="1">IFERROR(__xludf.DUMMYFUNCTION("""COMPUTED_VALUE"""),43971.6666666666)</f>
        <v>43971.666666666599</v>
      </c>
      <c r="F351" s="2">
        <f ca="1">IFERROR(__xludf.DUMMYFUNCTION("""COMPUTED_VALUE"""),2497.94)</f>
        <v>2497.94</v>
      </c>
      <c r="G351" s="3">
        <f ca="1">IFERROR(__xludf.DUMMYFUNCTION("""COMPUTED_VALUE"""),43971.6666666666)</f>
        <v>43971.666666666599</v>
      </c>
      <c r="H351" s="2">
        <f ca="1">IFERROR(__xludf.DUMMYFUNCTION("""COMPUTED_VALUE"""),1409.16)</f>
        <v>1409.16</v>
      </c>
      <c r="I351" s="3">
        <f ca="1">IFERROR(__xludf.DUMMYFUNCTION("""COMPUTED_VALUE"""),43971.6666666666)</f>
        <v>43971.666666666599</v>
      </c>
      <c r="J351" s="2">
        <f ca="1">IFERROR(__xludf.DUMMYFUNCTION("""COMPUTED_VALUE"""),1406.72)</f>
        <v>1406.72</v>
      </c>
      <c r="K351" s="3">
        <f ca="1">IFERROR(__xludf.DUMMYFUNCTION("""COMPUTED_VALUE"""),43971.6666666666)</f>
        <v>43971.666666666599</v>
      </c>
      <c r="L351" s="2">
        <f ca="1">IFERROR(__xludf.DUMMYFUNCTION("""COMPUTED_VALUE"""),229.97)</f>
        <v>229.97</v>
      </c>
      <c r="M351" s="3">
        <f ca="1">IFERROR(__xludf.DUMMYFUNCTION("""COMPUTED_VALUE"""),43971.6666666666)</f>
        <v>43971.666666666599</v>
      </c>
      <c r="N351" s="2">
        <f ca="1">IFERROR(__xludf.DUMMYFUNCTION("""COMPUTED_VALUE"""),163.11)</f>
        <v>163.11000000000001</v>
      </c>
      <c r="O351" s="3">
        <f ca="1">IFERROR(__xludf.DUMMYFUNCTION("""COMPUTED_VALUE"""),43971.6666666666)</f>
        <v>43971.666666666599</v>
      </c>
      <c r="P351" s="2">
        <f ca="1">IFERROR(__xludf.DUMMYFUNCTION("""COMPUTED_VALUE"""),89.7)</f>
        <v>89.7</v>
      </c>
      <c r="Q351" s="3">
        <f ca="1">IFERROR(__xludf.DUMMYFUNCTION("""COMPUTED_VALUE"""),43971.6666666666)</f>
        <v>43971.666666666599</v>
      </c>
      <c r="R351" s="2">
        <f ca="1">IFERROR(__xludf.DUMMYFUNCTION("""COMPUTED_VALUE"""),176.02)</f>
        <v>176.02</v>
      </c>
      <c r="S351" s="3">
        <f ca="1">IFERROR(__xludf.DUMMYFUNCTION("""COMPUTED_VALUE"""),43971.6666666666)</f>
        <v>43971.666666666599</v>
      </c>
      <c r="T351" s="2">
        <f ca="1">IFERROR(__xludf.DUMMYFUNCTION("""COMPUTED_VALUE"""),147.68)</f>
        <v>147.68</v>
      </c>
    </row>
    <row r="352" spans="1:20">
      <c r="A352" s="3">
        <f ca="1">IFERROR(__xludf.DUMMYFUNCTION("""COMPUTED_VALUE"""),43972.6666666666)</f>
        <v>43972.666666666599</v>
      </c>
      <c r="B352" s="2">
        <f ca="1">IFERROR(__xludf.DUMMYFUNCTION("""COMPUTED_VALUE"""),79.21)</f>
        <v>79.209999999999994</v>
      </c>
      <c r="C352" s="3">
        <f ca="1">IFERROR(__xludf.DUMMYFUNCTION("""COMPUTED_VALUE"""),43972.6666666666)</f>
        <v>43972.666666666599</v>
      </c>
      <c r="D352" s="2">
        <f ca="1">IFERROR(__xludf.DUMMYFUNCTION("""COMPUTED_VALUE"""),183.43)</f>
        <v>183.43</v>
      </c>
      <c r="E352" s="3">
        <f ca="1">IFERROR(__xludf.DUMMYFUNCTION("""COMPUTED_VALUE"""),43972.6666666666)</f>
        <v>43972.666666666599</v>
      </c>
      <c r="F352" s="2">
        <f ca="1">IFERROR(__xludf.DUMMYFUNCTION("""COMPUTED_VALUE"""),2446.74)</f>
        <v>2446.7399999999998</v>
      </c>
      <c r="G352" s="3">
        <f ca="1">IFERROR(__xludf.DUMMYFUNCTION("""COMPUTED_VALUE"""),43972.6666666666)</f>
        <v>43972.666666666599</v>
      </c>
      <c r="H352" s="2">
        <f ca="1">IFERROR(__xludf.DUMMYFUNCTION("""COMPUTED_VALUE"""),1406.75)</f>
        <v>1406.75</v>
      </c>
      <c r="I352" s="3">
        <f ca="1">IFERROR(__xludf.DUMMYFUNCTION("""COMPUTED_VALUE"""),43972.6666666666)</f>
        <v>43972.666666666599</v>
      </c>
      <c r="J352" s="2">
        <f ca="1">IFERROR(__xludf.DUMMYFUNCTION("""COMPUTED_VALUE"""),1402.8)</f>
        <v>1402.8</v>
      </c>
      <c r="K352" s="3">
        <f ca="1">IFERROR(__xludf.DUMMYFUNCTION("""COMPUTED_VALUE"""),43972.6666666666)</f>
        <v>43972.666666666599</v>
      </c>
      <c r="L352" s="2">
        <f ca="1">IFERROR(__xludf.DUMMYFUNCTION("""COMPUTED_VALUE"""),231.39)</f>
        <v>231.39</v>
      </c>
      <c r="M352" s="3">
        <f ca="1">IFERROR(__xludf.DUMMYFUNCTION("""COMPUTED_VALUE"""),43972.6666666666)</f>
        <v>43972.666666666599</v>
      </c>
      <c r="N352" s="2">
        <f ca="1">IFERROR(__xludf.DUMMYFUNCTION("""COMPUTED_VALUE"""),165.52)</f>
        <v>165.52</v>
      </c>
      <c r="O352" s="3">
        <f ca="1">IFERROR(__xludf.DUMMYFUNCTION("""COMPUTED_VALUE"""),43972.6666666666)</f>
        <v>43972.666666666599</v>
      </c>
      <c r="P352" s="2">
        <f ca="1">IFERROR(__xludf.DUMMYFUNCTION("""COMPUTED_VALUE"""),87.75)</f>
        <v>87.75</v>
      </c>
      <c r="Q352" s="3">
        <f ca="1">IFERROR(__xludf.DUMMYFUNCTION("""COMPUTED_VALUE"""),43972.6666666666)</f>
        <v>43972.666666666599</v>
      </c>
      <c r="R352" s="2">
        <f ca="1">IFERROR(__xludf.DUMMYFUNCTION("""COMPUTED_VALUE"""),174.94)</f>
        <v>174.94</v>
      </c>
      <c r="S352" s="3">
        <f ca="1">IFERROR(__xludf.DUMMYFUNCTION("""COMPUTED_VALUE"""),43972.6666666666)</f>
        <v>43972.666666666599</v>
      </c>
      <c r="T352" s="2">
        <f ca="1">IFERROR(__xludf.DUMMYFUNCTION("""COMPUTED_VALUE"""),146.71)</f>
        <v>146.71</v>
      </c>
    </row>
    <row r="353" spans="1:20">
      <c r="A353" s="3">
        <f ca="1">IFERROR(__xludf.DUMMYFUNCTION("""COMPUTED_VALUE"""),43973.6666666666)</f>
        <v>43973.666666666599</v>
      </c>
      <c r="B353" s="2">
        <f ca="1">IFERROR(__xludf.DUMMYFUNCTION("""COMPUTED_VALUE"""),79.72)</f>
        <v>79.72</v>
      </c>
      <c r="C353" s="3">
        <f ca="1">IFERROR(__xludf.DUMMYFUNCTION("""COMPUTED_VALUE"""),43973.6666666666)</f>
        <v>43973.666666666599</v>
      </c>
      <c r="D353" s="2">
        <f ca="1">IFERROR(__xludf.DUMMYFUNCTION("""COMPUTED_VALUE"""),183.51)</f>
        <v>183.51</v>
      </c>
      <c r="E353" s="3">
        <f ca="1">IFERROR(__xludf.DUMMYFUNCTION("""COMPUTED_VALUE"""),43973.6666666666)</f>
        <v>43973.666666666599</v>
      </c>
      <c r="F353" s="2">
        <f ca="1">IFERROR(__xludf.DUMMYFUNCTION("""COMPUTED_VALUE"""),2436.88)</f>
        <v>2436.88</v>
      </c>
      <c r="G353" s="3">
        <f ca="1">IFERROR(__xludf.DUMMYFUNCTION("""COMPUTED_VALUE"""),43973.6666666666)</f>
        <v>43973.666666666599</v>
      </c>
      <c r="H353" s="2">
        <f ca="1">IFERROR(__xludf.DUMMYFUNCTION("""COMPUTED_VALUE"""),1413.24)</f>
        <v>1413.24</v>
      </c>
      <c r="I353" s="3">
        <f ca="1">IFERROR(__xludf.DUMMYFUNCTION("""COMPUTED_VALUE"""),43973.6666666666)</f>
        <v>43973.666666666599</v>
      </c>
      <c r="J353" s="2">
        <f ca="1">IFERROR(__xludf.DUMMYFUNCTION("""COMPUTED_VALUE"""),1410.42)</f>
        <v>1410.42</v>
      </c>
      <c r="K353" s="3">
        <f ca="1">IFERROR(__xludf.DUMMYFUNCTION("""COMPUTED_VALUE"""),43973.6666666666)</f>
        <v>43973.666666666599</v>
      </c>
      <c r="L353" s="2">
        <f ca="1">IFERROR(__xludf.DUMMYFUNCTION("""COMPUTED_VALUE"""),234.91)</f>
        <v>234.91</v>
      </c>
      <c r="M353" s="3">
        <f ca="1">IFERROR(__xludf.DUMMYFUNCTION("""COMPUTED_VALUE"""),43973.6666666666)</f>
        <v>43973.666666666599</v>
      </c>
      <c r="N353" s="2">
        <f ca="1">IFERROR(__xludf.DUMMYFUNCTION("""COMPUTED_VALUE"""),163.38)</f>
        <v>163.38</v>
      </c>
      <c r="O353" s="3">
        <f ca="1">IFERROR(__xludf.DUMMYFUNCTION("""COMPUTED_VALUE"""),43973.6666666666)</f>
        <v>43973.666666666599</v>
      </c>
      <c r="P353" s="2">
        <f ca="1">IFERROR(__xludf.DUMMYFUNCTION("""COMPUTED_VALUE"""),90.26)</f>
        <v>90.26</v>
      </c>
      <c r="Q353" s="3">
        <f ca="1">IFERROR(__xludf.DUMMYFUNCTION("""COMPUTED_VALUE"""),43973.6666666666)</f>
        <v>43973.666666666599</v>
      </c>
      <c r="R353" s="2">
        <f ca="1">IFERROR(__xludf.DUMMYFUNCTION("""COMPUTED_VALUE"""),174.93)</f>
        <v>174.93</v>
      </c>
      <c r="S353" s="3">
        <f ca="1">IFERROR(__xludf.DUMMYFUNCTION("""COMPUTED_VALUE"""),43973.6666666666)</f>
        <v>43973.666666666599</v>
      </c>
      <c r="T353" s="2">
        <f ca="1">IFERROR(__xludf.DUMMYFUNCTION("""COMPUTED_VALUE"""),144.37)</f>
        <v>144.37</v>
      </c>
    </row>
    <row r="354" spans="1:20">
      <c r="A354" s="3">
        <f ca="1">IFERROR(__xludf.DUMMYFUNCTION("""COMPUTED_VALUE"""),43977.6666666666)</f>
        <v>43977.666666666599</v>
      </c>
      <c r="B354" s="2">
        <f ca="1">IFERROR(__xludf.DUMMYFUNCTION("""COMPUTED_VALUE"""),79.18)</f>
        <v>79.180000000000007</v>
      </c>
      <c r="C354" s="3">
        <f ca="1">IFERROR(__xludf.DUMMYFUNCTION("""COMPUTED_VALUE"""),43977.6666666666)</f>
        <v>43977.666666666599</v>
      </c>
      <c r="D354" s="2">
        <f ca="1">IFERROR(__xludf.DUMMYFUNCTION("""COMPUTED_VALUE"""),181.57)</f>
        <v>181.57</v>
      </c>
      <c r="E354" s="3">
        <f ca="1">IFERROR(__xludf.DUMMYFUNCTION("""COMPUTED_VALUE"""),43977.6666666666)</f>
        <v>43977.666666666599</v>
      </c>
      <c r="F354" s="2">
        <f ca="1">IFERROR(__xludf.DUMMYFUNCTION("""COMPUTED_VALUE"""),2421.86)</f>
        <v>2421.86</v>
      </c>
      <c r="G354" s="3">
        <f ca="1">IFERROR(__xludf.DUMMYFUNCTION("""COMPUTED_VALUE"""),43977.6666666666)</f>
        <v>43977.666666666599</v>
      </c>
      <c r="H354" s="2">
        <f ca="1">IFERROR(__xludf.DUMMYFUNCTION("""COMPUTED_VALUE"""),1421.37)</f>
        <v>1421.37</v>
      </c>
      <c r="I354" s="3">
        <f ca="1">IFERROR(__xludf.DUMMYFUNCTION("""COMPUTED_VALUE"""),43977.6666666666)</f>
        <v>43977.666666666599</v>
      </c>
      <c r="J354" s="2">
        <f ca="1">IFERROR(__xludf.DUMMYFUNCTION("""COMPUTED_VALUE"""),1417.02)</f>
        <v>1417.02</v>
      </c>
      <c r="K354" s="3">
        <f ca="1">IFERROR(__xludf.DUMMYFUNCTION("""COMPUTED_VALUE"""),43977.6666666666)</f>
        <v>43977.666666666599</v>
      </c>
      <c r="L354" s="2">
        <f ca="1">IFERROR(__xludf.DUMMYFUNCTION("""COMPUTED_VALUE"""),232.2)</f>
        <v>232.2</v>
      </c>
      <c r="M354" s="3">
        <f ca="1">IFERROR(__xludf.DUMMYFUNCTION("""COMPUTED_VALUE"""),43977.6666666666)</f>
        <v>43977.666666666599</v>
      </c>
      <c r="N354" s="2">
        <f ca="1">IFERROR(__xludf.DUMMYFUNCTION("""COMPUTED_VALUE"""),163.77)</f>
        <v>163.77000000000001</v>
      </c>
      <c r="O354" s="3">
        <f ca="1">IFERROR(__xludf.DUMMYFUNCTION("""COMPUTED_VALUE"""),43977.6666666666)</f>
        <v>43977.666666666599</v>
      </c>
      <c r="P354" s="2">
        <f ca="1">IFERROR(__xludf.DUMMYFUNCTION("""COMPUTED_VALUE"""),87.18)</f>
        <v>87.18</v>
      </c>
      <c r="Q354" s="3">
        <f ca="1">IFERROR(__xludf.DUMMYFUNCTION("""COMPUTED_VALUE"""),43977.6666666666)</f>
        <v>43977.666666666599</v>
      </c>
      <c r="R354" s="2">
        <f ca="1">IFERROR(__xludf.DUMMYFUNCTION("""COMPUTED_VALUE"""),180.34)</f>
        <v>180.34</v>
      </c>
      <c r="S354" s="3">
        <f ca="1">IFERROR(__xludf.DUMMYFUNCTION("""COMPUTED_VALUE"""),43977.6666666666)</f>
        <v>43977.666666666599</v>
      </c>
      <c r="T354" s="2">
        <f ca="1">IFERROR(__xludf.DUMMYFUNCTION("""COMPUTED_VALUE"""),144.56)</f>
        <v>144.56</v>
      </c>
    </row>
    <row r="355" spans="1:20">
      <c r="A355" s="3">
        <f ca="1">IFERROR(__xludf.DUMMYFUNCTION("""COMPUTED_VALUE"""),43978.6666666666)</f>
        <v>43978.666666666599</v>
      </c>
      <c r="B355" s="2">
        <f ca="1">IFERROR(__xludf.DUMMYFUNCTION("""COMPUTED_VALUE"""),79.53)</f>
        <v>79.53</v>
      </c>
      <c r="C355" s="3">
        <f ca="1">IFERROR(__xludf.DUMMYFUNCTION("""COMPUTED_VALUE"""),43978.6666666666)</f>
        <v>43978.666666666599</v>
      </c>
      <c r="D355" s="2">
        <f ca="1">IFERROR(__xludf.DUMMYFUNCTION("""COMPUTED_VALUE"""),181.81)</f>
        <v>181.81</v>
      </c>
      <c r="E355" s="3">
        <f ca="1">IFERROR(__xludf.DUMMYFUNCTION("""COMPUTED_VALUE"""),43978.6666666666)</f>
        <v>43978.666666666599</v>
      </c>
      <c r="F355" s="2">
        <f ca="1">IFERROR(__xludf.DUMMYFUNCTION("""COMPUTED_VALUE"""),2410.39)</f>
        <v>2410.39</v>
      </c>
      <c r="G355" s="3">
        <f ca="1">IFERROR(__xludf.DUMMYFUNCTION("""COMPUTED_VALUE"""),43978.6666666666)</f>
        <v>43978.666666666599</v>
      </c>
      <c r="H355" s="2">
        <f ca="1">IFERROR(__xludf.DUMMYFUNCTION("""COMPUTED_VALUE"""),1420.28)</f>
        <v>1420.28</v>
      </c>
      <c r="I355" s="3">
        <f ca="1">IFERROR(__xludf.DUMMYFUNCTION("""COMPUTED_VALUE"""),43978.6666666666)</f>
        <v>43978.666666666599</v>
      </c>
      <c r="J355" s="2">
        <f ca="1">IFERROR(__xludf.DUMMYFUNCTION("""COMPUTED_VALUE"""),1417.84)</f>
        <v>1417.84</v>
      </c>
      <c r="K355" s="3">
        <f ca="1">IFERROR(__xludf.DUMMYFUNCTION("""COMPUTED_VALUE"""),43978.6666666666)</f>
        <v>43978.666666666599</v>
      </c>
      <c r="L355" s="2">
        <f ca="1">IFERROR(__xludf.DUMMYFUNCTION("""COMPUTED_VALUE"""),229.14)</f>
        <v>229.14</v>
      </c>
      <c r="M355" s="3">
        <f ca="1">IFERROR(__xludf.DUMMYFUNCTION("""COMPUTED_VALUE"""),43978.6666666666)</f>
        <v>43978.666666666599</v>
      </c>
      <c r="N355" s="2">
        <f ca="1">IFERROR(__xludf.DUMMYFUNCTION("""COMPUTED_VALUE"""),164.05)</f>
        <v>164.05</v>
      </c>
      <c r="O355" s="3">
        <f ca="1">IFERROR(__xludf.DUMMYFUNCTION("""COMPUTED_VALUE"""),43978.6666666666)</f>
        <v>43978.666666666599</v>
      </c>
      <c r="P355" s="2">
        <f ca="1">IFERROR(__xludf.DUMMYFUNCTION("""COMPUTED_VALUE"""),85.25)</f>
        <v>85.25</v>
      </c>
      <c r="Q355" s="3">
        <f ca="1">IFERROR(__xludf.DUMMYFUNCTION("""COMPUTED_VALUE"""),43978.6666666666)</f>
        <v>43978.666666666599</v>
      </c>
      <c r="R355" s="2">
        <f ca="1">IFERROR(__xludf.DUMMYFUNCTION("""COMPUTED_VALUE"""),185.77)</f>
        <v>185.77</v>
      </c>
      <c r="S355" s="3">
        <f ca="1">IFERROR(__xludf.DUMMYFUNCTION("""COMPUTED_VALUE"""),43978.6666666666)</f>
        <v>43978.666666666599</v>
      </c>
      <c r="T355" s="2">
        <f ca="1">IFERROR(__xludf.DUMMYFUNCTION("""COMPUTED_VALUE"""),144.89)</f>
        <v>144.88999999999999</v>
      </c>
    </row>
    <row r="356" spans="1:20">
      <c r="A356" s="3">
        <f ca="1">IFERROR(__xludf.DUMMYFUNCTION("""COMPUTED_VALUE"""),43979.6666666666)</f>
        <v>43979.666666666599</v>
      </c>
      <c r="B356" s="2">
        <f ca="1">IFERROR(__xludf.DUMMYFUNCTION("""COMPUTED_VALUE"""),79.56)</f>
        <v>79.56</v>
      </c>
      <c r="C356" s="3">
        <f ca="1">IFERROR(__xludf.DUMMYFUNCTION("""COMPUTED_VALUE"""),43979.6666666666)</f>
        <v>43979.666666666599</v>
      </c>
      <c r="D356" s="2">
        <f ca="1">IFERROR(__xludf.DUMMYFUNCTION("""COMPUTED_VALUE"""),181.4)</f>
        <v>181.4</v>
      </c>
      <c r="E356" s="3">
        <f ca="1">IFERROR(__xludf.DUMMYFUNCTION("""COMPUTED_VALUE"""),43979.6666666666)</f>
        <v>43979.666666666599</v>
      </c>
      <c r="F356" s="2">
        <f ca="1">IFERROR(__xludf.DUMMYFUNCTION("""COMPUTED_VALUE"""),2401.1)</f>
        <v>2401.1</v>
      </c>
      <c r="G356" s="3">
        <f ca="1">IFERROR(__xludf.DUMMYFUNCTION("""COMPUTED_VALUE"""),43979.6666666666)</f>
        <v>43979.666666666599</v>
      </c>
      <c r="H356" s="2">
        <f ca="1">IFERROR(__xludf.DUMMYFUNCTION("""COMPUTED_VALUE"""),1418.24)</f>
        <v>1418.24</v>
      </c>
      <c r="I356" s="3">
        <f ca="1">IFERROR(__xludf.DUMMYFUNCTION("""COMPUTED_VALUE"""),43979.6666666666)</f>
        <v>43979.666666666599</v>
      </c>
      <c r="J356" s="2">
        <f ca="1">IFERROR(__xludf.DUMMYFUNCTION("""COMPUTED_VALUE"""),1416.73)</f>
        <v>1416.73</v>
      </c>
      <c r="K356" s="3">
        <f ca="1">IFERROR(__xludf.DUMMYFUNCTION("""COMPUTED_VALUE"""),43979.6666666666)</f>
        <v>43979.666666666599</v>
      </c>
      <c r="L356" s="2">
        <f ca="1">IFERROR(__xludf.DUMMYFUNCTION("""COMPUTED_VALUE"""),225.46)</f>
        <v>225.46</v>
      </c>
      <c r="M356" s="3">
        <f ca="1">IFERROR(__xludf.DUMMYFUNCTION("""COMPUTED_VALUE"""),43979.6666666666)</f>
        <v>43979.666666666599</v>
      </c>
      <c r="N356" s="2">
        <f ca="1">IFERROR(__xludf.DUMMYFUNCTION("""COMPUTED_VALUE"""),161.16)</f>
        <v>161.16</v>
      </c>
      <c r="O356" s="3">
        <f ca="1">IFERROR(__xludf.DUMMYFUNCTION("""COMPUTED_VALUE"""),43979.6666666666)</f>
        <v>43979.666666666599</v>
      </c>
      <c r="P356" s="2">
        <f ca="1">IFERROR(__xludf.DUMMYFUNCTION("""COMPUTED_VALUE"""),84.87)</f>
        <v>84.87</v>
      </c>
      <c r="Q356" s="3">
        <f ca="1">IFERROR(__xludf.DUMMYFUNCTION("""COMPUTED_VALUE"""),43979.6666666666)</f>
        <v>43979.666666666599</v>
      </c>
      <c r="R356" s="2">
        <f ca="1">IFERROR(__xludf.DUMMYFUNCTION("""COMPUTED_VALUE"""),185.1)</f>
        <v>185.1</v>
      </c>
      <c r="S356" s="3">
        <f ca="1">IFERROR(__xludf.DUMMYFUNCTION("""COMPUTED_VALUE"""),43979.6666666666)</f>
        <v>43979.666666666599</v>
      </c>
      <c r="T356" s="2">
        <f ca="1">IFERROR(__xludf.DUMMYFUNCTION("""COMPUTED_VALUE"""),146.97)</f>
        <v>146.97</v>
      </c>
    </row>
    <row r="357" spans="1:20">
      <c r="A357" s="3">
        <f ca="1">IFERROR(__xludf.DUMMYFUNCTION("""COMPUTED_VALUE"""),43980.6666666666)</f>
        <v>43980.666666666599</v>
      </c>
      <c r="B357" s="2">
        <f ca="1">IFERROR(__xludf.DUMMYFUNCTION("""COMPUTED_VALUE"""),79.49)</f>
        <v>79.489999999999995</v>
      </c>
      <c r="C357" s="3">
        <f ca="1">IFERROR(__xludf.DUMMYFUNCTION("""COMPUTED_VALUE"""),43980.6666666666)</f>
        <v>43980.666666666599</v>
      </c>
      <c r="D357" s="2">
        <f ca="1">IFERROR(__xludf.DUMMYFUNCTION("""COMPUTED_VALUE"""),183.25)</f>
        <v>183.25</v>
      </c>
      <c r="E357" s="3">
        <f ca="1">IFERROR(__xludf.DUMMYFUNCTION("""COMPUTED_VALUE"""),43980.6666666666)</f>
        <v>43980.666666666599</v>
      </c>
      <c r="F357" s="2">
        <f ca="1">IFERROR(__xludf.DUMMYFUNCTION("""COMPUTED_VALUE"""),2442.37)</f>
        <v>2442.37</v>
      </c>
      <c r="G357" s="3">
        <f ca="1">IFERROR(__xludf.DUMMYFUNCTION("""COMPUTED_VALUE"""),43980.6666666666)</f>
        <v>43980.666666666599</v>
      </c>
      <c r="H357" s="2">
        <f ca="1">IFERROR(__xludf.DUMMYFUNCTION("""COMPUTED_VALUE"""),1433.52)</f>
        <v>1433.52</v>
      </c>
      <c r="I357" s="3">
        <f ca="1">IFERROR(__xludf.DUMMYFUNCTION("""COMPUTED_VALUE"""),43980.6666666666)</f>
        <v>43980.666666666599</v>
      </c>
      <c r="J357" s="2">
        <f ca="1">IFERROR(__xludf.DUMMYFUNCTION("""COMPUTED_VALUE"""),1428.92)</f>
        <v>1428.92</v>
      </c>
      <c r="K357" s="3">
        <f ca="1">IFERROR(__xludf.DUMMYFUNCTION("""COMPUTED_VALUE"""),43980.6666666666)</f>
        <v>43980.666666666599</v>
      </c>
      <c r="L357" s="2">
        <f ca="1">IFERROR(__xludf.DUMMYFUNCTION("""COMPUTED_VALUE"""),225.09)</f>
        <v>225.09</v>
      </c>
      <c r="M357" s="3">
        <f ca="1">IFERROR(__xludf.DUMMYFUNCTION("""COMPUTED_VALUE"""),43980.6666666666)</f>
        <v>43980.666666666599</v>
      </c>
      <c r="N357" s="2">
        <f ca="1">IFERROR(__xludf.DUMMYFUNCTION("""COMPUTED_VALUE"""),167)</f>
        <v>167</v>
      </c>
      <c r="O357" s="3">
        <f ca="1">IFERROR(__xludf.DUMMYFUNCTION("""COMPUTED_VALUE"""),43980.6666666666)</f>
        <v>43980.666666666599</v>
      </c>
      <c r="P357" s="2">
        <f ca="1">IFERROR(__xludf.DUMMYFUNCTION("""COMPUTED_VALUE"""),88.76)</f>
        <v>88.76</v>
      </c>
      <c r="Q357" s="3">
        <f ca="1">IFERROR(__xludf.DUMMYFUNCTION("""COMPUTED_VALUE"""),43980.6666666666)</f>
        <v>43980.666666666599</v>
      </c>
      <c r="R357" s="2">
        <f ca="1">IFERROR(__xludf.DUMMYFUNCTION("""COMPUTED_VALUE"""),185.58)</f>
        <v>185.58</v>
      </c>
      <c r="S357" s="3">
        <f ca="1">IFERROR(__xludf.DUMMYFUNCTION("""COMPUTED_VALUE"""),43980.6666666666)</f>
        <v>43980.666666666599</v>
      </c>
      <c r="T357" s="2">
        <f ca="1">IFERROR(__xludf.DUMMYFUNCTION("""COMPUTED_VALUE"""),148.75)</f>
        <v>148.75</v>
      </c>
    </row>
    <row r="358" spans="1:20">
      <c r="A358" s="3">
        <f ca="1">IFERROR(__xludf.DUMMYFUNCTION("""COMPUTED_VALUE"""),43983.6666666666)</f>
        <v>43983.666666666599</v>
      </c>
      <c r="B358" s="2">
        <f ca="1">IFERROR(__xludf.DUMMYFUNCTION("""COMPUTED_VALUE"""),80.46)</f>
        <v>80.459999999999994</v>
      </c>
      <c r="C358" s="3">
        <f ca="1">IFERROR(__xludf.DUMMYFUNCTION("""COMPUTED_VALUE"""),43983.6666666666)</f>
        <v>43983.666666666599</v>
      </c>
      <c r="D358" s="2">
        <f ca="1">IFERROR(__xludf.DUMMYFUNCTION("""COMPUTED_VALUE"""),182.83)</f>
        <v>182.83</v>
      </c>
      <c r="E358" s="3">
        <f ca="1">IFERROR(__xludf.DUMMYFUNCTION("""COMPUTED_VALUE"""),43983.6666666666)</f>
        <v>43983.666666666599</v>
      </c>
      <c r="F358" s="2">
        <f ca="1">IFERROR(__xludf.DUMMYFUNCTION("""COMPUTED_VALUE"""),2471.04)</f>
        <v>2471.04</v>
      </c>
      <c r="G358" s="3">
        <f ca="1">IFERROR(__xludf.DUMMYFUNCTION("""COMPUTED_VALUE"""),43983.6666666666)</f>
        <v>43983.666666666599</v>
      </c>
      <c r="H358" s="2">
        <f ca="1">IFERROR(__xludf.DUMMYFUNCTION("""COMPUTED_VALUE"""),1434.87)</f>
        <v>1434.87</v>
      </c>
      <c r="I358" s="3">
        <f ca="1">IFERROR(__xludf.DUMMYFUNCTION("""COMPUTED_VALUE"""),43983.6666666666)</f>
        <v>43983.666666666599</v>
      </c>
      <c r="J358" s="2">
        <f ca="1">IFERROR(__xludf.DUMMYFUNCTION("""COMPUTED_VALUE"""),1431.82)</f>
        <v>1431.82</v>
      </c>
      <c r="K358" s="3">
        <f ca="1">IFERROR(__xludf.DUMMYFUNCTION("""COMPUTED_VALUE"""),43983.6666666666)</f>
        <v>43983.666666666599</v>
      </c>
      <c r="L358" s="2">
        <f ca="1">IFERROR(__xludf.DUMMYFUNCTION("""COMPUTED_VALUE"""),231.91)</f>
        <v>231.91</v>
      </c>
      <c r="M358" s="3">
        <f ca="1">IFERROR(__xludf.DUMMYFUNCTION("""COMPUTED_VALUE"""),43983.6666666666)</f>
        <v>43983.666666666599</v>
      </c>
      <c r="N358" s="2">
        <f ca="1">IFERROR(__xludf.DUMMYFUNCTION("""COMPUTED_VALUE"""),179.62)</f>
        <v>179.62</v>
      </c>
      <c r="O358" s="3">
        <f ca="1">IFERROR(__xludf.DUMMYFUNCTION("""COMPUTED_VALUE"""),43983.6666666666)</f>
        <v>43983.666666666599</v>
      </c>
      <c r="P358" s="2">
        <f ca="1">IFERROR(__xludf.DUMMYFUNCTION("""COMPUTED_VALUE"""),88.06)</f>
        <v>88.06</v>
      </c>
      <c r="Q358" s="3">
        <f ca="1">IFERROR(__xludf.DUMMYFUNCTION("""COMPUTED_VALUE"""),43983.6666666666)</f>
        <v>43983.666666666599</v>
      </c>
      <c r="R358" s="2">
        <f ca="1">IFERROR(__xludf.DUMMYFUNCTION("""COMPUTED_VALUE"""),183.84)</f>
        <v>183.84</v>
      </c>
      <c r="S358" s="3">
        <f ca="1">IFERROR(__xludf.DUMMYFUNCTION("""COMPUTED_VALUE"""),43983.6666666666)</f>
        <v>43983.666666666599</v>
      </c>
      <c r="T358" s="2">
        <f ca="1">IFERROR(__xludf.DUMMYFUNCTION("""COMPUTED_VALUE"""),147.19)</f>
        <v>147.19</v>
      </c>
    </row>
    <row r="359" spans="1:20">
      <c r="A359" s="3">
        <f ca="1">IFERROR(__xludf.DUMMYFUNCTION("""COMPUTED_VALUE"""),43984.6666666666)</f>
        <v>43984.666666666599</v>
      </c>
      <c r="B359" s="2">
        <f ca="1">IFERROR(__xludf.DUMMYFUNCTION("""COMPUTED_VALUE"""),80.83)</f>
        <v>80.83</v>
      </c>
      <c r="C359" s="3">
        <f ca="1">IFERROR(__xludf.DUMMYFUNCTION("""COMPUTED_VALUE"""),43984.6666666666)</f>
        <v>43984.666666666599</v>
      </c>
      <c r="D359" s="2">
        <f ca="1">IFERROR(__xludf.DUMMYFUNCTION("""COMPUTED_VALUE"""),184.91)</f>
        <v>184.91</v>
      </c>
      <c r="E359" s="3">
        <f ca="1">IFERROR(__xludf.DUMMYFUNCTION("""COMPUTED_VALUE"""),43984.6666666666)</f>
        <v>43984.666666666599</v>
      </c>
      <c r="F359" s="2">
        <f ca="1">IFERROR(__xludf.DUMMYFUNCTION("""COMPUTED_VALUE"""),2472.41)</f>
        <v>2472.41</v>
      </c>
      <c r="G359" s="3">
        <f ca="1">IFERROR(__xludf.DUMMYFUNCTION("""COMPUTED_VALUE"""),43984.6666666666)</f>
        <v>43984.666666666599</v>
      </c>
      <c r="H359" s="2">
        <f ca="1">IFERROR(__xludf.DUMMYFUNCTION("""COMPUTED_VALUE"""),1442.31)</f>
        <v>1442.31</v>
      </c>
      <c r="I359" s="3">
        <f ca="1">IFERROR(__xludf.DUMMYFUNCTION("""COMPUTED_VALUE"""),43984.6666666666)</f>
        <v>43984.666666666599</v>
      </c>
      <c r="J359" s="2">
        <f ca="1">IFERROR(__xludf.DUMMYFUNCTION("""COMPUTED_VALUE"""),1439.22)</f>
        <v>1439.22</v>
      </c>
      <c r="K359" s="3">
        <f ca="1">IFERROR(__xludf.DUMMYFUNCTION("""COMPUTED_VALUE"""),43984.6666666666)</f>
        <v>43984.666666666599</v>
      </c>
      <c r="L359" s="2">
        <f ca="1">IFERROR(__xludf.DUMMYFUNCTION("""COMPUTED_VALUE"""),232.72)</f>
        <v>232.72</v>
      </c>
      <c r="M359" s="3">
        <f ca="1">IFERROR(__xludf.DUMMYFUNCTION("""COMPUTED_VALUE"""),43984.6666666666)</f>
        <v>43984.666666666599</v>
      </c>
      <c r="N359" s="2">
        <f ca="1">IFERROR(__xludf.DUMMYFUNCTION("""COMPUTED_VALUE"""),176.31)</f>
        <v>176.31</v>
      </c>
      <c r="O359" s="3">
        <f ca="1">IFERROR(__xludf.DUMMYFUNCTION("""COMPUTED_VALUE"""),43984.6666666666)</f>
        <v>43984.666666666599</v>
      </c>
      <c r="P359" s="2">
        <f ca="1">IFERROR(__xludf.DUMMYFUNCTION("""COMPUTED_VALUE"""),88.25)</f>
        <v>88.25</v>
      </c>
      <c r="Q359" s="3">
        <f ca="1">IFERROR(__xludf.DUMMYFUNCTION("""COMPUTED_VALUE"""),43984.6666666666)</f>
        <v>43984.666666666599</v>
      </c>
      <c r="R359" s="2">
        <f ca="1">IFERROR(__xludf.DUMMYFUNCTION("""COMPUTED_VALUE"""),185.94)</f>
        <v>185.94</v>
      </c>
      <c r="S359" s="3">
        <f ca="1">IFERROR(__xludf.DUMMYFUNCTION("""COMPUTED_VALUE"""),43984.6666666666)</f>
        <v>43984.666666666599</v>
      </c>
      <c r="T359" s="2">
        <f ca="1">IFERROR(__xludf.DUMMYFUNCTION("""COMPUTED_VALUE"""),148.25)</f>
        <v>148.25</v>
      </c>
    </row>
    <row r="360" spans="1:20">
      <c r="A360" s="3">
        <f ca="1">IFERROR(__xludf.DUMMYFUNCTION("""COMPUTED_VALUE"""),43985.6666666666)</f>
        <v>43985.666666666599</v>
      </c>
      <c r="B360" s="2">
        <f ca="1">IFERROR(__xludf.DUMMYFUNCTION("""COMPUTED_VALUE"""),81.28)</f>
        <v>81.28</v>
      </c>
      <c r="C360" s="3">
        <f ca="1">IFERROR(__xludf.DUMMYFUNCTION("""COMPUTED_VALUE"""),43985.6666666666)</f>
        <v>43985.666666666599</v>
      </c>
      <c r="D360" s="2">
        <f ca="1">IFERROR(__xludf.DUMMYFUNCTION("""COMPUTED_VALUE"""),185.36)</f>
        <v>185.36</v>
      </c>
      <c r="E360" s="3">
        <f ca="1">IFERROR(__xludf.DUMMYFUNCTION("""COMPUTED_VALUE"""),43985.6666666666)</f>
        <v>43985.666666666599</v>
      </c>
      <c r="F360" s="2">
        <f ca="1">IFERROR(__xludf.DUMMYFUNCTION("""COMPUTED_VALUE"""),2478.4)</f>
        <v>2478.4</v>
      </c>
      <c r="G360" s="3">
        <f ca="1">IFERROR(__xludf.DUMMYFUNCTION("""COMPUTED_VALUE"""),43985.6666666666)</f>
        <v>43985.666666666599</v>
      </c>
      <c r="H360" s="2">
        <f ca="1">IFERROR(__xludf.DUMMYFUNCTION("""COMPUTED_VALUE"""),1439.25)</f>
        <v>1439.25</v>
      </c>
      <c r="I360" s="3">
        <f ca="1">IFERROR(__xludf.DUMMYFUNCTION("""COMPUTED_VALUE"""),43985.6666666666)</f>
        <v>43985.666666666599</v>
      </c>
      <c r="J360" s="2">
        <f ca="1">IFERROR(__xludf.DUMMYFUNCTION("""COMPUTED_VALUE"""),1436.38)</f>
        <v>1436.38</v>
      </c>
      <c r="K360" s="3">
        <f ca="1">IFERROR(__xludf.DUMMYFUNCTION("""COMPUTED_VALUE"""),43985.6666666666)</f>
        <v>43985.666666666599</v>
      </c>
      <c r="L360" s="2">
        <f ca="1">IFERROR(__xludf.DUMMYFUNCTION("""COMPUTED_VALUE"""),230.16)</f>
        <v>230.16</v>
      </c>
      <c r="M360" s="3">
        <f ca="1">IFERROR(__xludf.DUMMYFUNCTION("""COMPUTED_VALUE"""),43985.6666666666)</f>
        <v>43985.666666666599</v>
      </c>
      <c r="N360" s="2">
        <f ca="1">IFERROR(__xludf.DUMMYFUNCTION("""COMPUTED_VALUE"""),176.59)</f>
        <v>176.59</v>
      </c>
      <c r="O360" s="3">
        <f ca="1">IFERROR(__xludf.DUMMYFUNCTION("""COMPUTED_VALUE"""),43985.6666666666)</f>
        <v>43985.666666666599</v>
      </c>
      <c r="P360" s="2">
        <f ca="1">IFERROR(__xludf.DUMMYFUNCTION("""COMPUTED_VALUE"""),87.7)</f>
        <v>87.7</v>
      </c>
      <c r="Q360" s="3">
        <f ca="1">IFERROR(__xludf.DUMMYFUNCTION("""COMPUTED_VALUE"""),43985.6666666666)</f>
        <v>43985.666666666599</v>
      </c>
      <c r="R360" s="2">
        <f ca="1">IFERROR(__xludf.DUMMYFUNCTION("""COMPUTED_VALUE"""),190.82)</f>
        <v>190.82</v>
      </c>
      <c r="S360" s="3">
        <f ca="1">IFERROR(__xludf.DUMMYFUNCTION("""COMPUTED_VALUE"""),43985.6666666666)</f>
        <v>43985.666666666599</v>
      </c>
      <c r="T360" s="2">
        <f ca="1">IFERROR(__xludf.DUMMYFUNCTION("""COMPUTED_VALUE"""),148.65)</f>
        <v>148.65</v>
      </c>
    </row>
    <row r="361" spans="1:20">
      <c r="A361" s="3">
        <f ca="1">IFERROR(__xludf.DUMMYFUNCTION("""COMPUTED_VALUE"""),43986.6666666666)</f>
        <v>43986.666666666599</v>
      </c>
      <c r="B361" s="2">
        <f ca="1">IFERROR(__xludf.DUMMYFUNCTION("""COMPUTED_VALUE"""),80.58)</f>
        <v>80.58</v>
      </c>
      <c r="C361" s="3">
        <f ca="1">IFERROR(__xludf.DUMMYFUNCTION("""COMPUTED_VALUE"""),43986.6666666666)</f>
        <v>43986.666666666599</v>
      </c>
      <c r="D361" s="2">
        <f ca="1">IFERROR(__xludf.DUMMYFUNCTION("""COMPUTED_VALUE"""),182.92)</f>
        <v>182.92</v>
      </c>
      <c r="E361" s="3">
        <f ca="1">IFERROR(__xludf.DUMMYFUNCTION("""COMPUTED_VALUE"""),43986.6666666666)</f>
        <v>43986.666666666599</v>
      </c>
      <c r="F361" s="2">
        <f ca="1">IFERROR(__xludf.DUMMYFUNCTION("""COMPUTED_VALUE"""),2460.6)</f>
        <v>2460.6</v>
      </c>
      <c r="G361" s="3">
        <f ca="1">IFERROR(__xludf.DUMMYFUNCTION("""COMPUTED_VALUE"""),43986.6666666666)</f>
        <v>43986.666666666599</v>
      </c>
      <c r="H361" s="2">
        <f ca="1">IFERROR(__xludf.DUMMYFUNCTION("""COMPUTED_VALUE"""),1414.3)</f>
        <v>1414.3</v>
      </c>
      <c r="I361" s="3">
        <f ca="1">IFERROR(__xludf.DUMMYFUNCTION("""COMPUTED_VALUE"""),43986.6666666666)</f>
        <v>43986.666666666599</v>
      </c>
      <c r="J361" s="2">
        <f ca="1">IFERROR(__xludf.DUMMYFUNCTION("""COMPUTED_VALUE"""),1412.18)</f>
        <v>1412.18</v>
      </c>
      <c r="K361" s="3">
        <f ca="1">IFERROR(__xludf.DUMMYFUNCTION("""COMPUTED_VALUE"""),43986.6666666666)</f>
        <v>43986.666666666599</v>
      </c>
      <c r="L361" s="2">
        <f ca="1">IFERROR(__xludf.DUMMYFUNCTION("""COMPUTED_VALUE"""),226.29)</f>
        <v>226.29</v>
      </c>
      <c r="M361" s="3">
        <f ca="1">IFERROR(__xludf.DUMMYFUNCTION("""COMPUTED_VALUE"""),43986.6666666666)</f>
        <v>43986.666666666599</v>
      </c>
      <c r="N361" s="2">
        <f ca="1">IFERROR(__xludf.DUMMYFUNCTION("""COMPUTED_VALUE"""),172.88)</f>
        <v>172.88</v>
      </c>
      <c r="O361" s="3">
        <f ca="1">IFERROR(__xludf.DUMMYFUNCTION("""COMPUTED_VALUE"""),43986.6666666666)</f>
        <v>43986.666666666599</v>
      </c>
      <c r="P361" s="2">
        <f ca="1">IFERROR(__xludf.DUMMYFUNCTION("""COMPUTED_VALUE"""),87.67)</f>
        <v>87.67</v>
      </c>
      <c r="Q361" s="3">
        <f ca="1">IFERROR(__xludf.DUMMYFUNCTION("""COMPUTED_VALUE"""),43986.6666666666)</f>
        <v>43986.666666666599</v>
      </c>
      <c r="R361" s="2">
        <f ca="1">IFERROR(__xludf.DUMMYFUNCTION("""COMPUTED_VALUE"""),192.05)</f>
        <v>192.05</v>
      </c>
      <c r="S361" s="3">
        <f ca="1">IFERROR(__xludf.DUMMYFUNCTION("""COMPUTED_VALUE"""),43986.6666666666)</f>
        <v>43986.666666666599</v>
      </c>
      <c r="T361" s="2">
        <f ca="1">IFERROR(__xludf.DUMMYFUNCTION("""COMPUTED_VALUE"""),146.73)</f>
        <v>146.72999999999999</v>
      </c>
    </row>
    <row r="362" spans="1:20">
      <c r="A362" s="3">
        <f ca="1">IFERROR(__xludf.DUMMYFUNCTION("""COMPUTED_VALUE"""),43987.6666666666)</f>
        <v>43987.666666666599</v>
      </c>
      <c r="B362" s="2">
        <f ca="1">IFERROR(__xludf.DUMMYFUNCTION("""COMPUTED_VALUE"""),82.88)</f>
        <v>82.88</v>
      </c>
      <c r="C362" s="3">
        <f ca="1">IFERROR(__xludf.DUMMYFUNCTION("""COMPUTED_VALUE"""),43987.6666666666)</f>
        <v>43987.666666666599</v>
      </c>
      <c r="D362" s="2">
        <f ca="1">IFERROR(__xludf.DUMMYFUNCTION("""COMPUTED_VALUE"""),187.2)</f>
        <v>187.2</v>
      </c>
      <c r="E362" s="3">
        <f ca="1">IFERROR(__xludf.DUMMYFUNCTION("""COMPUTED_VALUE"""),43987.6666666666)</f>
        <v>43987.666666666599</v>
      </c>
      <c r="F362" s="2">
        <f ca="1">IFERROR(__xludf.DUMMYFUNCTION("""COMPUTED_VALUE"""),2483)</f>
        <v>2483</v>
      </c>
      <c r="G362" s="3">
        <f ca="1">IFERROR(__xludf.DUMMYFUNCTION("""COMPUTED_VALUE"""),43987.6666666666)</f>
        <v>43987.666666666599</v>
      </c>
      <c r="H362" s="2">
        <f ca="1">IFERROR(__xludf.DUMMYFUNCTION("""COMPUTED_VALUE"""),1440.02)</f>
        <v>1440.02</v>
      </c>
      <c r="I362" s="3">
        <f ca="1">IFERROR(__xludf.DUMMYFUNCTION("""COMPUTED_VALUE"""),43987.6666666666)</f>
        <v>43987.666666666599</v>
      </c>
      <c r="J362" s="2">
        <f ca="1">IFERROR(__xludf.DUMMYFUNCTION("""COMPUTED_VALUE"""),1438.39)</f>
        <v>1438.39</v>
      </c>
      <c r="K362" s="3">
        <f ca="1">IFERROR(__xludf.DUMMYFUNCTION("""COMPUTED_VALUE"""),43987.6666666666)</f>
        <v>43987.666666666599</v>
      </c>
      <c r="L362" s="2">
        <f ca="1">IFERROR(__xludf.DUMMYFUNCTION("""COMPUTED_VALUE"""),230.77)</f>
        <v>230.77</v>
      </c>
      <c r="M362" s="3">
        <f ca="1">IFERROR(__xludf.DUMMYFUNCTION("""COMPUTED_VALUE"""),43987.6666666666)</f>
        <v>43987.666666666599</v>
      </c>
      <c r="N362" s="2">
        <f ca="1">IFERROR(__xludf.DUMMYFUNCTION("""COMPUTED_VALUE"""),177.13)</f>
        <v>177.13</v>
      </c>
      <c r="O362" s="3">
        <f ca="1">IFERROR(__xludf.DUMMYFUNCTION("""COMPUTED_VALUE"""),43987.6666666666)</f>
        <v>43987.666666666599</v>
      </c>
      <c r="P362" s="2">
        <f ca="1">IFERROR(__xludf.DUMMYFUNCTION("""COMPUTED_VALUE"""),89.2)</f>
        <v>89.2</v>
      </c>
      <c r="Q362" s="3">
        <f ca="1">IFERROR(__xludf.DUMMYFUNCTION("""COMPUTED_VALUE"""),43987.6666666666)</f>
        <v>43987.666666666599</v>
      </c>
      <c r="R362" s="2">
        <f ca="1">IFERROR(__xludf.DUMMYFUNCTION("""COMPUTED_VALUE"""),200.66)</f>
        <v>200.66</v>
      </c>
      <c r="S362" s="3">
        <f ca="1">IFERROR(__xludf.DUMMYFUNCTION("""COMPUTED_VALUE"""),43987.6666666666)</f>
        <v>43987.666666666599</v>
      </c>
      <c r="T362" s="2">
        <f ca="1">IFERROR(__xludf.DUMMYFUNCTION("""COMPUTED_VALUE"""),147.3)</f>
        <v>147.30000000000001</v>
      </c>
    </row>
    <row r="363" spans="1:20">
      <c r="A363" s="3">
        <f ca="1">IFERROR(__xludf.DUMMYFUNCTION("""COMPUTED_VALUE"""),43990.6666666666)</f>
        <v>43990.666666666599</v>
      </c>
      <c r="B363" s="2">
        <f ca="1">IFERROR(__xludf.DUMMYFUNCTION("""COMPUTED_VALUE"""),83.37)</f>
        <v>83.37</v>
      </c>
      <c r="C363" s="3">
        <f ca="1">IFERROR(__xludf.DUMMYFUNCTION("""COMPUTED_VALUE"""),43990.6666666666)</f>
        <v>43990.666666666599</v>
      </c>
      <c r="D363" s="2">
        <f ca="1">IFERROR(__xludf.DUMMYFUNCTION("""COMPUTED_VALUE"""),188.36)</f>
        <v>188.36</v>
      </c>
      <c r="E363" s="3">
        <f ca="1">IFERROR(__xludf.DUMMYFUNCTION("""COMPUTED_VALUE"""),43990.6666666666)</f>
        <v>43990.666666666599</v>
      </c>
      <c r="F363" s="2">
        <f ca="1">IFERROR(__xludf.DUMMYFUNCTION("""COMPUTED_VALUE"""),2524.06)</f>
        <v>2524.06</v>
      </c>
      <c r="G363" s="3">
        <f ca="1">IFERROR(__xludf.DUMMYFUNCTION("""COMPUTED_VALUE"""),43990.6666666666)</f>
        <v>43990.666666666599</v>
      </c>
      <c r="H363" s="2">
        <f ca="1">IFERROR(__xludf.DUMMYFUNCTION("""COMPUTED_VALUE"""),1448.04)</f>
        <v>1448.04</v>
      </c>
      <c r="I363" s="3">
        <f ca="1">IFERROR(__xludf.DUMMYFUNCTION("""COMPUTED_VALUE"""),43990.6666666666)</f>
        <v>43990.666666666599</v>
      </c>
      <c r="J363" s="2">
        <f ca="1">IFERROR(__xludf.DUMMYFUNCTION("""COMPUTED_VALUE"""),1446.61)</f>
        <v>1446.61</v>
      </c>
      <c r="K363" s="3">
        <f ca="1">IFERROR(__xludf.DUMMYFUNCTION("""COMPUTED_VALUE"""),43990.6666666666)</f>
        <v>43990.666666666599</v>
      </c>
      <c r="L363" s="2">
        <f ca="1">IFERROR(__xludf.DUMMYFUNCTION("""COMPUTED_VALUE"""),231.4)</f>
        <v>231.4</v>
      </c>
      <c r="M363" s="3">
        <f ca="1">IFERROR(__xludf.DUMMYFUNCTION("""COMPUTED_VALUE"""),43990.6666666666)</f>
        <v>43990.666666666599</v>
      </c>
      <c r="N363" s="2">
        <f ca="1">IFERROR(__xludf.DUMMYFUNCTION("""COMPUTED_VALUE"""),189.98)</f>
        <v>189.98</v>
      </c>
      <c r="O363" s="3">
        <f ca="1">IFERROR(__xludf.DUMMYFUNCTION("""COMPUTED_VALUE"""),43990.6666666666)</f>
        <v>43990.666666666599</v>
      </c>
      <c r="P363" s="2">
        <f ca="1">IFERROR(__xludf.DUMMYFUNCTION("""COMPUTED_VALUE"""),88.05)</f>
        <v>88.05</v>
      </c>
      <c r="Q363" s="3">
        <f ca="1">IFERROR(__xludf.DUMMYFUNCTION("""COMPUTED_VALUE"""),43990.6666666666)</f>
        <v>43990.666666666599</v>
      </c>
      <c r="R363" s="2">
        <f ca="1">IFERROR(__xludf.DUMMYFUNCTION("""COMPUTED_VALUE"""),201.56)</f>
        <v>201.56</v>
      </c>
      <c r="S363" s="3">
        <f ca="1">IFERROR(__xludf.DUMMYFUNCTION("""COMPUTED_VALUE"""),43990.6666666666)</f>
        <v>43990.666666666599</v>
      </c>
      <c r="T363" s="2">
        <f ca="1">IFERROR(__xludf.DUMMYFUNCTION("""COMPUTED_VALUE"""),146.77)</f>
        <v>146.77000000000001</v>
      </c>
    </row>
    <row r="364" spans="1:20">
      <c r="A364" s="3">
        <f ca="1">IFERROR(__xludf.DUMMYFUNCTION("""COMPUTED_VALUE"""),43991.6666666666)</f>
        <v>43991.666666666599</v>
      </c>
      <c r="B364" s="2">
        <f ca="1">IFERROR(__xludf.DUMMYFUNCTION("""COMPUTED_VALUE"""),86)</f>
        <v>86</v>
      </c>
      <c r="C364" s="3">
        <f ca="1">IFERROR(__xludf.DUMMYFUNCTION("""COMPUTED_VALUE"""),43991.6666666666)</f>
        <v>43991.666666666599</v>
      </c>
      <c r="D364" s="2">
        <f ca="1">IFERROR(__xludf.DUMMYFUNCTION("""COMPUTED_VALUE"""),189.8)</f>
        <v>189.8</v>
      </c>
      <c r="E364" s="3">
        <f ca="1">IFERROR(__xludf.DUMMYFUNCTION("""COMPUTED_VALUE"""),43991.6666666666)</f>
        <v>43991.666666666599</v>
      </c>
      <c r="F364" s="2">
        <f ca="1">IFERROR(__xludf.DUMMYFUNCTION("""COMPUTED_VALUE"""),2600.86)</f>
        <v>2600.86</v>
      </c>
      <c r="G364" s="3">
        <f ca="1">IFERROR(__xludf.DUMMYFUNCTION("""COMPUTED_VALUE"""),43991.6666666666)</f>
        <v>43991.666666666599</v>
      </c>
      <c r="H364" s="2">
        <f ca="1">IFERROR(__xludf.DUMMYFUNCTION("""COMPUTED_VALUE"""),1452.08)</f>
        <v>1452.08</v>
      </c>
      <c r="I364" s="3">
        <f ca="1">IFERROR(__xludf.DUMMYFUNCTION("""COMPUTED_VALUE"""),43991.6666666666)</f>
        <v>43991.666666666599</v>
      </c>
      <c r="J364" s="2">
        <f ca="1">IFERROR(__xludf.DUMMYFUNCTION("""COMPUTED_VALUE"""),1456.16)</f>
        <v>1456.16</v>
      </c>
      <c r="K364" s="3">
        <f ca="1">IFERROR(__xludf.DUMMYFUNCTION("""COMPUTED_VALUE"""),43991.6666666666)</f>
        <v>43991.666666666599</v>
      </c>
      <c r="L364" s="2">
        <f ca="1">IFERROR(__xludf.DUMMYFUNCTION("""COMPUTED_VALUE"""),238.67)</f>
        <v>238.67</v>
      </c>
      <c r="M364" s="3">
        <f ca="1">IFERROR(__xludf.DUMMYFUNCTION("""COMPUTED_VALUE"""),43991.6666666666)</f>
        <v>43991.666666666599</v>
      </c>
      <c r="N364" s="2">
        <f ca="1">IFERROR(__xludf.DUMMYFUNCTION("""COMPUTED_VALUE"""),188.13)</f>
        <v>188.13</v>
      </c>
      <c r="O364" s="3">
        <f ca="1">IFERROR(__xludf.DUMMYFUNCTION("""COMPUTED_VALUE"""),43991.6666666666)</f>
        <v>43991.666666666599</v>
      </c>
      <c r="P364" s="2">
        <f ca="1">IFERROR(__xludf.DUMMYFUNCTION("""COMPUTED_VALUE"""),90.46)</f>
        <v>90.46</v>
      </c>
      <c r="Q364" s="3">
        <f ca="1">IFERROR(__xludf.DUMMYFUNCTION("""COMPUTED_VALUE"""),43991.6666666666)</f>
        <v>43991.666666666599</v>
      </c>
      <c r="R364" s="2">
        <f ca="1">IFERROR(__xludf.DUMMYFUNCTION("""COMPUTED_VALUE"""),196.07)</f>
        <v>196.07</v>
      </c>
      <c r="S364" s="3">
        <f ca="1">IFERROR(__xludf.DUMMYFUNCTION("""COMPUTED_VALUE"""),43991.6666666666)</f>
        <v>43991.666666666599</v>
      </c>
      <c r="T364" s="2">
        <f ca="1">IFERROR(__xludf.DUMMYFUNCTION("""COMPUTED_VALUE"""),145.96)</f>
        <v>145.96</v>
      </c>
    </row>
    <row r="365" spans="1:20">
      <c r="A365" s="3">
        <f ca="1">IFERROR(__xludf.DUMMYFUNCTION("""COMPUTED_VALUE"""),43992.6666666666)</f>
        <v>43992.666666666599</v>
      </c>
      <c r="B365" s="2">
        <f ca="1">IFERROR(__xludf.DUMMYFUNCTION("""COMPUTED_VALUE"""),88.21)</f>
        <v>88.21</v>
      </c>
      <c r="C365" s="3">
        <f ca="1">IFERROR(__xludf.DUMMYFUNCTION("""COMPUTED_VALUE"""),43992.6666666666)</f>
        <v>43992.666666666599</v>
      </c>
      <c r="D365" s="2">
        <f ca="1">IFERROR(__xludf.DUMMYFUNCTION("""COMPUTED_VALUE"""),196.84)</f>
        <v>196.84</v>
      </c>
      <c r="E365" s="3">
        <f ca="1">IFERROR(__xludf.DUMMYFUNCTION("""COMPUTED_VALUE"""),43992.6666666666)</f>
        <v>43992.666666666599</v>
      </c>
      <c r="F365" s="2">
        <f ca="1">IFERROR(__xludf.DUMMYFUNCTION("""COMPUTED_VALUE"""),2647.45)</f>
        <v>2647.45</v>
      </c>
      <c r="G365" s="3">
        <f ca="1">IFERROR(__xludf.DUMMYFUNCTION("""COMPUTED_VALUE"""),43992.6666666666)</f>
        <v>43992.666666666599</v>
      </c>
      <c r="H365" s="2">
        <f ca="1">IFERROR(__xludf.DUMMYFUNCTION("""COMPUTED_VALUE"""),1464.7)</f>
        <v>1464.7</v>
      </c>
      <c r="I365" s="3">
        <f ca="1">IFERROR(__xludf.DUMMYFUNCTION("""COMPUTED_VALUE"""),43992.6666666666)</f>
        <v>43992.666666666599</v>
      </c>
      <c r="J365" s="2">
        <f ca="1">IFERROR(__xludf.DUMMYFUNCTION("""COMPUTED_VALUE"""),1465.85)</f>
        <v>1465.85</v>
      </c>
      <c r="K365" s="3">
        <f ca="1">IFERROR(__xludf.DUMMYFUNCTION("""COMPUTED_VALUE"""),43992.6666666666)</f>
        <v>43992.666666666599</v>
      </c>
      <c r="L365" s="2">
        <f ca="1">IFERROR(__xludf.DUMMYFUNCTION("""COMPUTED_VALUE"""),236.73)</f>
        <v>236.73</v>
      </c>
      <c r="M365" s="3">
        <f ca="1">IFERROR(__xludf.DUMMYFUNCTION("""COMPUTED_VALUE"""),43992.6666666666)</f>
        <v>43992.666666666599</v>
      </c>
      <c r="N365" s="2">
        <f ca="1">IFERROR(__xludf.DUMMYFUNCTION("""COMPUTED_VALUE"""),205.01)</f>
        <v>205.01</v>
      </c>
      <c r="O365" s="3">
        <f ca="1">IFERROR(__xludf.DUMMYFUNCTION("""COMPUTED_VALUE"""),43992.6666666666)</f>
        <v>43992.666666666599</v>
      </c>
      <c r="P365" s="2">
        <f ca="1">IFERROR(__xludf.DUMMYFUNCTION("""COMPUTED_VALUE"""),93.67)</f>
        <v>93.67</v>
      </c>
      <c r="Q365" s="3">
        <f ca="1">IFERROR(__xludf.DUMMYFUNCTION("""COMPUTED_VALUE"""),43992.6666666666)</f>
        <v>43992.666666666599</v>
      </c>
      <c r="R365" s="2">
        <f ca="1">IFERROR(__xludf.DUMMYFUNCTION("""COMPUTED_VALUE"""),191.51)</f>
        <v>191.51</v>
      </c>
      <c r="S365" s="3">
        <f ca="1">IFERROR(__xludf.DUMMYFUNCTION("""COMPUTED_VALUE"""),43992.6666666666)</f>
        <v>43992.666666666599</v>
      </c>
      <c r="T365" s="2">
        <f ca="1">IFERROR(__xludf.DUMMYFUNCTION("""COMPUTED_VALUE"""),147.8)</f>
        <v>147.80000000000001</v>
      </c>
    </row>
    <row r="366" spans="1:20">
      <c r="A366" s="3">
        <f ca="1">IFERROR(__xludf.DUMMYFUNCTION("""COMPUTED_VALUE"""),43993.6666666666)</f>
        <v>43993.666666666599</v>
      </c>
      <c r="B366" s="2">
        <f ca="1">IFERROR(__xludf.DUMMYFUNCTION("""COMPUTED_VALUE"""),83.98)</f>
        <v>83.98</v>
      </c>
      <c r="C366" s="3">
        <f ca="1">IFERROR(__xludf.DUMMYFUNCTION("""COMPUTED_VALUE"""),43993.6666666666)</f>
        <v>43993.666666666599</v>
      </c>
      <c r="D366" s="2">
        <f ca="1">IFERROR(__xludf.DUMMYFUNCTION("""COMPUTED_VALUE"""),186.27)</f>
        <v>186.27</v>
      </c>
      <c r="E366" s="3">
        <f ca="1">IFERROR(__xludf.DUMMYFUNCTION("""COMPUTED_VALUE"""),43993.6666666666)</f>
        <v>43993.666666666599</v>
      </c>
      <c r="F366" s="2">
        <f ca="1">IFERROR(__xludf.DUMMYFUNCTION("""COMPUTED_VALUE"""),2557.96)</f>
        <v>2557.96</v>
      </c>
      <c r="G366" s="3">
        <f ca="1">IFERROR(__xludf.DUMMYFUNCTION("""COMPUTED_VALUE"""),43993.6666666666)</f>
        <v>43993.666666666599</v>
      </c>
      <c r="H366" s="2">
        <f ca="1">IFERROR(__xludf.DUMMYFUNCTION("""COMPUTED_VALUE"""),1401.9)</f>
        <v>1401.9</v>
      </c>
      <c r="I366" s="3">
        <f ca="1">IFERROR(__xludf.DUMMYFUNCTION("""COMPUTED_VALUE"""),43993.6666666666)</f>
        <v>43993.666666666599</v>
      </c>
      <c r="J366" s="2">
        <f ca="1">IFERROR(__xludf.DUMMYFUNCTION("""COMPUTED_VALUE"""),1403.84)</f>
        <v>1403.84</v>
      </c>
      <c r="K366" s="3">
        <f ca="1">IFERROR(__xludf.DUMMYFUNCTION("""COMPUTED_VALUE"""),43993.6666666666)</f>
        <v>43993.666666666599</v>
      </c>
      <c r="L366" s="2">
        <f ca="1">IFERROR(__xludf.DUMMYFUNCTION("""COMPUTED_VALUE"""),224.43)</f>
        <v>224.43</v>
      </c>
      <c r="M366" s="3">
        <f ca="1">IFERROR(__xludf.DUMMYFUNCTION("""COMPUTED_VALUE"""),43993.6666666666)</f>
        <v>43993.666666666599</v>
      </c>
      <c r="N366" s="2">
        <f ca="1">IFERROR(__xludf.DUMMYFUNCTION("""COMPUTED_VALUE"""),194.57)</f>
        <v>194.57</v>
      </c>
      <c r="O366" s="3">
        <f ca="1">IFERROR(__xludf.DUMMYFUNCTION("""COMPUTED_VALUE"""),43993.6666666666)</f>
        <v>43993.666666666599</v>
      </c>
      <c r="P366" s="2">
        <f ca="1">IFERROR(__xludf.DUMMYFUNCTION("""COMPUTED_VALUE"""),87.96)</f>
        <v>87.96</v>
      </c>
      <c r="Q366" s="3">
        <f ca="1">IFERROR(__xludf.DUMMYFUNCTION("""COMPUTED_VALUE"""),43993.6666666666)</f>
        <v>43993.666666666599</v>
      </c>
      <c r="R366" s="2">
        <f ca="1">IFERROR(__xludf.DUMMYFUNCTION("""COMPUTED_VALUE"""),178.02)</f>
        <v>178.02</v>
      </c>
      <c r="S366" s="3">
        <f ca="1">IFERROR(__xludf.DUMMYFUNCTION("""COMPUTED_VALUE"""),43993.6666666666)</f>
        <v>43993.666666666599</v>
      </c>
      <c r="T366" s="2">
        <f ca="1">IFERROR(__xludf.DUMMYFUNCTION("""COMPUTED_VALUE"""),140.87)</f>
        <v>140.87</v>
      </c>
    </row>
    <row r="367" spans="1:20">
      <c r="A367" s="3">
        <f ca="1">IFERROR(__xludf.DUMMYFUNCTION("""COMPUTED_VALUE"""),43994.6666666666)</f>
        <v>43994.666666666599</v>
      </c>
      <c r="B367" s="2">
        <f ca="1">IFERROR(__xludf.DUMMYFUNCTION("""COMPUTED_VALUE"""),84.7)</f>
        <v>84.7</v>
      </c>
      <c r="C367" s="3">
        <f ca="1">IFERROR(__xludf.DUMMYFUNCTION("""COMPUTED_VALUE"""),43994.6666666666)</f>
        <v>43994.666666666599</v>
      </c>
      <c r="D367" s="2">
        <f ca="1">IFERROR(__xludf.DUMMYFUNCTION("""COMPUTED_VALUE"""),187.74)</f>
        <v>187.74</v>
      </c>
      <c r="E367" s="3">
        <f ca="1">IFERROR(__xludf.DUMMYFUNCTION("""COMPUTED_VALUE"""),43994.6666666666)</f>
        <v>43994.666666666599</v>
      </c>
      <c r="F367" s="2">
        <f ca="1">IFERROR(__xludf.DUMMYFUNCTION("""COMPUTED_VALUE"""),2545.02)</f>
        <v>2545.02</v>
      </c>
      <c r="G367" s="3">
        <f ca="1">IFERROR(__xludf.DUMMYFUNCTION("""COMPUTED_VALUE"""),43994.6666666666)</f>
        <v>43994.666666666599</v>
      </c>
      <c r="H367" s="2">
        <f ca="1">IFERROR(__xludf.DUMMYFUNCTION("""COMPUTED_VALUE"""),1412.92)</f>
        <v>1412.92</v>
      </c>
      <c r="I367" s="3">
        <f ca="1">IFERROR(__xludf.DUMMYFUNCTION("""COMPUTED_VALUE"""),43994.6666666666)</f>
        <v>43994.666666666599</v>
      </c>
      <c r="J367" s="2">
        <f ca="1">IFERROR(__xludf.DUMMYFUNCTION("""COMPUTED_VALUE"""),1413.18)</f>
        <v>1413.18</v>
      </c>
      <c r="K367" s="3">
        <f ca="1">IFERROR(__xludf.DUMMYFUNCTION("""COMPUTED_VALUE"""),43994.6666666666)</f>
        <v>43994.666666666599</v>
      </c>
      <c r="L367" s="2">
        <f ca="1">IFERROR(__xludf.DUMMYFUNCTION("""COMPUTED_VALUE"""),228.58)</f>
        <v>228.58</v>
      </c>
      <c r="M367" s="3">
        <f ca="1">IFERROR(__xludf.DUMMYFUNCTION("""COMPUTED_VALUE"""),43994.6666666666)</f>
        <v>43994.666666666599</v>
      </c>
      <c r="N367" s="2">
        <f ca="1">IFERROR(__xludf.DUMMYFUNCTION("""COMPUTED_VALUE"""),187.06)</f>
        <v>187.06</v>
      </c>
      <c r="O367" s="3">
        <f ca="1">IFERROR(__xludf.DUMMYFUNCTION("""COMPUTED_VALUE"""),43994.6666666666)</f>
        <v>43994.666666666599</v>
      </c>
      <c r="P367" s="2">
        <f ca="1">IFERROR(__xludf.DUMMYFUNCTION("""COMPUTED_VALUE"""),89.33)</f>
        <v>89.33</v>
      </c>
      <c r="Q367" s="3">
        <f ca="1">IFERROR(__xludf.DUMMYFUNCTION("""COMPUTED_VALUE"""),43994.6666666666)</f>
        <v>43994.666666666599</v>
      </c>
      <c r="R367" s="2">
        <f ca="1">IFERROR(__xludf.DUMMYFUNCTION("""COMPUTED_VALUE"""),181.21)</f>
        <v>181.21</v>
      </c>
      <c r="S367" s="3">
        <f ca="1">IFERROR(__xludf.DUMMYFUNCTION("""COMPUTED_VALUE"""),43994.6666666666)</f>
        <v>43994.666666666599</v>
      </c>
      <c r="T367" s="2">
        <f ca="1">IFERROR(__xludf.DUMMYFUNCTION("""COMPUTED_VALUE"""),142.15)</f>
        <v>142.15</v>
      </c>
    </row>
    <row r="368" spans="1:20">
      <c r="A368" s="3">
        <f ca="1">IFERROR(__xludf.DUMMYFUNCTION("""COMPUTED_VALUE"""),43997.6666666666)</f>
        <v>43997.666666666599</v>
      </c>
      <c r="B368" s="2">
        <f ca="1">IFERROR(__xludf.DUMMYFUNCTION("""COMPUTED_VALUE"""),85.75)</f>
        <v>85.75</v>
      </c>
      <c r="C368" s="3">
        <f ca="1">IFERROR(__xludf.DUMMYFUNCTION("""COMPUTED_VALUE"""),43997.6666666666)</f>
        <v>43997.666666666599</v>
      </c>
      <c r="D368" s="2">
        <f ca="1">IFERROR(__xludf.DUMMYFUNCTION("""COMPUTED_VALUE"""),188.94)</f>
        <v>188.94</v>
      </c>
      <c r="E368" s="3">
        <f ca="1">IFERROR(__xludf.DUMMYFUNCTION("""COMPUTED_VALUE"""),43997.6666666666)</f>
        <v>43997.666666666599</v>
      </c>
      <c r="F368" s="2">
        <f ca="1">IFERROR(__xludf.DUMMYFUNCTION("""COMPUTED_VALUE"""),2572.68)</f>
        <v>2572.6799999999998</v>
      </c>
      <c r="G368" s="3">
        <f ca="1">IFERROR(__xludf.DUMMYFUNCTION("""COMPUTED_VALUE"""),43997.6666666666)</f>
        <v>43997.666666666599</v>
      </c>
      <c r="H368" s="2">
        <f ca="1">IFERROR(__xludf.DUMMYFUNCTION("""COMPUTED_VALUE"""),1420.74)</f>
        <v>1420.74</v>
      </c>
      <c r="I368" s="3">
        <f ca="1">IFERROR(__xludf.DUMMYFUNCTION("""COMPUTED_VALUE"""),43997.6666666666)</f>
        <v>43997.666666666599</v>
      </c>
      <c r="J368" s="2">
        <f ca="1">IFERROR(__xludf.DUMMYFUNCTION("""COMPUTED_VALUE"""),1419.85)</f>
        <v>1419.85</v>
      </c>
      <c r="K368" s="3">
        <f ca="1">IFERROR(__xludf.DUMMYFUNCTION("""COMPUTED_VALUE"""),43997.6666666666)</f>
        <v>43997.666666666599</v>
      </c>
      <c r="L368" s="2">
        <f ca="1">IFERROR(__xludf.DUMMYFUNCTION("""COMPUTED_VALUE"""),232.5)</f>
        <v>232.5</v>
      </c>
      <c r="M368" s="3">
        <f ca="1">IFERROR(__xludf.DUMMYFUNCTION("""COMPUTED_VALUE"""),43997.6666666666)</f>
        <v>43997.666666666599</v>
      </c>
      <c r="N368" s="2">
        <f ca="1">IFERROR(__xludf.DUMMYFUNCTION("""COMPUTED_VALUE"""),198.18)</f>
        <v>198.18</v>
      </c>
      <c r="O368" s="3">
        <f ca="1">IFERROR(__xludf.DUMMYFUNCTION("""COMPUTED_VALUE"""),43997.6666666666)</f>
        <v>43997.666666666599</v>
      </c>
      <c r="P368" s="2">
        <f ca="1">IFERROR(__xludf.DUMMYFUNCTION("""COMPUTED_VALUE"""),91.74)</f>
        <v>91.74</v>
      </c>
      <c r="Q368" s="3">
        <f ca="1">IFERROR(__xludf.DUMMYFUNCTION("""COMPUTED_VALUE"""),43997.6666666666)</f>
        <v>43997.666666666599</v>
      </c>
      <c r="R368" s="2">
        <f ca="1">IFERROR(__xludf.DUMMYFUNCTION("""COMPUTED_VALUE"""),181.55)</f>
        <v>181.55</v>
      </c>
      <c r="S368" s="3">
        <f ca="1">IFERROR(__xludf.DUMMYFUNCTION("""COMPUTED_VALUE"""),43997.6666666666)</f>
        <v>43997.666666666599</v>
      </c>
      <c r="T368" s="2">
        <f ca="1">IFERROR(__xludf.DUMMYFUNCTION("""COMPUTED_VALUE"""),141.25)</f>
        <v>141.25</v>
      </c>
    </row>
    <row r="369" spans="1:20">
      <c r="A369" s="3">
        <f ca="1">IFERROR(__xludf.DUMMYFUNCTION("""COMPUTED_VALUE"""),43998.6666666666)</f>
        <v>43998.666666666599</v>
      </c>
      <c r="B369" s="2">
        <f ca="1">IFERROR(__xludf.DUMMYFUNCTION("""COMPUTED_VALUE"""),88.02)</f>
        <v>88.02</v>
      </c>
      <c r="C369" s="3">
        <f ca="1">IFERROR(__xludf.DUMMYFUNCTION("""COMPUTED_VALUE"""),43998.6666666666)</f>
        <v>43998.666666666599</v>
      </c>
      <c r="D369" s="2">
        <f ca="1">IFERROR(__xludf.DUMMYFUNCTION("""COMPUTED_VALUE"""),193.57)</f>
        <v>193.57</v>
      </c>
      <c r="E369" s="3">
        <f ca="1">IFERROR(__xludf.DUMMYFUNCTION("""COMPUTED_VALUE"""),43998.6666666666)</f>
        <v>43998.666666666599</v>
      </c>
      <c r="F369" s="2">
        <f ca="1">IFERROR(__xludf.DUMMYFUNCTION("""COMPUTED_VALUE"""),2615.27)</f>
        <v>2615.27</v>
      </c>
      <c r="G369" s="3">
        <f ca="1">IFERROR(__xludf.DUMMYFUNCTION("""COMPUTED_VALUE"""),43998.6666666666)</f>
        <v>43998.666666666599</v>
      </c>
      <c r="H369" s="2">
        <f ca="1">IFERROR(__xludf.DUMMYFUNCTION("""COMPUTED_VALUE"""),1446.47)</f>
        <v>1446.47</v>
      </c>
      <c r="I369" s="3">
        <f ca="1">IFERROR(__xludf.DUMMYFUNCTION("""COMPUTED_VALUE"""),43998.6666666666)</f>
        <v>43998.666666666599</v>
      </c>
      <c r="J369" s="2">
        <f ca="1">IFERROR(__xludf.DUMMYFUNCTION("""COMPUTED_VALUE"""),1442.72)</f>
        <v>1442.72</v>
      </c>
      <c r="K369" s="3">
        <f ca="1">IFERROR(__xludf.DUMMYFUNCTION("""COMPUTED_VALUE"""),43998.6666666666)</f>
        <v>43998.666666666599</v>
      </c>
      <c r="L369" s="2">
        <f ca="1">IFERROR(__xludf.DUMMYFUNCTION("""COMPUTED_VALUE"""),235.65)</f>
        <v>235.65</v>
      </c>
      <c r="M369" s="3">
        <f ca="1">IFERROR(__xludf.DUMMYFUNCTION("""COMPUTED_VALUE"""),43998.6666666666)</f>
        <v>43998.666666666599</v>
      </c>
      <c r="N369" s="2">
        <f ca="1">IFERROR(__xludf.DUMMYFUNCTION("""COMPUTED_VALUE"""),196.43)</f>
        <v>196.43</v>
      </c>
      <c r="O369" s="3">
        <f ca="1">IFERROR(__xludf.DUMMYFUNCTION("""COMPUTED_VALUE"""),43998.6666666666)</f>
        <v>43998.666666666599</v>
      </c>
      <c r="P369" s="2">
        <f ca="1">IFERROR(__xludf.DUMMYFUNCTION("""COMPUTED_VALUE"""),90.69)</f>
        <v>90.69</v>
      </c>
      <c r="Q369" s="3">
        <f ca="1">IFERROR(__xludf.DUMMYFUNCTION("""COMPUTED_VALUE"""),43998.6666666666)</f>
        <v>43998.666666666599</v>
      </c>
      <c r="R369" s="2">
        <f ca="1">IFERROR(__xludf.DUMMYFUNCTION("""COMPUTED_VALUE"""),182.3)</f>
        <v>182.3</v>
      </c>
      <c r="S369" s="3">
        <f ca="1">IFERROR(__xludf.DUMMYFUNCTION("""COMPUTED_VALUE"""),43998.6666666666)</f>
        <v>43998.666666666599</v>
      </c>
      <c r="T369" s="2">
        <f ca="1">IFERROR(__xludf.DUMMYFUNCTION("""COMPUTED_VALUE"""),144.46)</f>
        <v>144.46</v>
      </c>
    </row>
    <row r="370" spans="1:20">
      <c r="A370" s="3">
        <f ca="1">IFERROR(__xludf.DUMMYFUNCTION("""COMPUTED_VALUE"""),43999.6666666666)</f>
        <v>43999.666666666599</v>
      </c>
      <c r="B370" s="2">
        <f ca="1">IFERROR(__xludf.DUMMYFUNCTION("""COMPUTED_VALUE"""),87.9)</f>
        <v>87.9</v>
      </c>
      <c r="C370" s="3">
        <f ca="1">IFERROR(__xludf.DUMMYFUNCTION("""COMPUTED_VALUE"""),43999.6666666666)</f>
        <v>43999.666666666599</v>
      </c>
      <c r="D370" s="2">
        <f ca="1">IFERROR(__xludf.DUMMYFUNCTION("""COMPUTED_VALUE"""),194.24)</f>
        <v>194.24</v>
      </c>
      <c r="E370" s="3">
        <f ca="1">IFERROR(__xludf.DUMMYFUNCTION("""COMPUTED_VALUE"""),43999.6666666666)</f>
        <v>43999.666666666599</v>
      </c>
      <c r="F370" s="2">
        <f ca="1">IFERROR(__xludf.DUMMYFUNCTION("""COMPUTED_VALUE"""),2640.98)</f>
        <v>2640.98</v>
      </c>
      <c r="G370" s="3">
        <f ca="1">IFERROR(__xludf.DUMMYFUNCTION("""COMPUTED_VALUE"""),43999.6666666666)</f>
        <v>43999.666666666599</v>
      </c>
      <c r="H370" s="2">
        <f ca="1">IFERROR(__xludf.DUMMYFUNCTION("""COMPUTED_VALUE"""),1452.54)</f>
        <v>1452.54</v>
      </c>
      <c r="I370" s="3">
        <f ca="1">IFERROR(__xludf.DUMMYFUNCTION("""COMPUTED_VALUE"""),43999.6666666666)</f>
        <v>43999.666666666599</v>
      </c>
      <c r="J370" s="2">
        <f ca="1">IFERROR(__xludf.DUMMYFUNCTION("""COMPUTED_VALUE"""),1451.12)</f>
        <v>1451.12</v>
      </c>
      <c r="K370" s="3">
        <f ca="1">IFERROR(__xludf.DUMMYFUNCTION("""COMPUTED_VALUE"""),43999.6666666666)</f>
        <v>43999.666666666599</v>
      </c>
      <c r="L370" s="2">
        <f ca="1">IFERROR(__xludf.DUMMYFUNCTION("""COMPUTED_VALUE"""),235.53)</f>
        <v>235.53</v>
      </c>
      <c r="M370" s="3">
        <f ca="1">IFERROR(__xludf.DUMMYFUNCTION("""COMPUTED_VALUE"""),43999.6666666666)</f>
        <v>43999.666666666599</v>
      </c>
      <c r="N370" s="2">
        <f ca="1">IFERROR(__xludf.DUMMYFUNCTION("""COMPUTED_VALUE"""),198.36)</f>
        <v>198.36</v>
      </c>
      <c r="O370" s="3">
        <f ca="1">IFERROR(__xludf.DUMMYFUNCTION("""COMPUTED_VALUE"""),43999.6666666666)</f>
        <v>43999.666666666599</v>
      </c>
      <c r="P370" s="2">
        <f ca="1">IFERROR(__xludf.DUMMYFUNCTION("""COMPUTED_VALUE"""),92.36)</f>
        <v>92.36</v>
      </c>
      <c r="Q370" s="3">
        <f ca="1">IFERROR(__xludf.DUMMYFUNCTION("""COMPUTED_VALUE"""),43999.6666666666)</f>
        <v>43999.666666666599</v>
      </c>
      <c r="R370" s="2">
        <f ca="1">IFERROR(__xludf.DUMMYFUNCTION("""COMPUTED_VALUE"""),180.86)</f>
        <v>180.86</v>
      </c>
      <c r="S370" s="3">
        <f ca="1">IFERROR(__xludf.DUMMYFUNCTION("""COMPUTED_VALUE"""),43999.6666666666)</f>
        <v>43999.666666666599</v>
      </c>
      <c r="T370" s="2">
        <f ca="1">IFERROR(__xludf.DUMMYFUNCTION("""COMPUTED_VALUE"""),144.02)</f>
        <v>144.02000000000001</v>
      </c>
    </row>
    <row r="371" spans="1:20">
      <c r="A371" s="3">
        <f ca="1">IFERROR(__xludf.DUMMYFUNCTION("""COMPUTED_VALUE"""),44000.6666666666)</f>
        <v>44000.666666666599</v>
      </c>
      <c r="B371" s="2">
        <f ca="1">IFERROR(__xludf.DUMMYFUNCTION("""COMPUTED_VALUE"""),87.93)</f>
        <v>87.93</v>
      </c>
      <c r="C371" s="3">
        <f ca="1">IFERROR(__xludf.DUMMYFUNCTION("""COMPUTED_VALUE"""),44000.6666666666)</f>
        <v>44000.666666666599</v>
      </c>
      <c r="D371" s="2">
        <f ca="1">IFERROR(__xludf.DUMMYFUNCTION("""COMPUTED_VALUE"""),196.32)</f>
        <v>196.32</v>
      </c>
      <c r="E371" s="3">
        <f ca="1">IFERROR(__xludf.DUMMYFUNCTION("""COMPUTED_VALUE"""),44000.6666666666)</f>
        <v>44000.666666666599</v>
      </c>
      <c r="F371" s="2">
        <f ca="1">IFERROR(__xludf.DUMMYFUNCTION("""COMPUTED_VALUE"""),2653.98)</f>
        <v>2653.98</v>
      </c>
      <c r="G371" s="3">
        <f ca="1">IFERROR(__xludf.DUMMYFUNCTION("""COMPUTED_VALUE"""),44000.6666666666)</f>
        <v>44000.666666666599</v>
      </c>
      <c r="H371" s="2">
        <f ca="1">IFERROR(__xludf.DUMMYFUNCTION("""COMPUTED_VALUE"""),1434.12)</f>
        <v>1434.12</v>
      </c>
      <c r="I371" s="3">
        <f ca="1">IFERROR(__xludf.DUMMYFUNCTION("""COMPUTED_VALUE"""),44000.6666666666)</f>
        <v>44000.666666666599</v>
      </c>
      <c r="J371" s="2">
        <f ca="1">IFERROR(__xludf.DUMMYFUNCTION("""COMPUTED_VALUE"""),1435.96)</f>
        <v>1435.96</v>
      </c>
      <c r="K371" s="3">
        <f ca="1">IFERROR(__xludf.DUMMYFUNCTION("""COMPUTED_VALUE"""),44000.6666666666)</f>
        <v>44000.666666666599</v>
      </c>
      <c r="L371" s="2">
        <f ca="1">IFERROR(__xludf.DUMMYFUNCTION("""COMPUTED_VALUE"""),235.94)</f>
        <v>235.94</v>
      </c>
      <c r="M371" s="3">
        <f ca="1">IFERROR(__xludf.DUMMYFUNCTION("""COMPUTED_VALUE"""),44000.6666666666)</f>
        <v>44000.666666666599</v>
      </c>
      <c r="N371" s="2">
        <f ca="1">IFERROR(__xludf.DUMMYFUNCTION("""COMPUTED_VALUE"""),200.79)</f>
        <v>200.79</v>
      </c>
      <c r="O371" s="3">
        <f ca="1">IFERROR(__xludf.DUMMYFUNCTION("""COMPUTED_VALUE"""),44000.6666666666)</f>
        <v>44000.666666666599</v>
      </c>
      <c r="P371" s="2">
        <f ca="1">IFERROR(__xludf.DUMMYFUNCTION("""COMPUTED_VALUE"""),92.18)</f>
        <v>92.18</v>
      </c>
      <c r="Q371" s="3">
        <f ca="1">IFERROR(__xludf.DUMMYFUNCTION("""COMPUTED_VALUE"""),44000.6666666666)</f>
        <v>44000.666666666599</v>
      </c>
      <c r="R371" s="2">
        <f ca="1">IFERROR(__xludf.DUMMYFUNCTION("""COMPUTED_VALUE"""),180.73)</f>
        <v>180.73</v>
      </c>
      <c r="S371" s="3">
        <f ca="1">IFERROR(__xludf.DUMMYFUNCTION("""COMPUTED_VALUE"""),44000.6666666666)</f>
        <v>44000.666666666599</v>
      </c>
      <c r="T371" s="2">
        <f ca="1">IFERROR(__xludf.DUMMYFUNCTION("""COMPUTED_VALUE"""),143.41)</f>
        <v>143.41</v>
      </c>
    </row>
    <row r="372" spans="1:20">
      <c r="A372" s="3">
        <f ca="1">IFERROR(__xludf.DUMMYFUNCTION("""COMPUTED_VALUE"""),44001.6666666666)</f>
        <v>44001.666666666599</v>
      </c>
      <c r="B372" s="2">
        <f ca="1">IFERROR(__xludf.DUMMYFUNCTION("""COMPUTED_VALUE"""),87.43)</f>
        <v>87.43</v>
      </c>
      <c r="C372" s="3">
        <f ca="1">IFERROR(__xludf.DUMMYFUNCTION("""COMPUTED_VALUE"""),44001.6666666666)</f>
        <v>44001.666666666599</v>
      </c>
      <c r="D372" s="2">
        <f ca="1">IFERROR(__xludf.DUMMYFUNCTION("""COMPUTED_VALUE"""),195.15)</f>
        <v>195.15</v>
      </c>
      <c r="E372" s="3">
        <f ca="1">IFERROR(__xludf.DUMMYFUNCTION("""COMPUTED_VALUE"""),44001.6666666666)</f>
        <v>44001.666666666599</v>
      </c>
      <c r="F372" s="2">
        <f ca="1">IFERROR(__xludf.DUMMYFUNCTION("""COMPUTED_VALUE"""),2675.01)</f>
        <v>2675.01</v>
      </c>
      <c r="G372" s="3">
        <f ca="1">IFERROR(__xludf.DUMMYFUNCTION("""COMPUTED_VALUE"""),44001.6666666666)</f>
        <v>44001.666666666599</v>
      </c>
      <c r="H372" s="2">
        <f ca="1">IFERROR(__xludf.DUMMYFUNCTION("""COMPUTED_VALUE"""),1424.64)</f>
        <v>1424.64</v>
      </c>
      <c r="I372" s="3">
        <f ca="1">IFERROR(__xludf.DUMMYFUNCTION("""COMPUTED_VALUE"""),44001.6666666666)</f>
        <v>44001.666666666599</v>
      </c>
      <c r="J372" s="2">
        <f ca="1">IFERROR(__xludf.DUMMYFUNCTION("""COMPUTED_VALUE"""),1431.72)</f>
        <v>1431.72</v>
      </c>
      <c r="K372" s="3">
        <f ca="1">IFERROR(__xludf.DUMMYFUNCTION("""COMPUTED_VALUE"""),44001.6666666666)</f>
        <v>44001.666666666599</v>
      </c>
      <c r="L372" s="2">
        <f ca="1">IFERROR(__xludf.DUMMYFUNCTION("""COMPUTED_VALUE"""),238.79)</f>
        <v>238.79</v>
      </c>
      <c r="M372" s="3">
        <f ca="1">IFERROR(__xludf.DUMMYFUNCTION("""COMPUTED_VALUE"""),44001.6666666666)</f>
        <v>44001.666666666599</v>
      </c>
      <c r="N372" s="2">
        <f ca="1">IFERROR(__xludf.DUMMYFUNCTION("""COMPUTED_VALUE"""),200.18)</f>
        <v>200.18</v>
      </c>
      <c r="O372" s="3">
        <f ca="1">IFERROR(__xludf.DUMMYFUNCTION("""COMPUTED_VALUE"""),44001.6666666666)</f>
        <v>44001.666666666599</v>
      </c>
      <c r="P372" s="2">
        <f ca="1">IFERROR(__xludf.DUMMYFUNCTION("""COMPUTED_VALUE"""),92.61)</f>
        <v>92.61</v>
      </c>
      <c r="Q372" s="3">
        <f ca="1">IFERROR(__xludf.DUMMYFUNCTION("""COMPUTED_VALUE"""),44001.6666666666)</f>
        <v>44001.666666666599</v>
      </c>
      <c r="R372" s="2">
        <f ca="1">IFERROR(__xludf.DUMMYFUNCTION("""COMPUTED_VALUE"""),179.72)</f>
        <v>179.72</v>
      </c>
      <c r="S372" s="3">
        <f ca="1">IFERROR(__xludf.DUMMYFUNCTION("""COMPUTED_VALUE"""),44001.6666666666)</f>
        <v>44001.666666666599</v>
      </c>
      <c r="T372" s="2">
        <f ca="1">IFERROR(__xludf.DUMMYFUNCTION("""COMPUTED_VALUE"""),143.83)</f>
        <v>143.83000000000001</v>
      </c>
    </row>
    <row r="373" spans="1:20">
      <c r="A373" s="3">
        <f ca="1">IFERROR(__xludf.DUMMYFUNCTION("""COMPUTED_VALUE"""),44004.6666666666)</f>
        <v>44004.666666666599</v>
      </c>
      <c r="B373" s="2">
        <f ca="1">IFERROR(__xludf.DUMMYFUNCTION("""COMPUTED_VALUE"""),89.72)</f>
        <v>89.72</v>
      </c>
      <c r="C373" s="3">
        <f ca="1">IFERROR(__xludf.DUMMYFUNCTION("""COMPUTED_VALUE"""),44004.6666666666)</f>
        <v>44004.666666666599</v>
      </c>
      <c r="D373" s="2">
        <f ca="1">IFERROR(__xludf.DUMMYFUNCTION("""COMPUTED_VALUE"""),200.57)</f>
        <v>200.57</v>
      </c>
      <c r="E373" s="3">
        <f ca="1">IFERROR(__xludf.DUMMYFUNCTION("""COMPUTED_VALUE"""),44004.6666666666)</f>
        <v>44004.666666666599</v>
      </c>
      <c r="F373" s="2">
        <f ca="1">IFERROR(__xludf.DUMMYFUNCTION("""COMPUTED_VALUE"""),2713.82)</f>
        <v>2713.82</v>
      </c>
      <c r="G373" s="3">
        <f ca="1">IFERROR(__xludf.DUMMYFUNCTION("""COMPUTED_VALUE"""),44004.6666666666)</f>
        <v>44004.666666666599</v>
      </c>
      <c r="H373" s="2">
        <f ca="1">IFERROR(__xludf.DUMMYFUNCTION("""COMPUTED_VALUE"""),1450.66)</f>
        <v>1450.66</v>
      </c>
      <c r="I373" s="3">
        <f ca="1">IFERROR(__xludf.DUMMYFUNCTION("""COMPUTED_VALUE"""),44004.6666666666)</f>
        <v>44004.666666666599</v>
      </c>
      <c r="J373" s="2">
        <f ca="1">IFERROR(__xludf.DUMMYFUNCTION("""COMPUTED_VALUE"""),1451.86)</f>
        <v>1451.86</v>
      </c>
      <c r="K373" s="3">
        <f ca="1">IFERROR(__xludf.DUMMYFUNCTION("""COMPUTED_VALUE"""),44004.6666666666)</f>
        <v>44004.666666666599</v>
      </c>
      <c r="L373" s="2">
        <f ca="1">IFERROR(__xludf.DUMMYFUNCTION("""COMPUTED_VALUE"""),239.22)</f>
        <v>239.22</v>
      </c>
      <c r="M373" s="3">
        <f ca="1">IFERROR(__xludf.DUMMYFUNCTION("""COMPUTED_VALUE"""),44004.6666666666)</f>
        <v>44004.666666666599</v>
      </c>
      <c r="N373" s="2">
        <f ca="1">IFERROR(__xludf.DUMMYFUNCTION("""COMPUTED_VALUE"""),198.86)</f>
        <v>198.86</v>
      </c>
      <c r="O373" s="3">
        <f ca="1">IFERROR(__xludf.DUMMYFUNCTION("""COMPUTED_VALUE"""),44004.6666666666)</f>
        <v>44004.666666666599</v>
      </c>
      <c r="P373" s="2">
        <f ca="1">IFERROR(__xludf.DUMMYFUNCTION("""COMPUTED_VALUE"""),95.27)</f>
        <v>95.27</v>
      </c>
      <c r="Q373" s="3">
        <f ca="1">IFERROR(__xludf.DUMMYFUNCTION("""COMPUTED_VALUE"""),44004.6666666666)</f>
        <v>44004.666666666599</v>
      </c>
      <c r="R373" s="2">
        <f ca="1">IFERROR(__xludf.DUMMYFUNCTION("""COMPUTED_VALUE"""),180.17)</f>
        <v>180.17</v>
      </c>
      <c r="S373" s="3">
        <f ca="1">IFERROR(__xludf.DUMMYFUNCTION("""COMPUTED_VALUE"""),44004.6666666666)</f>
        <v>44004.666666666599</v>
      </c>
      <c r="T373" s="2">
        <f ca="1">IFERROR(__xludf.DUMMYFUNCTION("""COMPUTED_VALUE"""),143.39)</f>
        <v>143.38999999999999</v>
      </c>
    </row>
    <row r="374" spans="1:20">
      <c r="A374" s="3">
        <f ca="1">IFERROR(__xludf.DUMMYFUNCTION("""COMPUTED_VALUE"""),44005.6666666666)</f>
        <v>44005.666666666599</v>
      </c>
      <c r="B374" s="2">
        <f ca="1">IFERROR(__xludf.DUMMYFUNCTION("""COMPUTED_VALUE"""),91.63)</f>
        <v>91.63</v>
      </c>
      <c r="C374" s="3">
        <f ca="1">IFERROR(__xludf.DUMMYFUNCTION("""COMPUTED_VALUE"""),44005.6666666666)</f>
        <v>44005.666666666599</v>
      </c>
      <c r="D374" s="2">
        <f ca="1">IFERROR(__xludf.DUMMYFUNCTION("""COMPUTED_VALUE"""),201.91)</f>
        <v>201.91</v>
      </c>
      <c r="E374" s="3">
        <f ca="1">IFERROR(__xludf.DUMMYFUNCTION("""COMPUTED_VALUE"""),44005.6666666666)</f>
        <v>44005.666666666599</v>
      </c>
      <c r="F374" s="2">
        <f ca="1">IFERROR(__xludf.DUMMYFUNCTION("""COMPUTED_VALUE"""),2764.41)</f>
        <v>2764.41</v>
      </c>
      <c r="G374" s="3">
        <f ca="1">IFERROR(__xludf.DUMMYFUNCTION("""COMPUTED_VALUE"""),44005.6666666666)</f>
        <v>44005.666666666599</v>
      </c>
      <c r="H374" s="2">
        <f ca="1">IFERROR(__xludf.DUMMYFUNCTION("""COMPUTED_VALUE"""),1463.98)</f>
        <v>1463.98</v>
      </c>
      <c r="I374" s="3">
        <f ca="1">IFERROR(__xludf.DUMMYFUNCTION("""COMPUTED_VALUE"""),44005.6666666666)</f>
        <v>44005.666666666599</v>
      </c>
      <c r="J374" s="2">
        <f ca="1">IFERROR(__xludf.DUMMYFUNCTION("""COMPUTED_VALUE"""),1464.41)</f>
        <v>1464.41</v>
      </c>
      <c r="K374" s="3">
        <f ca="1">IFERROR(__xludf.DUMMYFUNCTION("""COMPUTED_VALUE"""),44005.6666666666)</f>
        <v>44005.666666666599</v>
      </c>
      <c r="L374" s="2">
        <f ca="1">IFERROR(__xludf.DUMMYFUNCTION("""COMPUTED_VALUE"""),242.24)</f>
        <v>242.24</v>
      </c>
      <c r="M374" s="3">
        <f ca="1">IFERROR(__xludf.DUMMYFUNCTION("""COMPUTED_VALUE"""),44005.6666666666)</f>
        <v>44005.666666666599</v>
      </c>
      <c r="N374" s="2">
        <f ca="1">IFERROR(__xludf.DUMMYFUNCTION("""COMPUTED_VALUE"""),200.36)</f>
        <v>200.36</v>
      </c>
      <c r="O374" s="3">
        <f ca="1">IFERROR(__xludf.DUMMYFUNCTION("""COMPUTED_VALUE"""),44005.6666666666)</f>
        <v>44005.666666666599</v>
      </c>
      <c r="P374" s="2">
        <f ca="1">IFERROR(__xludf.DUMMYFUNCTION("""COMPUTED_VALUE"""),94.5)</f>
        <v>94.5</v>
      </c>
      <c r="Q374" s="3">
        <f ca="1">IFERROR(__xludf.DUMMYFUNCTION("""COMPUTED_VALUE"""),44005.6666666666)</f>
        <v>44005.666666666599</v>
      </c>
      <c r="R374" s="2">
        <f ca="1">IFERROR(__xludf.DUMMYFUNCTION("""COMPUTED_VALUE"""),181.01)</f>
        <v>181.01</v>
      </c>
      <c r="S374" s="3">
        <f ca="1">IFERROR(__xludf.DUMMYFUNCTION("""COMPUTED_VALUE"""),44005.6666666666)</f>
        <v>44005.666666666599</v>
      </c>
      <c r="T374" s="2">
        <f ca="1">IFERROR(__xludf.DUMMYFUNCTION("""COMPUTED_VALUE"""),142.86)</f>
        <v>142.86000000000001</v>
      </c>
    </row>
    <row r="375" spans="1:20">
      <c r="A375" s="3">
        <f ca="1">IFERROR(__xludf.DUMMYFUNCTION("""COMPUTED_VALUE"""),44006.6666666666)</f>
        <v>44006.666666666599</v>
      </c>
      <c r="B375" s="2">
        <f ca="1">IFERROR(__xludf.DUMMYFUNCTION("""COMPUTED_VALUE"""),90.02)</f>
        <v>90.02</v>
      </c>
      <c r="C375" s="3">
        <f ca="1">IFERROR(__xludf.DUMMYFUNCTION("""COMPUTED_VALUE"""),44006.6666666666)</f>
        <v>44006.666666666599</v>
      </c>
      <c r="D375" s="2">
        <f ca="1">IFERROR(__xludf.DUMMYFUNCTION("""COMPUTED_VALUE"""),197.84)</f>
        <v>197.84</v>
      </c>
      <c r="E375" s="3">
        <f ca="1">IFERROR(__xludf.DUMMYFUNCTION("""COMPUTED_VALUE"""),44006.6666666666)</f>
        <v>44006.666666666599</v>
      </c>
      <c r="F375" s="2">
        <f ca="1">IFERROR(__xludf.DUMMYFUNCTION("""COMPUTED_VALUE"""),2734.4)</f>
        <v>2734.4</v>
      </c>
      <c r="G375" s="3">
        <f ca="1">IFERROR(__xludf.DUMMYFUNCTION("""COMPUTED_VALUE"""),44006.6666666666)</f>
        <v>44006.666666666599</v>
      </c>
      <c r="H375" s="2">
        <f ca="1">IFERROR(__xludf.DUMMYFUNCTION("""COMPUTED_VALUE"""),1432.7)</f>
        <v>1432.7</v>
      </c>
      <c r="I375" s="3">
        <f ca="1">IFERROR(__xludf.DUMMYFUNCTION("""COMPUTED_VALUE"""),44006.6666666666)</f>
        <v>44006.666666666599</v>
      </c>
      <c r="J375" s="2">
        <f ca="1">IFERROR(__xludf.DUMMYFUNCTION("""COMPUTED_VALUE"""),1431.97)</f>
        <v>1431.97</v>
      </c>
      <c r="K375" s="3">
        <f ca="1">IFERROR(__xludf.DUMMYFUNCTION("""COMPUTED_VALUE"""),44006.6666666666)</f>
        <v>44006.666666666599</v>
      </c>
      <c r="L375" s="2">
        <f ca="1">IFERROR(__xludf.DUMMYFUNCTION("""COMPUTED_VALUE"""),234.02)</f>
        <v>234.02</v>
      </c>
      <c r="M375" s="3">
        <f ca="1">IFERROR(__xludf.DUMMYFUNCTION("""COMPUTED_VALUE"""),44006.6666666666)</f>
        <v>44006.666666666599</v>
      </c>
      <c r="N375" s="2">
        <f ca="1">IFERROR(__xludf.DUMMYFUNCTION("""COMPUTED_VALUE"""),192.17)</f>
        <v>192.17</v>
      </c>
      <c r="O375" s="3">
        <f ca="1">IFERROR(__xludf.DUMMYFUNCTION("""COMPUTED_VALUE"""),44006.6666666666)</f>
        <v>44006.666666666599</v>
      </c>
      <c r="P375" s="2">
        <f ca="1">IFERROR(__xludf.DUMMYFUNCTION("""COMPUTED_VALUE"""),92.36)</f>
        <v>92.36</v>
      </c>
      <c r="Q375" s="3">
        <f ca="1">IFERROR(__xludf.DUMMYFUNCTION("""COMPUTED_VALUE"""),44006.6666666666)</f>
        <v>44006.666666666599</v>
      </c>
      <c r="R375" s="2">
        <f ca="1">IFERROR(__xludf.DUMMYFUNCTION("""COMPUTED_VALUE"""),177.53)</f>
        <v>177.53</v>
      </c>
      <c r="S375" s="3">
        <f ca="1">IFERROR(__xludf.DUMMYFUNCTION("""COMPUTED_VALUE"""),44006.6666666666)</f>
        <v>44006.666666666599</v>
      </c>
      <c r="T375" s="2">
        <f ca="1">IFERROR(__xludf.DUMMYFUNCTION("""COMPUTED_VALUE"""),139.82)</f>
        <v>139.82</v>
      </c>
    </row>
    <row r="376" spans="1:20">
      <c r="A376" s="3">
        <f ca="1">IFERROR(__xludf.DUMMYFUNCTION("""COMPUTED_VALUE"""),44007.6666666666)</f>
        <v>44007.666666666599</v>
      </c>
      <c r="B376" s="2">
        <f ca="1">IFERROR(__xludf.DUMMYFUNCTION("""COMPUTED_VALUE"""),91.21)</f>
        <v>91.21</v>
      </c>
      <c r="C376" s="3">
        <f ca="1">IFERROR(__xludf.DUMMYFUNCTION("""COMPUTED_VALUE"""),44007.6666666666)</f>
        <v>44007.666666666599</v>
      </c>
      <c r="D376" s="2">
        <f ca="1">IFERROR(__xludf.DUMMYFUNCTION("""COMPUTED_VALUE"""),200.34)</f>
        <v>200.34</v>
      </c>
      <c r="E376" s="3">
        <f ca="1">IFERROR(__xludf.DUMMYFUNCTION("""COMPUTED_VALUE"""),44007.6666666666)</f>
        <v>44007.666666666599</v>
      </c>
      <c r="F376" s="2">
        <f ca="1">IFERROR(__xludf.DUMMYFUNCTION("""COMPUTED_VALUE"""),2754.58)</f>
        <v>2754.58</v>
      </c>
      <c r="G376" s="3">
        <f ca="1">IFERROR(__xludf.DUMMYFUNCTION("""COMPUTED_VALUE"""),44007.6666666666)</f>
        <v>44007.666666666599</v>
      </c>
      <c r="H376" s="2">
        <f ca="1">IFERROR(__xludf.DUMMYFUNCTION("""COMPUTED_VALUE"""),1441.1)</f>
        <v>1441.1</v>
      </c>
      <c r="I376" s="3">
        <f ca="1">IFERROR(__xludf.DUMMYFUNCTION("""COMPUTED_VALUE"""),44007.6666666666)</f>
        <v>44007.666666666599</v>
      </c>
      <c r="J376" s="2">
        <f ca="1">IFERROR(__xludf.DUMMYFUNCTION("""COMPUTED_VALUE"""),1441.33)</f>
        <v>1441.33</v>
      </c>
      <c r="K376" s="3">
        <f ca="1">IFERROR(__xludf.DUMMYFUNCTION("""COMPUTED_VALUE"""),44007.6666666666)</f>
        <v>44007.666666666599</v>
      </c>
      <c r="L376" s="2">
        <f ca="1">IFERROR(__xludf.DUMMYFUNCTION("""COMPUTED_VALUE"""),235.68)</f>
        <v>235.68</v>
      </c>
      <c r="M376" s="3">
        <f ca="1">IFERROR(__xludf.DUMMYFUNCTION("""COMPUTED_VALUE"""),44007.6666666666)</f>
        <v>44007.666666666599</v>
      </c>
      <c r="N376" s="2">
        <f ca="1">IFERROR(__xludf.DUMMYFUNCTION("""COMPUTED_VALUE"""),197.2)</f>
        <v>197.2</v>
      </c>
      <c r="O376" s="3">
        <f ca="1">IFERROR(__xludf.DUMMYFUNCTION("""COMPUTED_VALUE"""),44007.6666666666)</f>
        <v>44007.666666666599</v>
      </c>
      <c r="P376" s="2">
        <f ca="1">IFERROR(__xludf.DUMMYFUNCTION("""COMPUTED_VALUE"""),94.9)</f>
        <v>94.9</v>
      </c>
      <c r="Q376" s="3">
        <f ca="1">IFERROR(__xludf.DUMMYFUNCTION("""COMPUTED_VALUE"""),44007.6666666666)</f>
        <v>44007.666666666599</v>
      </c>
      <c r="R376" s="2">
        <f ca="1">IFERROR(__xludf.DUMMYFUNCTION("""COMPUTED_VALUE"""),178.85)</f>
        <v>178.85</v>
      </c>
      <c r="S376" s="3">
        <f ca="1">IFERROR(__xludf.DUMMYFUNCTION("""COMPUTED_VALUE"""),44007.6666666666)</f>
        <v>44007.666666666599</v>
      </c>
      <c r="T376" s="2">
        <f ca="1">IFERROR(__xludf.DUMMYFUNCTION("""COMPUTED_VALUE"""),139.67)</f>
        <v>139.66999999999999</v>
      </c>
    </row>
    <row r="377" spans="1:20">
      <c r="A377" s="3">
        <f ca="1">IFERROR(__xludf.DUMMYFUNCTION("""COMPUTED_VALUE"""),44008.6666666666)</f>
        <v>44008.666666666599</v>
      </c>
      <c r="B377" s="2">
        <f ca="1">IFERROR(__xludf.DUMMYFUNCTION("""COMPUTED_VALUE"""),88.41)</f>
        <v>88.41</v>
      </c>
      <c r="C377" s="3">
        <f ca="1">IFERROR(__xludf.DUMMYFUNCTION("""COMPUTED_VALUE"""),44008.6666666666)</f>
        <v>44008.666666666599</v>
      </c>
      <c r="D377" s="2">
        <f ca="1">IFERROR(__xludf.DUMMYFUNCTION("""COMPUTED_VALUE"""),196.33)</f>
        <v>196.33</v>
      </c>
      <c r="E377" s="3">
        <f ca="1">IFERROR(__xludf.DUMMYFUNCTION("""COMPUTED_VALUE"""),44008.6666666666)</f>
        <v>44008.666666666599</v>
      </c>
      <c r="F377" s="2">
        <f ca="1">IFERROR(__xludf.DUMMYFUNCTION("""COMPUTED_VALUE"""),2692.87)</f>
        <v>2692.87</v>
      </c>
      <c r="G377" s="3">
        <f ca="1">IFERROR(__xludf.DUMMYFUNCTION("""COMPUTED_VALUE"""),44008.6666666666)</f>
        <v>44008.666666666599</v>
      </c>
      <c r="H377" s="2">
        <f ca="1">IFERROR(__xludf.DUMMYFUNCTION("""COMPUTED_VALUE"""),1362.54)</f>
        <v>1362.54</v>
      </c>
      <c r="I377" s="3">
        <f ca="1">IFERROR(__xludf.DUMMYFUNCTION("""COMPUTED_VALUE"""),44008.6666666666)</f>
        <v>44008.666666666599</v>
      </c>
      <c r="J377" s="2">
        <f ca="1">IFERROR(__xludf.DUMMYFUNCTION("""COMPUTED_VALUE"""),1359.9)</f>
        <v>1359.9</v>
      </c>
      <c r="K377" s="3">
        <f ca="1">IFERROR(__xludf.DUMMYFUNCTION("""COMPUTED_VALUE"""),44008.6666666666)</f>
        <v>44008.666666666599</v>
      </c>
      <c r="L377" s="2">
        <f ca="1">IFERROR(__xludf.DUMMYFUNCTION("""COMPUTED_VALUE"""),216.08)</f>
        <v>216.08</v>
      </c>
      <c r="M377" s="3">
        <f ca="1">IFERROR(__xludf.DUMMYFUNCTION("""COMPUTED_VALUE"""),44008.6666666666)</f>
        <v>44008.666666666599</v>
      </c>
      <c r="N377" s="2">
        <f ca="1">IFERROR(__xludf.DUMMYFUNCTION("""COMPUTED_VALUE"""),191.95)</f>
        <v>191.95</v>
      </c>
      <c r="O377" s="3">
        <f ca="1">IFERROR(__xludf.DUMMYFUNCTION("""COMPUTED_VALUE"""),44008.6666666666)</f>
        <v>44008.666666666599</v>
      </c>
      <c r="P377" s="2">
        <f ca="1">IFERROR(__xludf.DUMMYFUNCTION("""COMPUTED_VALUE"""),91.55)</f>
        <v>91.55</v>
      </c>
      <c r="Q377" s="3">
        <f ca="1">IFERROR(__xludf.DUMMYFUNCTION("""COMPUTED_VALUE"""),44008.6666666666)</f>
        <v>44008.666666666599</v>
      </c>
      <c r="R377" s="2">
        <f ca="1">IFERROR(__xludf.DUMMYFUNCTION("""COMPUTED_VALUE"""),175.37)</f>
        <v>175.37</v>
      </c>
      <c r="S377" s="3">
        <f ca="1">IFERROR(__xludf.DUMMYFUNCTION("""COMPUTED_VALUE"""),44008.6666666666)</f>
        <v>44008.666666666599</v>
      </c>
      <c r="T377" s="2">
        <f ca="1">IFERROR(__xludf.DUMMYFUNCTION("""COMPUTED_VALUE"""),137.81)</f>
        <v>137.81</v>
      </c>
    </row>
    <row r="378" spans="1:20">
      <c r="A378" s="3">
        <f ca="1">IFERROR(__xludf.DUMMYFUNCTION("""COMPUTED_VALUE"""),44011.6666666666)</f>
        <v>44011.666666666599</v>
      </c>
      <c r="B378" s="2">
        <f ca="1">IFERROR(__xludf.DUMMYFUNCTION("""COMPUTED_VALUE"""),90.45)</f>
        <v>90.45</v>
      </c>
      <c r="C378" s="3">
        <f ca="1">IFERROR(__xludf.DUMMYFUNCTION("""COMPUTED_VALUE"""),44011.6666666666)</f>
        <v>44011.666666666599</v>
      </c>
      <c r="D378" s="2">
        <f ca="1">IFERROR(__xludf.DUMMYFUNCTION("""COMPUTED_VALUE"""),198.44)</f>
        <v>198.44</v>
      </c>
      <c r="E378" s="3">
        <f ca="1">IFERROR(__xludf.DUMMYFUNCTION("""COMPUTED_VALUE"""),44011.6666666666)</f>
        <v>44011.666666666599</v>
      </c>
      <c r="F378" s="2">
        <f ca="1">IFERROR(__xludf.DUMMYFUNCTION("""COMPUTED_VALUE"""),2680.38)</f>
        <v>2680.38</v>
      </c>
      <c r="G378" s="3">
        <f ca="1">IFERROR(__xludf.DUMMYFUNCTION("""COMPUTED_VALUE"""),44011.6666666666)</f>
        <v>44011.666666666599</v>
      </c>
      <c r="H378" s="2">
        <f ca="1">IFERROR(__xludf.DUMMYFUNCTION("""COMPUTED_VALUE"""),1397.17)</f>
        <v>1397.17</v>
      </c>
      <c r="I378" s="3">
        <f ca="1">IFERROR(__xludf.DUMMYFUNCTION("""COMPUTED_VALUE"""),44011.6666666666)</f>
        <v>44011.666666666599</v>
      </c>
      <c r="J378" s="2">
        <f ca="1">IFERROR(__xludf.DUMMYFUNCTION("""COMPUTED_VALUE"""),1394.97)</f>
        <v>1394.97</v>
      </c>
      <c r="K378" s="3">
        <f ca="1">IFERROR(__xludf.DUMMYFUNCTION("""COMPUTED_VALUE"""),44011.6666666666)</f>
        <v>44011.666666666599</v>
      </c>
      <c r="L378" s="2">
        <f ca="1">IFERROR(__xludf.DUMMYFUNCTION("""COMPUTED_VALUE"""),220.64)</f>
        <v>220.64</v>
      </c>
      <c r="M378" s="3">
        <f ca="1">IFERROR(__xludf.DUMMYFUNCTION("""COMPUTED_VALUE"""),44011.6666666666)</f>
        <v>44011.666666666599</v>
      </c>
      <c r="N378" s="2">
        <f ca="1">IFERROR(__xludf.DUMMYFUNCTION("""COMPUTED_VALUE"""),201.87)</f>
        <v>201.87</v>
      </c>
      <c r="O378" s="3">
        <f ca="1">IFERROR(__xludf.DUMMYFUNCTION("""COMPUTED_VALUE"""),44011.6666666666)</f>
        <v>44011.666666666599</v>
      </c>
      <c r="P378" s="2">
        <f ca="1">IFERROR(__xludf.DUMMYFUNCTION("""COMPUTED_VALUE"""),92)</f>
        <v>92</v>
      </c>
      <c r="Q378" s="3">
        <f ca="1">IFERROR(__xludf.DUMMYFUNCTION("""COMPUTED_VALUE"""),44011.6666666666)</f>
        <v>44011.666666666599</v>
      </c>
      <c r="R378" s="2">
        <f ca="1">IFERROR(__xludf.DUMMYFUNCTION("""COMPUTED_VALUE"""),177.19)</f>
        <v>177.19</v>
      </c>
      <c r="S378" s="3">
        <f ca="1">IFERROR(__xludf.DUMMYFUNCTION("""COMPUTED_VALUE"""),44011.6666666666)</f>
        <v>44011.666666666599</v>
      </c>
      <c r="T378" s="2">
        <f ca="1">IFERROR(__xludf.DUMMYFUNCTION("""COMPUTED_VALUE"""),139.04)</f>
        <v>139.04</v>
      </c>
    </row>
    <row r="379" spans="1:20">
      <c r="A379" s="3">
        <f ca="1">IFERROR(__xludf.DUMMYFUNCTION("""COMPUTED_VALUE"""),44012.6666666666)</f>
        <v>44012.666666666599</v>
      </c>
      <c r="B379" s="2">
        <f ca="1">IFERROR(__xludf.DUMMYFUNCTION("""COMPUTED_VALUE"""),91.2)</f>
        <v>91.2</v>
      </c>
      <c r="C379" s="3">
        <f ca="1">IFERROR(__xludf.DUMMYFUNCTION("""COMPUTED_VALUE"""),44012.6666666666)</f>
        <v>44012.666666666599</v>
      </c>
      <c r="D379" s="2">
        <f ca="1">IFERROR(__xludf.DUMMYFUNCTION("""COMPUTED_VALUE"""),203.51)</f>
        <v>203.51</v>
      </c>
      <c r="E379" s="3">
        <f ca="1">IFERROR(__xludf.DUMMYFUNCTION("""COMPUTED_VALUE"""),44012.6666666666)</f>
        <v>44012.666666666599</v>
      </c>
      <c r="F379" s="2">
        <f ca="1">IFERROR(__xludf.DUMMYFUNCTION("""COMPUTED_VALUE"""),2758.82)</f>
        <v>2758.82</v>
      </c>
      <c r="G379" s="3">
        <f ca="1">IFERROR(__xludf.DUMMYFUNCTION("""COMPUTED_VALUE"""),44012.6666666666)</f>
        <v>44012.666666666599</v>
      </c>
      <c r="H379" s="2">
        <f ca="1">IFERROR(__xludf.DUMMYFUNCTION("""COMPUTED_VALUE"""),1418.05)</f>
        <v>1418.05</v>
      </c>
      <c r="I379" s="3">
        <f ca="1">IFERROR(__xludf.DUMMYFUNCTION("""COMPUTED_VALUE"""),44012.6666666666)</f>
        <v>44012.666666666599</v>
      </c>
      <c r="J379" s="2">
        <f ca="1">IFERROR(__xludf.DUMMYFUNCTION("""COMPUTED_VALUE"""),1413.61)</f>
        <v>1413.61</v>
      </c>
      <c r="K379" s="3">
        <f ca="1">IFERROR(__xludf.DUMMYFUNCTION("""COMPUTED_VALUE"""),44012.6666666666)</f>
        <v>44012.666666666599</v>
      </c>
      <c r="L379" s="2">
        <f ca="1">IFERROR(__xludf.DUMMYFUNCTION("""COMPUTED_VALUE"""),227.07)</f>
        <v>227.07</v>
      </c>
      <c r="M379" s="3">
        <f ca="1">IFERROR(__xludf.DUMMYFUNCTION("""COMPUTED_VALUE"""),44012.6666666666)</f>
        <v>44012.666666666599</v>
      </c>
      <c r="N379" s="2">
        <f ca="1">IFERROR(__xludf.DUMMYFUNCTION("""COMPUTED_VALUE"""),215.96)</f>
        <v>215.96</v>
      </c>
      <c r="O379" s="3">
        <f ca="1">IFERROR(__xludf.DUMMYFUNCTION("""COMPUTED_VALUE"""),44012.6666666666)</f>
        <v>44012.666666666599</v>
      </c>
      <c r="P379" s="2">
        <f ca="1">IFERROR(__xludf.DUMMYFUNCTION("""COMPUTED_VALUE"""),94.98)</f>
        <v>94.98</v>
      </c>
      <c r="Q379" s="3">
        <f ca="1">IFERROR(__xludf.DUMMYFUNCTION("""COMPUTED_VALUE"""),44012.6666666666)</f>
        <v>44012.666666666599</v>
      </c>
      <c r="R379" s="2">
        <f ca="1">IFERROR(__xludf.DUMMYFUNCTION("""COMPUTED_VALUE"""),178.51)</f>
        <v>178.51</v>
      </c>
      <c r="S379" s="3">
        <f ca="1">IFERROR(__xludf.DUMMYFUNCTION("""COMPUTED_VALUE"""),44012.6666666666)</f>
        <v>44012.666666666599</v>
      </c>
      <c r="T379" s="2">
        <f ca="1">IFERROR(__xludf.DUMMYFUNCTION("""COMPUTED_VALUE"""),140.63)</f>
        <v>140.63</v>
      </c>
    </row>
    <row r="380" spans="1:20">
      <c r="A380" s="3">
        <f ca="1">IFERROR(__xludf.DUMMYFUNCTION("""COMPUTED_VALUE"""),44013.6666666666)</f>
        <v>44013.666666666599</v>
      </c>
      <c r="B380" s="2">
        <f ca="1">IFERROR(__xludf.DUMMYFUNCTION("""COMPUTED_VALUE"""),91.03)</f>
        <v>91.03</v>
      </c>
      <c r="C380" s="3">
        <f ca="1">IFERROR(__xludf.DUMMYFUNCTION("""COMPUTED_VALUE"""),44013.6666666666)</f>
        <v>44013.666666666599</v>
      </c>
      <c r="D380" s="2">
        <f ca="1">IFERROR(__xludf.DUMMYFUNCTION("""COMPUTED_VALUE"""),204.7)</f>
        <v>204.7</v>
      </c>
      <c r="E380" s="3">
        <f ca="1">IFERROR(__xludf.DUMMYFUNCTION("""COMPUTED_VALUE"""),44013.6666666666)</f>
        <v>44013.666666666599</v>
      </c>
      <c r="F380" s="2">
        <f ca="1">IFERROR(__xludf.DUMMYFUNCTION("""COMPUTED_VALUE"""),2878.7)</f>
        <v>2878.7</v>
      </c>
      <c r="G380" s="3">
        <f ca="1">IFERROR(__xludf.DUMMYFUNCTION("""COMPUTED_VALUE"""),44013.6666666666)</f>
        <v>44013.666666666599</v>
      </c>
      <c r="H380" s="2">
        <f ca="1">IFERROR(__xludf.DUMMYFUNCTION("""COMPUTED_VALUE"""),1442)</f>
        <v>1442</v>
      </c>
      <c r="I380" s="3">
        <f ca="1">IFERROR(__xludf.DUMMYFUNCTION("""COMPUTED_VALUE"""),44013.6666666666)</f>
        <v>44013.666666666599</v>
      </c>
      <c r="J380" s="2">
        <f ca="1">IFERROR(__xludf.DUMMYFUNCTION("""COMPUTED_VALUE"""),1438.04)</f>
        <v>1438.04</v>
      </c>
      <c r="K380" s="3">
        <f ca="1">IFERROR(__xludf.DUMMYFUNCTION("""COMPUTED_VALUE"""),44013.6666666666)</f>
        <v>44013.666666666599</v>
      </c>
      <c r="L380" s="2">
        <f ca="1">IFERROR(__xludf.DUMMYFUNCTION("""COMPUTED_VALUE"""),237.55)</f>
        <v>237.55</v>
      </c>
      <c r="M380" s="3">
        <f ca="1">IFERROR(__xludf.DUMMYFUNCTION("""COMPUTED_VALUE"""),44013.6666666666)</f>
        <v>44013.666666666599</v>
      </c>
      <c r="N380" s="2">
        <f ca="1">IFERROR(__xludf.DUMMYFUNCTION("""COMPUTED_VALUE"""),223.93)</f>
        <v>223.93</v>
      </c>
      <c r="O380" s="3">
        <f ca="1">IFERROR(__xludf.DUMMYFUNCTION("""COMPUTED_VALUE"""),44013.6666666666)</f>
        <v>44013.666666666599</v>
      </c>
      <c r="P380" s="2">
        <f ca="1">IFERROR(__xludf.DUMMYFUNCTION("""COMPUTED_VALUE"""),95.3)</f>
        <v>95.3</v>
      </c>
      <c r="Q380" s="3">
        <f ca="1">IFERROR(__xludf.DUMMYFUNCTION("""COMPUTED_VALUE"""),44013.6666666666)</f>
        <v>44013.666666666599</v>
      </c>
      <c r="R380" s="2">
        <f ca="1">IFERROR(__xludf.DUMMYFUNCTION("""COMPUTED_VALUE"""),177.99)</f>
        <v>177.99</v>
      </c>
      <c r="S380" s="3">
        <f ca="1">IFERROR(__xludf.DUMMYFUNCTION("""COMPUTED_VALUE"""),44013.6666666666)</f>
        <v>44013.666666666599</v>
      </c>
      <c r="T380" s="2">
        <f ca="1">IFERROR(__xludf.DUMMYFUNCTION("""COMPUTED_VALUE"""),140.38)</f>
        <v>140.38</v>
      </c>
    </row>
    <row r="381" spans="1:20">
      <c r="A381" s="3">
        <f ca="1">IFERROR(__xludf.DUMMYFUNCTION("""COMPUTED_VALUE"""),44014.6666666666)</f>
        <v>44014.666666666599</v>
      </c>
      <c r="B381" s="2">
        <f ca="1">IFERROR(__xludf.DUMMYFUNCTION("""COMPUTED_VALUE"""),91.03)</f>
        <v>91.03</v>
      </c>
      <c r="C381" s="3">
        <f ca="1">IFERROR(__xludf.DUMMYFUNCTION("""COMPUTED_VALUE"""),44014.6666666666)</f>
        <v>44014.666666666599</v>
      </c>
      <c r="D381" s="2">
        <f ca="1">IFERROR(__xludf.DUMMYFUNCTION("""COMPUTED_VALUE"""),206.26)</f>
        <v>206.26</v>
      </c>
      <c r="E381" s="3">
        <f ca="1">IFERROR(__xludf.DUMMYFUNCTION("""COMPUTED_VALUE"""),44014.6666666666)</f>
        <v>44014.666666666599</v>
      </c>
      <c r="F381" s="2">
        <f ca="1">IFERROR(__xludf.DUMMYFUNCTION("""COMPUTED_VALUE"""),2890.3)</f>
        <v>2890.3</v>
      </c>
      <c r="G381" s="3">
        <f ca="1">IFERROR(__xludf.DUMMYFUNCTION("""COMPUTED_VALUE"""),44014.6666666666)</f>
        <v>44014.666666666599</v>
      </c>
      <c r="H381" s="2">
        <f ca="1">IFERROR(__xludf.DUMMYFUNCTION("""COMPUTED_VALUE"""),1469.93)</f>
        <v>1469.93</v>
      </c>
      <c r="I381" s="3">
        <f ca="1">IFERROR(__xludf.DUMMYFUNCTION("""COMPUTED_VALUE"""),44014.6666666666)</f>
        <v>44014.666666666599</v>
      </c>
      <c r="J381" s="2">
        <f ca="1">IFERROR(__xludf.DUMMYFUNCTION("""COMPUTED_VALUE"""),1464.7)</f>
        <v>1464.7</v>
      </c>
      <c r="K381" s="3">
        <f ca="1">IFERROR(__xludf.DUMMYFUNCTION("""COMPUTED_VALUE"""),44014.6666666666)</f>
        <v>44014.666666666599</v>
      </c>
      <c r="L381" s="2">
        <f ca="1">IFERROR(__xludf.DUMMYFUNCTION("""COMPUTED_VALUE"""),233.42)</f>
        <v>233.42</v>
      </c>
      <c r="M381" s="3">
        <f ca="1">IFERROR(__xludf.DUMMYFUNCTION("""COMPUTED_VALUE"""),44014.6666666666)</f>
        <v>44014.666666666599</v>
      </c>
      <c r="N381" s="2">
        <f ca="1">IFERROR(__xludf.DUMMYFUNCTION("""COMPUTED_VALUE"""),241.73)</f>
        <v>241.73</v>
      </c>
      <c r="O381" s="3">
        <f ca="1">IFERROR(__xludf.DUMMYFUNCTION("""COMPUTED_VALUE"""),44014.6666666666)</f>
        <v>44014.666666666599</v>
      </c>
      <c r="P381" s="2">
        <f ca="1">IFERROR(__xludf.DUMMYFUNCTION("""COMPUTED_VALUE"""),96.12)</f>
        <v>96.12</v>
      </c>
      <c r="Q381" s="3">
        <f ca="1">IFERROR(__xludf.DUMMYFUNCTION("""COMPUTED_VALUE"""),44014.6666666666)</f>
        <v>44014.666666666599</v>
      </c>
      <c r="R381" s="2">
        <f ca="1">IFERROR(__xludf.DUMMYFUNCTION("""COMPUTED_VALUE"""),178.83)</f>
        <v>178.83</v>
      </c>
      <c r="S381" s="3">
        <f ca="1">IFERROR(__xludf.DUMMYFUNCTION("""COMPUTED_VALUE"""),44014.6666666666)</f>
        <v>44014.666666666599</v>
      </c>
      <c r="T381" s="2">
        <f ca="1">IFERROR(__xludf.DUMMYFUNCTION("""COMPUTED_VALUE"""),140.97)</f>
        <v>140.97</v>
      </c>
    </row>
    <row r="382" spans="1:20">
      <c r="A382" s="3">
        <f ca="1">IFERROR(__xludf.DUMMYFUNCTION("""COMPUTED_VALUE"""),44018.6666666666)</f>
        <v>44018.666666666599</v>
      </c>
      <c r="B382" s="2">
        <f ca="1">IFERROR(__xludf.DUMMYFUNCTION("""COMPUTED_VALUE"""),93.46)</f>
        <v>93.46</v>
      </c>
      <c r="C382" s="3">
        <f ca="1">IFERROR(__xludf.DUMMYFUNCTION("""COMPUTED_VALUE"""),44018.6666666666)</f>
        <v>44018.666666666599</v>
      </c>
      <c r="D382" s="2">
        <f ca="1">IFERROR(__xludf.DUMMYFUNCTION("""COMPUTED_VALUE"""),210.7)</f>
        <v>210.7</v>
      </c>
      <c r="E382" s="3">
        <f ca="1">IFERROR(__xludf.DUMMYFUNCTION("""COMPUTED_VALUE"""),44018.6666666666)</f>
        <v>44018.666666666599</v>
      </c>
      <c r="F382" s="2">
        <f ca="1">IFERROR(__xludf.DUMMYFUNCTION("""COMPUTED_VALUE"""),3057.04)</f>
        <v>3057.04</v>
      </c>
      <c r="G382" s="3">
        <f ca="1">IFERROR(__xludf.DUMMYFUNCTION("""COMPUTED_VALUE"""),44018.6666666666)</f>
        <v>44018.666666666599</v>
      </c>
      <c r="H382" s="2">
        <f ca="1">IFERROR(__xludf.DUMMYFUNCTION("""COMPUTED_VALUE"""),1499.65)</f>
        <v>1499.65</v>
      </c>
      <c r="I382" s="3">
        <f ca="1">IFERROR(__xludf.DUMMYFUNCTION("""COMPUTED_VALUE"""),44018.6666666666)</f>
        <v>44018.666666666599</v>
      </c>
      <c r="J382" s="2">
        <f ca="1">IFERROR(__xludf.DUMMYFUNCTION("""COMPUTED_VALUE"""),1495.7)</f>
        <v>1495.7</v>
      </c>
      <c r="K382" s="3">
        <f ca="1">IFERROR(__xludf.DUMMYFUNCTION("""COMPUTED_VALUE"""),44018.6666666666)</f>
        <v>44018.666666666599</v>
      </c>
      <c r="L382" s="2">
        <f ca="1">IFERROR(__xludf.DUMMYFUNCTION("""COMPUTED_VALUE"""),240.28)</f>
        <v>240.28</v>
      </c>
      <c r="M382" s="3">
        <f ca="1">IFERROR(__xludf.DUMMYFUNCTION("""COMPUTED_VALUE"""),44018.6666666666)</f>
        <v>44018.666666666599</v>
      </c>
      <c r="N382" s="2">
        <f ca="1">IFERROR(__xludf.DUMMYFUNCTION("""COMPUTED_VALUE"""),274.32)</f>
        <v>274.32</v>
      </c>
      <c r="O382" s="3">
        <f ca="1">IFERROR(__xludf.DUMMYFUNCTION("""COMPUTED_VALUE"""),44018.6666666666)</f>
        <v>44018.666666666599</v>
      </c>
      <c r="P382" s="2">
        <f ca="1">IFERROR(__xludf.DUMMYFUNCTION("""COMPUTED_VALUE"""),98.39)</f>
        <v>98.39</v>
      </c>
      <c r="Q382" s="3">
        <f ca="1">IFERROR(__xludf.DUMMYFUNCTION("""COMPUTED_VALUE"""),44018.6666666666)</f>
        <v>44018.666666666599</v>
      </c>
      <c r="R382" s="2">
        <f ca="1">IFERROR(__xludf.DUMMYFUNCTION("""COMPUTED_VALUE"""),182.72)</f>
        <v>182.72</v>
      </c>
      <c r="S382" s="3">
        <f ca="1">IFERROR(__xludf.DUMMYFUNCTION("""COMPUTED_VALUE"""),44018.6666666666)</f>
        <v>44018.666666666599</v>
      </c>
      <c r="T382" s="2">
        <f ca="1">IFERROR(__xludf.DUMMYFUNCTION("""COMPUTED_VALUE"""),142.98)</f>
        <v>142.97999999999999</v>
      </c>
    </row>
    <row r="383" spans="1:20">
      <c r="A383" s="3">
        <f ca="1">IFERROR(__xludf.DUMMYFUNCTION("""COMPUTED_VALUE"""),44019.6666666666)</f>
        <v>44019.666666666599</v>
      </c>
      <c r="B383" s="2">
        <f ca="1">IFERROR(__xludf.DUMMYFUNCTION("""COMPUTED_VALUE"""),93.17)</f>
        <v>93.17</v>
      </c>
      <c r="C383" s="3">
        <f ca="1">IFERROR(__xludf.DUMMYFUNCTION("""COMPUTED_VALUE"""),44019.6666666666)</f>
        <v>44019.666666666599</v>
      </c>
      <c r="D383" s="2">
        <f ca="1">IFERROR(__xludf.DUMMYFUNCTION("""COMPUTED_VALUE"""),208.25)</f>
        <v>208.25</v>
      </c>
      <c r="E383" s="3">
        <f ca="1">IFERROR(__xludf.DUMMYFUNCTION("""COMPUTED_VALUE"""),44019.6666666666)</f>
        <v>44019.666666666599</v>
      </c>
      <c r="F383" s="2">
        <f ca="1">IFERROR(__xludf.DUMMYFUNCTION("""COMPUTED_VALUE"""),3000.12)</f>
        <v>3000.12</v>
      </c>
      <c r="G383" s="3">
        <f ca="1">IFERROR(__xludf.DUMMYFUNCTION("""COMPUTED_VALUE"""),44019.6666666666)</f>
        <v>44019.666666666599</v>
      </c>
      <c r="H383" s="2">
        <f ca="1">IFERROR(__xludf.DUMMYFUNCTION("""COMPUTED_VALUE"""),1489.92)</f>
        <v>1489.92</v>
      </c>
      <c r="I383" s="3">
        <f ca="1">IFERROR(__xludf.DUMMYFUNCTION("""COMPUTED_VALUE"""),44019.6666666666)</f>
        <v>44019.666666666599</v>
      </c>
      <c r="J383" s="2">
        <f ca="1">IFERROR(__xludf.DUMMYFUNCTION("""COMPUTED_VALUE"""),1485.18)</f>
        <v>1485.18</v>
      </c>
      <c r="K383" s="3">
        <f ca="1">IFERROR(__xludf.DUMMYFUNCTION("""COMPUTED_VALUE"""),44019.6666666666)</f>
        <v>44019.666666666599</v>
      </c>
      <c r="L383" s="2">
        <f ca="1">IFERROR(__xludf.DUMMYFUNCTION("""COMPUTED_VALUE"""),240.86)</f>
        <v>240.86</v>
      </c>
      <c r="M383" s="3">
        <f ca="1">IFERROR(__xludf.DUMMYFUNCTION("""COMPUTED_VALUE"""),44019.6666666666)</f>
        <v>44019.666666666599</v>
      </c>
      <c r="N383" s="2">
        <f ca="1">IFERROR(__xludf.DUMMYFUNCTION("""COMPUTED_VALUE"""),277.97)</f>
        <v>277.97000000000003</v>
      </c>
      <c r="O383" s="3">
        <f ca="1">IFERROR(__xludf.DUMMYFUNCTION("""COMPUTED_VALUE"""),44019.6666666666)</f>
        <v>44019.666666666599</v>
      </c>
      <c r="P383" s="2">
        <f ca="1">IFERROR(__xludf.DUMMYFUNCTION("""COMPUTED_VALUE"""),98.72)</f>
        <v>98.72</v>
      </c>
      <c r="Q383" s="3">
        <f ca="1">IFERROR(__xludf.DUMMYFUNCTION("""COMPUTED_VALUE"""),44019.6666666666)</f>
        <v>44019.666666666599</v>
      </c>
      <c r="R383" s="2">
        <f ca="1">IFERROR(__xludf.DUMMYFUNCTION("""COMPUTED_VALUE"""),181.15)</f>
        <v>181.15</v>
      </c>
      <c r="S383" s="3">
        <f ca="1">IFERROR(__xludf.DUMMYFUNCTION("""COMPUTED_VALUE"""),44019.6666666666)</f>
        <v>44019.666666666599</v>
      </c>
      <c r="T383" s="2">
        <f ca="1">IFERROR(__xludf.DUMMYFUNCTION("""COMPUTED_VALUE"""),142.85)</f>
        <v>142.85</v>
      </c>
    </row>
    <row r="384" spans="1:20">
      <c r="A384" s="3">
        <f ca="1">IFERROR(__xludf.DUMMYFUNCTION("""COMPUTED_VALUE"""),44020.6666666666)</f>
        <v>44020.666666666599</v>
      </c>
      <c r="B384" s="2">
        <f ca="1">IFERROR(__xludf.DUMMYFUNCTION("""COMPUTED_VALUE"""),95.34)</f>
        <v>95.34</v>
      </c>
      <c r="C384" s="3">
        <f ca="1">IFERROR(__xludf.DUMMYFUNCTION("""COMPUTED_VALUE"""),44020.6666666666)</f>
        <v>44020.666666666599</v>
      </c>
      <c r="D384" s="2">
        <f ca="1">IFERROR(__xludf.DUMMYFUNCTION("""COMPUTED_VALUE"""),212.83)</f>
        <v>212.83</v>
      </c>
      <c r="E384" s="3">
        <f ca="1">IFERROR(__xludf.DUMMYFUNCTION("""COMPUTED_VALUE"""),44020.6666666666)</f>
        <v>44020.666666666599</v>
      </c>
      <c r="F384" s="2">
        <f ca="1">IFERROR(__xludf.DUMMYFUNCTION("""COMPUTED_VALUE"""),3081.11)</f>
        <v>3081.11</v>
      </c>
      <c r="G384" s="3">
        <f ca="1">IFERROR(__xludf.DUMMYFUNCTION("""COMPUTED_VALUE"""),44020.6666666666)</f>
        <v>44020.666666666599</v>
      </c>
      <c r="H384" s="2">
        <f ca="1">IFERROR(__xludf.DUMMYFUNCTION("""COMPUTED_VALUE"""),1503.6)</f>
        <v>1503.6</v>
      </c>
      <c r="I384" s="3">
        <f ca="1">IFERROR(__xludf.DUMMYFUNCTION("""COMPUTED_VALUE"""),44020.6666666666)</f>
        <v>44020.666666666599</v>
      </c>
      <c r="J384" s="2">
        <f ca="1">IFERROR(__xludf.DUMMYFUNCTION("""COMPUTED_VALUE"""),1496)</f>
        <v>1496</v>
      </c>
      <c r="K384" s="3">
        <f ca="1">IFERROR(__xludf.DUMMYFUNCTION("""COMPUTED_VALUE"""),44020.6666666666)</f>
        <v>44020.666666666599</v>
      </c>
      <c r="L384" s="2">
        <f ca="1">IFERROR(__xludf.DUMMYFUNCTION("""COMPUTED_VALUE"""),243.58)</f>
        <v>243.58</v>
      </c>
      <c r="M384" s="3">
        <f ca="1">IFERROR(__xludf.DUMMYFUNCTION("""COMPUTED_VALUE"""),44020.6666666666)</f>
        <v>44020.666666666599</v>
      </c>
      <c r="N384" s="2">
        <f ca="1">IFERROR(__xludf.DUMMYFUNCTION("""COMPUTED_VALUE"""),273.18)</f>
        <v>273.18</v>
      </c>
      <c r="O384" s="3">
        <f ca="1">IFERROR(__xludf.DUMMYFUNCTION("""COMPUTED_VALUE"""),44020.6666666666)</f>
        <v>44020.666666666599</v>
      </c>
      <c r="P384" s="2">
        <f ca="1">IFERROR(__xludf.DUMMYFUNCTION("""COMPUTED_VALUE"""),102.16)</f>
        <v>102.16</v>
      </c>
      <c r="Q384" s="3">
        <f ca="1">IFERROR(__xludf.DUMMYFUNCTION("""COMPUTED_VALUE"""),44020.6666666666)</f>
        <v>44020.666666666599</v>
      </c>
      <c r="R384" s="2">
        <f ca="1">IFERROR(__xludf.DUMMYFUNCTION("""COMPUTED_VALUE"""),181.2)</f>
        <v>181.2</v>
      </c>
      <c r="S384" s="3">
        <f ca="1">IFERROR(__xludf.DUMMYFUNCTION("""COMPUTED_VALUE"""),44020.6666666666)</f>
        <v>44020.666666666599</v>
      </c>
      <c r="T384" s="2">
        <f ca="1">IFERROR(__xludf.DUMMYFUNCTION("""COMPUTED_VALUE"""),143.27)</f>
        <v>143.27000000000001</v>
      </c>
    </row>
    <row r="385" spans="1:20">
      <c r="A385" s="3">
        <f ca="1">IFERROR(__xludf.DUMMYFUNCTION("""COMPUTED_VALUE"""),44021.6666666666)</f>
        <v>44021.666666666599</v>
      </c>
      <c r="B385" s="2">
        <f ca="1">IFERROR(__xludf.DUMMYFUNCTION("""COMPUTED_VALUE"""),95.68)</f>
        <v>95.68</v>
      </c>
      <c r="C385" s="3">
        <f ca="1">IFERROR(__xludf.DUMMYFUNCTION("""COMPUTED_VALUE"""),44021.6666666666)</f>
        <v>44021.666666666599</v>
      </c>
      <c r="D385" s="2">
        <f ca="1">IFERROR(__xludf.DUMMYFUNCTION("""COMPUTED_VALUE"""),214.32)</f>
        <v>214.32</v>
      </c>
      <c r="E385" s="3">
        <f ca="1">IFERROR(__xludf.DUMMYFUNCTION("""COMPUTED_VALUE"""),44021.6666666666)</f>
        <v>44021.666666666599</v>
      </c>
      <c r="F385" s="2">
        <f ca="1">IFERROR(__xludf.DUMMYFUNCTION("""COMPUTED_VALUE"""),3182.63)</f>
        <v>3182.63</v>
      </c>
      <c r="G385" s="3">
        <f ca="1">IFERROR(__xludf.DUMMYFUNCTION("""COMPUTED_VALUE"""),44021.6666666666)</f>
        <v>44021.666666666599</v>
      </c>
      <c r="H385" s="2">
        <f ca="1">IFERROR(__xludf.DUMMYFUNCTION("""COMPUTED_VALUE"""),1518.66)</f>
        <v>1518.66</v>
      </c>
      <c r="I385" s="3">
        <f ca="1">IFERROR(__xludf.DUMMYFUNCTION("""COMPUTED_VALUE"""),44021.6666666666)</f>
        <v>44021.666666666599</v>
      </c>
      <c r="J385" s="2">
        <f ca="1">IFERROR(__xludf.DUMMYFUNCTION("""COMPUTED_VALUE"""),1510.99)</f>
        <v>1510.99</v>
      </c>
      <c r="K385" s="3">
        <f ca="1">IFERROR(__xludf.DUMMYFUNCTION("""COMPUTED_VALUE"""),44021.6666666666)</f>
        <v>44021.666666666599</v>
      </c>
      <c r="L385" s="2">
        <f ca="1">IFERROR(__xludf.DUMMYFUNCTION("""COMPUTED_VALUE"""),244.5)</f>
        <v>244.5</v>
      </c>
      <c r="M385" s="3">
        <f ca="1">IFERROR(__xludf.DUMMYFUNCTION("""COMPUTED_VALUE"""),44021.6666666666)</f>
        <v>44021.666666666599</v>
      </c>
      <c r="N385" s="2">
        <f ca="1">IFERROR(__xludf.DUMMYFUNCTION("""COMPUTED_VALUE"""),278.86)</f>
        <v>278.86</v>
      </c>
      <c r="O385" s="3">
        <f ca="1">IFERROR(__xludf.DUMMYFUNCTION("""COMPUTED_VALUE"""),44021.6666666666)</f>
        <v>44021.666666666599</v>
      </c>
      <c r="P385" s="2">
        <f ca="1">IFERROR(__xludf.DUMMYFUNCTION("""COMPUTED_VALUE"""),105.09)</f>
        <v>105.09</v>
      </c>
      <c r="Q385" s="3">
        <f ca="1">IFERROR(__xludf.DUMMYFUNCTION("""COMPUTED_VALUE"""),44021.6666666666)</f>
        <v>44021.666666666599</v>
      </c>
      <c r="R385" s="2">
        <f ca="1">IFERROR(__xludf.DUMMYFUNCTION("""COMPUTED_VALUE"""),178.8)</f>
        <v>178.8</v>
      </c>
      <c r="S385" s="3">
        <f ca="1">IFERROR(__xludf.DUMMYFUNCTION("""COMPUTED_VALUE"""),44021.6666666666)</f>
        <v>44021.666666666599</v>
      </c>
      <c r="T385" s="2">
        <f ca="1">IFERROR(__xludf.DUMMYFUNCTION("""COMPUTED_VALUE"""),142.49)</f>
        <v>142.49</v>
      </c>
    </row>
    <row r="386" spans="1:20">
      <c r="A386" s="3">
        <f ca="1">IFERROR(__xludf.DUMMYFUNCTION("""COMPUTED_VALUE"""),44022.6666666666)</f>
        <v>44022.666666666599</v>
      </c>
      <c r="B386" s="2">
        <f ca="1">IFERROR(__xludf.DUMMYFUNCTION("""COMPUTED_VALUE"""),95.92)</f>
        <v>95.92</v>
      </c>
      <c r="C386" s="3">
        <f ca="1">IFERROR(__xludf.DUMMYFUNCTION("""COMPUTED_VALUE"""),44022.6666666666)</f>
        <v>44022.666666666599</v>
      </c>
      <c r="D386" s="2">
        <f ca="1">IFERROR(__xludf.DUMMYFUNCTION("""COMPUTED_VALUE"""),213.67)</f>
        <v>213.67</v>
      </c>
      <c r="E386" s="3">
        <f ca="1">IFERROR(__xludf.DUMMYFUNCTION("""COMPUTED_VALUE"""),44022.6666666666)</f>
        <v>44022.666666666599</v>
      </c>
      <c r="F386" s="2">
        <f ca="1">IFERROR(__xludf.DUMMYFUNCTION("""COMPUTED_VALUE"""),3200)</f>
        <v>3200</v>
      </c>
      <c r="G386" s="3">
        <f ca="1">IFERROR(__xludf.DUMMYFUNCTION("""COMPUTED_VALUE"""),44022.6666666666)</f>
        <v>44022.666666666599</v>
      </c>
      <c r="H386" s="2">
        <f ca="1">IFERROR(__xludf.DUMMYFUNCTION("""COMPUTED_VALUE"""),1539.01)</f>
        <v>1539.01</v>
      </c>
      <c r="I386" s="3">
        <f ca="1">IFERROR(__xludf.DUMMYFUNCTION("""COMPUTED_VALUE"""),44022.6666666666)</f>
        <v>44022.666666666599</v>
      </c>
      <c r="J386" s="2">
        <f ca="1">IFERROR(__xludf.DUMMYFUNCTION("""COMPUTED_VALUE"""),1541.74)</f>
        <v>1541.74</v>
      </c>
      <c r="K386" s="3">
        <f ca="1">IFERROR(__xludf.DUMMYFUNCTION("""COMPUTED_VALUE"""),44022.6666666666)</f>
        <v>44022.666666666599</v>
      </c>
      <c r="L386" s="2">
        <f ca="1">IFERROR(__xludf.DUMMYFUNCTION("""COMPUTED_VALUE"""),245.07)</f>
        <v>245.07</v>
      </c>
      <c r="M386" s="3">
        <f ca="1">IFERROR(__xludf.DUMMYFUNCTION("""COMPUTED_VALUE"""),44022.6666666666)</f>
        <v>44022.666666666599</v>
      </c>
      <c r="N386" s="2">
        <f ca="1">IFERROR(__xludf.DUMMYFUNCTION("""COMPUTED_VALUE"""),308.93)</f>
        <v>308.93</v>
      </c>
      <c r="O386" s="3">
        <f ca="1">IFERROR(__xludf.DUMMYFUNCTION("""COMPUTED_VALUE"""),44022.6666666666)</f>
        <v>44022.666666666599</v>
      </c>
      <c r="P386" s="2">
        <f ca="1">IFERROR(__xludf.DUMMYFUNCTION("""COMPUTED_VALUE"""),104.79)</f>
        <v>104.79</v>
      </c>
      <c r="Q386" s="3">
        <f ca="1">IFERROR(__xludf.DUMMYFUNCTION("""COMPUTED_VALUE"""),44022.6666666666)</f>
        <v>44022.666666666599</v>
      </c>
      <c r="R386" s="2">
        <f ca="1">IFERROR(__xludf.DUMMYFUNCTION("""COMPUTED_VALUE"""),182.9)</f>
        <v>182.9</v>
      </c>
      <c r="S386" s="3">
        <f ca="1">IFERROR(__xludf.DUMMYFUNCTION("""COMPUTED_VALUE"""),44022.6666666666)</f>
        <v>44022.666666666599</v>
      </c>
      <c r="T386" s="2">
        <f ca="1">IFERROR(__xludf.DUMMYFUNCTION("""COMPUTED_VALUE"""),142.37)</f>
        <v>142.37</v>
      </c>
    </row>
    <row r="387" spans="1:20">
      <c r="A387" s="3">
        <f ca="1">IFERROR(__xludf.DUMMYFUNCTION("""COMPUTED_VALUE"""),44025.6666666666)</f>
        <v>44025.666666666599</v>
      </c>
      <c r="B387" s="2">
        <f ca="1">IFERROR(__xludf.DUMMYFUNCTION("""COMPUTED_VALUE"""),95.48)</f>
        <v>95.48</v>
      </c>
      <c r="C387" s="3">
        <f ca="1">IFERROR(__xludf.DUMMYFUNCTION("""COMPUTED_VALUE"""),44025.6666666666)</f>
        <v>44025.666666666599</v>
      </c>
      <c r="D387" s="2">
        <f ca="1">IFERROR(__xludf.DUMMYFUNCTION("""COMPUTED_VALUE"""),207.07)</f>
        <v>207.07</v>
      </c>
      <c r="E387" s="3">
        <f ca="1">IFERROR(__xludf.DUMMYFUNCTION("""COMPUTED_VALUE"""),44025.6666666666)</f>
        <v>44025.666666666599</v>
      </c>
      <c r="F387" s="2">
        <f ca="1">IFERROR(__xludf.DUMMYFUNCTION("""COMPUTED_VALUE"""),3104)</f>
        <v>3104</v>
      </c>
      <c r="G387" s="3">
        <f ca="1">IFERROR(__xludf.DUMMYFUNCTION("""COMPUTED_VALUE"""),44025.6666666666)</f>
        <v>44025.666666666599</v>
      </c>
      <c r="H387" s="2">
        <f ca="1">IFERROR(__xludf.DUMMYFUNCTION("""COMPUTED_VALUE"""),1512.23)</f>
        <v>1512.23</v>
      </c>
      <c r="I387" s="3">
        <f ca="1">IFERROR(__xludf.DUMMYFUNCTION("""COMPUTED_VALUE"""),44025.6666666666)</f>
        <v>44025.666666666599</v>
      </c>
      <c r="J387" s="2">
        <f ca="1">IFERROR(__xludf.DUMMYFUNCTION("""COMPUTED_VALUE"""),1511.34)</f>
        <v>1511.34</v>
      </c>
      <c r="K387" s="3">
        <f ca="1">IFERROR(__xludf.DUMMYFUNCTION("""COMPUTED_VALUE"""),44025.6666666666)</f>
        <v>44025.666666666599</v>
      </c>
      <c r="L387" s="2">
        <f ca="1">IFERROR(__xludf.DUMMYFUNCTION("""COMPUTED_VALUE"""),239)</f>
        <v>239</v>
      </c>
      <c r="M387" s="3">
        <f ca="1">IFERROR(__xludf.DUMMYFUNCTION("""COMPUTED_VALUE"""),44025.6666666666)</f>
        <v>44025.666666666599</v>
      </c>
      <c r="N387" s="2">
        <f ca="1">IFERROR(__xludf.DUMMYFUNCTION("""COMPUTED_VALUE"""),299.41)</f>
        <v>299.41000000000003</v>
      </c>
      <c r="O387" s="3">
        <f ca="1">IFERROR(__xludf.DUMMYFUNCTION("""COMPUTED_VALUE"""),44025.6666666666)</f>
        <v>44025.666666666599</v>
      </c>
      <c r="P387" s="2">
        <f ca="1">IFERROR(__xludf.DUMMYFUNCTION("""COMPUTED_VALUE"""),100.52)</f>
        <v>100.52</v>
      </c>
      <c r="Q387" s="3">
        <f ca="1">IFERROR(__xludf.DUMMYFUNCTION("""COMPUTED_VALUE"""),44025.6666666666)</f>
        <v>44025.666666666599</v>
      </c>
      <c r="R387" s="2">
        <f ca="1">IFERROR(__xludf.DUMMYFUNCTION("""COMPUTED_VALUE"""),184.13)</f>
        <v>184.13</v>
      </c>
      <c r="S387" s="3">
        <f ca="1">IFERROR(__xludf.DUMMYFUNCTION("""COMPUTED_VALUE"""),44025.6666666666)</f>
        <v>44025.666666666599</v>
      </c>
      <c r="T387" s="2">
        <f ca="1">IFERROR(__xludf.DUMMYFUNCTION("""COMPUTED_VALUE"""),145.21)</f>
        <v>145.21</v>
      </c>
    </row>
    <row r="388" spans="1:20">
      <c r="A388" s="3">
        <f ca="1">IFERROR(__xludf.DUMMYFUNCTION("""COMPUTED_VALUE"""),44026.6666666666)</f>
        <v>44026.666666666599</v>
      </c>
      <c r="B388" s="2">
        <f ca="1">IFERROR(__xludf.DUMMYFUNCTION("""COMPUTED_VALUE"""),97.06)</f>
        <v>97.06</v>
      </c>
      <c r="C388" s="3">
        <f ca="1">IFERROR(__xludf.DUMMYFUNCTION("""COMPUTED_VALUE"""),44026.6666666666)</f>
        <v>44026.666666666599</v>
      </c>
      <c r="D388" s="2">
        <f ca="1">IFERROR(__xludf.DUMMYFUNCTION("""COMPUTED_VALUE"""),208.35)</f>
        <v>208.35</v>
      </c>
      <c r="E388" s="3">
        <f ca="1">IFERROR(__xludf.DUMMYFUNCTION("""COMPUTED_VALUE"""),44026.6666666666)</f>
        <v>44026.666666666599</v>
      </c>
      <c r="F388" s="2">
        <f ca="1">IFERROR(__xludf.DUMMYFUNCTION("""COMPUTED_VALUE"""),3084)</f>
        <v>3084</v>
      </c>
      <c r="G388" s="3">
        <f ca="1">IFERROR(__xludf.DUMMYFUNCTION("""COMPUTED_VALUE"""),44026.6666666666)</f>
        <v>44026.666666666599</v>
      </c>
      <c r="H388" s="2">
        <f ca="1">IFERROR(__xludf.DUMMYFUNCTION("""COMPUTED_VALUE"""),1520.86)</f>
        <v>1520.86</v>
      </c>
      <c r="I388" s="3">
        <f ca="1">IFERROR(__xludf.DUMMYFUNCTION("""COMPUTED_VALUE"""),44026.6666666666)</f>
        <v>44026.666666666599</v>
      </c>
      <c r="J388" s="2">
        <f ca="1">IFERROR(__xludf.DUMMYFUNCTION("""COMPUTED_VALUE"""),1520.58)</f>
        <v>1520.58</v>
      </c>
      <c r="K388" s="3">
        <f ca="1">IFERROR(__xludf.DUMMYFUNCTION("""COMPUTED_VALUE"""),44026.6666666666)</f>
        <v>44026.666666666599</v>
      </c>
      <c r="L388" s="2">
        <f ca="1">IFERROR(__xludf.DUMMYFUNCTION("""COMPUTED_VALUE"""),239.73)</f>
        <v>239.73</v>
      </c>
      <c r="M388" s="3">
        <f ca="1">IFERROR(__xludf.DUMMYFUNCTION("""COMPUTED_VALUE"""),44026.6666666666)</f>
        <v>44026.666666666599</v>
      </c>
      <c r="N388" s="2">
        <f ca="1">IFERROR(__xludf.DUMMYFUNCTION("""COMPUTED_VALUE"""),303.36)</f>
        <v>303.36</v>
      </c>
      <c r="O388" s="3">
        <f ca="1">IFERROR(__xludf.DUMMYFUNCTION("""COMPUTED_VALUE"""),44026.6666666666)</f>
        <v>44026.666666666599</v>
      </c>
      <c r="P388" s="2">
        <f ca="1">IFERROR(__xludf.DUMMYFUNCTION("""COMPUTED_VALUE"""),103.77)</f>
        <v>103.77</v>
      </c>
      <c r="Q388" s="3">
        <f ca="1">IFERROR(__xludf.DUMMYFUNCTION("""COMPUTED_VALUE"""),44026.6666666666)</f>
        <v>44026.666666666599</v>
      </c>
      <c r="R388" s="2">
        <f ca="1">IFERROR(__xludf.DUMMYFUNCTION("""COMPUTED_VALUE"""),189.71)</f>
        <v>189.71</v>
      </c>
      <c r="S388" s="3">
        <f ca="1">IFERROR(__xludf.DUMMYFUNCTION("""COMPUTED_VALUE"""),44026.6666666666)</f>
        <v>44026.666666666599</v>
      </c>
      <c r="T388" s="2">
        <f ca="1">IFERROR(__xludf.DUMMYFUNCTION("""COMPUTED_VALUE"""),147.92)</f>
        <v>147.91999999999999</v>
      </c>
    </row>
    <row r="389" spans="1:20">
      <c r="A389" s="3">
        <f ca="1">IFERROR(__xludf.DUMMYFUNCTION("""COMPUTED_VALUE"""),44027.6666666666)</f>
        <v>44027.666666666599</v>
      </c>
      <c r="B389" s="2">
        <f ca="1">IFERROR(__xludf.DUMMYFUNCTION("""COMPUTED_VALUE"""),97.73)</f>
        <v>97.73</v>
      </c>
      <c r="C389" s="3">
        <f ca="1">IFERROR(__xludf.DUMMYFUNCTION("""COMPUTED_VALUE"""),44027.6666666666)</f>
        <v>44027.666666666599</v>
      </c>
      <c r="D389" s="2">
        <f ca="1">IFERROR(__xludf.DUMMYFUNCTION("""COMPUTED_VALUE"""),208.04)</f>
        <v>208.04</v>
      </c>
      <c r="E389" s="3">
        <f ca="1">IFERROR(__xludf.DUMMYFUNCTION("""COMPUTED_VALUE"""),44027.6666666666)</f>
        <v>44027.666666666599</v>
      </c>
      <c r="F389" s="2">
        <f ca="1">IFERROR(__xludf.DUMMYFUNCTION("""COMPUTED_VALUE"""),3008.87)</f>
        <v>3008.87</v>
      </c>
      <c r="G389" s="3">
        <f ca="1">IFERROR(__xludf.DUMMYFUNCTION("""COMPUTED_VALUE"""),44027.6666666666)</f>
        <v>44027.666666666599</v>
      </c>
      <c r="H389" s="2">
        <f ca="1">IFERROR(__xludf.DUMMYFUNCTION("""COMPUTED_VALUE"""),1516.88)</f>
        <v>1516.88</v>
      </c>
      <c r="I389" s="3">
        <f ca="1">IFERROR(__xludf.DUMMYFUNCTION("""COMPUTED_VALUE"""),44027.6666666666)</f>
        <v>44027.666666666599</v>
      </c>
      <c r="J389" s="2">
        <f ca="1">IFERROR(__xludf.DUMMYFUNCTION("""COMPUTED_VALUE"""),1513.64)</f>
        <v>1513.64</v>
      </c>
      <c r="K389" s="3">
        <f ca="1">IFERROR(__xludf.DUMMYFUNCTION("""COMPUTED_VALUE"""),44027.6666666666)</f>
        <v>44027.666666666599</v>
      </c>
      <c r="L389" s="2">
        <f ca="1">IFERROR(__xludf.DUMMYFUNCTION("""COMPUTED_VALUE"""),240.28)</f>
        <v>240.28</v>
      </c>
      <c r="M389" s="3">
        <f ca="1">IFERROR(__xludf.DUMMYFUNCTION("""COMPUTED_VALUE"""),44027.6666666666)</f>
        <v>44027.666666666599</v>
      </c>
      <c r="N389" s="2">
        <f ca="1">IFERROR(__xludf.DUMMYFUNCTION("""COMPUTED_VALUE"""),309.2)</f>
        <v>309.2</v>
      </c>
      <c r="O389" s="3">
        <f ca="1">IFERROR(__xludf.DUMMYFUNCTION("""COMPUTED_VALUE"""),44027.6666666666)</f>
        <v>44027.666666666599</v>
      </c>
      <c r="P389" s="2">
        <f ca="1">IFERROR(__xludf.DUMMYFUNCTION("""COMPUTED_VALUE"""),102.27)</f>
        <v>102.27</v>
      </c>
      <c r="Q389" s="3">
        <f ca="1">IFERROR(__xludf.DUMMYFUNCTION("""COMPUTED_VALUE"""),44027.6666666666)</f>
        <v>44027.666666666599</v>
      </c>
      <c r="R389" s="2">
        <f ca="1">IFERROR(__xludf.DUMMYFUNCTION("""COMPUTED_VALUE"""),190.56)</f>
        <v>190.56</v>
      </c>
      <c r="S389" s="3">
        <f ca="1">IFERROR(__xludf.DUMMYFUNCTION("""COMPUTED_VALUE"""),44027.6666666666)</f>
        <v>44027.666666666599</v>
      </c>
      <c r="T389" s="2">
        <f ca="1">IFERROR(__xludf.DUMMYFUNCTION("""COMPUTED_VALUE"""),148.26)</f>
        <v>148.26</v>
      </c>
    </row>
    <row r="390" spans="1:20">
      <c r="A390" s="3">
        <f ca="1">IFERROR(__xludf.DUMMYFUNCTION("""COMPUTED_VALUE"""),44028.6666666666)</f>
        <v>44028.666666666599</v>
      </c>
      <c r="B390" s="2">
        <f ca="1">IFERROR(__xludf.DUMMYFUNCTION("""COMPUTED_VALUE"""),96.52)</f>
        <v>96.52</v>
      </c>
      <c r="C390" s="3">
        <f ca="1">IFERROR(__xludf.DUMMYFUNCTION("""COMPUTED_VALUE"""),44028.6666666666)</f>
        <v>44028.666666666599</v>
      </c>
      <c r="D390" s="2">
        <f ca="1">IFERROR(__xludf.DUMMYFUNCTION("""COMPUTED_VALUE"""),203.92)</f>
        <v>203.92</v>
      </c>
      <c r="E390" s="3">
        <f ca="1">IFERROR(__xludf.DUMMYFUNCTION("""COMPUTED_VALUE"""),44028.6666666666)</f>
        <v>44028.666666666599</v>
      </c>
      <c r="F390" s="2">
        <f ca="1">IFERROR(__xludf.DUMMYFUNCTION("""COMPUTED_VALUE"""),2999.9)</f>
        <v>2999.9</v>
      </c>
      <c r="G390" s="3">
        <f ca="1">IFERROR(__xludf.DUMMYFUNCTION("""COMPUTED_VALUE"""),44028.6666666666)</f>
        <v>44028.666666666599</v>
      </c>
      <c r="H390" s="2">
        <f ca="1">IFERROR(__xludf.DUMMYFUNCTION("""COMPUTED_VALUE"""),1514.92)</f>
        <v>1514.92</v>
      </c>
      <c r="I390" s="3">
        <f ca="1">IFERROR(__xludf.DUMMYFUNCTION("""COMPUTED_VALUE"""),44028.6666666666)</f>
        <v>44028.666666666599</v>
      </c>
      <c r="J390" s="2">
        <f ca="1">IFERROR(__xludf.DUMMYFUNCTION("""COMPUTED_VALUE"""),1518)</f>
        <v>1518</v>
      </c>
      <c r="K390" s="3">
        <f ca="1">IFERROR(__xludf.DUMMYFUNCTION("""COMPUTED_VALUE"""),44028.6666666666)</f>
        <v>44028.666666666599</v>
      </c>
      <c r="L390" s="2">
        <f ca="1">IFERROR(__xludf.DUMMYFUNCTION("""COMPUTED_VALUE"""),240.93)</f>
        <v>240.93</v>
      </c>
      <c r="M390" s="3">
        <f ca="1">IFERROR(__xludf.DUMMYFUNCTION("""COMPUTED_VALUE"""),44028.6666666666)</f>
        <v>44028.666666666599</v>
      </c>
      <c r="N390" s="2">
        <f ca="1">IFERROR(__xludf.DUMMYFUNCTION("""COMPUTED_VALUE"""),300.13)</f>
        <v>300.13</v>
      </c>
      <c r="O390" s="3">
        <f ca="1">IFERROR(__xludf.DUMMYFUNCTION("""COMPUTED_VALUE"""),44028.6666666666)</f>
        <v>44028.666666666599</v>
      </c>
      <c r="P390" s="2">
        <f ca="1">IFERROR(__xludf.DUMMYFUNCTION("""COMPUTED_VALUE"""),101.35)</f>
        <v>101.35</v>
      </c>
      <c r="Q390" s="3">
        <f ca="1">IFERROR(__xludf.DUMMYFUNCTION("""COMPUTED_VALUE"""),44028.6666666666)</f>
        <v>44028.666666666599</v>
      </c>
      <c r="R390" s="2">
        <f ca="1">IFERROR(__xludf.DUMMYFUNCTION("""COMPUTED_VALUE"""),191.01)</f>
        <v>191.01</v>
      </c>
      <c r="S390" s="3">
        <f ca="1">IFERROR(__xludf.DUMMYFUNCTION("""COMPUTED_VALUE"""),44028.6666666666)</f>
        <v>44028.666666666599</v>
      </c>
      <c r="T390" s="2">
        <f ca="1">IFERROR(__xludf.DUMMYFUNCTION("""COMPUTED_VALUE"""),149.25)</f>
        <v>149.25</v>
      </c>
    </row>
    <row r="391" spans="1:20">
      <c r="A391" s="3">
        <f ca="1">IFERROR(__xludf.DUMMYFUNCTION("""COMPUTED_VALUE"""),44029.6666666666)</f>
        <v>44029.666666666599</v>
      </c>
      <c r="B391" s="2">
        <f ca="1">IFERROR(__xludf.DUMMYFUNCTION("""COMPUTED_VALUE"""),96.33)</f>
        <v>96.33</v>
      </c>
      <c r="C391" s="3">
        <f ca="1">IFERROR(__xludf.DUMMYFUNCTION("""COMPUTED_VALUE"""),44029.6666666666)</f>
        <v>44029.666666666599</v>
      </c>
      <c r="D391" s="2">
        <f ca="1">IFERROR(__xludf.DUMMYFUNCTION("""COMPUTED_VALUE"""),202.88)</f>
        <v>202.88</v>
      </c>
      <c r="E391" s="3">
        <f ca="1">IFERROR(__xludf.DUMMYFUNCTION("""COMPUTED_VALUE"""),44029.6666666666)</f>
        <v>44029.666666666599</v>
      </c>
      <c r="F391" s="2">
        <f ca="1">IFERROR(__xludf.DUMMYFUNCTION("""COMPUTED_VALUE"""),2961.97)</f>
        <v>2961.97</v>
      </c>
      <c r="G391" s="3">
        <f ca="1">IFERROR(__xludf.DUMMYFUNCTION("""COMPUTED_VALUE"""),44029.6666666666)</f>
        <v>44029.666666666599</v>
      </c>
      <c r="H391" s="2">
        <f ca="1">IFERROR(__xludf.DUMMYFUNCTION("""COMPUTED_VALUE"""),1516.85)</f>
        <v>1516.85</v>
      </c>
      <c r="I391" s="3">
        <f ca="1">IFERROR(__xludf.DUMMYFUNCTION("""COMPUTED_VALUE"""),44029.6666666666)</f>
        <v>44029.666666666599</v>
      </c>
      <c r="J391" s="2">
        <f ca="1">IFERROR(__xludf.DUMMYFUNCTION("""COMPUTED_VALUE"""),1515.55)</f>
        <v>1515.55</v>
      </c>
      <c r="K391" s="3">
        <f ca="1">IFERROR(__xludf.DUMMYFUNCTION("""COMPUTED_VALUE"""),44029.6666666666)</f>
        <v>44029.666666666599</v>
      </c>
      <c r="L391" s="2">
        <f ca="1">IFERROR(__xludf.DUMMYFUNCTION("""COMPUTED_VALUE"""),242.03)</f>
        <v>242.03</v>
      </c>
      <c r="M391" s="3">
        <f ca="1">IFERROR(__xludf.DUMMYFUNCTION("""COMPUTED_VALUE"""),44029.6666666666)</f>
        <v>44029.666666666599</v>
      </c>
      <c r="N391" s="2">
        <f ca="1">IFERROR(__xludf.DUMMYFUNCTION("""COMPUTED_VALUE"""),300.17)</f>
        <v>300.17</v>
      </c>
      <c r="O391" s="3">
        <f ca="1">IFERROR(__xludf.DUMMYFUNCTION("""COMPUTED_VALUE"""),44029.6666666666)</f>
        <v>44029.666666666599</v>
      </c>
      <c r="P391" s="2">
        <f ca="1">IFERROR(__xludf.DUMMYFUNCTION("""COMPUTED_VALUE"""),102.02)</f>
        <v>102.02</v>
      </c>
      <c r="Q391" s="3">
        <f ca="1">IFERROR(__xludf.DUMMYFUNCTION("""COMPUTED_VALUE"""),44029.6666666666)</f>
        <v>44029.666666666599</v>
      </c>
      <c r="R391" s="2">
        <f ca="1">IFERROR(__xludf.DUMMYFUNCTION("""COMPUTED_VALUE"""),190.76)</f>
        <v>190.76</v>
      </c>
      <c r="S391" s="3">
        <f ca="1">IFERROR(__xludf.DUMMYFUNCTION("""COMPUTED_VALUE"""),44029.6666666666)</f>
        <v>44029.666666666599</v>
      </c>
      <c r="T391" s="2">
        <f ca="1">IFERROR(__xludf.DUMMYFUNCTION("""COMPUTED_VALUE"""),149.35)</f>
        <v>149.35</v>
      </c>
    </row>
    <row r="392" spans="1:20">
      <c r="A392" s="3">
        <f ca="1">IFERROR(__xludf.DUMMYFUNCTION("""COMPUTED_VALUE"""),44032.6666666666)</f>
        <v>44032.666666666599</v>
      </c>
      <c r="B392" s="2">
        <f ca="1">IFERROR(__xludf.DUMMYFUNCTION("""COMPUTED_VALUE"""),98.36)</f>
        <v>98.36</v>
      </c>
      <c r="C392" s="3">
        <f ca="1">IFERROR(__xludf.DUMMYFUNCTION("""COMPUTED_VALUE"""),44032.6666666666)</f>
        <v>44032.666666666599</v>
      </c>
      <c r="D392" s="2">
        <f ca="1">IFERROR(__xludf.DUMMYFUNCTION("""COMPUTED_VALUE"""),211.6)</f>
        <v>211.6</v>
      </c>
      <c r="E392" s="3">
        <f ca="1">IFERROR(__xludf.DUMMYFUNCTION("""COMPUTED_VALUE"""),44032.6666666666)</f>
        <v>44032.666666666599</v>
      </c>
      <c r="F392" s="2">
        <f ca="1">IFERROR(__xludf.DUMMYFUNCTION("""COMPUTED_VALUE"""),3196.84)</f>
        <v>3196.84</v>
      </c>
      <c r="G392" s="3">
        <f ca="1">IFERROR(__xludf.DUMMYFUNCTION("""COMPUTED_VALUE"""),44032.6666666666)</f>
        <v>44032.666666666599</v>
      </c>
      <c r="H392" s="2">
        <f ca="1">IFERROR(__xludf.DUMMYFUNCTION("""COMPUTED_VALUE"""),1563.84)</f>
        <v>1563.84</v>
      </c>
      <c r="I392" s="3">
        <f ca="1">IFERROR(__xludf.DUMMYFUNCTION("""COMPUTED_VALUE"""),44032.6666666666)</f>
        <v>44032.666666666599</v>
      </c>
      <c r="J392" s="2">
        <f ca="1">IFERROR(__xludf.DUMMYFUNCTION("""COMPUTED_VALUE"""),1565.72)</f>
        <v>1565.72</v>
      </c>
      <c r="K392" s="3">
        <f ca="1">IFERROR(__xludf.DUMMYFUNCTION("""COMPUTED_VALUE"""),44032.6666666666)</f>
        <v>44032.666666666599</v>
      </c>
      <c r="L392" s="2">
        <f ca="1">IFERROR(__xludf.DUMMYFUNCTION("""COMPUTED_VALUE"""),245.42)</f>
        <v>245.42</v>
      </c>
      <c r="M392" s="3">
        <f ca="1">IFERROR(__xludf.DUMMYFUNCTION("""COMPUTED_VALUE"""),44032.6666666666)</f>
        <v>44032.666666666599</v>
      </c>
      <c r="N392" s="2">
        <f ca="1">IFERROR(__xludf.DUMMYFUNCTION("""COMPUTED_VALUE"""),328.6)</f>
        <v>328.6</v>
      </c>
      <c r="O392" s="3">
        <f ca="1">IFERROR(__xludf.DUMMYFUNCTION("""COMPUTED_VALUE"""),44032.6666666666)</f>
        <v>44032.666666666599</v>
      </c>
      <c r="P392" s="2">
        <f ca="1">IFERROR(__xludf.DUMMYFUNCTION("""COMPUTED_VALUE"""),105.11)</f>
        <v>105.11</v>
      </c>
      <c r="Q392" s="3">
        <f ca="1">IFERROR(__xludf.DUMMYFUNCTION("""COMPUTED_VALUE"""),44032.6666666666)</f>
        <v>44032.666666666599</v>
      </c>
      <c r="R392" s="2">
        <f ca="1">IFERROR(__xludf.DUMMYFUNCTION("""COMPUTED_VALUE"""),190.48)</f>
        <v>190.48</v>
      </c>
      <c r="S392" s="3">
        <f ca="1">IFERROR(__xludf.DUMMYFUNCTION("""COMPUTED_VALUE"""),44032.6666666666)</f>
        <v>44032.666666666599</v>
      </c>
      <c r="T392" s="2">
        <f ca="1">IFERROR(__xludf.DUMMYFUNCTION("""COMPUTED_VALUE"""),149.6)</f>
        <v>149.6</v>
      </c>
    </row>
    <row r="393" spans="1:20">
      <c r="A393" s="3">
        <f ca="1">IFERROR(__xludf.DUMMYFUNCTION("""COMPUTED_VALUE"""),44033.6666666666)</f>
        <v>44033.666666666599</v>
      </c>
      <c r="B393" s="2">
        <f ca="1">IFERROR(__xludf.DUMMYFUNCTION("""COMPUTED_VALUE"""),97)</f>
        <v>97</v>
      </c>
      <c r="C393" s="3">
        <f ca="1">IFERROR(__xludf.DUMMYFUNCTION("""COMPUTED_VALUE"""),44033.6666666666)</f>
        <v>44033.666666666599</v>
      </c>
      <c r="D393" s="2">
        <f ca="1">IFERROR(__xludf.DUMMYFUNCTION("""COMPUTED_VALUE"""),208.75)</f>
        <v>208.75</v>
      </c>
      <c r="E393" s="3">
        <f ca="1">IFERROR(__xludf.DUMMYFUNCTION("""COMPUTED_VALUE"""),44033.6666666666)</f>
        <v>44033.666666666599</v>
      </c>
      <c r="F393" s="2">
        <f ca="1">IFERROR(__xludf.DUMMYFUNCTION("""COMPUTED_VALUE"""),3138.29)</f>
        <v>3138.29</v>
      </c>
      <c r="G393" s="3">
        <f ca="1">IFERROR(__xludf.DUMMYFUNCTION("""COMPUTED_VALUE"""),44033.6666666666)</f>
        <v>44033.666666666599</v>
      </c>
      <c r="H393" s="2">
        <f ca="1">IFERROR(__xludf.DUMMYFUNCTION("""COMPUTED_VALUE"""),1555.92)</f>
        <v>1555.92</v>
      </c>
      <c r="I393" s="3">
        <f ca="1">IFERROR(__xludf.DUMMYFUNCTION("""COMPUTED_VALUE"""),44033.6666666666)</f>
        <v>44033.666666666599</v>
      </c>
      <c r="J393" s="2">
        <f ca="1">IFERROR(__xludf.DUMMYFUNCTION("""COMPUTED_VALUE"""),1558.42)</f>
        <v>1558.42</v>
      </c>
      <c r="K393" s="3">
        <f ca="1">IFERROR(__xludf.DUMMYFUNCTION("""COMPUTED_VALUE"""),44033.6666666666)</f>
        <v>44033.666666666599</v>
      </c>
      <c r="L393" s="2">
        <f ca="1">IFERROR(__xludf.DUMMYFUNCTION("""COMPUTED_VALUE"""),241.75)</f>
        <v>241.75</v>
      </c>
      <c r="M393" s="3">
        <f ca="1">IFERROR(__xludf.DUMMYFUNCTION("""COMPUTED_VALUE"""),44033.6666666666)</f>
        <v>44033.666666666599</v>
      </c>
      <c r="N393" s="2">
        <f ca="1">IFERROR(__xludf.DUMMYFUNCTION("""COMPUTED_VALUE"""),313.67)</f>
        <v>313.67</v>
      </c>
      <c r="O393" s="3">
        <f ca="1">IFERROR(__xludf.DUMMYFUNCTION("""COMPUTED_VALUE"""),44033.6666666666)</f>
        <v>44033.666666666599</v>
      </c>
      <c r="P393" s="2">
        <f ca="1">IFERROR(__xludf.DUMMYFUNCTION("""COMPUTED_VALUE"""),103.29)</f>
        <v>103.29</v>
      </c>
      <c r="Q393" s="3">
        <f ca="1">IFERROR(__xludf.DUMMYFUNCTION("""COMPUTED_VALUE"""),44033.6666666666)</f>
        <v>44033.666666666599</v>
      </c>
      <c r="R393" s="2">
        <f ca="1">IFERROR(__xludf.DUMMYFUNCTION("""COMPUTED_VALUE"""),192.27)</f>
        <v>192.27</v>
      </c>
      <c r="S393" s="3">
        <f ca="1">IFERROR(__xludf.DUMMYFUNCTION("""COMPUTED_VALUE"""),44033.6666666666)</f>
        <v>44033.666666666599</v>
      </c>
      <c r="T393" s="2">
        <f ca="1">IFERROR(__xludf.DUMMYFUNCTION("""COMPUTED_VALUE"""),149.74)</f>
        <v>149.74</v>
      </c>
    </row>
    <row r="394" spans="1:20">
      <c r="A394" s="3">
        <f ca="1">IFERROR(__xludf.DUMMYFUNCTION("""COMPUTED_VALUE"""),44034.6666666666)</f>
        <v>44034.666666666599</v>
      </c>
      <c r="B394" s="2">
        <f ca="1">IFERROR(__xludf.DUMMYFUNCTION("""COMPUTED_VALUE"""),97.27)</f>
        <v>97.27</v>
      </c>
      <c r="C394" s="3">
        <f ca="1">IFERROR(__xludf.DUMMYFUNCTION("""COMPUTED_VALUE"""),44034.6666666666)</f>
        <v>44034.666666666599</v>
      </c>
      <c r="D394" s="2">
        <f ca="1">IFERROR(__xludf.DUMMYFUNCTION("""COMPUTED_VALUE"""),211.75)</f>
        <v>211.75</v>
      </c>
      <c r="E394" s="3">
        <f ca="1">IFERROR(__xludf.DUMMYFUNCTION("""COMPUTED_VALUE"""),44034.6666666666)</f>
        <v>44034.666666666599</v>
      </c>
      <c r="F394" s="2">
        <f ca="1">IFERROR(__xludf.DUMMYFUNCTION("""COMPUTED_VALUE"""),3099.91)</f>
        <v>3099.91</v>
      </c>
      <c r="G394" s="3">
        <f ca="1">IFERROR(__xludf.DUMMYFUNCTION("""COMPUTED_VALUE"""),44034.6666666666)</f>
        <v>44034.666666666599</v>
      </c>
      <c r="H394" s="2">
        <f ca="1">IFERROR(__xludf.DUMMYFUNCTION("""COMPUTED_VALUE"""),1564.85)</f>
        <v>1564.85</v>
      </c>
      <c r="I394" s="3">
        <f ca="1">IFERROR(__xludf.DUMMYFUNCTION("""COMPUTED_VALUE"""),44034.6666666666)</f>
        <v>44034.666666666599</v>
      </c>
      <c r="J394" s="2">
        <f ca="1">IFERROR(__xludf.DUMMYFUNCTION("""COMPUTED_VALUE"""),1568.49)</f>
        <v>1568.49</v>
      </c>
      <c r="K394" s="3">
        <f ca="1">IFERROR(__xludf.DUMMYFUNCTION("""COMPUTED_VALUE"""),44034.6666666666)</f>
        <v>44034.666666666599</v>
      </c>
      <c r="L394" s="2">
        <f ca="1">IFERROR(__xludf.DUMMYFUNCTION("""COMPUTED_VALUE"""),239.87)</f>
        <v>239.87</v>
      </c>
      <c r="M394" s="3">
        <f ca="1">IFERROR(__xludf.DUMMYFUNCTION("""COMPUTED_VALUE"""),44034.6666666666)</f>
        <v>44034.666666666599</v>
      </c>
      <c r="N394" s="2">
        <f ca="1">IFERROR(__xludf.DUMMYFUNCTION("""COMPUTED_VALUE"""),318.47)</f>
        <v>318.47000000000003</v>
      </c>
      <c r="O394" s="3">
        <f ca="1">IFERROR(__xludf.DUMMYFUNCTION("""COMPUTED_VALUE"""),44034.6666666666)</f>
        <v>44034.666666666599</v>
      </c>
      <c r="P394" s="2">
        <f ca="1">IFERROR(__xludf.DUMMYFUNCTION("""COMPUTED_VALUE"""),104.39)</f>
        <v>104.39</v>
      </c>
      <c r="Q394" s="3">
        <f ca="1">IFERROR(__xludf.DUMMYFUNCTION("""COMPUTED_VALUE"""),44034.6666666666)</f>
        <v>44034.666666666599</v>
      </c>
      <c r="R394" s="2">
        <f ca="1">IFERROR(__xludf.DUMMYFUNCTION("""COMPUTED_VALUE"""),192.1)</f>
        <v>192.1</v>
      </c>
      <c r="S394" s="3">
        <f ca="1">IFERROR(__xludf.DUMMYFUNCTION("""COMPUTED_VALUE"""),44034.6666666666)</f>
        <v>44034.666666666599</v>
      </c>
      <c r="T394" s="2">
        <f ca="1">IFERROR(__xludf.DUMMYFUNCTION("""COMPUTED_VALUE"""),150.01)</f>
        <v>150.01</v>
      </c>
    </row>
    <row r="395" spans="1:20">
      <c r="A395" s="3">
        <f ca="1">IFERROR(__xludf.DUMMYFUNCTION("""COMPUTED_VALUE"""),44035.6666666666)</f>
        <v>44035.666666666599</v>
      </c>
      <c r="B395" s="2">
        <f ca="1">IFERROR(__xludf.DUMMYFUNCTION("""COMPUTED_VALUE"""),92.85)</f>
        <v>92.85</v>
      </c>
      <c r="C395" s="3">
        <f ca="1">IFERROR(__xludf.DUMMYFUNCTION("""COMPUTED_VALUE"""),44035.6666666666)</f>
        <v>44035.666666666599</v>
      </c>
      <c r="D395" s="2">
        <f ca="1">IFERROR(__xludf.DUMMYFUNCTION("""COMPUTED_VALUE"""),202.54)</f>
        <v>202.54</v>
      </c>
      <c r="E395" s="3">
        <f ca="1">IFERROR(__xludf.DUMMYFUNCTION("""COMPUTED_VALUE"""),44035.6666666666)</f>
        <v>44035.666666666599</v>
      </c>
      <c r="F395" s="2">
        <f ca="1">IFERROR(__xludf.DUMMYFUNCTION("""COMPUTED_VALUE"""),2986.55)</f>
        <v>2986.55</v>
      </c>
      <c r="G395" s="3">
        <f ca="1">IFERROR(__xludf.DUMMYFUNCTION("""COMPUTED_VALUE"""),44035.6666666666)</f>
        <v>44035.666666666599</v>
      </c>
      <c r="H395" s="2">
        <f ca="1">IFERROR(__xludf.DUMMYFUNCTION("""COMPUTED_VALUE"""),1516.75)</f>
        <v>1516.75</v>
      </c>
      <c r="I395" s="3">
        <f ca="1">IFERROR(__xludf.DUMMYFUNCTION("""COMPUTED_VALUE"""),44035.6666666666)</f>
        <v>44035.666666666599</v>
      </c>
      <c r="J395" s="2">
        <f ca="1">IFERROR(__xludf.DUMMYFUNCTION("""COMPUTED_VALUE"""),1515.68)</f>
        <v>1515.68</v>
      </c>
      <c r="K395" s="3">
        <f ca="1">IFERROR(__xludf.DUMMYFUNCTION("""COMPUTED_VALUE"""),44035.6666666666)</f>
        <v>44035.666666666599</v>
      </c>
      <c r="L395" s="2">
        <f ca="1">IFERROR(__xludf.DUMMYFUNCTION("""COMPUTED_VALUE"""),232.6)</f>
        <v>232.6</v>
      </c>
      <c r="M395" s="3">
        <f ca="1">IFERROR(__xludf.DUMMYFUNCTION("""COMPUTED_VALUE"""),44035.6666666666)</f>
        <v>44035.666666666599</v>
      </c>
      <c r="N395" s="2">
        <f ca="1">IFERROR(__xludf.DUMMYFUNCTION("""COMPUTED_VALUE"""),302.61)</f>
        <v>302.61</v>
      </c>
      <c r="O395" s="3">
        <f ca="1">IFERROR(__xludf.DUMMYFUNCTION("""COMPUTED_VALUE"""),44035.6666666666)</f>
        <v>44035.666666666599</v>
      </c>
      <c r="P395" s="2">
        <f ca="1">IFERROR(__xludf.DUMMYFUNCTION("""COMPUTED_VALUE"""),101.3)</f>
        <v>101.3</v>
      </c>
      <c r="Q395" s="3">
        <f ca="1">IFERROR(__xludf.DUMMYFUNCTION("""COMPUTED_VALUE"""),44035.6666666666)</f>
        <v>44035.666666666599</v>
      </c>
      <c r="R395" s="2">
        <f ca="1">IFERROR(__xludf.DUMMYFUNCTION("""COMPUTED_VALUE"""),193.25)</f>
        <v>193.25</v>
      </c>
      <c r="S395" s="3">
        <f ca="1">IFERROR(__xludf.DUMMYFUNCTION("""COMPUTED_VALUE"""),44035.6666666666)</f>
        <v>44035.666666666599</v>
      </c>
      <c r="T395" s="2">
        <f ca="1">IFERROR(__xludf.DUMMYFUNCTION("""COMPUTED_VALUE"""),149.61)</f>
        <v>149.61000000000001</v>
      </c>
    </row>
    <row r="396" spans="1:20">
      <c r="A396" s="3">
        <f ca="1">IFERROR(__xludf.DUMMYFUNCTION("""COMPUTED_VALUE"""),44036.6666666666)</f>
        <v>44036.666666666599</v>
      </c>
      <c r="B396" s="2">
        <f ca="1">IFERROR(__xludf.DUMMYFUNCTION("""COMPUTED_VALUE"""),92.62)</f>
        <v>92.62</v>
      </c>
      <c r="C396" s="3">
        <f ca="1">IFERROR(__xludf.DUMMYFUNCTION("""COMPUTED_VALUE"""),44036.6666666666)</f>
        <v>44036.666666666599</v>
      </c>
      <c r="D396" s="2">
        <f ca="1">IFERROR(__xludf.DUMMYFUNCTION("""COMPUTED_VALUE"""),201.3)</f>
        <v>201.3</v>
      </c>
      <c r="E396" s="3">
        <f ca="1">IFERROR(__xludf.DUMMYFUNCTION("""COMPUTED_VALUE"""),44036.6666666666)</f>
        <v>44036.666666666599</v>
      </c>
      <c r="F396" s="2">
        <f ca="1">IFERROR(__xludf.DUMMYFUNCTION("""COMPUTED_VALUE"""),3008.91)</f>
        <v>3008.91</v>
      </c>
      <c r="G396" s="3">
        <f ca="1">IFERROR(__xludf.DUMMYFUNCTION("""COMPUTED_VALUE"""),44036.6666666666)</f>
        <v>44036.666666666599</v>
      </c>
      <c r="H396" s="2">
        <f ca="1">IFERROR(__xludf.DUMMYFUNCTION("""COMPUTED_VALUE"""),1508.21)</f>
        <v>1508.21</v>
      </c>
      <c r="I396" s="3">
        <f ca="1">IFERROR(__xludf.DUMMYFUNCTION("""COMPUTED_VALUE"""),44036.6666666666)</f>
        <v>44036.666666666599</v>
      </c>
      <c r="J396" s="2">
        <f ca="1">IFERROR(__xludf.DUMMYFUNCTION("""COMPUTED_VALUE"""),1511.87)</f>
        <v>1511.87</v>
      </c>
      <c r="K396" s="3">
        <f ca="1">IFERROR(__xludf.DUMMYFUNCTION("""COMPUTED_VALUE"""),44036.6666666666)</f>
        <v>44036.666666666599</v>
      </c>
      <c r="L396" s="2">
        <f ca="1">IFERROR(__xludf.DUMMYFUNCTION("""COMPUTED_VALUE"""),230.71)</f>
        <v>230.71</v>
      </c>
      <c r="M396" s="3">
        <f ca="1">IFERROR(__xludf.DUMMYFUNCTION("""COMPUTED_VALUE"""),44036.6666666666)</f>
        <v>44036.666666666599</v>
      </c>
      <c r="N396" s="2">
        <f ca="1">IFERROR(__xludf.DUMMYFUNCTION("""COMPUTED_VALUE"""),283.4)</f>
        <v>283.39999999999998</v>
      </c>
      <c r="O396" s="3">
        <f ca="1">IFERROR(__xludf.DUMMYFUNCTION("""COMPUTED_VALUE"""),44036.6666666666)</f>
        <v>44036.666666666599</v>
      </c>
      <c r="P396" s="2">
        <f ca="1">IFERROR(__xludf.DUMMYFUNCTION("""COMPUTED_VALUE"""),101.95)</f>
        <v>101.95</v>
      </c>
      <c r="Q396" s="3">
        <f ca="1">IFERROR(__xludf.DUMMYFUNCTION("""COMPUTED_VALUE"""),44036.6666666666)</f>
        <v>44036.666666666599</v>
      </c>
      <c r="R396" s="2">
        <f ca="1">IFERROR(__xludf.DUMMYFUNCTION("""COMPUTED_VALUE"""),194.52)</f>
        <v>194.52</v>
      </c>
      <c r="S396" s="3">
        <f ca="1">IFERROR(__xludf.DUMMYFUNCTION("""COMPUTED_VALUE"""),44036.6666666666)</f>
        <v>44036.666666666599</v>
      </c>
      <c r="T396" s="2">
        <f ca="1">IFERROR(__xludf.DUMMYFUNCTION("""COMPUTED_VALUE"""),148.12)</f>
        <v>148.12</v>
      </c>
    </row>
    <row r="397" spans="1:20">
      <c r="A397" s="3">
        <f ca="1">IFERROR(__xludf.DUMMYFUNCTION("""COMPUTED_VALUE"""),44039.6666666666)</f>
        <v>44039.666666666599</v>
      </c>
      <c r="B397" s="2">
        <f ca="1">IFERROR(__xludf.DUMMYFUNCTION("""COMPUTED_VALUE"""),94.81)</f>
        <v>94.81</v>
      </c>
      <c r="C397" s="3">
        <f ca="1">IFERROR(__xludf.DUMMYFUNCTION("""COMPUTED_VALUE"""),44039.6666666666)</f>
        <v>44039.666666666599</v>
      </c>
      <c r="D397" s="2">
        <f ca="1">IFERROR(__xludf.DUMMYFUNCTION("""COMPUTED_VALUE"""),203.85)</f>
        <v>203.85</v>
      </c>
      <c r="E397" s="3">
        <f ca="1">IFERROR(__xludf.DUMMYFUNCTION("""COMPUTED_VALUE"""),44039.6666666666)</f>
        <v>44039.666666666599</v>
      </c>
      <c r="F397" s="2">
        <f ca="1">IFERROR(__xludf.DUMMYFUNCTION("""COMPUTED_VALUE"""),3055.21)</f>
        <v>3055.21</v>
      </c>
      <c r="G397" s="3">
        <f ca="1">IFERROR(__xludf.DUMMYFUNCTION("""COMPUTED_VALUE"""),44039.6666666666)</f>
        <v>44039.666666666599</v>
      </c>
      <c r="H397" s="2">
        <f ca="1">IFERROR(__xludf.DUMMYFUNCTION("""COMPUTED_VALUE"""),1529.43)</f>
        <v>1529.43</v>
      </c>
      <c r="I397" s="3">
        <f ca="1">IFERROR(__xludf.DUMMYFUNCTION("""COMPUTED_VALUE"""),44039.6666666666)</f>
        <v>44039.666666666599</v>
      </c>
      <c r="J397" s="2">
        <f ca="1">IFERROR(__xludf.DUMMYFUNCTION("""COMPUTED_VALUE"""),1530.2)</f>
        <v>1530.2</v>
      </c>
      <c r="K397" s="3">
        <f ca="1">IFERROR(__xludf.DUMMYFUNCTION("""COMPUTED_VALUE"""),44039.6666666666)</f>
        <v>44039.666666666599</v>
      </c>
      <c r="L397" s="2">
        <f ca="1">IFERROR(__xludf.DUMMYFUNCTION("""COMPUTED_VALUE"""),233.5)</f>
        <v>233.5</v>
      </c>
      <c r="M397" s="3">
        <f ca="1">IFERROR(__xludf.DUMMYFUNCTION("""COMPUTED_VALUE"""),44039.6666666666)</f>
        <v>44039.666666666599</v>
      </c>
      <c r="N397" s="2">
        <f ca="1">IFERROR(__xludf.DUMMYFUNCTION("""COMPUTED_VALUE"""),307.92)</f>
        <v>307.92</v>
      </c>
      <c r="O397" s="3">
        <f ca="1">IFERROR(__xludf.DUMMYFUNCTION("""COMPUTED_VALUE"""),44039.6666666666)</f>
        <v>44039.666666666599</v>
      </c>
      <c r="P397" s="2">
        <f ca="1">IFERROR(__xludf.DUMMYFUNCTION("""COMPUTED_VALUE"""),104.22)</f>
        <v>104.22</v>
      </c>
      <c r="Q397" s="3">
        <f ca="1">IFERROR(__xludf.DUMMYFUNCTION("""COMPUTED_VALUE"""),44039.6666666666)</f>
        <v>44039.666666666599</v>
      </c>
      <c r="R397" s="2">
        <f ca="1">IFERROR(__xludf.DUMMYFUNCTION("""COMPUTED_VALUE"""),192.14)</f>
        <v>192.14</v>
      </c>
      <c r="S397" s="3">
        <f ca="1">IFERROR(__xludf.DUMMYFUNCTION("""COMPUTED_VALUE"""),44039.6666666666)</f>
        <v>44039.666666666599</v>
      </c>
      <c r="T397" s="2">
        <f ca="1">IFERROR(__xludf.DUMMYFUNCTION("""COMPUTED_VALUE"""),147.18)</f>
        <v>147.18</v>
      </c>
    </row>
    <row r="398" spans="1:20">
      <c r="A398" s="3">
        <f ca="1">IFERROR(__xludf.DUMMYFUNCTION("""COMPUTED_VALUE"""),44040.6666666666)</f>
        <v>44040.666666666599</v>
      </c>
      <c r="B398" s="2">
        <f ca="1">IFERROR(__xludf.DUMMYFUNCTION("""COMPUTED_VALUE"""),93.25)</f>
        <v>93.25</v>
      </c>
      <c r="C398" s="3">
        <f ca="1">IFERROR(__xludf.DUMMYFUNCTION("""COMPUTED_VALUE"""),44040.6666666666)</f>
        <v>44040.666666666599</v>
      </c>
      <c r="D398" s="2">
        <f ca="1">IFERROR(__xludf.DUMMYFUNCTION("""COMPUTED_VALUE"""),202.02)</f>
        <v>202.02</v>
      </c>
      <c r="E398" s="3">
        <f ca="1">IFERROR(__xludf.DUMMYFUNCTION("""COMPUTED_VALUE"""),44040.6666666666)</f>
        <v>44040.666666666599</v>
      </c>
      <c r="F398" s="2">
        <f ca="1">IFERROR(__xludf.DUMMYFUNCTION("""COMPUTED_VALUE"""),3000.33)</f>
        <v>3000.33</v>
      </c>
      <c r="G398" s="3">
        <f ca="1">IFERROR(__xludf.DUMMYFUNCTION("""COMPUTED_VALUE"""),44040.6666666666)</f>
        <v>44040.666666666599</v>
      </c>
      <c r="H398" s="2">
        <f ca="1">IFERROR(__xludf.DUMMYFUNCTION("""COMPUTED_VALUE"""),1503.65)</f>
        <v>1503.65</v>
      </c>
      <c r="I398" s="3">
        <f ca="1">IFERROR(__xludf.DUMMYFUNCTION("""COMPUTED_VALUE"""),44040.6666666666)</f>
        <v>44040.666666666599</v>
      </c>
      <c r="J398" s="2">
        <f ca="1">IFERROR(__xludf.DUMMYFUNCTION("""COMPUTED_VALUE"""),1500.34)</f>
        <v>1500.34</v>
      </c>
      <c r="K398" s="3">
        <f ca="1">IFERROR(__xludf.DUMMYFUNCTION("""COMPUTED_VALUE"""),44040.6666666666)</f>
        <v>44040.666666666599</v>
      </c>
      <c r="L398" s="2">
        <f ca="1">IFERROR(__xludf.DUMMYFUNCTION("""COMPUTED_VALUE"""),230.12)</f>
        <v>230.12</v>
      </c>
      <c r="M398" s="3">
        <f ca="1">IFERROR(__xludf.DUMMYFUNCTION("""COMPUTED_VALUE"""),44040.6666666666)</f>
        <v>44040.666666666599</v>
      </c>
      <c r="N398" s="2">
        <f ca="1">IFERROR(__xludf.DUMMYFUNCTION("""COMPUTED_VALUE"""),295.3)</f>
        <v>295.3</v>
      </c>
      <c r="O398" s="3">
        <f ca="1">IFERROR(__xludf.DUMMYFUNCTION("""COMPUTED_VALUE"""),44040.6666666666)</f>
        <v>44040.666666666599</v>
      </c>
      <c r="P398" s="2">
        <f ca="1">IFERROR(__xludf.DUMMYFUNCTION("""COMPUTED_VALUE"""),102.16)</f>
        <v>102.16</v>
      </c>
      <c r="Q398" s="3">
        <f ca="1">IFERROR(__xludf.DUMMYFUNCTION("""COMPUTED_VALUE"""),44040.6666666666)</f>
        <v>44040.666666666599</v>
      </c>
      <c r="R398" s="2">
        <f ca="1">IFERROR(__xludf.DUMMYFUNCTION("""COMPUTED_VALUE"""),194.12)</f>
        <v>194.12</v>
      </c>
      <c r="S398" s="3">
        <f ca="1">IFERROR(__xludf.DUMMYFUNCTION("""COMPUTED_VALUE"""),44040.6666666666)</f>
        <v>44040.666666666599</v>
      </c>
      <c r="T398" s="2">
        <f ca="1">IFERROR(__xludf.DUMMYFUNCTION("""COMPUTED_VALUE"""),146.83)</f>
        <v>146.83000000000001</v>
      </c>
    </row>
    <row r="399" spans="1:20">
      <c r="A399" s="3">
        <f ca="1">IFERROR(__xludf.DUMMYFUNCTION("""COMPUTED_VALUE"""),44041.6666666666)</f>
        <v>44041.666666666599</v>
      </c>
      <c r="B399" s="2">
        <f ca="1">IFERROR(__xludf.DUMMYFUNCTION("""COMPUTED_VALUE"""),95.04)</f>
        <v>95.04</v>
      </c>
      <c r="C399" s="3">
        <f ca="1">IFERROR(__xludf.DUMMYFUNCTION("""COMPUTED_VALUE"""),44041.6666666666)</f>
        <v>44041.666666666599</v>
      </c>
      <c r="D399" s="2">
        <f ca="1">IFERROR(__xludf.DUMMYFUNCTION("""COMPUTED_VALUE"""),204.06)</f>
        <v>204.06</v>
      </c>
      <c r="E399" s="3">
        <f ca="1">IFERROR(__xludf.DUMMYFUNCTION("""COMPUTED_VALUE"""),44041.6666666666)</f>
        <v>44041.666666666599</v>
      </c>
      <c r="F399" s="2">
        <f ca="1">IFERROR(__xludf.DUMMYFUNCTION("""COMPUTED_VALUE"""),3033.53)</f>
        <v>3033.53</v>
      </c>
      <c r="G399" s="3">
        <f ca="1">IFERROR(__xludf.DUMMYFUNCTION("""COMPUTED_VALUE"""),44041.6666666666)</f>
        <v>44041.666666666599</v>
      </c>
      <c r="H399" s="2">
        <f ca="1">IFERROR(__xludf.DUMMYFUNCTION("""COMPUTED_VALUE"""),1523.51)</f>
        <v>1523.51</v>
      </c>
      <c r="I399" s="3">
        <f ca="1">IFERROR(__xludf.DUMMYFUNCTION("""COMPUTED_VALUE"""),44041.6666666666)</f>
        <v>44041.666666666599</v>
      </c>
      <c r="J399" s="2">
        <f ca="1">IFERROR(__xludf.DUMMYFUNCTION("""COMPUTED_VALUE"""),1522.02)</f>
        <v>1522.02</v>
      </c>
      <c r="K399" s="3">
        <f ca="1">IFERROR(__xludf.DUMMYFUNCTION("""COMPUTED_VALUE"""),44041.6666666666)</f>
        <v>44041.666666666599</v>
      </c>
      <c r="L399" s="2">
        <f ca="1">IFERROR(__xludf.DUMMYFUNCTION("""COMPUTED_VALUE"""),233.29)</f>
        <v>233.29</v>
      </c>
      <c r="M399" s="3">
        <f ca="1">IFERROR(__xludf.DUMMYFUNCTION("""COMPUTED_VALUE"""),44041.6666666666)</f>
        <v>44041.666666666599</v>
      </c>
      <c r="N399" s="2">
        <f ca="1">IFERROR(__xludf.DUMMYFUNCTION("""COMPUTED_VALUE"""),299.82)</f>
        <v>299.82</v>
      </c>
      <c r="O399" s="3">
        <f ca="1">IFERROR(__xludf.DUMMYFUNCTION("""COMPUTED_VALUE"""),44041.6666666666)</f>
        <v>44041.666666666599</v>
      </c>
      <c r="P399" s="2">
        <f ca="1">IFERROR(__xludf.DUMMYFUNCTION("""COMPUTED_VALUE"""),104.66)</f>
        <v>104.66</v>
      </c>
      <c r="Q399" s="3">
        <f ca="1">IFERROR(__xludf.DUMMYFUNCTION("""COMPUTED_VALUE"""),44041.6666666666)</f>
        <v>44041.666666666599</v>
      </c>
      <c r="R399" s="2">
        <f ca="1">IFERROR(__xludf.DUMMYFUNCTION("""COMPUTED_VALUE"""),196.41)</f>
        <v>196.41</v>
      </c>
      <c r="S399" s="3">
        <f ca="1">IFERROR(__xludf.DUMMYFUNCTION("""COMPUTED_VALUE"""),44041.6666666666)</f>
        <v>44041.666666666599</v>
      </c>
      <c r="T399" s="2">
        <f ca="1">IFERROR(__xludf.DUMMYFUNCTION("""COMPUTED_VALUE"""),146.54)</f>
        <v>146.54</v>
      </c>
    </row>
    <row r="400" spans="1:20">
      <c r="A400" s="3">
        <f ca="1">IFERROR(__xludf.DUMMYFUNCTION("""COMPUTED_VALUE"""),44042.6666666666)</f>
        <v>44042.666666666599</v>
      </c>
      <c r="B400" s="2">
        <f ca="1">IFERROR(__xludf.DUMMYFUNCTION("""COMPUTED_VALUE"""),96.19)</f>
        <v>96.19</v>
      </c>
      <c r="C400" s="3">
        <f ca="1">IFERROR(__xludf.DUMMYFUNCTION("""COMPUTED_VALUE"""),44042.6666666666)</f>
        <v>44042.666666666599</v>
      </c>
      <c r="D400" s="2">
        <f ca="1">IFERROR(__xludf.DUMMYFUNCTION("""COMPUTED_VALUE"""),203.9)</f>
        <v>203.9</v>
      </c>
      <c r="E400" s="3">
        <f ca="1">IFERROR(__xludf.DUMMYFUNCTION("""COMPUTED_VALUE"""),44042.6666666666)</f>
        <v>44042.666666666599</v>
      </c>
      <c r="F400" s="2">
        <f ca="1">IFERROR(__xludf.DUMMYFUNCTION("""COMPUTED_VALUE"""),3051.88)</f>
        <v>3051.88</v>
      </c>
      <c r="G400" s="3">
        <f ca="1">IFERROR(__xludf.DUMMYFUNCTION("""COMPUTED_VALUE"""),44042.6666666666)</f>
        <v>44042.666666666599</v>
      </c>
      <c r="H400" s="2">
        <f ca="1">IFERROR(__xludf.DUMMYFUNCTION("""COMPUTED_VALUE"""),1538.37)</f>
        <v>1538.37</v>
      </c>
      <c r="I400" s="3">
        <f ca="1">IFERROR(__xludf.DUMMYFUNCTION("""COMPUTED_VALUE"""),44042.6666666666)</f>
        <v>44042.666666666599</v>
      </c>
      <c r="J400" s="2">
        <f ca="1">IFERROR(__xludf.DUMMYFUNCTION("""COMPUTED_VALUE"""),1531.45)</f>
        <v>1531.45</v>
      </c>
      <c r="K400" s="3">
        <f ca="1">IFERROR(__xludf.DUMMYFUNCTION("""COMPUTED_VALUE"""),44042.6666666666)</f>
        <v>44042.666666666599</v>
      </c>
      <c r="L400" s="2">
        <f ca="1">IFERROR(__xludf.DUMMYFUNCTION("""COMPUTED_VALUE"""),234.5)</f>
        <v>234.5</v>
      </c>
      <c r="M400" s="3">
        <f ca="1">IFERROR(__xludf.DUMMYFUNCTION("""COMPUTED_VALUE"""),44042.6666666666)</f>
        <v>44042.666666666599</v>
      </c>
      <c r="N400" s="2">
        <f ca="1">IFERROR(__xludf.DUMMYFUNCTION("""COMPUTED_VALUE"""),297.5)</f>
        <v>297.5</v>
      </c>
      <c r="O400" s="3">
        <f ca="1">IFERROR(__xludf.DUMMYFUNCTION("""COMPUTED_VALUE"""),44042.6666666666)</f>
        <v>44042.666666666599</v>
      </c>
      <c r="P400" s="2">
        <f ca="1">IFERROR(__xludf.DUMMYFUNCTION("""COMPUTED_VALUE"""),106.14)</f>
        <v>106.14</v>
      </c>
      <c r="Q400" s="3">
        <f ca="1">IFERROR(__xludf.DUMMYFUNCTION("""COMPUTED_VALUE"""),44042.6666666666)</f>
        <v>44042.666666666599</v>
      </c>
      <c r="R400" s="2">
        <f ca="1">IFERROR(__xludf.DUMMYFUNCTION("""COMPUTED_VALUE"""),194.3)</f>
        <v>194.3</v>
      </c>
      <c r="S400" s="3">
        <f ca="1">IFERROR(__xludf.DUMMYFUNCTION("""COMPUTED_VALUE"""),44042.6666666666)</f>
        <v>44042.666666666599</v>
      </c>
      <c r="T400" s="2">
        <f ca="1">IFERROR(__xludf.DUMMYFUNCTION("""COMPUTED_VALUE"""),146.84)</f>
        <v>146.84</v>
      </c>
    </row>
    <row r="401" spans="1:20">
      <c r="A401" s="3">
        <f ca="1">IFERROR(__xludf.DUMMYFUNCTION("""COMPUTED_VALUE"""),44043.6666666666)</f>
        <v>44043.666666666599</v>
      </c>
      <c r="B401" s="2">
        <f ca="1">IFERROR(__xludf.DUMMYFUNCTION("""COMPUTED_VALUE"""),106.26)</f>
        <v>106.26</v>
      </c>
      <c r="C401" s="3">
        <f ca="1">IFERROR(__xludf.DUMMYFUNCTION("""COMPUTED_VALUE"""),44043.6666666666)</f>
        <v>44043.666666666599</v>
      </c>
      <c r="D401" s="2">
        <f ca="1">IFERROR(__xludf.DUMMYFUNCTION("""COMPUTED_VALUE"""),205.01)</f>
        <v>205.01</v>
      </c>
      <c r="E401" s="3">
        <f ca="1">IFERROR(__xludf.DUMMYFUNCTION("""COMPUTED_VALUE"""),44043.6666666666)</f>
        <v>44043.666666666599</v>
      </c>
      <c r="F401" s="2">
        <f ca="1">IFERROR(__xludf.DUMMYFUNCTION("""COMPUTED_VALUE"""),3164.68)</f>
        <v>3164.68</v>
      </c>
      <c r="G401" s="3">
        <f ca="1">IFERROR(__xludf.DUMMYFUNCTION("""COMPUTED_VALUE"""),44043.6666666666)</f>
        <v>44043.666666666599</v>
      </c>
      <c r="H401" s="2">
        <f ca="1">IFERROR(__xludf.DUMMYFUNCTION("""COMPUTED_VALUE"""),1487.95)</f>
        <v>1487.95</v>
      </c>
      <c r="I401" s="3">
        <f ca="1">IFERROR(__xludf.DUMMYFUNCTION("""COMPUTED_VALUE"""),44043.6666666666)</f>
        <v>44043.666666666599</v>
      </c>
      <c r="J401" s="2">
        <f ca="1">IFERROR(__xludf.DUMMYFUNCTION("""COMPUTED_VALUE"""),1482.96)</f>
        <v>1482.96</v>
      </c>
      <c r="K401" s="3">
        <f ca="1">IFERROR(__xludf.DUMMYFUNCTION("""COMPUTED_VALUE"""),44043.6666666666)</f>
        <v>44043.666666666599</v>
      </c>
      <c r="L401" s="2">
        <f ca="1">IFERROR(__xludf.DUMMYFUNCTION("""COMPUTED_VALUE"""),253.67)</f>
        <v>253.67</v>
      </c>
      <c r="M401" s="3">
        <f ca="1">IFERROR(__xludf.DUMMYFUNCTION("""COMPUTED_VALUE"""),44043.6666666666)</f>
        <v>44043.666666666599</v>
      </c>
      <c r="N401" s="2">
        <f ca="1">IFERROR(__xludf.DUMMYFUNCTION("""COMPUTED_VALUE"""),286.15)</f>
        <v>286.14999999999998</v>
      </c>
      <c r="O401" s="3">
        <f ca="1">IFERROR(__xludf.DUMMYFUNCTION("""COMPUTED_VALUE"""),44043.6666666666)</f>
        <v>44043.666666666599</v>
      </c>
      <c r="P401" s="2">
        <f ca="1">IFERROR(__xludf.DUMMYFUNCTION("""COMPUTED_VALUE"""),106.15)</f>
        <v>106.15</v>
      </c>
      <c r="Q401" s="3">
        <f ca="1">IFERROR(__xludf.DUMMYFUNCTION("""COMPUTED_VALUE"""),44043.6666666666)</f>
        <v>44043.666666666599</v>
      </c>
      <c r="R401" s="2">
        <f ca="1">IFERROR(__xludf.DUMMYFUNCTION("""COMPUTED_VALUE"""),195.78)</f>
        <v>195.78</v>
      </c>
      <c r="S401" s="3">
        <f ca="1">IFERROR(__xludf.DUMMYFUNCTION("""COMPUTED_VALUE"""),44043.6666666666)</f>
        <v>44043.666666666599</v>
      </c>
      <c r="T401" s="2">
        <f ca="1">IFERROR(__xludf.DUMMYFUNCTION("""COMPUTED_VALUE"""),145.76)</f>
        <v>145.76</v>
      </c>
    </row>
    <row r="402" spans="1:20">
      <c r="A402" s="3">
        <f ca="1">IFERROR(__xludf.DUMMYFUNCTION("""COMPUTED_VALUE"""),44046.6666666666)</f>
        <v>44046.666666666599</v>
      </c>
      <c r="B402" s="2">
        <f ca="1">IFERROR(__xludf.DUMMYFUNCTION("""COMPUTED_VALUE"""),108.94)</f>
        <v>108.94</v>
      </c>
      <c r="C402" s="3">
        <f ca="1">IFERROR(__xludf.DUMMYFUNCTION("""COMPUTED_VALUE"""),44046.6666666666)</f>
        <v>44046.666666666599</v>
      </c>
      <c r="D402" s="2">
        <f ca="1">IFERROR(__xludf.DUMMYFUNCTION("""COMPUTED_VALUE"""),216.54)</f>
        <v>216.54</v>
      </c>
      <c r="E402" s="3">
        <f ca="1">IFERROR(__xludf.DUMMYFUNCTION("""COMPUTED_VALUE"""),44046.6666666666)</f>
        <v>44046.666666666599</v>
      </c>
      <c r="F402" s="2">
        <f ca="1">IFERROR(__xludf.DUMMYFUNCTION("""COMPUTED_VALUE"""),3111.89)</f>
        <v>3111.89</v>
      </c>
      <c r="G402" s="3">
        <f ca="1">IFERROR(__xludf.DUMMYFUNCTION("""COMPUTED_VALUE"""),44046.6666666666)</f>
        <v>44046.666666666599</v>
      </c>
      <c r="H402" s="2">
        <f ca="1">IFERROR(__xludf.DUMMYFUNCTION("""COMPUTED_VALUE"""),1482.76)</f>
        <v>1482.76</v>
      </c>
      <c r="I402" s="3">
        <f ca="1">IFERROR(__xludf.DUMMYFUNCTION("""COMPUTED_VALUE"""),44046.6666666666)</f>
        <v>44046.666666666599</v>
      </c>
      <c r="J402" s="2">
        <f ca="1">IFERROR(__xludf.DUMMYFUNCTION("""COMPUTED_VALUE"""),1474.45)</f>
        <v>1474.45</v>
      </c>
      <c r="K402" s="3">
        <f ca="1">IFERROR(__xludf.DUMMYFUNCTION("""COMPUTED_VALUE"""),44046.6666666666)</f>
        <v>44046.666666666599</v>
      </c>
      <c r="L402" s="2">
        <f ca="1">IFERROR(__xludf.DUMMYFUNCTION("""COMPUTED_VALUE"""),251.96)</f>
        <v>251.96</v>
      </c>
      <c r="M402" s="3">
        <f ca="1">IFERROR(__xludf.DUMMYFUNCTION("""COMPUTED_VALUE"""),44046.6666666666)</f>
        <v>44046.666666666599</v>
      </c>
      <c r="N402" s="2">
        <f ca="1">IFERROR(__xludf.DUMMYFUNCTION("""COMPUTED_VALUE"""),297)</f>
        <v>297</v>
      </c>
      <c r="O402" s="3">
        <f ca="1">IFERROR(__xludf.DUMMYFUNCTION("""COMPUTED_VALUE"""),44046.6666666666)</f>
        <v>44046.666666666599</v>
      </c>
      <c r="P402" s="2">
        <f ca="1">IFERROR(__xludf.DUMMYFUNCTION("""COMPUTED_VALUE"""),110.1)</f>
        <v>110.1</v>
      </c>
      <c r="Q402" s="3">
        <f ca="1">IFERROR(__xludf.DUMMYFUNCTION("""COMPUTED_VALUE"""),44046.6666666666)</f>
        <v>44046.666666666599</v>
      </c>
      <c r="R402" s="2">
        <f ca="1">IFERROR(__xludf.DUMMYFUNCTION("""COMPUTED_VALUE"""),199.26)</f>
        <v>199.26</v>
      </c>
      <c r="S402" s="3">
        <f ca="1">IFERROR(__xludf.DUMMYFUNCTION("""COMPUTED_VALUE"""),44046.6666666666)</f>
        <v>44046.666666666599</v>
      </c>
      <c r="T402" s="2">
        <f ca="1">IFERROR(__xludf.DUMMYFUNCTION("""COMPUTED_VALUE"""),147.35)</f>
        <v>147.35</v>
      </c>
    </row>
    <row r="403" spans="1:20">
      <c r="A403" s="3">
        <f ca="1">IFERROR(__xludf.DUMMYFUNCTION("""COMPUTED_VALUE"""),44047.6666666666)</f>
        <v>44047.666666666599</v>
      </c>
      <c r="B403" s="2">
        <f ca="1">IFERROR(__xludf.DUMMYFUNCTION("""COMPUTED_VALUE"""),109.67)</f>
        <v>109.67</v>
      </c>
      <c r="C403" s="3">
        <f ca="1">IFERROR(__xludf.DUMMYFUNCTION("""COMPUTED_VALUE"""),44047.6666666666)</f>
        <v>44047.666666666599</v>
      </c>
      <c r="D403" s="2">
        <f ca="1">IFERROR(__xludf.DUMMYFUNCTION("""COMPUTED_VALUE"""),213.29)</f>
        <v>213.29</v>
      </c>
      <c r="E403" s="3">
        <f ca="1">IFERROR(__xludf.DUMMYFUNCTION("""COMPUTED_VALUE"""),44047.6666666666)</f>
        <v>44047.666666666599</v>
      </c>
      <c r="F403" s="2">
        <f ca="1">IFERROR(__xludf.DUMMYFUNCTION("""COMPUTED_VALUE"""),3138.83)</f>
        <v>3138.83</v>
      </c>
      <c r="G403" s="3">
        <f ca="1">IFERROR(__xludf.DUMMYFUNCTION("""COMPUTED_VALUE"""),44047.6666666666)</f>
        <v>44047.666666666599</v>
      </c>
      <c r="H403" s="2">
        <f ca="1">IFERROR(__xludf.DUMMYFUNCTION("""COMPUTED_VALUE"""),1473.3)</f>
        <v>1473.3</v>
      </c>
      <c r="I403" s="3">
        <f ca="1">IFERROR(__xludf.DUMMYFUNCTION("""COMPUTED_VALUE"""),44047.6666666666)</f>
        <v>44047.666666666599</v>
      </c>
      <c r="J403" s="2">
        <f ca="1">IFERROR(__xludf.DUMMYFUNCTION("""COMPUTED_VALUE"""),1464.97)</f>
        <v>1464.97</v>
      </c>
      <c r="K403" s="3">
        <f ca="1">IFERROR(__xludf.DUMMYFUNCTION("""COMPUTED_VALUE"""),44047.6666666666)</f>
        <v>44047.666666666599</v>
      </c>
      <c r="L403" s="2">
        <f ca="1">IFERROR(__xludf.DUMMYFUNCTION("""COMPUTED_VALUE"""),249.83)</f>
        <v>249.83</v>
      </c>
      <c r="M403" s="3">
        <f ca="1">IFERROR(__xludf.DUMMYFUNCTION("""COMPUTED_VALUE"""),44047.6666666666)</f>
        <v>44047.666666666599</v>
      </c>
      <c r="N403" s="2">
        <f ca="1">IFERROR(__xludf.DUMMYFUNCTION("""COMPUTED_VALUE"""),297.4)</f>
        <v>297.39999999999998</v>
      </c>
      <c r="O403" s="3">
        <f ca="1">IFERROR(__xludf.DUMMYFUNCTION("""COMPUTED_VALUE"""),44047.6666666666)</f>
        <v>44047.666666666599</v>
      </c>
      <c r="P403" s="2">
        <f ca="1">IFERROR(__xludf.DUMMYFUNCTION("""COMPUTED_VALUE"""),112.28)</f>
        <v>112.28</v>
      </c>
      <c r="Q403" s="3">
        <f ca="1">IFERROR(__xludf.DUMMYFUNCTION("""COMPUTED_VALUE"""),44047.6666666666)</f>
        <v>44047.666666666599</v>
      </c>
      <c r="R403" s="2">
        <f ca="1">IFERROR(__xludf.DUMMYFUNCTION("""COMPUTED_VALUE"""),200.24)</f>
        <v>200.24</v>
      </c>
      <c r="S403" s="3">
        <f ca="1">IFERROR(__xludf.DUMMYFUNCTION("""COMPUTED_VALUE"""),44047.6666666666)</f>
        <v>44047.666666666599</v>
      </c>
      <c r="T403" s="2">
        <f ca="1">IFERROR(__xludf.DUMMYFUNCTION("""COMPUTED_VALUE"""),147.22)</f>
        <v>147.22</v>
      </c>
    </row>
    <row r="404" spans="1:20">
      <c r="A404" s="3">
        <f ca="1">IFERROR(__xludf.DUMMYFUNCTION("""COMPUTED_VALUE"""),44048.6666666666)</f>
        <v>44048.666666666599</v>
      </c>
      <c r="B404" s="2">
        <f ca="1">IFERROR(__xludf.DUMMYFUNCTION("""COMPUTED_VALUE"""),110.06)</f>
        <v>110.06</v>
      </c>
      <c r="C404" s="3">
        <f ca="1">IFERROR(__xludf.DUMMYFUNCTION("""COMPUTED_VALUE"""),44048.6666666666)</f>
        <v>44048.666666666599</v>
      </c>
      <c r="D404" s="2">
        <f ca="1">IFERROR(__xludf.DUMMYFUNCTION("""COMPUTED_VALUE"""),212.94)</f>
        <v>212.94</v>
      </c>
      <c r="E404" s="3">
        <f ca="1">IFERROR(__xludf.DUMMYFUNCTION("""COMPUTED_VALUE"""),44048.6666666666)</f>
        <v>44048.666666666599</v>
      </c>
      <c r="F404" s="2">
        <f ca="1">IFERROR(__xludf.DUMMYFUNCTION("""COMPUTED_VALUE"""),3205.03)</f>
        <v>3205.03</v>
      </c>
      <c r="G404" s="3">
        <f ca="1">IFERROR(__xludf.DUMMYFUNCTION("""COMPUTED_VALUE"""),44048.6666666666)</f>
        <v>44048.666666666599</v>
      </c>
      <c r="H404" s="2">
        <f ca="1">IFERROR(__xludf.DUMMYFUNCTION("""COMPUTED_VALUE"""),1479.09)</f>
        <v>1479.09</v>
      </c>
      <c r="I404" s="3">
        <f ca="1">IFERROR(__xludf.DUMMYFUNCTION("""COMPUTED_VALUE"""),44048.6666666666)</f>
        <v>44048.666666666599</v>
      </c>
      <c r="J404" s="2">
        <f ca="1">IFERROR(__xludf.DUMMYFUNCTION("""COMPUTED_VALUE"""),1473.61)</f>
        <v>1473.61</v>
      </c>
      <c r="K404" s="3">
        <f ca="1">IFERROR(__xludf.DUMMYFUNCTION("""COMPUTED_VALUE"""),44048.6666666666)</f>
        <v>44048.666666666599</v>
      </c>
      <c r="L404" s="2">
        <f ca="1">IFERROR(__xludf.DUMMYFUNCTION("""COMPUTED_VALUE"""),249.12)</f>
        <v>249.12</v>
      </c>
      <c r="M404" s="3">
        <f ca="1">IFERROR(__xludf.DUMMYFUNCTION("""COMPUTED_VALUE"""),44048.6666666666)</f>
        <v>44048.666666666599</v>
      </c>
      <c r="N404" s="2">
        <f ca="1">IFERROR(__xludf.DUMMYFUNCTION("""COMPUTED_VALUE"""),297)</f>
        <v>297</v>
      </c>
      <c r="O404" s="3">
        <f ca="1">IFERROR(__xludf.DUMMYFUNCTION("""COMPUTED_VALUE"""),44048.6666666666)</f>
        <v>44048.666666666599</v>
      </c>
      <c r="P404" s="2">
        <f ca="1">IFERROR(__xludf.DUMMYFUNCTION("""COMPUTED_VALUE"""),112.87)</f>
        <v>112.87</v>
      </c>
      <c r="Q404" s="3">
        <f ca="1">IFERROR(__xludf.DUMMYFUNCTION("""COMPUTED_VALUE"""),44048.6666666666)</f>
        <v>44048.666666666599</v>
      </c>
      <c r="R404" s="2">
        <f ca="1">IFERROR(__xludf.DUMMYFUNCTION("""COMPUTED_VALUE"""),203.62)</f>
        <v>203.62</v>
      </c>
      <c r="S404" s="3">
        <f ca="1">IFERROR(__xludf.DUMMYFUNCTION("""COMPUTED_VALUE"""),44048.6666666666)</f>
        <v>44048.666666666599</v>
      </c>
      <c r="T404" s="2">
        <f ca="1">IFERROR(__xludf.DUMMYFUNCTION("""COMPUTED_VALUE"""),148.4)</f>
        <v>148.4</v>
      </c>
    </row>
    <row r="405" spans="1:20">
      <c r="A405" s="3">
        <f ca="1">IFERROR(__xludf.DUMMYFUNCTION("""COMPUTED_VALUE"""),44049.6666666666)</f>
        <v>44049.666666666599</v>
      </c>
      <c r="B405" s="2">
        <f ca="1">IFERROR(__xludf.DUMMYFUNCTION("""COMPUTED_VALUE"""),113.9)</f>
        <v>113.9</v>
      </c>
      <c r="C405" s="3">
        <f ca="1">IFERROR(__xludf.DUMMYFUNCTION("""COMPUTED_VALUE"""),44049.6666666666)</f>
        <v>44049.666666666599</v>
      </c>
      <c r="D405" s="2">
        <f ca="1">IFERROR(__xludf.DUMMYFUNCTION("""COMPUTED_VALUE"""),216.35)</f>
        <v>216.35</v>
      </c>
      <c r="E405" s="3">
        <f ca="1">IFERROR(__xludf.DUMMYFUNCTION("""COMPUTED_VALUE"""),44049.6666666666)</f>
        <v>44049.666666666599</v>
      </c>
      <c r="F405" s="2">
        <f ca="1">IFERROR(__xludf.DUMMYFUNCTION("""COMPUTED_VALUE"""),3225)</f>
        <v>3225</v>
      </c>
      <c r="G405" s="3">
        <f ca="1">IFERROR(__xludf.DUMMYFUNCTION("""COMPUTED_VALUE"""),44049.6666666666)</f>
        <v>44049.666666666599</v>
      </c>
      <c r="H405" s="2">
        <f ca="1">IFERROR(__xludf.DUMMYFUNCTION("""COMPUTED_VALUE"""),1504.95)</f>
        <v>1504.95</v>
      </c>
      <c r="I405" s="3">
        <f ca="1">IFERROR(__xludf.DUMMYFUNCTION("""COMPUTED_VALUE"""),44049.6666666666)</f>
        <v>44049.666666666599</v>
      </c>
      <c r="J405" s="2">
        <f ca="1">IFERROR(__xludf.DUMMYFUNCTION("""COMPUTED_VALUE"""),1500.1)</f>
        <v>1500.1</v>
      </c>
      <c r="K405" s="3">
        <f ca="1">IFERROR(__xludf.DUMMYFUNCTION("""COMPUTED_VALUE"""),44049.6666666666)</f>
        <v>44049.666666666599</v>
      </c>
      <c r="L405" s="2">
        <f ca="1">IFERROR(__xludf.DUMMYFUNCTION("""COMPUTED_VALUE"""),265.28)</f>
        <v>265.27999999999997</v>
      </c>
      <c r="M405" s="3">
        <f ca="1">IFERROR(__xludf.DUMMYFUNCTION("""COMPUTED_VALUE"""),44049.6666666666)</f>
        <v>44049.666666666599</v>
      </c>
      <c r="N405" s="2">
        <f ca="1">IFERROR(__xludf.DUMMYFUNCTION("""COMPUTED_VALUE"""),297.92)</f>
        <v>297.92</v>
      </c>
      <c r="O405" s="3">
        <f ca="1">IFERROR(__xludf.DUMMYFUNCTION("""COMPUTED_VALUE"""),44049.6666666666)</f>
        <v>44049.666666666599</v>
      </c>
      <c r="P405" s="2">
        <f ca="1">IFERROR(__xludf.DUMMYFUNCTION("""COMPUTED_VALUE"""),113.36)</f>
        <v>113.36</v>
      </c>
      <c r="Q405" s="3">
        <f ca="1">IFERROR(__xludf.DUMMYFUNCTION("""COMPUTED_VALUE"""),44049.6666666666)</f>
        <v>44049.666666666599</v>
      </c>
      <c r="R405" s="2">
        <f ca="1">IFERROR(__xludf.DUMMYFUNCTION("""COMPUTED_VALUE"""),205.02)</f>
        <v>205.02</v>
      </c>
      <c r="S405" s="3">
        <f ca="1">IFERROR(__xludf.DUMMYFUNCTION("""COMPUTED_VALUE"""),44049.6666666666)</f>
        <v>44049.666666666599</v>
      </c>
      <c r="T405" s="2">
        <f ca="1">IFERROR(__xludf.DUMMYFUNCTION("""COMPUTED_VALUE"""),147.55)</f>
        <v>147.55000000000001</v>
      </c>
    </row>
    <row r="406" spans="1:20">
      <c r="A406" s="3">
        <f ca="1">IFERROR(__xludf.DUMMYFUNCTION("""COMPUTED_VALUE"""),44050.6666666666)</f>
        <v>44050.666666666599</v>
      </c>
      <c r="B406" s="2">
        <f ca="1">IFERROR(__xludf.DUMMYFUNCTION("""COMPUTED_VALUE"""),111.11)</f>
        <v>111.11</v>
      </c>
      <c r="C406" s="3">
        <f ca="1">IFERROR(__xludf.DUMMYFUNCTION("""COMPUTED_VALUE"""),44050.6666666666)</f>
        <v>44050.666666666599</v>
      </c>
      <c r="D406" s="2">
        <f ca="1">IFERROR(__xludf.DUMMYFUNCTION("""COMPUTED_VALUE"""),212.48)</f>
        <v>212.48</v>
      </c>
      <c r="E406" s="3">
        <f ca="1">IFERROR(__xludf.DUMMYFUNCTION("""COMPUTED_VALUE"""),44050.6666666666)</f>
        <v>44050.666666666599</v>
      </c>
      <c r="F406" s="2">
        <f ca="1">IFERROR(__xludf.DUMMYFUNCTION("""COMPUTED_VALUE"""),3167.46)</f>
        <v>3167.46</v>
      </c>
      <c r="G406" s="3">
        <f ca="1">IFERROR(__xludf.DUMMYFUNCTION("""COMPUTED_VALUE"""),44050.6666666666)</f>
        <v>44050.666666666599</v>
      </c>
      <c r="H406" s="2">
        <f ca="1">IFERROR(__xludf.DUMMYFUNCTION("""COMPUTED_VALUE"""),1498.37)</f>
        <v>1498.37</v>
      </c>
      <c r="I406" s="3">
        <f ca="1">IFERROR(__xludf.DUMMYFUNCTION("""COMPUTED_VALUE"""),44050.6666666666)</f>
        <v>44050.666666666599</v>
      </c>
      <c r="J406" s="2">
        <f ca="1">IFERROR(__xludf.DUMMYFUNCTION("""COMPUTED_VALUE"""),1494.49)</f>
        <v>1494.49</v>
      </c>
      <c r="K406" s="3">
        <f ca="1">IFERROR(__xludf.DUMMYFUNCTION("""COMPUTED_VALUE"""),44050.6666666666)</f>
        <v>44050.666666666599</v>
      </c>
      <c r="L406" s="2">
        <f ca="1">IFERROR(__xludf.DUMMYFUNCTION("""COMPUTED_VALUE"""),268.44)</f>
        <v>268.44</v>
      </c>
      <c r="M406" s="3">
        <f ca="1">IFERROR(__xludf.DUMMYFUNCTION("""COMPUTED_VALUE"""),44050.6666666666)</f>
        <v>44050.666666666599</v>
      </c>
      <c r="N406" s="2">
        <f ca="1">IFERROR(__xludf.DUMMYFUNCTION("""COMPUTED_VALUE"""),290.54)</f>
        <v>290.54000000000002</v>
      </c>
      <c r="O406" s="3">
        <f ca="1">IFERROR(__xludf.DUMMYFUNCTION("""COMPUTED_VALUE"""),44050.6666666666)</f>
        <v>44050.666666666599</v>
      </c>
      <c r="P406" s="2">
        <f ca="1">IFERROR(__xludf.DUMMYFUNCTION("""COMPUTED_VALUE"""),112)</f>
        <v>112</v>
      </c>
      <c r="Q406" s="3">
        <f ca="1">IFERROR(__xludf.DUMMYFUNCTION("""COMPUTED_VALUE"""),44050.6666666666)</f>
        <v>44050.666666666599</v>
      </c>
      <c r="R406" s="2">
        <f ca="1">IFERROR(__xludf.DUMMYFUNCTION("""COMPUTED_VALUE"""),209.48)</f>
        <v>209.48</v>
      </c>
      <c r="S406" s="3">
        <f ca="1">IFERROR(__xludf.DUMMYFUNCTION("""COMPUTED_VALUE"""),44050.6666666666)</f>
        <v>44050.666666666599</v>
      </c>
      <c r="T406" s="2">
        <f ca="1">IFERROR(__xludf.DUMMYFUNCTION("""COMPUTED_VALUE"""),148.6)</f>
        <v>148.6</v>
      </c>
    </row>
    <row r="407" spans="1:20">
      <c r="A407" s="3">
        <f ca="1">IFERROR(__xludf.DUMMYFUNCTION("""COMPUTED_VALUE"""),44053.6666666666)</f>
        <v>44053.666666666599</v>
      </c>
      <c r="B407" s="2">
        <f ca="1">IFERROR(__xludf.DUMMYFUNCTION("""COMPUTED_VALUE"""),112.73)</f>
        <v>112.73</v>
      </c>
      <c r="C407" s="3">
        <f ca="1">IFERROR(__xludf.DUMMYFUNCTION("""COMPUTED_VALUE"""),44053.6666666666)</f>
        <v>44053.666666666599</v>
      </c>
      <c r="D407" s="2">
        <f ca="1">IFERROR(__xludf.DUMMYFUNCTION("""COMPUTED_VALUE"""),208.25)</f>
        <v>208.25</v>
      </c>
      <c r="E407" s="3">
        <f ca="1">IFERROR(__xludf.DUMMYFUNCTION("""COMPUTED_VALUE"""),44053.6666666666)</f>
        <v>44053.666666666599</v>
      </c>
      <c r="F407" s="2">
        <f ca="1">IFERROR(__xludf.DUMMYFUNCTION("""COMPUTED_VALUE"""),3148.16)</f>
        <v>3148.16</v>
      </c>
      <c r="G407" s="3">
        <f ca="1">IFERROR(__xludf.DUMMYFUNCTION("""COMPUTED_VALUE"""),44053.6666666666)</f>
        <v>44053.666666666599</v>
      </c>
      <c r="H407" s="2">
        <f ca="1">IFERROR(__xludf.DUMMYFUNCTION("""COMPUTED_VALUE"""),1496.82)</f>
        <v>1496.82</v>
      </c>
      <c r="I407" s="3">
        <f ca="1">IFERROR(__xludf.DUMMYFUNCTION("""COMPUTED_VALUE"""),44053.6666666666)</f>
        <v>44053.666666666599</v>
      </c>
      <c r="J407" s="2">
        <f ca="1">IFERROR(__xludf.DUMMYFUNCTION("""COMPUTED_VALUE"""),1496.1)</f>
        <v>1496.1</v>
      </c>
      <c r="K407" s="3">
        <f ca="1">IFERROR(__xludf.DUMMYFUNCTION("""COMPUTED_VALUE"""),44053.6666666666)</f>
        <v>44053.666666666599</v>
      </c>
      <c r="L407" s="2">
        <f ca="1">IFERROR(__xludf.DUMMYFUNCTION("""COMPUTED_VALUE"""),263)</f>
        <v>263</v>
      </c>
      <c r="M407" s="3">
        <f ca="1">IFERROR(__xludf.DUMMYFUNCTION("""COMPUTED_VALUE"""),44053.6666666666)</f>
        <v>44053.666666666599</v>
      </c>
      <c r="N407" s="2">
        <f ca="1">IFERROR(__xludf.DUMMYFUNCTION("""COMPUTED_VALUE"""),283.71)</f>
        <v>283.70999999999998</v>
      </c>
      <c r="O407" s="3">
        <f ca="1">IFERROR(__xludf.DUMMYFUNCTION("""COMPUTED_VALUE"""),44053.6666666666)</f>
        <v>44053.666666666599</v>
      </c>
      <c r="P407" s="2">
        <f ca="1">IFERROR(__xludf.DUMMYFUNCTION("""COMPUTED_VALUE"""),111.65)</f>
        <v>111.65</v>
      </c>
      <c r="Q407" s="3">
        <f ca="1">IFERROR(__xludf.DUMMYFUNCTION("""COMPUTED_VALUE"""),44053.6666666666)</f>
        <v>44053.666666666599</v>
      </c>
      <c r="R407" s="2">
        <f ca="1">IFERROR(__xludf.DUMMYFUNCTION("""COMPUTED_VALUE"""),212.58)</f>
        <v>212.58</v>
      </c>
      <c r="S407" s="3">
        <f ca="1">IFERROR(__xludf.DUMMYFUNCTION("""COMPUTED_VALUE"""),44053.6666666666)</f>
        <v>44053.666666666599</v>
      </c>
      <c r="T407" s="2">
        <f ca="1">IFERROR(__xludf.DUMMYFUNCTION("""COMPUTED_VALUE"""),148.03)</f>
        <v>148.03</v>
      </c>
    </row>
    <row r="408" spans="1:20">
      <c r="A408" s="3">
        <f ca="1">IFERROR(__xludf.DUMMYFUNCTION("""COMPUTED_VALUE"""),44054.6666666666)</f>
        <v>44054.666666666599</v>
      </c>
      <c r="B408" s="2">
        <f ca="1">IFERROR(__xludf.DUMMYFUNCTION("""COMPUTED_VALUE"""),109.38)</f>
        <v>109.38</v>
      </c>
      <c r="C408" s="3">
        <f ca="1">IFERROR(__xludf.DUMMYFUNCTION("""COMPUTED_VALUE"""),44054.6666666666)</f>
        <v>44054.666666666599</v>
      </c>
      <c r="D408" s="2">
        <f ca="1">IFERROR(__xludf.DUMMYFUNCTION("""COMPUTED_VALUE"""),203.38)</f>
        <v>203.38</v>
      </c>
      <c r="E408" s="3">
        <f ca="1">IFERROR(__xludf.DUMMYFUNCTION("""COMPUTED_VALUE"""),44054.6666666666)</f>
        <v>44054.666666666599</v>
      </c>
      <c r="F408" s="2">
        <f ca="1">IFERROR(__xludf.DUMMYFUNCTION("""COMPUTED_VALUE"""),3080.67)</f>
        <v>3080.67</v>
      </c>
      <c r="G408" s="3">
        <f ca="1">IFERROR(__xludf.DUMMYFUNCTION("""COMPUTED_VALUE"""),44054.6666666666)</f>
        <v>44054.666666666599</v>
      </c>
      <c r="H408" s="2">
        <f ca="1">IFERROR(__xludf.DUMMYFUNCTION("""COMPUTED_VALUE"""),1480.54)</f>
        <v>1480.54</v>
      </c>
      <c r="I408" s="3">
        <f ca="1">IFERROR(__xludf.DUMMYFUNCTION("""COMPUTED_VALUE"""),44054.6666666666)</f>
        <v>44054.666666666599</v>
      </c>
      <c r="J408" s="2">
        <f ca="1">IFERROR(__xludf.DUMMYFUNCTION("""COMPUTED_VALUE"""),1480.32)</f>
        <v>1480.32</v>
      </c>
      <c r="K408" s="3">
        <f ca="1">IFERROR(__xludf.DUMMYFUNCTION("""COMPUTED_VALUE"""),44054.6666666666)</f>
        <v>44054.666666666599</v>
      </c>
      <c r="L408" s="2">
        <f ca="1">IFERROR(__xludf.DUMMYFUNCTION("""COMPUTED_VALUE"""),256.13)</f>
        <v>256.13</v>
      </c>
      <c r="M408" s="3">
        <f ca="1">IFERROR(__xludf.DUMMYFUNCTION("""COMPUTED_VALUE"""),44054.6666666666)</f>
        <v>44054.666666666599</v>
      </c>
      <c r="N408" s="2">
        <f ca="1">IFERROR(__xludf.DUMMYFUNCTION("""COMPUTED_VALUE"""),274.88)</f>
        <v>274.88</v>
      </c>
      <c r="O408" s="3">
        <f ca="1">IFERROR(__xludf.DUMMYFUNCTION("""COMPUTED_VALUE"""),44054.6666666666)</f>
        <v>44054.666666666599</v>
      </c>
      <c r="P408" s="2">
        <f ca="1">IFERROR(__xludf.DUMMYFUNCTION("""COMPUTED_VALUE"""),108.5)</f>
        <v>108.5</v>
      </c>
      <c r="Q408" s="3">
        <f ca="1">IFERROR(__xludf.DUMMYFUNCTION("""COMPUTED_VALUE"""),44054.6666666666)</f>
        <v>44054.666666666599</v>
      </c>
      <c r="R408" s="2">
        <f ca="1">IFERROR(__xludf.DUMMYFUNCTION("""COMPUTED_VALUE"""),212.66)</f>
        <v>212.66</v>
      </c>
      <c r="S408" s="3">
        <f ca="1">IFERROR(__xludf.DUMMYFUNCTION("""COMPUTED_VALUE"""),44054.6666666666)</f>
        <v>44054.666666666599</v>
      </c>
      <c r="T408" s="2">
        <f ca="1">IFERROR(__xludf.DUMMYFUNCTION("""COMPUTED_VALUE"""),146.97)</f>
        <v>146.97</v>
      </c>
    </row>
    <row r="409" spans="1:20">
      <c r="A409" s="3">
        <f ca="1">IFERROR(__xludf.DUMMYFUNCTION("""COMPUTED_VALUE"""),44055.6666666666)</f>
        <v>44055.666666666599</v>
      </c>
      <c r="B409" s="2">
        <f ca="1">IFERROR(__xludf.DUMMYFUNCTION("""COMPUTED_VALUE"""),113.01)</f>
        <v>113.01</v>
      </c>
      <c r="C409" s="3">
        <f ca="1">IFERROR(__xludf.DUMMYFUNCTION("""COMPUTED_VALUE"""),44055.6666666666)</f>
        <v>44055.666666666599</v>
      </c>
      <c r="D409" s="2">
        <f ca="1">IFERROR(__xludf.DUMMYFUNCTION("""COMPUTED_VALUE"""),209.19)</f>
        <v>209.19</v>
      </c>
      <c r="E409" s="3">
        <f ca="1">IFERROR(__xludf.DUMMYFUNCTION("""COMPUTED_VALUE"""),44055.6666666666)</f>
        <v>44055.666666666599</v>
      </c>
      <c r="F409" s="2">
        <f ca="1">IFERROR(__xludf.DUMMYFUNCTION("""COMPUTED_VALUE"""),3162.24)</f>
        <v>3162.24</v>
      </c>
      <c r="G409" s="3">
        <f ca="1">IFERROR(__xludf.DUMMYFUNCTION("""COMPUTED_VALUE"""),44055.6666666666)</f>
        <v>44055.666666666599</v>
      </c>
      <c r="H409" s="2">
        <f ca="1">IFERROR(__xludf.DUMMYFUNCTION("""COMPUTED_VALUE"""),1507.24)</f>
        <v>1507.24</v>
      </c>
      <c r="I409" s="3">
        <f ca="1">IFERROR(__xludf.DUMMYFUNCTION("""COMPUTED_VALUE"""),44055.6666666666)</f>
        <v>44055.666666666599</v>
      </c>
      <c r="J409" s="2">
        <f ca="1">IFERROR(__xludf.DUMMYFUNCTION("""COMPUTED_VALUE"""),1506.62)</f>
        <v>1506.62</v>
      </c>
      <c r="K409" s="3">
        <f ca="1">IFERROR(__xludf.DUMMYFUNCTION("""COMPUTED_VALUE"""),44055.6666666666)</f>
        <v>44055.666666666599</v>
      </c>
      <c r="L409" s="2">
        <f ca="1">IFERROR(__xludf.DUMMYFUNCTION("""COMPUTED_VALUE"""),259.89)</f>
        <v>259.89</v>
      </c>
      <c r="M409" s="3">
        <f ca="1">IFERROR(__xludf.DUMMYFUNCTION("""COMPUTED_VALUE"""),44055.6666666666)</f>
        <v>44055.666666666599</v>
      </c>
      <c r="N409" s="2">
        <f ca="1">IFERROR(__xludf.DUMMYFUNCTION("""COMPUTED_VALUE"""),310.95)</f>
        <v>310.95</v>
      </c>
      <c r="O409" s="3">
        <f ca="1">IFERROR(__xludf.DUMMYFUNCTION("""COMPUTED_VALUE"""),44055.6666666666)</f>
        <v>44055.666666666599</v>
      </c>
      <c r="P409" s="2">
        <f ca="1">IFERROR(__xludf.DUMMYFUNCTION("""COMPUTED_VALUE"""),114.4)</f>
        <v>114.4</v>
      </c>
      <c r="Q409" s="3">
        <f ca="1">IFERROR(__xludf.DUMMYFUNCTION("""COMPUTED_VALUE"""),44055.6666666666)</f>
        <v>44055.666666666599</v>
      </c>
      <c r="R409" s="2">
        <f ca="1">IFERROR(__xludf.DUMMYFUNCTION("""COMPUTED_VALUE"""),213.24)</f>
        <v>213.24</v>
      </c>
      <c r="S409" s="3">
        <f ca="1">IFERROR(__xludf.DUMMYFUNCTION("""COMPUTED_VALUE"""),44055.6666666666)</f>
        <v>44055.666666666599</v>
      </c>
      <c r="T409" s="2">
        <f ca="1">IFERROR(__xludf.DUMMYFUNCTION("""COMPUTED_VALUE"""),149.66)</f>
        <v>149.66</v>
      </c>
    </row>
    <row r="410" spans="1:20">
      <c r="A410" s="3">
        <f ca="1">IFERROR(__xludf.DUMMYFUNCTION("""COMPUTED_VALUE"""),44056.6666666666)</f>
        <v>44056.666666666599</v>
      </c>
      <c r="B410" s="2">
        <f ca="1">IFERROR(__xludf.DUMMYFUNCTION("""COMPUTED_VALUE"""),115.01)</f>
        <v>115.01</v>
      </c>
      <c r="C410" s="3">
        <f ca="1">IFERROR(__xludf.DUMMYFUNCTION("""COMPUTED_VALUE"""),44056.6666666666)</f>
        <v>44056.666666666599</v>
      </c>
      <c r="D410" s="2">
        <f ca="1">IFERROR(__xludf.DUMMYFUNCTION("""COMPUTED_VALUE"""),208.7)</f>
        <v>208.7</v>
      </c>
      <c r="E410" s="3">
        <f ca="1">IFERROR(__xludf.DUMMYFUNCTION("""COMPUTED_VALUE"""),44056.6666666666)</f>
        <v>44056.666666666599</v>
      </c>
      <c r="F410" s="2">
        <f ca="1">IFERROR(__xludf.DUMMYFUNCTION("""COMPUTED_VALUE"""),3161.02)</f>
        <v>3161.02</v>
      </c>
      <c r="G410" s="3">
        <f ca="1">IFERROR(__xludf.DUMMYFUNCTION("""COMPUTED_VALUE"""),44056.6666666666)</f>
        <v>44056.666666666599</v>
      </c>
      <c r="H410" s="2">
        <f ca="1">IFERROR(__xludf.DUMMYFUNCTION("""COMPUTED_VALUE"""),1516.65)</f>
        <v>1516.65</v>
      </c>
      <c r="I410" s="3">
        <f ca="1">IFERROR(__xludf.DUMMYFUNCTION("""COMPUTED_VALUE"""),44056.6666666666)</f>
        <v>44056.666666666599</v>
      </c>
      <c r="J410" s="2">
        <f ca="1">IFERROR(__xludf.DUMMYFUNCTION("""COMPUTED_VALUE"""),1518.45)</f>
        <v>1518.45</v>
      </c>
      <c r="K410" s="3">
        <f ca="1">IFERROR(__xludf.DUMMYFUNCTION("""COMPUTED_VALUE"""),44056.6666666666)</f>
        <v>44056.666666666599</v>
      </c>
      <c r="L410" s="2">
        <f ca="1">IFERROR(__xludf.DUMMYFUNCTION("""COMPUTED_VALUE"""),261.3)</f>
        <v>261.3</v>
      </c>
      <c r="M410" s="3">
        <f ca="1">IFERROR(__xludf.DUMMYFUNCTION("""COMPUTED_VALUE"""),44056.6666666666)</f>
        <v>44056.666666666599</v>
      </c>
      <c r="N410" s="2">
        <f ca="1">IFERROR(__xludf.DUMMYFUNCTION("""COMPUTED_VALUE"""),324.2)</f>
        <v>324.2</v>
      </c>
      <c r="O410" s="3">
        <f ca="1">IFERROR(__xludf.DUMMYFUNCTION("""COMPUTED_VALUE"""),44056.6666666666)</f>
        <v>44056.666666666599</v>
      </c>
      <c r="P410" s="2">
        <f ca="1">IFERROR(__xludf.DUMMYFUNCTION("""COMPUTED_VALUE"""),114.43)</f>
        <v>114.43</v>
      </c>
      <c r="Q410" s="3">
        <f ca="1">IFERROR(__xludf.DUMMYFUNCTION("""COMPUTED_VALUE"""),44056.6666666666)</f>
        <v>44056.666666666599</v>
      </c>
      <c r="R410" s="2">
        <f ca="1">IFERROR(__xludf.DUMMYFUNCTION("""COMPUTED_VALUE"""),211.98)</f>
        <v>211.98</v>
      </c>
      <c r="S410" s="3">
        <f ca="1">IFERROR(__xludf.DUMMYFUNCTION("""COMPUTED_VALUE"""),44056.6666666666)</f>
        <v>44056.666666666599</v>
      </c>
      <c r="T410" s="2">
        <f ca="1">IFERROR(__xludf.DUMMYFUNCTION("""COMPUTED_VALUE"""),148)</f>
        <v>148</v>
      </c>
    </row>
    <row r="411" spans="1:20">
      <c r="A411" s="3">
        <f ca="1">IFERROR(__xludf.DUMMYFUNCTION("""COMPUTED_VALUE"""),44057.6666666666)</f>
        <v>44057.666666666599</v>
      </c>
      <c r="B411" s="2">
        <f ca="1">IFERROR(__xludf.DUMMYFUNCTION("""COMPUTED_VALUE"""),114.91)</f>
        <v>114.91</v>
      </c>
      <c r="C411" s="3">
        <f ca="1">IFERROR(__xludf.DUMMYFUNCTION("""COMPUTED_VALUE"""),44057.6666666666)</f>
        <v>44057.666666666599</v>
      </c>
      <c r="D411" s="2">
        <f ca="1">IFERROR(__xludf.DUMMYFUNCTION("""COMPUTED_VALUE"""),208.9)</f>
        <v>208.9</v>
      </c>
      <c r="E411" s="3">
        <f ca="1">IFERROR(__xludf.DUMMYFUNCTION("""COMPUTED_VALUE"""),44057.6666666666)</f>
        <v>44057.666666666599</v>
      </c>
      <c r="F411" s="2">
        <f ca="1">IFERROR(__xludf.DUMMYFUNCTION("""COMPUTED_VALUE"""),3148.02)</f>
        <v>3148.02</v>
      </c>
      <c r="G411" s="3">
        <f ca="1">IFERROR(__xludf.DUMMYFUNCTION("""COMPUTED_VALUE"""),44057.6666666666)</f>
        <v>44057.666666666599</v>
      </c>
      <c r="H411" s="2">
        <f ca="1">IFERROR(__xludf.DUMMYFUNCTION("""COMPUTED_VALUE"""),1504.63)</f>
        <v>1504.63</v>
      </c>
      <c r="I411" s="3">
        <f ca="1">IFERROR(__xludf.DUMMYFUNCTION("""COMPUTED_VALUE"""),44057.6666666666)</f>
        <v>44057.666666666599</v>
      </c>
      <c r="J411" s="2">
        <f ca="1">IFERROR(__xludf.DUMMYFUNCTION("""COMPUTED_VALUE"""),1507.73)</f>
        <v>1507.73</v>
      </c>
      <c r="K411" s="3">
        <f ca="1">IFERROR(__xludf.DUMMYFUNCTION("""COMPUTED_VALUE"""),44057.6666666666)</f>
        <v>44057.666666666599</v>
      </c>
      <c r="L411" s="2">
        <f ca="1">IFERROR(__xludf.DUMMYFUNCTION("""COMPUTED_VALUE"""),261.24)</f>
        <v>261.24</v>
      </c>
      <c r="M411" s="3">
        <f ca="1">IFERROR(__xludf.DUMMYFUNCTION("""COMPUTED_VALUE"""),44057.6666666666)</f>
        <v>44057.666666666599</v>
      </c>
      <c r="N411" s="2">
        <f ca="1">IFERROR(__xludf.DUMMYFUNCTION("""COMPUTED_VALUE"""),330.14)</f>
        <v>330.14</v>
      </c>
      <c r="O411" s="3">
        <f ca="1">IFERROR(__xludf.DUMMYFUNCTION("""COMPUTED_VALUE"""),44057.6666666666)</f>
        <v>44057.666666666599</v>
      </c>
      <c r="P411" s="2">
        <f ca="1">IFERROR(__xludf.DUMMYFUNCTION("""COMPUTED_VALUE"""),115.64)</f>
        <v>115.64</v>
      </c>
      <c r="Q411" s="3">
        <f ca="1">IFERROR(__xludf.DUMMYFUNCTION("""COMPUTED_VALUE"""),44057.6666666666)</f>
        <v>44057.666666666599</v>
      </c>
      <c r="R411" s="2">
        <f ca="1">IFERROR(__xludf.DUMMYFUNCTION("""COMPUTED_VALUE"""),210.96)</f>
        <v>210.96</v>
      </c>
      <c r="S411" s="3">
        <f ca="1">IFERROR(__xludf.DUMMYFUNCTION("""COMPUTED_VALUE"""),44057.6666666666)</f>
        <v>44057.666666666599</v>
      </c>
      <c r="T411" s="2">
        <f ca="1">IFERROR(__xludf.DUMMYFUNCTION("""COMPUTED_VALUE"""),148.24)</f>
        <v>148.24</v>
      </c>
    </row>
    <row r="412" spans="1:20">
      <c r="A412" s="3">
        <f ca="1">IFERROR(__xludf.DUMMYFUNCTION("""COMPUTED_VALUE"""),44060.6666666666)</f>
        <v>44060.666666666599</v>
      </c>
      <c r="B412" s="2">
        <f ca="1">IFERROR(__xludf.DUMMYFUNCTION("""COMPUTED_VALUE"""),114.61)</f>
        <v>114.61</v>
      </c>
      <c r="C412" s="3">
        <f ca="1">IFERROR(__xludf.DUMMYFUNCTION("""COMPUTED_VALUE"""),44060.6666666666)</f>
        <v>44060.666666666599</v>
      </c>
      <c r="D412" s="2">
        <f ca="1">IFERROR(__xludf.DUMMYFUNCTION("""COMPUTED_VALUE"""),210.28)</f>
        <v>210.28</v>
      </c>
      <c r="E412" s="3">
        <f ca="1">IFERROR(__xludf.DUMMYFUNCTION("""COMPUTED_VALUE"""),44060.6666666666)</f>
        <v>44060.666666666599</v>
      </c>
      <c r="F412" s="2">
        <f ca="1">IFERROR(__xludf.DUMMYFUNCTION("""COMPUTED_VALUE"""),3182.41)</f>
        <v>3182.41</v>
      </c>
      <c r="G412" s="3">
        <f ca="1">IFERROR(__xludf.DUMMYFUNCTION("""COMPUTED_VALUE"""),44060.6666666666)</f>
        <v>44060.666666666599</v>
      </c>
      <c r="H412" s="2">
        <f ca="1">IFERROR(__xludf.DUMMYFUNCTION("""COMPUTED_VALUE"""),1516.24)</f>
        <v>1516.24</v>
      </c>
      <c r="I412" s="3">
        <f ca="1">IFERROR(__xludf.DUMMYFUNCTION("""COMPUTED_VALUE"""),44060.6666666666)</f>
        <v>44060.666666666599</v>
      </c>
      <c r="J412" s="2">
        <f ca="1">IFERROR(__xludf.DUMMYFUNCTION("""COMPUTED_VALUE"""),1517.98)</f>
        <v>1517.98</v>
      </c>
      <c r="K412" s="3">
        <f ca="1">IFERROR(__xludf.DUMMYFUNCTION("""COMPUTED_VALUE"""),44060.6666666666)</f>
        <v>44060.666666666599</v>
      </c>
      <c r="L412" s="2">
        <f ca="1">IFERROR(__xludf.DUMMYFUNCTION("""COMPUTED_VALUE"""),261.16)</f>
        <v>261.16000000000003</v>
      </c>
      <c r="M412" s="3">
        <f ca="1">IFERROR(__xludf.DUMMYFUNCTION("""COMPUTED_VALUE"""),44060.6666666666)</f>
        <v>44060.666666666599</v>
      </c>
      <c r="N412" s="2">
        <f ca="1">IFERROR(__xludf.DUMMYFUNCTION("""COMPUTED_VALUE"""),367.13)</f>
        <v>367.13</v>
      </c>
      <c r="O412" s="3">
        <f ca="1">IFERROR(__xludf.DUMMYFUNCTION("""COMPUTED_VALUE"""),44060.6666666666)</f>
        <v>44060.666666666599</v>
      </c>
      <c r="P412" s="2">
        <f ca="1">IFERROR(__xludf.DUMMYFUNCTION("""COMPUTED_VALUE"""),123.37)</f>
        <v>123.37</v>
      </c>
      <c r="Q412" s="3">
        <f ca="1">IFERROR(__xludf.DUMMYFUNCTION("""COMPUTED_VALUE"""),44060.6666666666)</f>
        <v>44060.666666666599</v>
      </c>
      <c r="R412" s="2">
        <f ca="1">IFERROR(__xludf.DUMMYFUNCTION("""COMPUTED_VALUE"""),206.78)</f>
        <v>206.78</v>
      </c>
      <c r="S412" s="3">
        <f ca="1">IFERROR(__xludf.DUMMYFUNCTION("""COMPUTED_VALUE"""),44060.6666666666)</f>
        <v>44060.666666666599</v>
      </c>
      <c r="T412" s="2">
        <f ca="1">IFERROR(__xludf.DUMMYFUNCTION("""COMPUTED_VALUE"""),148.99)</f>
        <v>148.99</v>
      </c>
    </row>
    <row r="413" spans="1:20">
      <c r="A413" s="3">
        <f ca="1">IFERROR(__xludf.DUMMYFUNCTION("""COMPUTED_VALUE"""),44061.6666666666)</f>
        <v>44061.666666666599</v>
      </c>
      <c r="B413" s="2">
        <f ca="1">IFERROR(__xludf.DUMMYFUNCTION("""COMPUTED_VALUE"""),115.56)</f>
        <v>115.56</v>
      </c>
      <c r="C413" s="3">
        <f ca="1">IFERROR(__xludf.DUMMYFUNCTION("""COMPUTED_VALUE"""),44061.6666666666)</f>
        <v>44061.666666666599</v>
      </c>
      <c r="D413" s="2">
        <f ca="1">IFERROR(__xludf.DUMMYFUNCTION("""COMPUTED_VALUE"""),211.49)</f>
        <v>211.49</v>
      </c>
      <c r="E413" s="3">
        <f ca="1">IFERROR(__xludf.DUMMYFUNCTION("""COMPUTED_VALUE"""),44061.6666666666)</f>
        <v>44061.666666666599</v>
      </c>
      <c r="F413" s="2">
        <f ca="1">IFERROR(__xludf.DUMMYFUNCTION("""COMPUTED_VALUE"""),3312.49)</f>
        <v>3312.49</v>
      </c>
      <c r="G413" s="3">
        <f ca="1">IFERROR(__xludf.DUMMYFUNCTION("""COMPUTED_VALUE"""),44061.6666666666)</f>
        <v>44061.666666666599</v>
      </c>
      <c r="H413" s="2">
        <f ca="1">IFERROR(__xludf.DUMMYFUNCTION("""COMPUTED_VALUE"""),1555.78)</f>
        <v>1555.78</v>
      </c>
      <c r="I413" s="3">
        <f ca="1">IFERROR(__xludf.DUMMYFUNCTION("""COMPUTED_VALUE"""),44061.6666666666)</f>
        <v>44061.666666666599</v>
      </c>
      <c r="J413" s="2">
        <f ca="1">IFERROR(__xludf.DUMMYFUNCTION("""COMPUTED_VALUE"""),1558.6)</f>
        <v>1558.6</v>
      </c>
      <c r="K413" s="3">
        <f ca="1">IFERROR(__xludf.DUMMYFUNCTION("""COMPUTED_VALUE"""),44061.6666666666)</f>
        <v>44061.666666666599</v>
      </c>
      <c r="L413" s="2">
        <f ca="1">IFERROR(__xludf.DUMMYFUNCTION("""COMPUTED_VALUE"""),262.34)</f>
        <v>262.33999999999997</v>
      </c>
      <c r="M413" s="3">
        <f ca="1">IFERROR(__xludf.DUMMYFUNCTION("""COMPUTED_VALUE"""),44061.6666666666)</f>
        <v>44061.666666666599</v>
      </c>
      <c r="N413" s="2">
        <f ca="1">IFERROR(__xludf.DUMMYFUNCTION("""COMPUTED_VALUE"""),377.42)</f>
        <v>377.42</v>
      </c>
      <c r="O413" s="3">
        <f ca="1">IFERROR(__xludf.DUMMYFUNCTION("""COMPUTED_VALUE"""),44061.6666666666)</f>
        <v>44061.666666666599</v>
      </c>
      <c r="P413" s="2">
        <f ca="1">IFERROR(__xludf.DUMMYFUNCTION("""COMPUTED_VALUE"""),122.61)</f>
        <v>122.61</v>
      </c>
      <c r="Q413" s="3">
        <f ca="1">IFERROR(__xludf.DUMMYFUNCTION("""COMPUTED_VALUE"""),44061.6666666666)</f>
        <v>44061.666666666599</v>
      </c>
      <c r="R413" s="2">
        <f ca="1">IFERROR(__xludf.DUMMYFUNCTION("""COMPUTED_VALUE"""),208.33)</f>
        <v>208.33</v>
      </c>
      <c r="S413" s="3">
        <f ca="1">IFERROR(__xludf.DUMMYFUNCTION("""COMPUTED_VALUE"""),44061.6666666666)</f>
        <v>44061.666666666599</v>
      </c>
      <c r="T413" s="2">
        <f ca="1">IFERROR(__xludf.DUMMYFUNCTION("""COMPUTED_VALUE"""),150.09)</f>
        <v>150.09</v>
      </c>
    </row>
    <row r="414" spans="1:20">
      <c r="A414" s="3">
        <f ca="1">IFERROR(__xludf.DUMMYFUNCTION("""COMPUTED_VALUE"""),44062.6666666666)</f>
        <v>44062.666666666599</v>
      </c>
      <c r="B414" s="2">
        <f ca="1">IFERROR(__xludf.DUMMYFUNCTION("""COMPUTED_VALUE"""),115.71)</f>
        <v>115.71</v>
      </c>
      <c r="C414" s="3">
        <f ca="1">IFERROR(__xludf.DUMMYFUNCTION("""COMPUTED_VALUE"""),44062.6666666666)</f>
        <v>44062.666666666599</v>
      </c>
      <c r="D414" s="2">
        <f ca="1">IFERROR(__xludf.DUMMYFUNCTION("""COMPUTED_VALUE"""),209.7)</f>
        <v>209.7</v>
      </c>
      <c r="E414" s="3">
        <f ca="1">IFERROR(__xludf.DUMMYFUNCTION("""COMPUTED_VALUE"""),44062.6666666666)</f>
        <v>44062.666666666599</v>
      </c>
      <c r="F414" s="2">
        <f ca="1">IFERROR(__xludf.DUMMYFUNCTION("""COMPUTED_VALUE"""),3260.48)</f>
        <v>3260.48</v>
      </c>
      <c r="G414" s="3">
        <f ca="1">IFERROR(__xludf.DUMMYFUNCTION("""COMPUTED_VALUE"""),44062.6666666666)</f>
        <v>44062.666666666599</v>
      </c>
      <c r="H414" s="2">
        <f ca="1">IFERROR(__xludf.DUMMYFUNCTION("""COMPUTED_VALUE"""),1544.61)</f>
        <v>1544.61</v>
      </c>
      <c r="I414" s="3">
        <f ca="1">IFERROR(__xludf.DUMMYFUNCTION("""COMPUTED_VALUE"""),44062.6666666666)</f>
        <v>44062.666666666599</v>
      </c>
      <c r="J414" s="2">
        <f ca="1">IFERROR(__xludf.DUMMYFUNCTION("""COMPUTED_VALUE"""),1547.53)</f>
        <v>1547.53</v>
      </c>
      <c r="K414" s="3">
        <f ca="1">IFERROR(__xludf.DUMMYFUNCTION("""COMPUTED_VALUE"""),44062.6666666666)</f>
        <v>44062.666666666599</v>
      </c>
      <c r="L414" s="2">
        <f ca="1">IFERROR(__xludf.DUMMYFUNCTION("""COMPUTED_VALUE"""),262.59)</f>
        <v>262.58999999999997</v>
      </c>
      <c r="M414" s="3">
        <f ca="1">IFERROR(__xludf.DUMMYFUNCTION("""COMPUTED_VALUE"""),44062.6666666666)</f>
        <v>44062.666666666599</v>
      </c>
      <c r="N414" s="2">
        <f ca="1">IFERROR(__xludf.DUMMYFUNCTION("""COMPUTED_VALUE"""),375.71)</f>
        <v>375.71</v>
      </c>
      <c r="O414" s="3">
        <f ca="1">IFERROR(__xludf.DUMMYFUNCTION("""COMPUTED_VALUE"""),44062.6666666666)</f>
        <v>44062.666666666599</v>
      </c>
      <c r="P414" s="2">
        <f ca="1">IFERROR(__xludf.DUMMYFUNCTION("""COMPUTED_VALUE"""),121.39)</f>
        <v>121.39</v>
      </c>
      <c r="Q414" s="3">
        <f ca="1">IFERROR(__xludf.DUMMYFUNCTION("""COMPUTED_VALUE"""),44062.6666666666)</f>
        <v>44062.666666666599</v>
      </c>
      <c r="R414" s="2">
        <f ca="1">IFERROR(__xludf.DUMMYFUNCTION("""COMPUTED_VALUE"""),207.21)</f>
        <v>207.21</v>
      </c>
      <c r="S414" s="3">
        <f ca="1">IFERROR(__xludf.DUMMYFUNCTION("""COMPUTED_VALUE"""),44062.6666666666)</f>
        <v>44062.666666666599</v>
      </c>
      <c r="T414" s="2">
        <f ca="1">IFERROR(__xludf.DUMMYFUNCTION("""COMPUTED_VALUE"""),150.39)</f>
        <v>150.38999999999999</v>
      </c>
    </row>
    <row r="415" spans="1:20">
      <c r="A415" s="3">
        <f ca="1">IFERROR(__xludf.DUMMYFUNCTION("""COMPUTED_VALUE"""),44063.6666666666)</f>
        <v>44063.666666666599</v>
      </c>
      <c r="B415" s="2">
        <f ca="1">IFERROR(__xludf.DUMMYFUNCTION("""COMPUTED_VALUE"""),118.28)</f>
        <v>118.28</v>
      </c>
      <c r="C415" s="3">
        <f ca="1">IFERROR(__xludf.DUMMYFUNCTION("""COMPUTED_VALUE"""),44063.6666666666)</f>
        <v>44063.666666666599</v>
      </c>
      <c r="D415" s="2">
        <f ca="1">IFERROR(__xludf.DUMMYFUNCTION("""COMPUTED_VALUE"""),214.58)</f>
        <v>214.58</v>
      </c>
      <c r="E415" s="3">
        <f ca="1">IFERROR(__xludf.DUMMYFUNCTION("""COMPUTED_VALUE"""),44063.6666666666)</f>
        <v>44063.666666666599</v>
      </c>
      <c r="F415" s="2">
        <f ca="1">IFERROR(__xludf.DUMMYFUNCTION("""COMPUTED_VALUE"""),3297.37)</f>
        <v>3297.37</v>
      </c>
      <c r="G415" s="3">
        <f ca="1">IFERROR(__xludf.DUMMYFUNCTION("""COMPUTED_VALUE"""),44063.6666666666)</f>
        <v>44063.666666666599</v>
      </c>
      <c r="H415" s="2">
        <f ca="1">IFERROR(__xludf.DUMMYFUNCTION("""COMPUTED_VALUE"""),1576.25)</f>
        <v>1576.25</v>
      </c>
      <c r="I415" s="3">
        <f ca="1">IFERROR(__xludf.DUMMYFUNCTION("""COMPUTED_VALUE"""),44063.6666666666)</f>
        <v>44063.666666666599</v>
      </c>
      <c r="J415" s="2">
        <f ca="1">IFERROR(__xludf.DUMMYFUNCTION("""COMPUTED_VALUE"""),1581.75)</f>
        <v>1581.75</v>
      </c>
      <c r="K415" s="3">
        <f ca="1">IFERROR(__xludf.DUMMYFUNCTION("""COMPUTED_VALUE"""),44063.6666666666)</f>
        <v>44063.666666666599</v>
      </c>
      <c r="L415" s="2">
        <f ca="1">IFERROR(__xludf.DUMMYFUNCTION("""COMPUTED_VALUE"""),269.01)</f>
        <v>269.01</v>
      </c>
      <c r="M415" s="3">
        <f ca="1">IFERROR(__xludf.DUMMYFUNCTION("""COMPUTED_VALUE"""),44063.6666666666)</f>
        <v>44063.666666666599</v>
      </c>
      <c r="N415" s="2">
        <f ca="1">IFERROR(__xludf.DUMMYFUNCTION("""COMPUTED_VALUE"""),400.37)</f>
        <v>400.37</v>
      </c>
      <c r="O415" s="3">
        <f ca="1">IFERROR(__xludf.DUMMYFUNCTION("""COMPUTED_VALUE"""),44063.6666666666)</f>
        <v>44063.666666666599</v>
      </c>
      <c r="P415" s="2">
        <f ca="1">IFERROR(__xludf.DUMMYFUNCTION("""COMPUTED_VALUE"""),121.41)</f>
        <v>121.41</v>
      </c>
      <c r="Q415" s="3">
        <f ca="1">IFERROR(__xludf.DUMMYFUNCTION("""COMPUTED_VALUE"""),44063.6666666666)</f>
        <v>44063.666666666599</v>
      </c>
      <c r="R415" s="2">
        <f ca="1">IFERROR(__xludf.DUMMYFUNCTION("""COMPUTED_VALUE"""),206.12)</f>
        <v>206.12</v>
      </c>
      <c r="S415" s="3">
        <f ca="1">IFERROR(__xludf.DUMMYFUNCTION("""COMPUTED_VALUE"""),44063.6666666666)</f>
        <v>44063.666666666599</v>
      </c>
      <c r="T415" s="2">
        <f ca="1">IFERROR(__xludf.DUMMYFUNCTION("""COMPUTED_VALUE"""),151.42)</f>
        <v>151.41999999999999</v>
      </c>
    </row>
    <row r="416" spans="1:20">
      <c r="A416" s="3">
        <f ca="1">IFERROR(__xludf.DUMMYFUNCTION("""COMPUTED_VALUE"""),44064.6666666666)</f>
        <v>44064.666666666599</v>
      </c>
      <c r="B416" s="2">
        <f ca="1">IFERROR(__xludf.DUMMYFUNCTION("""COMPUTED_VALUE"""),124.37)</f>
        <v>124.37</v>
      </c>
      <c r="C416" s="3">
        <f ca="1">IFERROR(__xludf.DUMMYFUNCTION("""COMPUTED_VALUE"""),44064.6666666666)</f>
        <v>44064.666666666599</v>
      </c>
      <c r="D416" s="2">
        <f ca="1">IFERROR(__xludf.DUMMYFUNCTION("""COMPUTED_VALUE"""),213.02)</f>
        <v>213.02</v>
      </c>
      <c r="E416" s="3">
        <f ca="1">IFERROR(__xludf.DUMMYFUNCTION("""COMPUTED_VALUE"""),44064.6666666666)</f>
        <v>44064.666666666599</v>
      </c>
      <c r="F416" s="2">
        <f ca="1">IFERROR(__xludf.DUMMYFUNCTION("""COMPUTED_VALUE"""),3284.72)</f>
        <v>3284.72</v>
      </c>
      <c r="G416" s="3">
        <f ca="1">IFERROR(__xludf.DUMMYFUNCTION("""COMPUTED_VALUE"""),44064.6666666666)</f>
        <v>44064.666666666599</v>
      </c>
      <c r="H416" s="2">
        <f ca="1">IFERROR(__xludf.DUMMYFUNCTION("""COMPUTED_VALUE"""),1575.57)</f>
        <v>1575.57</v>
      </c>
      <c r="I416" s="3">
        <f ca="1">IFERROR(__xludf.DUMMYFUNCTION("""COMPUTED_VALUE"""),44064.6666666666)</f>
        <v>44064.666666666599</v>
      </c>
      <c r="J416" s="2">
        <f ca="1">IFERROR(__xludf.DUMMYFUNCTION("""COMPUTED_VALUE"""),1580.42)</f>
        <v>1580.42</v>
      </c>
      <c r="K416" s="3">
        <f ca="1">IFERROR(__xludf.DUMMYFUNCTION("""COMPUTED_VALUE"""),44064.6666666666)</f>
        <v>44064.666666666599</v>
      </c>
      <c r="L416" s="2">
        <f ca="1">IFERROR(__xludf.DUMMYFUNCTION("""COMPUTED_VALUE"""),267.01)</f>
        <v>267.01</v>
      </c>
      <c r="M416" s="3">
        <f ca="1">IFERROR(__xludf.DUMMYFUNCTION("""COMPUTED_VALUE"""),44064.6666666666)</f>
        <v>44064.666666666599</v>
      </c>
      <c r="N416" s="2">
        <f ca="1">IFERROR(__xludf.DUMMYFUNCTION("""COMPUTED_VALUE"""),410)</f>
        <v>410</v>
      </c>
      <c r="O416" s="3">
        <f ca="1">IFERROR(__xludf.DUMMYFUNCTION("""COMPUTED_VALUE"""),44064.6666666666)</f>
        <v>44064.666666666599</v>
      </c>
      <c r="P416" s="2">
        <f ca="1">IFERROR(__xludf.DUMMYFUNCTION("""COMPUTED_VALUE"""),126.84)</f>
        <v>126.84</v>
      </c>
      <c r="Q416" s="3">
        <f ca="1">IFERROR(__xludf.DUMMYFUNCTION("""COMPUTED_VALUE"""),44064.6666666666)</f>
        <v>44064.666666666599</v>
      </c>
      <c r="R416" s="2">
        <f ca="1">IFERROR(__xludf.DUMMYFUNCTION("""COMPUTED_VALUE"""),207.43)</f>
        <v>207.43</v>
      </c>
      <c r="S416" s="3">
        <f ca="1">IFERROR(__xludf.DUMMYFUNCTION("""COMPUTED_VALUE"""),44064.6666666666)</f>
        <v>44064.666666666599</v>
      </c>
      <c r="T416" s="2">
        <f ca="1">IFERROR(__xludf.DUMMYFUNCTION("""COMPUTED_VALUE"""),152.76)</f>
        <v>152.76</v>
      </c>
    </row>
    <row r="417" spans="1:20">
      <c r="A417" s="3">
        <f ca="1">IFERROR(__xludf.DUMMYFUNCTION("""COMPUTED_VALUE"""),44067.6666666666)</f>
        <v>44067.666666666599</v>
      </c>
      <c r="B417" s="2">
        <f ca="1">IFERROR(__xludf.DUMMYFUNCTION("""COMPUTED_VALUE"""),125.86)</f>
        <v>125.86</v>
      </c>
      <c r="C417" s="3">
        <f ca="1">IFERROR(__xludf.DUMMYFUNCTION("""COMPUTED_VALUE"""),44067.6666666666)</f>
        <v>44067.666666666599</v>
      </c>
      <c r="D417" s="2">
        <f ca="1">IFERROR(__xludf.DUMMYFUNCTION("""COMPUTED_VALUE"""),213.69)</f>
        <v>213.69</v>
      </c>
      <c r="E417" s="3">
        <f ca="1">IFERROR(__xludf.DUMMYFUNCTION("""COMPUTED_VALUE"""),44067.6666666666)</f>
        <v>44067.666666666599</v>
      </c>
      <c r="F417" s="2">
        <f ca="1">IFERROR(__xludf.DUMMYFUNCTION("""COMPUTED_VALUE"""),3307.46)</f>
        <v>3307.46</v>
      </c>
      <c r="G417" s="3">
        <f ca="1">IFERROR(__xludf.DUMMYFUNCTION("""COMPUTED_VALUE"""),44067.6666666666)</f>
        <v>44067.666666666599</v>
      </c>
      <c r="H417" s="2">
        <f ca="1">IFERROR(__xludf.DUMMYFUNCTION("""COMPUTED_VALUE"""),1585.15)</f>
        <v>1585.15</v>
      </c>
      <c r="I417" s="3">
        <f ca="1">IFERROR(__xludf.DUMMYFUNCTION("""COMPUTED_VALUE"""),44067.6666666666)</f>
        <v>44067.666666666599</v>
      </c>
      <c r="J417" s="2">
        <f ca="1">IFERROR(__xludf.DUMMYFUNCTION("""COMPUTED_VALUE"""),1588.2)</f>
        <v>1588.2</v>
      </c>
      <c r="K417" s="3">
        <f ca="1">IFERROR(__xludf.DUMMYFUNCTION("""COMPUTED_VALUE"""),44067.6666666666)</f>
        <v>44067.666666666599</v>
      </c>
      <c r="L417" s="2">
        <f ca="1">IFERROR(__xludf.DUMMYFUNCTION("""COMPUTED_VALUE"""),271.39)</f>
        <v>271.39</v>
      </c>
      <c r="M417" s="3">
        <f ca="1">IFERROR(__xludf.DUMMYFUNCTION("""COMPUTED_VALUE"""),44067.6666666666)</f>
        <v>44067.666666666599</v>
      </c>
      <c r="N417" s="2">
        <f ca="1">IFERROR(__xludf.DUMMYFUNCTION("""COMPUTED_VALUE"""),402.84)</f>
        <v>402.84</v>
      </c>
      <c r="O417" s="3">
        <f ca="1">IFERROR(__xludf.DUMMYFUNCTION("""COMPUTED_VALUE"""),44067.6666666666)</f>
        <v>44067.666666666599</v>
      </c>
      <c r="P417" s="2">
        <f ca="1">IFERROR(__xludf.DUMMYFUNCTION("""COMPUTED_VALUE"""),127.2)</f>
        <v>127.2</v>
      </c>
      <c r="Q417" s="3">
        <f ca="1">IFERROR(__xludf.DUMMYFUNCTION("""COMPUTED_VALUE"""),44067.6666666666)</f>
        <v>44067.666666666599</v>
      </c>
      <c r="R417" s="2">
        <f ca="1">IFERROR(__xludf.DUMMYFUNCTION("""COMPUTED_VALUE"""),212.61)</f>
        <v>212.61</v>
      </c>
      <c r="S417" s="3">
        <f ca="1">IFERROR(__xludf.DUMMYFUNCTION("""COMPUTED_VALUE"""),44067.6666666666)</f>
        <v>44067.666666666599</v>
      </c>
      <c r="T417" s="2">
        <f ca="1">IFERROR(__xludf.DUMMYFUNCTION("""COMPUTED_VALUE"""),152.15)</f>
        <v>152.15</v>
      </c>
    </row>
    <row r="418" spans="1:20">
      <c r="A418" s="3">
        <f ca="1">IFERROR(__xludf.DUMMYFUNCTION("""COMPUTED_VALUE"""),44068.6666666666)</f>
        <v>44068.666666666599</v>
      </c>
      <c r="B418" s="2">
        <f ca="1">IFERROR(__xludf.DUMMYFUNCTION("""COMPUTED_VALUE"""),124.83)</f>
        <v>124.83</v>
      </c>
      <c r="C418" s="3">
        <f ca="1">IFERROR(__xludf.DUMMYFUNCTION("""COMPUTED_VALUE"""),44068.6666666666)</f>
        <v>44068.666666666599</v>
      </c>
      <c r="D418" s="2">
        <f ca="1">IFERROR(__xludf.DUMMYFUNCTION("""COMPUTED_VALUE"""),216.47)</f>
        <v>216.47</v>
      </c>
      <c r="E418" s="3">
        <f ca="1">IFERROR(__xludf.DUMMYFUNCTION("""COMPUTED_VALUE"""),44068.6666666666)</f>
        <v>44068.666666666599</v>
      </c>
      <c r="F418" s="2">
        <f ca="1">IFERROR(__xludf.DUMMYFUNCTION("""COMPUTED_VALUE"""),3346.49)</f>
        <v>3346.49</v>
      </c>
      <c r="G418" s="3">
        <f ca="1">IFERROR(__xludf.DUMMYFUNCTION("""COMPUTED_VALUE"""),44068.6666666666)</f>
        <v>44068.666666666599</v>
      </c>
      <c r="H418" s="2">
        <f ca="1">IFERROR(__xludf.DUMMYFUNCTION("""COMPUTED_VALUE"""),1605.85)</f>
        <v>1605.85</v>
      </c>
      <c r="I418" s="3">
        <f ca="1">IFERROR(__xludf.DUMMYFUNCTION("""COMPUTED_VALUE"""),44068.6666666666)</f>
        <v>44068.666666666599</v>
      </c>
      <c r="J418" s="2">
        <f ca="1">IFERROR(__xludf.DUMMYFUNCTION("""COMPUTED_VALUE"""),1608.22)</f>
        <v>1608.22</v>
      </c>
      <c r="K418" s="3">
        <f ca="1">IFERROR(__xludf.DUMMYFUNCTION("""COMPUTED_VALUE"""),44068.6666666666)</f>
        <v>44068.666666666599</v>
      </c>
      <c r="L418" s="2">
        <f ca="1">IFERROR(__xludf.DUMMYFUNCTION("""COMPUTED_VALUE"""),280.82)</f>
        <v>280.82</v>
      </c>
      <c r="M418" s="3">
        <f ca="1">IFERROR(__xludf.DUMMYFUNCTION("""COMPUTED_VALUE"""),44068.6666666666)</f>
        <v>44068.666666666599</v>
      </c>
      <c r="N418" s="2">
        <f ca="1">IFERROR(__xludf.DUMMYFUNCTION("""COMPUTED_VALUE"""),404.67)</f>
        <v>404.67</v>
      </c>
      <c r="O418" s="3">
        <f ca="1">IFERROR(__xludf.DUMMYFUNCTION("""COMPUTED_VALUE"""),44068.6666666666)</f>
        <v>44068.666666666599</v>
      </c>
      <c r="P418" s="2">
        <f ca="1">IFERROR(__xludf.DUMMYFUNCTION("""COMPUTED_VALUE"""),127.5)</f>
        <v>127.5</v>
      </c>
      <c r="Q418" s="3">
        <f ca="1">IFERROR(__xludf.DUMMYFUNCTION("""COMPUTED_VALUE"""),44068.6666666666)</f>
        <v>44068.666666666599</v>
      </c>
      <c r="R418" s="2">
        <f ca="1">IFERROR(__xludf.DUMMYFUNCTION("""COMPUTED_VALUE"""),213.35)</f>
        <v>213.35</v>
      </c>
      <c r="S418" s="3">
        <f ca="1">IFERROR(__xludf.DUMMYFUNCTION("""COMPUTED_VALUE"""),44068.6666666666)</f>
        <v>44068.666666666599</v>
      </c>
      <c r="T418" s="2">
        <f ca="1">IFERROR(__xludf.DUMMYFUNCTION("""COMPUTED_VALUE"""),152.06)</f>
        <v>152.06</v>
      </c>
    </row>
    <row r="419" spans="1:20">
      <c r="A419" s="3">
        <f ca="1">IFERROR(__xludf.DUMMYFUNCTION("""COMPUTED_VALUE"""),44069.6666666666)</f>
        <v>44069.666666666599</v>
      </c>
      <c r="B419" s="2">
        <f ca="1">IFERROR(__xludf.DUMMYFUNCTION("""COMPUTED_VALUE"""),126.52)</f>
        <v>126.52</v>
      </c>
      <c r="C419" s="3">
        <f ca="1">IFERROR(__xludf.DUMMYFUNCTION("""COMPUTED_VALUE"""),44069.6666666666)</f>
        <v>44069.666666666599</v>
      </c>
      <c r="D419" s="2">
        <f ca="1">IFERROR(__xludf.DUMMYFUNCTION("""COMPUTED_VALUE"""),221.15)</f>
        <v>221.15</v>
      </c>
      <c r="E419" s="3">
        <f ca="1">IFERROR(__xludf.DUMMYFUNCTION("""COMPUTED_VALUE"""),44069.6666666666)</f>
        <v>44069.666666666599</v>
      </c>
      <c r="F419" s="2">
        <f ca="1">IFERROR(__xludf.DUMMYFUNCTION("""COMPUTED_VALUE"""),3441.85)</f>
        <v>3441.85</v>
      </c>
      <c r="G419" s="3">
        <f ca="1">IFERROR(__xludf.DUMMYFUNCTION("""COMPUTED_VALUE"""),44069.6666666666)</f>
        <v>44069.666666666599</v>
      </c>
      <c r="H419" s="2">
        <f ca="1">IFERROR(__xludf.DUMMYFUNCTION("""COMPUTED_VALUE"""),1644.13)</f>
        <v>1644.13</v>
      </c>
      <c r="I419" s="3">
        <f ca="1">IFERROR(__xludf.DUMMYFUNCTION("""COMPUTED_VALUE"""),44069.6666666666)</f>
        <v>44069.666666666599</v>
      </c>
      <c r="J419" s="2">
        <f ca="1">IFERROR(__xludf.DUMMYFUNCTION("""COMPUTED_VALUE"""),1652.38)</f>
        <v>1652.38</v>
      </c>
      <c r="K419" s="3">
        <f ca="1">IFERROR(__xludf.DUMMYFUNCTION("""COMPUTED_VALUE"""),44069.6666666666)</f>
        <v>44069.666666666599</v>
      </c>
      <c r="L419" s="2">
        <f ca="1">IFERROR(__xludf.DUMMYFUNCTION("""COMPUTED_VALUE"""),303.91)</f>
        <v>303.91000000000003</v>
      </c>
      <c r="M419" s="3">
        <f ca="1">IFERROR(__xludf.DUMMYFUNCTION("""COMPUTED_VALUE"""),44069.6666666666)</f>
        <v>44069.666666666599</v>
      </c>
      <c r="N419" s="2">
        <f ca="1">IFERROR(__xludf.DUMMYFUNCTION("""COMPUTED_VALUE"""),430.63)</f>
        <v>430.63</v>
      </c>
      <c r="O419" s="3">
        <f ca="1">IFERROR(__xludf.DUMMYFUNCTION("""COMPUTED_VALUE"""),44069.6666666666)</f>
        <v>44069.666666666599</v>
      </c>
      <c r="P419" s="2">
        <f ca="1">IFERROR(__xludf.DUMMYFUNCTION("""COMPUTED_VALUE"""),127.73)</f>
        <v>127.73</v>
      </c>
      <c r="Q419" s="3">
        <f ca="1">IFERROR(__xludf.DUMMYFUNCTION("""COMPUTED_VALUE"""),44069.6666666666)</f>
        <v>44069.666666666599</v>
      </c>
      <c r="R419" s="2">
        <f ca="1">IFERROR(__xludf.DUMMYFUNCTION("""COMPUTED_VALUE"""),214.66)</f>
        <v>214.66</v>
      </c>
      <c r="S419" s="3">
        <f ca="1">IFERROR(__xludf.DUMMYFUNCTION("""COMPUTED_VALUE"""),44069.6666666666)</f>
        <v>44069.666666666599</v>
      </c>
      <c r="T419" s="2">
        <f ca="1">IFERROR(__xludf.DUMMYFUNCTION("""COMPUTED_VALUE"""),152.3)</f>
        <v>152.30000000000001</v>
      </c>
    </row>
    <row r="420" spans="1:20">
      <c r="A420" s="3">
        <f ca="1">IFERROR(__xludf.DUMMYFUNCTION("""COMPUTED_VALUE"""),44070.6666666666)</f>
        <v>44070.666666666599</v>
      </c>
      <c r="B420" s="2">
        <f ca="1">IFERROR(__xludf.DUMMYFUNCTION("""COMPUTED_VALUE"""),125.01)</f>
        <v>125.01</v>
      </c>
      <c r="C420" s="3">
        <f ca="1">IFERROR(__xludf.DUMMYFUNCTION("""COMPUTED_VALUE"""),44070.6666666666)</f>
        <v>44070.666666666599</v>
      </c>
      <c r="D420" s="2">
        <f ca="1">IFERROR(__xludf.DUMMYFUNCTION("""COMPUTED_VALUE"""),226.58)</f>
        <v>226.58</v>
      </c>
      <c r="E420" s="3">
        <f ca="1">IFERROR(__xludf.DUMMYFUNCTION("""COMPUTED_VALUE"""),44070.6666666666)</f>
        <v>44070.666666666599</v>
      </c>
      <c r="F420" s="2">
        <f ca="1">IFERROR(__xludf.DUMMYFUNCTION("""COMPUTED_VALUE"""),3400)</f>
        <v>3400</v>
      </c>
      <c r="G420" s="3">
        <f ca="1">IFERROR(__xludf.DUMMYFUNCTION("""COMPUTED_VALUE"""),44070.6666666666)</f>
        <v>44070.666666666599</v>
      </c>
      <c r="H420" s="2">
        <f ca="1">IFERROR(__xludf.DUMMYFUNCTION("""COMPUTED_VALUE"""),1628.52)</f>
        <v>1628.52</v>
      </c>
      <c r="I420" s="3">
        <f ca="1">IFERROR(__xludf.DUMMYFUNCTION("""COMPUTED_VALUE"""),44070.6666666666)</f>
        <v>44070.666666666599</v>
      </c>
      <c r="J420" s="2">
        <f ca="1">IFERROR(__xludf.DUMMYFUNCTION("""COMPUTED_VALUE"""),1634.33)</f>
        <v>1634.33</v>
      </c>
      <c r="K420" s="3">
        <f ca="1">IFERROR(__xludf.DUMMYFUNCTION("""COMPUTED_VALUE"""),44070.6666666666)</f>
        <v>44070.666666666599</v>
      </c>
      <c r="L420" s="2">
        <f ca="1">IFERROR(__xludf.DUMMYFUNCTION("""COMPUTED_VALUE"""),293.22)</f>
        <v>293.22000000000003</v>
      </c>
      <c r="M420" s="3">
        <f ca="1">IFERROR(__xludf.DUMMYFUNCTION("""COMPUTED_VALUE"""),44070.6666666666)</f>
        <v>44070.666666666599</v>
      </c>
      <c r="N420" s="2">
        <f ca="1">IFERROR(__xludf.DUMMYFUNCTION("""COMPUTED_VALUE"""),447.75)</f>
        <v>447.75</v>
      </c>
      <c r="O420" s="3">
        <f ca="1">IFERROR(__xludf.DUMMYFUNCTION("""COMPUTED_VALUE"""),44070.6666666666)</f>
        <v>44070.666666666599</v>
      </c>
      <c r="P420" s="2">
        <f ca="1">IFERROR(__xludf.DUMMYFUNCTION("""COMPUTED_VALUE"""),126.28)</f>
        <v>126.28</v>
      </c>
      <c r="Q420" s="3">
        <f ca="1">IFERROR(__xludf.DUMMYFUNCTION("""COMPUTED_VALUE"""),44070.6666666666)</f>
        <v>44070.666666666599</v>
      </c>
      <c r="R420" s="2">
        <f ca="1">IFERROR(__xludf.DUMMYFUNCTION("""COMPUTED_VALUE"""),216.87)</f>
        <v>216.87</v>
      </c>
      <c r="S420" s="3">
        <f ca="1">IFERROR(__xludf.DUMMYFUNCTION("""COMPUTED_VALUE"""),44070.6666666666)</f>
        <v>44070.666666666599</v>
      </c>
      <c r="T420" s="2">
        <f ca="1">IFERROR(__xludf.DUMMYFUNCTION("""COMPUTED_VALUE"""),152.98)</f>
        <v>152.97999999999999</v>
      </c>
    </row>
    <row r="421" spans="1:20">
      <c r="A421" s="3">
        <f ca="1">IFERROR(__xludf.DUMMYFUNCTION("""COMPUTED_VALUE"""),44071.6666666666)</f>
        <v>44071.666666666599</v>
      </c>
      <c r="B421" s="2">
        <f ca="1">IFERROR(__xludf.DUMMYFUNCTION("""COMPUTED_VALUE"""),124.81)</f>
        <v>124.81</v>
      </c>
      <c r="C421" s="3">
        <f ca="1">IFERROR(__xludf.DUMMYFUNCTION("""COMPUTED_VALUE"""),44071.6666666666)</f>
        <v>44071.666666666599</v>
      </c>
      <c r="D421" s="2">
        <f ca="1">IFERROR(__xludf.DUMMYFUNCTION("""COMPUTED_VALUE"""),228.91)</f>
        <v>228.91</v>
      </c>
      <c r="E421" s="3">
        <f ca="1">IFERROR(__xludf.DUMMYFUNCTION("""COMPUTED_VALUE"""),44071.6666666666)</f>
        <v>44071.666666666599</v>
      </c>
      <c r="F421" s="2">
        <f ca="1">IFERROR(__xludf.DUMMYFUNCTION("""COMPUTED_VALUE"""),3401.8)</f>
        <v>3401.8</v>
      </c>
      <c r="G421" s="3">
        <f ca="1">IFERROR(__xludf.DUMMYFUNCTION("""COMPUTED_VALUE"""),44071.6666666666)</f>
        <v>44071.666666666599</v>
      </c>
      <c r="H421" s="2">
        <f ca="1">IFERROR(__xludf.DUMMYFUNCTION("""COMPUTED_VALUE"""),1639.43)</f>
        <v>1639.43</v>
      </c>
      <c r="I421" s="3">
        <f ca="1">IFERROR(__xludf.DUMMYFUNCTION("""COMPUTED_VALUE"""),44071.6666666666)</f>
        <v>44071.666666666599</v>
      </c>
      <c r="J421" s="2">
        <f ca="1">IFERROR(__xludf.DUMMYFUNCTION("""COMPUTED_VALUE"""),1644.41)</f>
        <v>1644.41</v>
      </c>
      <c r="K421" s="3">
        <f ca="1">IFERROR(__xludf.DUMMYFUNCTION("""COMPUTED_VALUE"""),44071.6666666666)</f>
        <v>44071.666666666599</v>
      </c>
      <c r="L421" s="2">
        <f ca="1">IFERROR(__xludf.DUMMYFUNCTION("""COMPUTED_VALUE"""),293.66)</f>
        <v>293.66000000000003</v>
      </c>
      <c r="M421" s="3">
        <f ca="1">IFERROR(__xludf.DUMMYFUNCTION("""COMPUTED_VALUE"""),44071.6666666666)</f>
        <v>44071.666666666599</v>
      </c>
      <c r="N421" s="2">
        <f ca="1">IFERROR(__xludf.DUMMYFUNCTION("""COMPUTED_VALUE"""),442.68)</f>
        <v>442.68</v>
      </c>
      <c r="O421" s="3">
        <f ca="1">IFERROR(__xludf.DUMMYFUNCTION("""COMPUTED_VALUE"""),44071.6666666666)</f>
        <v>44071.666666666599</v>
      </c>
      <c r="P421" s="2">
        <f ca="1">IFERROR(__xludf.DUMMYFUNCTION("""COMPUTED_VALUE"""),131.48)</f>
        <v>131.47999999999999</v>
      </c>
      <c r="Q421" s="3">
        <f ca="1">IFERROR(__xludf.DUMMYFUNCTION("""COMPUTED_VALUE"""),44071.6666666666)</f>
        <v>44071.666666666599</v>
      </c>
      <c r="R421" s="2">
        <f ca="1">IFERROR(__xludf.DUMMYFUNCTION("""COMPUTED_VALUE"""),218.55)</f>
        <v>218.55</v>
      </c>
      <c r="S421" s="3">
        <f ca="1">IFERROR(__xludf.DUMMYFUNCTION("""COMPUTED_VALUE"""),44071.6666666666)</f>
        <v>44071.666666666599</v>
      </c>
      <c r="T421" s="2">
        <f ca="1">IFERROR(__xludf.DUMMYFUNCTION("""COMPUTED_VALUE"""),153.64)</f>
        <v>153.63999999999999</v>
      </c>
    </row>
    <row r="422" spans="1:20">
      <c r="A422" s="3">
        <f ca="1">IFERROR(__xludf.DUMMYFUNCTION("""COMPUTED_VALUE"""),44074.6666666666)</f>
        <v>44074.666666666599</v>
      </c>
      <c r="B422" s="2">
        <f ca="1">IFERROR(__xludf.DUMMYFUNCTION("""COMPUTED_VALUE"""),129.04)</f>
        <v>129.04</v>
      </c>
      <c r="C422" s="3">
        <f ca="1">IFERROR(__xludf.DUMMYFUNCTION("""COMPUTED_VALUE"""),44074.6666666666)</f>
        <v>44074.666666666599</v>
      </c>
      <c r="D422" s="2">
        <f ca="1">IFERROR(__xludf.DUMMYFUNCTION("""COMPUTED_VALUE"""),225.53)</f>
        <v>225.53</v>
      </c>
      <c r="E422" s="3">
        <f ca="1">IFERROR(__xludf.DUMMYFUNCTION("""COMPUTED_VALUE"""),44074.6666666666)</f>
        <v>44074.666666666599</v>
      </c>
      <c r="F422" s="2">
        <f ca="1">IFERROR(__xludf.DUMMYFUNCTION("""COMPUTED_VALUE"""),3450.96)</f>
        <v>3450.96</v>
      </c>
      <c r="G422" s="3">
        <f ca="1">IFERROR(__xludf.DUMMYFUNCTION("""COMPUTED_VALUE"""),44074.6666666666)</f>
        <v>44074.666666666599</v>
      </c>
      <c r="H422" s="2">
        <f ca="1">IFERROR(__xludf.DUMMYFUNCTION("""COMPUTED_VALUE"""),1629.53)</f>
        <v>1629.53</v>
      </c>
      <c r="I422" s="3">
        <f ca="1">IFERROR(__xludf.DUMMYFUNCTION("""COMPUTED_VALUE"""),44074.6666666666)</f>
        <v>44074.666666666599</v>
      </c>
      <c r="J422" s="2">
        <f ca="1">IFERROR(__xludf.DUMMYFUNCTION("""COMPUTED_VALUE"""),1634.18)</f>
        <v>1634.18</v>
      </c>
      <c r="K422" s="3">
        <f ca="1">IFERROR(__xludf.DUMMYFUNCTION("""COMPUTED_VALUE"""),44074.6666666666)</f>
        <v>44074.666666666599</v>
      </c>
      <c r="L422" s="2">
        <f ca="1">IFERROR(__xludf.DUMMYFUNCTION("""COMPUTED_VALUE"""),293.2)</f>
        <v>293.2</v>
      </c>
      <c r="M422" s="3">
        <f ca="1">IFERROR(__xludf.DUMMYFUNCTION("""COMPUTED_VALUE"""),44074.6666666666)</f>
        <v>44074.666666666599</v>
      </c>
      <c r="N422" s="2">
        <f ca="1">IFERROR(__xludf.DUMMYFUNCTION("""COMPUTED_VALUE"""),498.32)</f>
        <v>498.32</v>
      </c>
      <c r="O422" s="3">
        <f ca="1">IFERROR(__xludf.DUMMYFUNCTION("""COMPUTED_VALUE"""),44074.6666666666)</f>
        <v>44074.666666666599</v>
      </c>
      <c r="P422" s="2">
        <f ca="1">IFERROR(__xludf.DUMMYFUNCTION("""COMPUTED_VALUE"""),133.75)</f>
        <v>133.75</v>
      </c>
      <c r="Q422" s="3">
        <f ca="1">IFERROR(__xludf.DUMMYFUNCTION("""COMPUTED_VALUE"""),44074.6666666666)</f>
        <v>44074.666666666599</v>
      </c>
      <c r="R422" s="2">
        <f ca="1">IFERROR(__xludf.DUMMYFUNCTION("""COMPUTED_VALUE"""),218.04)</f>
        <v>218.04</v>
      </c>
      <c r="S422" s="3">
        <f ca="1">IFERROR(__xludf.DUMMYFUNCTION("""COMPUTED_VALUE"""),44074.6666666666)</f>
        <v>44074.666666666599</v>
      </c>
      <c r="T422" s="2">
        <f ca="1">IFERROR(__xludf.DUMMYFUNCTION("""COMPUTED_VALUE"""),153.41)</f>
        <v>153.41</v>
      </c>
    </row>
    <row r="423" spans="1:20">
      <c r="A423" s="3">
        <f ca="1">IFERROR(__xludf.DUMMYFUNCTION("""COMPUTED_VALUE"""),44075.6666666666)</f>
        <v>44075.666666666599</v>
      </c>
      <c r="B423" s="2">
        <f ca="1">IFERROR(__xludf.DUMMYFUNCTION("""COMPUTED_VALUE"""),134.18)</f>
        <v>134.18</v>
      </c>
      <c r="C423" s="3">
        <f ca="1">IFERROR(__xludf.DUMMYFUNCTION("""COMPUTED_VALUE"""),44075.6666666666)</f>
        <v>44075.666666666599</v>
      </c>
      <c r="D423" s="2">
        <f ca="1">IFERROR(__xludf.DUMMYFUNCTION("""COMPUTED_VALUE"""),227.27)</f>
        <v>227.27</v>
      </c>
      <c r="E423" s="3">
        <f ca="1">IFERROR(__xludf.DUMMYFUNCTION("""COMPUTED_VALUE"""),44075.6666666666)</f>
        <v>44075.666666666599</v>
      </c>
      <c r="F423" s="2">
        <f ca="1">IFERROR(__xludf.DUMMYFUNCTION("""COMPUTED_VALUE"""),3499.12)</f>
        <v>3499.12</v>
      </c>
      <c r="G423" s="3">
        <f ca="1">IFERROR(__xludf.DUMMYFUNCTION("""COMPUTED_VALUE"""),44075.6666666666)</f>
        <v>44075.666666666599</v>
      </c>
      <c r="H423" s="2">
        <f ca="1">IFERROR(__xludf.DUMMYFUNCTION("""COMPUTED_VALUE"""),1655.08)</f>
        <v>1655.08</v>
      </c>
      <c r="I423" s="3">
        <f ca="1">IFERROR(__xludf.DUMMYFUNCTION("""COMPUTED_VALUE"""),44075.6666666666)</f>
        <v>44075.666666666599</v>
      </c>
      <c r="J423" s="2">
        <f ca="1">IFERROR(__xludf.DUMMYFUNCTION("""COMPUTED_VALUE"""),1660.71)</f>
        <v>1660.71</v>
      </c>
      <c r="K423" s="3">
        <f ca="1">IFERROR(__xludf.DUMMYFUNCTION("""COMPUTED_VALUE"""),44075.6666666666)</f>
        <v>44075.666666666599</v>
      </c>
      <c r="L423" s="2">
        <f ca="1">IFERROR(__xludf.DUMMYFUNCTION("""COMPUTED_VALUE"""),295.44)</f>
        <v>295.44</v>
      </c>
      <c r="M423" s="3">
        <f ca="1">IFERROR(__xludf.DUMMYFUNCTION("""COMPUTED_VALUE"""),44075.6666666666)</f>
        <v>44075.666666666599</v>
      </c>
      <c r="N423" s="2">
        <f ca="1">IFERROR(__xludf.DUMMYFUNCTION("""COMPUTED_VALUE"""),475.05)</f>
        <v>475.05</v>
      </c>
      <c r="O423" s="3">
        <f ca="1">IFERROR(__xludf.DUMMYFUNCTION("""COMPUTED_VALUE"""),44075.6666666666)</f>
        <v>44075.666666666599</v>
      </c>
      <c r="P423" s="2">
        <f ca="1">IFERROR(__xludf.DUMMYFUNCTION("""COMPUTED_VALUE"""),138.21)</f>
        <v>138.21</v>
      </c>
      <c r="Q423" s="3">
        <f ca="1">IFERROR(__xludf.DUMMYFUNCTION("""COMPUTED_VALUE"""),44075.6666666666)</f>
        <v>44075.666666666599</v>
      </c>
      <c r="R423" s="2">
        <f ca="1">IFERROR(__xludf.DUMMYFUNCTION("""COMPUTED_VALUE"""),218.55)</f>
        <v>218.55</v>
      </c>
      <c r="S423" s="3">
        <f ca="1">IFERROR(__xludf.DUMMYFUNCTION("""COMPUTED_VALUE"""),44075.6666666666)</f>
        <v>44075.666666666599</v>
      </c>
      <c r="T423" s="2">
        <f ca="1">IFERROR(__xludf.DUMMYFUNCTION("""COMPUTED_VALUE"""),151.52)</f>
        <v>151.52000000000001</v>
      </c>
    </row>
    <row r="424" spans="1:20">
      <c r="A424" s="3">
        <f ca="1">IFERROR(__xludf.DUMMYFUNCTION("""COMPUTED_VALUE"""),44076.6666666666)</f>
        <v>44076.666666666599</v>
      </c>
      <c r="B424" s="2">
        <f ca="1">IFERROR(__xludf.DUMMYFUNCTION("""COMPUTED_VALUE"""),131.4)</f>
        <v>131.4</v>
      </c>
      <c r="C424" s="3">
        <f ca="1">IFERROR(__xludf.DUMMYFUNCTION("""COMPUTED_VALUE"""),44076.6666666666)</f>
        <v>44076.666666666599</v>
      </c>
      <c r="D424" s="2">
        <f ca="1">IFERROR(__xludf.DUMMYFUNCTION("""COMPUTED_VALUE"""),231.65)</f>
        <v>231.65</v>
      </c>
      <c r="E424" s="3">
        <f ca="1">IFERROR(__xludf.DUMMYFUNCTION("""COMPUTED_VALUE"""),44076.6666666666)</f>
        <v>44076.666666666599</v>
      </c>
      <c r="F424" s="2">
        <f ca="1">IFERROR(__xludf.DUMMYFUNCTION("""COMPUTED_VALUE"""),3531.45)</f>
        <v>3531.45</v>
      </c>
      <c r="G424" s="3">
        <f ca="1">IFERROR(__xludf.DUMMYFUNCTION("""COMPUTED_VALUE"""),44076.6666666666)</f>
        <v>44076.666666666599</v>
      </c>
      <c r="H424" s="2">
        <f ca="1">IFERROR(__xludf.DUMMYFUNCTION("""COMPUTED_VALUE"""),1717.39)</f>
        <v>1717.39</v>
      </c>
      <c r="I424" s="3">
        <f ca="1">IFERROR(__xludf.DUMMYFUNCTION("""COMPUTED_VALUE"""),44076.6666666666)</f>
        <v>44076.666666666599</v>
      </c>
      <c r="J424" s="2">
        <f ca="1">IFERROR(__xludf.DUMMYFUNCTION("""COMPUTED_VALUE"""),1728.28)</f>
        <v>1728.28</v>
      </c>
      <c r="K424" s="3">
        <f ca="1">IFERROR(__xludf.DUMMYFUNCTION("""COMPUTED_VALUE"""),44076.6666666666)</f>
        <v>44076.666666666599</v>
      </c>
      <c r="L424" s="2">
        <f ca="1">IFERROR(__xludf.DUMMYFUNCTION("""COMPUTED_VALUE"""),302.5)</f>
        <v>302.5</v>
      </c>
      <c r="M424" s="3">
        <f ca="1">IFERROR(__xludf.DUMMYFUNCTION("""COMPUTED_VALUE"""),44076.6666666666)</f>
        <v>44076.666666666599</v>
      </c>
      <c r="N424" s="2">
        <f ca="1">IFERROR(__xludf.DUMMYFUNCTION("""COMPUTED_VALUE"""),447.37)</f>
        <v>447.37</v>
      </c>
      <c r="O424" s="3">
        <f ca="1">IFERROR(__xludf.DUMMYFUNCTION("""COMPUTED_VALUE"""),44076.6666666666)</f>
        <v>44076.666666666599</v>
      </c>
      <c r="P424" s="2">
        <f ca="1">IFERROR(__xludf.DUMMYFUNCTION("""COMPUTED_VALUE"""),143.47)</f>
        <v>143.47</v>
      </c>
      <c r="Q424" s="3">
        <f ca="1">IFERROR(__xludf.DUMMYFUNCTION("""COMPUTED_VALUE"""),44076.6666666666)</f>
        <v>44076.666666666599</v>
      </c>
      <c r="R424" s="2">
        <f ca="1">IFERROR(__xludf.DUMMYFUNCTION("""COMPUTED_VALUE"""),221.68)</f>
        <v>221.68</v>
      </c>
      <c r="S424" s="3">
        <f ca="1">IFERROR(__xludf.DUMMYFUNCTION("""COMPUTED_VALUE"""),44076.6666666666)</f>
        <v>44076.666666666599</v>
      </c>
      <c r="T424" s="2">
        <f ca="1">IFERROR(__xludf.DUMMYFUNCTION("""COMPUTED_VALUE"""),153.83)</f>
        <v>153.83000000000001</v>
      </c>
    </row>
    <row r="425" spans="1:20">
      <c r="A425" s="3">
        <f ca="1">IFERROR(__xludf.DUMMYFUNCTION("""COMPUTED_VALUE"""),44077.6666666666)</f>
        <v>44077.666666666599</v>
      </c>
      <c r="B425" s="2">
        <f ca="1">IFERROR(__xludf.DUMMYFUNCTION("""COMPUTED_VALUE"""),120.88)</f>
        <v>120.88</v>
      </c>
      <c r="C425" s="3">
        <f ca="1">IFERROR(__xludf.DUMMYFUNCTION("""COMPUTED_VALUE"""),44077.6666666666)</f>
        <v>44077.666666666599</v>
      </c>
      <c r="D425" s="2">
        <f ca="1">IFERROR(__xludf.DUMMYFUNCTION("""COMPUTED_VALUE"""),217.3)</f>
        <v>217.3</v>
      </c>
      <c r="E425" s="3">
        <f ca="1">IFERROR(__xludf.DUMMYFUNCTION("""COMPUTED_VALUE"""),44077.6666666666)</f>
        <v>44077.666666666599</v>
      </c>
      <c r="F425" s="2">
        <f ca="1">IFERROR(__xludf.DUMMYFUNCTION("""COMPUTED_VALUE"""),3368)</f>
        <v>3368</v>
      </c>
      <c r="G425" s="3">
        <f ca="1">IFERROR(__xludf.DUMMYFUNCTION("""COMPUTED_VALUE"""),44077.6666666666)</f>
        <v>44077.666666666599</v>
      </c>
      <c r="H425" s="2">
        <f ca="1">IFERROR(__xludf.DUMMYFUNCTION("""COMPUTED_VALUE"""),1629.51)</f>
        <v>1629.51</v>
      </c>
      <c r="I425" s="3">
        <f ca="1">IFERROR(__xludf.DUMMYFUNCTION("""COMPUTED_VALUE"""),44077.6666666666)</f>
        <v>44077.666666666599</v>
      </c>
      <c r="J425" s="2">
        <f ca="1">IFERROR(__xludf.DUMMYFUNCTION("""COMPUTED_VALUE"""),1641.84)</f>
        <v>1641.84</v>
      </c>
      <c r="K425" s="3">
        <f ca="1">IFERROR(__xludf.DUMMYFUNCTION("""COMPUTED_VALUE"""),44077.6666666666)</f>
        <v>44077.666666666599</v>
      </c>
      <c r="L425" s="2">
        <f ca="1">IFERROR(__xludf.DUMMYFUNCTION("""COMPUTED_VALUE"""),291.12)</f>
        <v>291.12</v>
      </c>
      <c r="M425" s="3">
        <f ca="1">IFERROR(__xludf.DUMMYFUNCTION("""COMPUTED_VALUE"""),44077.6666666666)</f>
        <v>44077.666666666599</v>
      </c>
      <c r="N425" s="2">
        <f ca="1">IFERROR(__xludf.DUMMYFUNCTION("""COMPUTED_VALUE"""),407)</f>
        <v>407</v>
      </c>
      <c r="O425" s="3">
        <f ca="1">IFERROR(__xludf.DUMMYFUNCTION("""COMPUTED_VALUE"""),44077.6666666666)</f>
        <v>44077.666666666599</v>
      </c>
      <c r="P425" s="2">
        <f ca="1">IFERROR(__xludf.DUMMYFUNCTION("""COMPUTED_VALUE"""),130.16)</f>
        <v>130.16</v>
      </c>
      <c r="Q425" s="3">
        <f ca="1">IFERROR(__xludf.DUMMYFUNCTION("""COMPUTED_VALUE"""),44077.6666666666)</f>
        <v>44077.666666666599</v>
      </c>
      <c r="R425" s="2">
        <f ca="1">IFERROR(__xludf.DUMMYFUNCTION("""COMPUTED_VALUE"""),218.15)</f>
        <v>218.15</v>
      </c>
      <c r="S425" s="3">
        <f ca="1">IFERROR(__xludf.DUMMYFUNCTION("""COMPUTED_VALUE"""),44077.6666666666)</f>
        <v>44077.666666666599</v>
      </c>
      <c r="T425" s="2">
        <f ca="1">IFERROR(__xludf.DUMMYFUNCTION("""COMPUTED_VALUE"""),149.55)</f>
        <v>149.55000000000001</v>
      </c>
    </row>
    <row r="426" spans="1:20">
      <c r="A426" s="3">
        <f ca="1">IFERROR(__xludf.DUMMYFUNCTION("""COMPUTED_VALUE"""),44078.6666666666)</f>
        <v>44078.666666666599</v>
      </c>
      <c r="B426" s="2">
        <f ca="1">IFERROR(__xludf.DUMMYFUNCTION("""COMPUTED_VALUE"""),120.96)</f>
        <v>120.96</v>
      </c>
      <c r="C426" s="3">
        <f ca="1">IFERROR(__xludf.DUMMYFUNCTION("""COMPUTED_VALUE"""),44078.6666666666)</f>
        <v>44078.666666666599</v>
      </c>
      <c r="D426" s="2">
        <f ca="1">IFERROR(__xludf.DUMMYFUNCTION("""COMPUTED_VALUE"""),214.25)</f>
        <v>214.25</v>
      </c>
      <c r="E426" s="3">
        <f ca="1">IFERROR(__xludf.DUMMYFUNCTION("""COMPUTED_VALUE"""),44078.6666666666)</f>
        <v>44078.666666666599</v>
      </c>
      <c r="F426" s="2">
        <f ca="1">IFERROR(__xludf.DUMMYFUNCTION("""COMPUTED_VALUE"""),3294.62)</f>
        <v>3294.62</v>
      </c>
      <c r="G426" s="3">
        <f ca="1">IFERROR(__xludf.DUMMYFUNCTION("""COMPUTED_VALUE"""),44078.6666666666)</f>
        <v>44078.666666666599</v>
      </c>
      <c r="H426" s="2">
        <f ca="1">IFERROR(__xludf.DUMMYFUNCTION("""COMPUTED_VALUE"""),1581.21)</f>
        <v>1581.21</v>
      </c>
      <c r="I426" s="3">
        <f ca="1">IFERROR(__xludf.DUMMYFUNCTION("""COMPUTED_VALUE"""),44078.6666666666)</f>
        <v>44078.666666666599</v>
      </c>
      <c r="J426" s="2">
        <f ca="1">IFERROR(__xludf.DUMMYFUNCTION("""COMPUTED_VALUE"""),1591.04)</f>
        <v>1591.04</v>
      </c>
      <c r="K426" s="3">
        <f ca="1">IFERROR(__xludf.DUMMYFUNCTION("""COMPUTED_VALUE"""),44078.6666666666)</f>
        <v>44078.666666666599</v>
      </c>
      <c r="L426" s="2">
        <f ca="1">IFERROR(__xludf.DUMMYFUNCTION("""COMPUTED_VALUE"""),282.73)</f>
        <v>282.73</v>
      </c>
      <c r="M426" s="3">
        <f ca="1">IFERROR(__xludf.DUMMYFUNCTION("""COMPUTED_VALUE"""),44078.6666666666)</f>
        <v>44078.666666666599</v>
      </c>
      <c r="N426" s="2">
        <f ca="1">IFERROR(__xludf.DUMMYFUNCTION("""COMPUTED_VALUE"""),418.32)</f>
        <v>418.32</v>
      </c>
      <c r="O426" s="3">
        <f ca="1">IFERROR(__xludf.DUMMYFUNCTION("""COMPUTED_VALUE"""),44078.6666666666)</f>
        <v>44078.666666666599</v>
      </c>
      <c r="P426" s="2">
        <f ca="1">IFERROR(__xludf.DUMMYFUNCTION("""COMPUTED_VALUE"""),126.23)</f>
        <v>126.23</v>
      </c>
      <c r="Q426" s="3">
        <f ca="1">IFERROR(__xludf.DUMMYFUNCTION("""COMPUTED_VALUE"""),44078.6666666666)</f>
        <v>44078.666666666599</v>
      </c>
      <c r="R426" s="2">
        <f ca="1">IFERROR(__xludf.DUMMYFUNCTION("""COMPUTED_VALUE"""),218.32)</f>
        <v>218.32</v>
      </c>
      <c r="S426" s="3">
        <f ca="1">IFERROR(__xludf.DUMMYFUNCTION("""COMPUTED_VALUE"""),44078.6666666666)</f>
        <v>44078.666666666599</v>
      </c>
      <c r="T426" s="2">
        <f ca="1">IFERROR(__xludf.DUMMYFUNCTION("""COMPUTED_VALUE"""),148.59)</f>
        <v>148.59</v>
      </c>
    </row>
    <row r="427" spans="1:20">
      <c r="A427" s="3">
        <f ca="1">IFERROR(__xludf.DUMMYFUNCTION("""COMPUTED_VALUE"""),44082.6666666666)</f>
        <v>44082.666666666599</v>
      </c>
      <c r="B427" s="2">
        <f ca="1">IFERROR(__xludf.DUMMYFUNCTION("""COMPUTED_VALUE"""),112.82)</f>
        <v>112.82</v>
      </c>
      <c r="C427" s="3">
        <f ca="1">IFERROR(__xludf.DUMMYFUNCTION("""COMPUTED_VALUE"""),44082.6666666666)</f>
        <v>44082.666666666599</v>
      </c>
      <c r="D427" s="2">
        <f ca="1">IFERROR(__xludf.DUMMYFUNCTION("""COMPUTED_VALUE"""),202.66)</f>
        <v>202.66</v>
      </c>
      <c r="E427" s="3">
        <f ca="1">IFERROR(__xludf.DUMMYFUNCTION("""COMPUTED_VALUE"""),44082.6666666666)</f>
        <v>44082.666666666599</v>
      </c>
      <c r="F427" s="2">
        <f ca="1">IFERROR(__xludf.DUMMYFUNCTION("""COMPUTED_VALUE"""),3149.84)</f>
        <v>3149.84</v>
      </c>
      <c r="G427" s="3">
        <f ca="1">IFERROR(__xludf.DUMMYFUNCTION("""COMPUTED_VALUE"""),44082.6666666666)</f>
        <v>44082.666666666599</v>
      </c>
      <c r="H427" s="2">
        <f ca="1">IFERROR(__xludf.DUMMYFUNCTION("""COMPUTED_VALUE"""),1523.6)</f>
        <v>1523.6</v>
      </c>
      <c r="I427" s="3">
        <f ca="1">IFERROR(__xludf.DUMMYFUNCTION("""COMPUTED_VALUE"""),44082.6666666666)</f>
        <v>44082.666666666599</v>
      </c>
      <c r="J427" s="2">
        <f ca="1">IFERROR(__xludf.DUMMYFUNCTION("""COMPUTED_VALUE"""),1532.39)</f>
        <v>1532.39</v>
      </c>
      <c r="K427" s="3">
        <f ca="1">IFERROR(__xludf.DUMMYFUNCTION("""COMPUTED_VALUE"""),44082.6666666666)</f>
        <v>44082.666666666599</v>
      </c>
      <c r="L427" s="2">
        <f ca="1">IFERROR(__xludf.DUMMYFUNCTION("""COMPUTED_VALUE"""),271.16)</f>
        <v>271.16000000000003</v>
      </c>
      <c r="M427" s="3">
        <f ca="1">IFERROR(__xludf.DUMMYFUNCTION("""COMPUTED_VALUE"""),44082.6666666666)</f>
        <v>44082.666666666599</v>
      </c>
      <c r="N427" s="2">
        <f ca="1">IFERROR(__xludf.DUMMYFUNCTION("""COMPUTED_VALUE"""),330.21)</f>
        <v>330.21</v>
      </c>
      <c r="O427" s="3">
        <f ca="1">IFERROR(__xludf.DUMMYFUNCTION("""COMPUTED_VALUE"""),44082.6666666666)</f>
        <v>44082.666666666599</v>
      </c>
      <c r="P427" s="2">
        <f ca="1">IFERROR(__xludf.DUMMYFUNCTION("""COMPUTED_VALUE"""),119.13)</f>
        <v>119.13</v>
      </c>
      <c r="Q427" s="3">
        <f ca="1">IFERROR(__xludf.DUMMYFUNCTION("""COMPUTED_VALUE"""),44082.6666666666)</f>
        <v>44082.666666666599</v>
      </c>
      <c r="R427" s="2">
        <f ca="1">IFERROR(__xludf.DUMMYFUNCTION("""COMPUTED_VALUE"""),217.8)</f>
        <v>217.8</v>
      </c>
      <c r="S427" s="3">
        <f ca="1">IFERROR(__xludf.DUMMYFUNCTION("""COMPUTED_VALUE"""),44082.6666666666)</f>
        <v>44082.666666666599</v>
      </c>
      <c r="T427" s="2">
        <f ca="1">IFERROR(__xludf.DUMMYFUNCTION("""COMPUTED_VALUE"""),147.26)</f>
        <v>147.26</v>
      </c>
    </row>
    <row r="428" spans="1:20">
      <c r="A428" s="3">
        <f ca="1">IFERROR(__xludf.DUMMYFUNCTION("""COMPUTED_VALUE"""),44083.6666666666)</f>
        <v>44083.666666666599</v>
      </c>
      <c r="B428" s="2">
        <f ca="1">IFERROR(__xludf.DUMMYFUNCTION("""COMPUTED_VALUE"""),117.32)</f>
        <v>117.32</v>
      </c>
      <c r="C428" s="3">
        <f ca="1">IFERROR(__xludf.DUMMYFUNCTION("""COMPUTED_VALUE"""),44083.6666666666)</f>
        <v>44083.666666666599</v>
      </c>
      <c r="D428" s="2">
        <f ca="1">IFERROR(__xludf.DUMMYFUNCTION("""COMPUTED_VALUE"""),211.29)</f>
        <v>211.29</v>
      </c>
      <c r="E428" s="3">
        <f ca="1">IFERROR(__xludf.DUMMYFUNCTION("""COMPUTED_VALUE"""),44083.6666666666)</f>
        <v>44083.666666666599</v>
      </c>
      <c r="F428" s="2">
        <f ca="1">IFERROR(__xludf.DUMMYFUNCTION("""COMPUTED_VALUE"""),3268.61)</f>
        <v>3268.61</v>
      </c>
      <c r="G428" s="3">
        <f ca="1">IFERROR(__xludf.DUMMYFUNCTION("""COMPUTED_VALUE"""),44083.6666666666)</f>
        <v>44083.666666666599</v>
      </c>
      <c r="H428" s="2">
        <f ca="1">IFERROR(__xludf.DUMMYFUNCTION("""COMPUTED_VALUE"""),1547.23)</f>
        <v>1547.23</v>
      </c>
      <c r="I428" s="3">
        <f ca="1">IFERROR(__xludf.DUMMYFUNCTION("""COMPUTED_VALUE"""),44083.6666666666)</f>
        <v>44083.666666666599</v>
      </c>
      <c r="J428" s="2">
        <f ca="1">IFERROR(__xludf.DUMMYFUNCTION("""COMPUTED_VALUE"""),1556.96)</f>
        <v>1556.96</v>
      </c>
      <c r="K428" s="3">
        <f ca="1">IFERROR(__xludf.DUMMYFUNCTION("""COMPUTED_VALUE"""),44083.6666666666)</f>
        <v>44083.666666666599</v>
      </c>
      <c r="L428" s="2">
        <f ca="1">IFERROR(__xludf.DUMMYFUNCTION("""COMPUTED_VALUE"""),273.72)</f>
        <v>273.72000000000003</v>
      </c>
      <c r="M428" s="3">
        <f ca="1">IFERROR(__xludf.DUMMYFUNCTION("""COMPUTED_VALUE"""),44083.6666666666)</f>
        <v>44083.666666666599</v>
      </c>
      <c r="N428" s="2">
        <f ca="1">IFERROR(__xludf.DUMMYFUNCTION("""COMPUTED_VALUE"""),366.28)</f>
        <v>366.28</v>
      </c>
      <c r="O428" s="3">
        <f ca="1">IFERROR(__xludf.DUMMYFUNCTION("""COMPUTED_VALUE"""),44083.6666666666)</f>
        <v>44083.666666666599</v>
      </c>
      <c r="P428" s="2">
        <f ca="1">IFERROR(__xludf.DUMMYFUNCTION("""COMPUTED_VALUE"""),127.15)</f>
        <v>127.15</v>
      </c>
      <c r="Q428" s="3">
        <f ca="1">IFERROR(__xludf.DUMMYFUNCTION("""COMPUTED_VALUE"""),44083.6666666666)</f>
        <v>44083.666666666599</v>
      </c>
      <c r="R428" s="2">
        <f ca="1">IFERROR(__xludf.DUMMYFUNCTION("""COMPUTED_VALUE"""),219.63)</f>
        <v>219.63</v>
      </c>
      <c r="S428" s="3">
        <f ca="1">IFERROR(__xludf.DUMMYFUNCTION("""COMPUTED_VALUE"""),44083.6666666666)</f>
        <v>44083.666666666599</v>
      </c>
      <c r="T428" s="2">
        <f ca="1">IFERROR(__xludf.DUMMYFUNCTION("""COMPUTED_VALUE"""),149.7)</f>
        <v>149.69999999999999</v>
      </c>
    </row>
    <row r="429" spans="1:20">
      <c r="A429" s="3">
        <f ca="1">IFERROR(__xludf.DUMMYFUNCTION("""COMPUTED_VALUE"""),44084.6666666666)</f>
        <v>44084.666666666599</v>
      </c>
      <c r="B429" s="2">
        <f ca="1">IFERROR(__xludf.DUMMYFUNCTION("""COMPUTED_VALUE"""),113.49)</f>
        <v>113.49</v>
      </c>
      <c r="C429" s="3">
        <f ca="1">IFERROR(__xludf.DUMMYFUNCTION("""COMPUTED_VALUE"""),44084.6666666666)</f>
        <v>44084.666666666599</v>
      </c>
      <c r="D429" s="2">
        <f ca="1">IFERROR(__xludf.DUMMYFUNCTION("""COMPUTED_VALUE"""),205.37)</f>
        <v>205.37</v>
      </c>
      <c r="E429" s="3">
        <f ca="1">IFERROR(__xludf.DUMMYFUNCTION("""COMPUTED_VALUE"""),44084.6666666666)</f>
        <v>44084.666666666599</v>
      </c>
      <c r="F429" s="2">
        <f ca="1">IFERROR(__xludf.DUMMYFUNCTION("""COMPUTED_VALUE"""),3175.11)</f>
        <v>3175.11</v>
      </c>
      <c r="G429" s="3">
        <f ca="1">IFERROR(__xludf.DUMMYFUNCTION("""COMPUTED_VALUE"""),44084.6666666666)</f>
        <v>44084.666666666599</v>
      </c>
      <c r="H429" s="2">
        <f ca="1">IFERROR(__xludf.DUMMYFUNCTION("""COMPUTED_VALUE"""),1526.05)</f>
        <v>1526.05</v>
      </c>
      <c r="I429" s="3">
        <f ca="1">IFERROR(__xludf.DUMMYFUNCTION("""COMPUTED_VALUE"""),44084.6666666666)</f>
        <v>44084.666666666599</v>
      </c>
      <c r="J429" s="2">
        <f ca="1">IFERROR(__xludf.DUMMYFUNCTION("""COMPUTED_VALUE"""),1532.02)</f>
        <v>1532.02</v>
      </c>
      <c r="K429" s="3">
        <f ca="1">IFERROR(__xludf.DUMMYFUNCTION("""COMPUTED_VALUE"""),44084.6666666666)</f>
        <v>44084.666666666599</v>
      </c>
      <c r="L429" s="2">
        <f ca="1">IFERROR(__xludf.DUMMYFUNCTION("""COMPUTED_VALUE"""),268.09)</f>
        <v>268.08999999999997</v>
      </c>
      <c r="M429" s="3">
        <f ca="1">IFERROR(__xludf.DUMMYFUNCTION("""COMPUTED_VALUE"""),44084.6666666666)</f>
        <v>44084.666666666599</v>
      </c>
      <c r="N429" s="2">
        <f ca="1">IFERROR(__xludf.DUMMYFUNCTION("""COMPUTED_VALUE"""),371.34)</f>
        <v>371.34</v>
      </c>
      <c r="O429" s="3">
        <f ca="1">IFERROR(__xludf.DUMMYFUNCTION("""COMPUTED_VALUE"""),44084.6666666666)</f>
        <v>44084.666666666599</v>
      </c>
      <c r="P429" s="2">
        <f ca="1">IFERROR(__xludf.DUMMYFUNCTION("""COMPUTED_VALUE"""),123.12)</f>
        <v>123.12</v>
      </c>
      <c r="Q429" s="3">
        <f ca="1">IFERROR(__xludf.DUMMYFUNCTION("""COMPUTED_VALUE"""),44084.6666666666)</f>
        <v>44084.666666666599</v>
      </c>
      <c r="R429" s="2">
        <f ca="1">IFERROR(__xludf.DUMMYFUNCTION("""COMPUTED_VALUE"""),217.8)</f>
        <v>217.8</v>
      </c>
      <c r="S429" s="3">
        <f ca="1">IFERROR(__xludf.DUMMYFUNCTION("""COMPUTED_VALUE"""),44084.6666666666)</f>
        <v>44084.666666666599</v>
      </c>
      <c r="T429" s="2">
        <f ca="1">IFERROR(__xludf.DUMMYFUNCTION("""COMPUTED_VALUE"""),146.91)</f>
        <v>146.91</v>
      </c>
    </row>
    <row r="430" spans="1:20">
      <c r="A430" s="3">
        <f ca="1">IFERROR(__xludf.DUMMYFUNCTION("""COMPUTED_VALUE"""),44085.6666666666)</f>
        <v>44085.666666666599</v>
      </c>
      <c r="B430" s="2">
        <f ca="1">IFERROR(__xludf.DUMMYFUNCTION("""COMPUTED_VALUE"""),112)</f>
        <v>112</v>
      </c>
      <c r="C430" s="3">
        <f ca="1">IFERROR(__xludf.DUMMYFUNCTION("""COMPUTED_VALUE"""),44085.6666666666)</f>
        <v>44085.666666666599</v>
      </c>
      <c r="D430" s="2">
        <f ca="1">IFERROR(__xludf.DUMMYFUNCTION("""COMPUTED_VALUE"""),204.03)</f>
        <v>204.03</v>
      </c>
      <c r="E430" s="3">
        <f ca="1">IFERROR(__xludf.DUMMYFUNCTION("""COMPUTED_VALUE"""),44085.6666666666)</f>
        <v>44085.666666666599</v>
      </c>
      <c r="F430" s="2">
        <f ca="1">IFERROR(__xludf.DUMMYFUNCTION("""COMPUTED_VALUE"""),3116.22)</f>
        <v>3116.22</v>
      </c>
      <c r="G430" s="3">
        <f ca="1">IFERROR(__xludf.DUMMYFUNCTION("""COMPUTED_VALUE"""),44085.6666666666)</f>
        <v>44085.666666666599</v>
      </c>
      <c r="H430" s="2">
        <f ca="1">IFERROR(__xludf.DUMMYFUNCTION("""COMPUTED_VALUE"""),1515.76)</f>
        <v>1515.76</v>
      </c>
      <c r="I430" s="3">
        <f ca="1">IFERROR(__xludf.DUMMYFUNCTION("""COMPUTED_VALUE"""),44085.6666666666)</f>
        <v>44085.666666666599</v>
      </c>
      <c r="J430" s="2">
        <f ca="1">IFERROR(__xludf.DUMMYFUNCTION("""COMPUTED_VALUE"""),1520.72)</f>
        <v>1520.72</v>
      </c>
      <c r="K430" s="3">
        <f ca="1">IFERROR(__xludf.DUMMYFUNCTION("""COMPUTED_VALUE"""),44085.6666666666)</f>
        <v>44085.666666666599</v>
      </c>
      <c r="L430" s="2">
        <f ca="1">IFERROR(__xludf.DUMMYFUNCTION("""COMPUTED_VALUE"""),266.61)</f>
        <v>266.61</v>
      </c>
      <c r="M430" s="3">
        <f ca="1">IFERROR(__xludf.DUMMYFUNCTION("""COMPUTED_VALUE"""),44085.6666666666)</f>
        <v>44085.666666666599</v>
      </c>
      <c r="N430" s="2">
        <f ca="1">IFERROR(__xludf.DUMMYFUNCTION("""COMPUTED_VALUE"""),372.72)</f>
        <v>372.72</v>
      </c>
      <c r="O430" s="3">
        <f ca="1">IFERROR(__xludf.DUMMYFUNCTION("""COMPUTED_VALUE"""),44085.6666666666)</f>
        <v>44085.666666666599</v>
      </c>
      <c r="P430" s="2">
        <f ca="1">IFERROR(__xludf.DUMMYFUNCTION("""COMPUTED_VALUE"""),121.65)</f>
        <v>121.65</v>
      </c>
      <c r="Q430" s="3">
        <f ca="1">IFERROR(__xludf.DUMMYFUNCTION("""COMPUTED_VALUE"""),44085.6666666666)</f>
        <v>44085.666666666599</v>
      </c>
      <c r="R430" s="2">
        <f ca="1">IFERROR(__xludf.DUMMYFUNCTION("""COMPUTED_VALUE"""),217.93)</f>
        <v>217.93</v>
      </c>
      <c r="S430" s="3">
        <f ca="1">IFERROR(__xludf.DUMMYFUNCTION("""COMPUTED_VALUE"""),44085.6666666666)</f>
        <v>44085.666666666599</v>
      </c>
      <c r="T430" s="2">
        <f ca="1">IFERROR(__xludf.DUMMYFUNCTION("""COMPUTED_VALUE"""),147.78)</f>
        <v>147.78</v>
      </c>
    </row>
    <row r="431" spans="1:20">
      <c r="A431" s="3">
        <f ca="1">IFERROR(__xludf.DUMMYFUNCTION("""COMPUTED_VALUE"""),44088.6666666666)</f>
        <v>44088.666666666599</v>
      </c>
      <c r="B431" s="2">
        <f ca="1">IFERROR(__xludf.DUMMYFUNCTION("""COMPUTED_VALUE"""),115.36)</f>
        <v>115.36</v>
      </c>
      <c r="C431" s="3">
        <f ca="1">IFERROR(__xludf.DUMMYFUNCTION("""COMPUTED_VALUE"""),44088.6666666666)</f>
        <v>44088.666666666599</v>
      </c>
      <c r="D431" s="2">
        <f ca="1">IFERROR(__xludf.DUMMYFUNCTION("""COMPUTED_VALUE"""),205.41)</f>
        <v>205.41</v>
      </c>
      <c r="E431" s="3">
        <f ca="1">IFERROR(__xludf.DUMMYFUNCTION("""COMPUTED_VALUE"""),44088.6666666666)</f>
        <v>44088.666666666599</v>
      </c>
      <c r="F431" s="2">
        <f ca="1">IFERROR(__xludf.DUMMYFUNCTION("""COMPUTED_VALUE"""),3102.97)</f>
        <v>3102.97</v>
      </c>
      <c r="G431" s="3">
        <f ca="1">IFERROR(__xludf.DUMMYFUNCTION("""COMPUTED_VALUE"""),44088.6666666666)</f>
        <v>44088.666666666599</v>
      </c>
      <c r="H431" s="2">
        <f ca="1">IFERROR(__xludf.DUMMYFUNCTION("""COMPUTED_VALUE"""),1508.83)</f>
        <v>1508.83</v>
      </c>
      <c r="I431" s="3">
        <f ca="1">IFERROR(__xludf.DUMMYFUNCTION("""COMPUTED_VALUE"""),44088.6666666666)</f>
        <v>44088.666666666599</v>
      </c>
      <c r="J431" s="2">
        <f ca="1">IFERROR(__xludf.DUMMYFUNCTION("""COMPUTED_VALUE"""),1519.28)</f>
        <v>1519.28</v>
      </c>
      <c r="K431" s="3">
        <f ca="1">IFERROR(__xludf.DUMMYFUNCTION("""COMPUTED_VALUE"""),44088.6666666666)</f>
        <v>44088.666666666599</v>
      </c>
      <c r="L431" s="2">
        <f ca="1">IFERROR(__xludf.DUMMYFUNCTION("""COMPUTED_VALUE"""),266.15)</f>
        <v>266.14999999999998</v>
      </c>
      <c r="M431" s="3">
        <f ca="1">IFERROR(__xludf.DUMMYFUNCTION("""COMPUTED_VALUE"""),44088.6666666666)</f>
        <v>44088.666666666599</v>
      </c>
      <c r="N431" s="2">
        <f ca="1">IFERROR(__xludf.DUMMYFUNCTION("""COMPUTED_VALUE"""),419.62)</f>
        <v>419.62</v>
      </c>
      <c r="O431" s="3">
        <f ca="1">IFERROR(__xludf.DUMMYFUNCTION("""COMPUTED_VALUE"""),44088.6666666666)</f>
        <v>44088.666666666599</v>
      </c>
      <c r="P431" s="2">
        <f ca="1">IFERROR(__xludf.DUMMYFUNCTION("""COMPUTED_VALUE"""),128.72)</f>
        <v>128.72</v>
      </c>
      <c r="Q431" s="3">
        <f ca="1">IFERROR(__xludf.DUMMYFUNCTION("""COMPUTED_VALUE"""),44088.6666666666)</f>
        <v>44088.666666666599</v>
      </c>
      <c r="R431" s="2">
        <f ca="1">IFERROR(__xludf.DUMMYFUNCTION("""COMPUTED_VALUE"""),219.94)</f>
        <v>219.94</v>
      </c>
      <c r="S431" s="3">
        <f ca="1">IFERROR(__xludf.DUMMYFUNCTION("""COMPUTED_VALUE"""),44088.6666666666)</f>
        <v>44088.666666666599</v>
      </c>
      <c r="T431" s="2">
        <f ca="1">IFERROR(__xludf.DUMMYFUNCTION("""COMPUTED_VALUE"""),148.35)</f>
        <v>148.35</v>
      </c>
    </row>
    <row r="432" spans="1:20">
      <c r="A432" s="3">
        <f ca="1">IFERROR(__xludf.DUMMYFUNCTION("""COMPUTED_VALUE"""),44089.6666666666)</f>
        <v>44089.666666666599</v>
      </c>
      <c r="B432" s="2">
        <f ca="1">IFERROR(__xludf.DUMMYFUNCTION("""COMPUTED_VALUE"""),115.54)</f>
        <v>115.54</v>
      </c>
      <c r="C432" s="3">
        <f ca="1">IFERROR(__xludf.DUMMYFUNCTION("""COMPUTED_VALUE"""),44089.6666666666)</f>
        <v>44089.666666666599</v>
      </c>
      <c r="D432" s="2">
        <f ca="1">IFERROR(__xludf.DUMMYFUNCTION("""COMPUTED_VALUE"""),208.78)</f>
        <v>208.78</v>
      </c>
      <c r="E432" s="3">
        <f ca="1">IFERROR(__xludf.DUMMYFUNCTION("""COMPUTED_VALUE"""),44089.6666666666)</f>
        <v>44089.666666666599</v>
      </c>
      <c r="F432" s="2">
        <f ca="1">IFERROR(__xludf.DUMMYFUNCTION("""COMPUTED_VALUE"""),3156.13)</f>
        <v>3156.13</v>
      </c>
      <c r="G432" s="3">
        <f ca="1">IFERROR(__xludf.DUMMYFUNCTION("""COMPUTED_VALUE"""),44089.6666666666)</f>
        <v>44089.666666666599</v>
      </c>
      <c r="H432" s="2">
        <f ca="1">IFERROR(__xludf.DUMMYFUNCTION("""COMPUTED_VALUE"""),1535.12)</f>
        <v>1535.12</v>
      </c>
      <c r="I432" s="3">
        <f ca="1">IFERROR(__xludf.DUMMYFUNCTION("""COMPUTED_VALUE"""),44089.6666666666)</f>
        <v>44089.666666666599</v>
      </c>
      <c r="J432" s="2">
        <f ca="1">IFERROR(__xludf.DUMMYFUNCTION("""COMPUTED_VALUE"""),1541.44)</f>
        <v>1541.44</v>
      </c>
      <c r="K432" s="3">
        <f ca="1">IFERROR(__xludf.DUMMYFUNCTION("""COMPUTED_VALUE"""),44089.6666666666)</f>
        <v>44089.666666666599</v>
      </c>
      <c r="L432" s="2">
        <f ca="1">IFERROR(__xludf.DUMMYFUNCTION("""COMPUTED_VALUE"""),272.42)</f>
        <v>272.42</v>
      </c>
      <c r="M432" s="3">
        <f ca="1">IFERROR(__xludf.DUMMYFUNCTION("""COMPUTED_VALUE"""),44089.6666666666)</f>
        <v>44089.666666666599</v>
      </c>
      <c r="N432" s="2">
        <f ca="1">IFERROR(__xludf.DUMMYFUNCTION("""COMPUTED_VALUE"""),449.76)</f>
        <v>449.76</v>
      </c>
      <c r="O432" s="3">
        <f ca="1">IFERROR(__xludf.DUMMYFUNCTION("""COMPUTED_VALUE"""),44089.6666666666)</f>
        <v>44089.666666666599</v>
      </c>
      <c r="P432" s="2">
        <f ca="1">IFERROR(__xludf.DUMMYFUNCTION("""COMPUTED_VALUE"""),129.91)</f>
        <v>129.91</v>
      </c>
      <c r="Q432" s="3">
        <f ca="1">IFERROR(__xludf.DUMMYFUNCTION("""COMPUTED_VALUE"""),44089.6666666666)</f>
        <v>44089.666666666599</v>
      </c>
      <c r="R432" s="2">
        <f ca="1">IFERROR(__xludf.DUMMYFUNCTION("""COMPUTED_VALUE"""),218.94)</f>
        <v>218.94</v>
      </c>
      <c r="S432" s="3">
        <f ca="1">IFERROR(__xludf.DUMMYFUNCTION("""COMPUTED_VALUE"""),44089.6666666666)</f>
        <v>44089.666666666599</v>
      </c>
      <c r="T432" s="2">
        <f ca="1">IFERROR(__xludf.DUMMYFUNCTION("""COMPUTED_VALUE"""),148.89)</f>
        <v>148.88999999999999</v>
      </c>
    </row>
    <row r="433" spans="1:20">
      <c r="A433" s="3">
        <f ca="1">IFERROR(__xludf.DUMMYFUNCTION("""COMPUTED_VALUE"""),44090.6666666666)</f>
        <v>44090.666666666599</v>
      </c>
      <c r="B433" s="2">
        <f ca="1">IFERROR(__xludf.DUMMYFUNCTION("""COMPUTED_VALUE"""),112.13)</f>
        <v>112.13</v>
      </c>
      <c r="C433" s="3">
        <f ca="1">IFERROR(__xludf.DUMMYFUNCTION("""COMPUTED_VALUE"""),44090.6666666666)</f>
        <v>44090.666666666599</v>
      </c>
      <c r="D433" s="2">
        <f ca="1">IFERROR(__xludf.DUMMYFUNCTION("""COMPUTED_VALUE"""),205.05)</f>
        <v>205.05</v>
      </c>
      <c r="E433" s="3">
        <f ca="1">IFERROR(__xludf.DUMMYFUNCTION("""COMPUTED_VALUE"""),44090.6666666666)</f>
        <v>44090.666666666599</v>
      </c>
      <c r="F433" s="2">
        <f ca="1">IFERROR(__xludf.DUMMYFUNCTION("""COMPUTED_VALUE"""),3078.1)</f>
        <v>3078.1</v>
      </c>
      <c r="G433" s="3">
        <f ca="1">IFERROR(__xludf.DUMMYFUNCTION("""COMPUTED_VALUE"""),44090.6666666666)</f>
        <v>44090.666666666599</v>
      </c>
      <c r="H433" s="2">
        <f ca="1">IFERROR(__xludf.DUMMYFUNCTION("""COMPUTED_VALUE"""),1512.09)</f>
        <v>1512.09</v>
      </c>
      <c r="I433" s="3">
        <f ca="1">IFERROR(__xludf.DUMMYFUNCTION("""COMPUTED_VALUE"""),44090.6666666666)</f>
        <v>44090.666666666599</v>
      </c>
      <c r="J433" s="2">
        <f ca="1">IFERROR(__xludf.DUMMYFUNCTION("""COMPUTED_VALUE"""),1520.9)</f>
        <v>1520.9</v>
      </c>
      <c r="K433" s="3">
        <f ca="1">IFERROR(__xludf.DUMMYFUNCTION("""COMPUTED_VALUE"""),44090.6666666666)</f>
        <v>44090.666666666599</v>
      </c>
      <c r="L433" s="2">
        <f ca="1">IFERROR(__xludf.DUMMYFUNCTION("""COMPUTED_VALUE"""),263.52)</f>
        <v>263.52</v>
      </c>
      <c r="M433" s="3">
        <f ca="1">IFERROR(__xludf.DUMMYFUNCTION("""COMPUTED_VALUE"""),44090.6666666666)</f>
        <v>44090.666666666599</v>
      </c>
      <c r="N433" s="2">
        <f ca="1">IFERROR(__xludf.DUMMYFUNCTION("""COMPUTED_VALUE"""),441.76)</f>
        <v>441.76</v>
      </c>
      <c r="O433" s="3">
        <f ca="1">IFERROR(__xludf.DUMMYFUNCTION("""COMPUTED_VALUE"""),44090.6666666666)</f>
        <v>44090.666666666599</v>
      </c>
      <c r="P433" s="2">
        <f ca="1">IFERROR(__xludf.DUMMYFUNCTION("""COMPUTED_VALUE"""),125.15)</f>
        <v>125.15</v>
      </c>
      <c r="Q433" s="3">
        <f ca="1">IFERROR(__xludf.DUMMYFUNCTION("""COMPUTED_VALUE"""),44090.6666666666)</f>
        <v>44090.666666666599</v>
      </c>
      <c r="R433" s="2">
        <f ca="1">IFERROR(__xludf.DUMMYFUNCTION("""COMPUTED_VALUE"""),219.59)</f>
        <v>219.59</v>
      </c>
      <c r="S433" s="3">
        <f ca="1">IFERROR(__xludf.DUMMYFUNCTION("""COMPUTED_VALUE"""),44090.6666666666)</f>
        <v>44090.666666666599</v>
      </c>
      <c r="T433" s="2">
        <f ca="1">IFERROR(__xludf.DUMMYFUNCTION("""COMPUTED_VALUE"""),148.4)</f>
        <v>148.4</v>
      </c>
    </row>
    <row r="434" spans="1:20">
      <c r="A434" s="3">
        <f ca="1">IFERROR(__xludf.DUMMYFUNCTION("""COMPUTED_VALUE"""),44091.6666666666)</f>
        <v>44091.666666666599</v>
      </c>
      <c r="B434" s="2">
        <f ca="1">IFERROR(__xludf.DUMMYFUNCTION("""COMPUTED_VALUE"""),110.34)</f>
        <v>110.34</v>
      </c>
      <c r="C434" s="3">
        <f ca="1">IFERROR(__xludf.DUMMYFUNCTION("""COMPUTED_VALUE"""),44091.6666666666)</f>
        <v>44091.666666666599</v>
      </c>
      <c r="D434" s="2">
        <f ca="1">IFERROR(__xludf.DUMMYFUNCTION("""COMPUTED_VALUE"""),202.91)</f>
        <v>202.91</v>
      </c>
      <c r="E434" s="3">
        <f ca="1">IFERROR(__xludf.DUMMYFUNCTION("""COMPUTED_VALUE"""),44091.6666666666)</f>
        <v>44091.666666666599</v>
      </c>
      <c r="F434" s="2">
        <f ca="1">IFERROR(__xludf.DUMMYFUNCTION("""COMPUTED_VALUE"""),3008.73)</f>
        <v>3008.73</v>
      </c>
      <c r="G434" s="3">
        <f ca="1">IFERROR(__xludf.DUMMYFUNCTION("""COMPUTED_VALUE"""),44091.6666666666)</f>
        <v>44091.666666666599</v>
      </c>
      <c r="H434" s="2">
        <f ca="1">IFERROR(__xludf.DUMMYFUNCTION("""COMPUTED_VALUE"""),1487.04)</f>
        <v>1487.04</v>
      </c>
      <c r="I434" s="3">
        <f ca="1">IFERROR(__xludf.DUMMYFUNCTION("""COMPUTED_VALUE"""),44091.6666666666)</f>
        <v>44091.666666666599</v>
      </c>
      <c r="J434" s="2">
        <f ca="1">IFERROR(__xludf.DUMMYFUNCTION("""COMPUTED_VALUE"""),1495.53)</f>
        <v>1495.53</v>
      </c>
      <c r="K434" s="3">
        <f ca="1">IFERROR(__xludf.DUMMYFUNCTION("""COMPUTED_VALUE"""),44091.6666666666)</f>
        <v>44091.666666666599</v>
      </c>
      <c r="L434" s="2">
        <f ca="1">IFERROR(__xludf.DUMMYFUNCTION("""COMPUTED_VALUE"""),254.82)</f>
        <v>254.82</v>
      </c>
      <c r="M434" s="3">
        <f ca="1">IFERROR(__xludf.DUMMYFUNCTION("""COMPUTED_VALUE"""),44091.6666666666)</f>
        <v>44091.666666666599</v>
      </c>
      <c r="N434" s="2">
        <f ca="1">IFERROR(__xludf.DUMMYFUNCTION("""COMPUTED_VALUE"""),423.43)</f>
        <v>423.43</v>
      </c>
      <c r="O434" s="3">
        <f ca="1">IFERROR(__xludf.DUMMYFUNCTION("""COMPUTED_VALUE"""),44091.6666666666)</f>
        <v>44091.666666666599</v>
      </c>
      <c r="P434" s="2">
        <f ca="1">IFERROR(__xludf.DUMMYFUNCTION("""COMPUTED_VALUE"""),124.64)</f>
        <v>124.64</v>
      </c>
      <c r="Q434" s="3">
        <f ca="1">IFERROR(__xludf.DUMMYFUNCTION("""COMPUTED_VALUE"""),44091.6666666666)</f>
        <v>44091.666666666599</v>
      </c>
      <c r="R434" s="2">
        <f ca="1">IFERROR(__xludf.DUMMYFUNCTION("""COMPUTED_VALUE"""),218.05)</f>
        <v>218.05</v>
      </c>
      <c r="S434" s="3">
        <f ca="1">IFERROR(__xludf.DUMMYFUNCTION("""COMPUTED_VALUE"""),44091.6666666666)</f>
        <v>44091.666666666599</v>
      </c>
      <c r="T434" s="2">
        <f ca="1">IFERROR(__xludf.DUMMYFUNCTION("""COMPUTED_VALUE"""),147.17)</f>
        <v>147.16999999999999</v>
      </c>
    </row>
    <row r="435" spans="1:20">
      <c r="A435" s="3">
        <f ca="1">IFERROR(__xludf.DUMMYFUNCTION("""COMPUTED_VALUE"""),44092.6666666666)</f>
        <v>44092.666666666599</v>
      </c>
      <c r="B435" s="2">
        <f ca="1">IFERROR(__xludf.DUMMYFUNCTION("""COMPUTED_VALUE"""),106.84)</f>
        <v>106.84</v>
      </c>
      <c r="C435" s="3">
        <f ca="1">IFERROR(__xludf.DUMMYFUNCTION("""COMPUTED_VALUE"""),44092.6666666666)</f>
        <v>44092.666666666599</v>
      </c>
      <c r="D435" s="2">
        <f ca="1">IFERROR(__xludf.DUMMYFUNCTION("""COMPUTED_VALUE"""),200.39)</f>
        <v>200.39</v>
      </c>
      <c r="E435" s="3">
        <f ca="1">IFERROR(__xludf.DUMMYFUNCTION("""COMPUTED_VALUE"""),44092.6666666666)</f>
        <v>44092.666666666599</v>
      </c>
      <c r="F435" s="2">
        <f ca="1">IFERROR(__xludf.DUMMYFUNCTION("""COMPUTED_VALUE"""),2954.91)</f>
        <v>2954.91</v>
      </c>
      <c r="G435" s="3">
        <f ca="1">IFERROR(__xludf.DUMMYFUNCTION("""COMPUTED_VALUE"""),44092.6666666666)</f>
        <v>44092.666666666599</v>
      </c>
      <c r="H435" s="2">
        <f ca="1">IFERROR(__xludf.DUMMYFUNCTION("""COMPUTED_VALUE"""),1451.09)</f>
        <v>1451.09</v>
      </c>
      <c r="I435" s="3">
        <f ca="1">IFERROR(__xludf.DUMMYFUNCTION("""COMPUTED_VALUE"""),44092.6666666666)</f>
        <v>44092.666666666599</v>
      </c>
      <c r="J435" s="2">
        <f ca="1">IFERROR(__xludf.DUMMYFUNCTION("""COMPUTED_VALUE"""),1459.99)</f>
        <v>1459.99</v>
      </c>
      <c r="K435" s="3">
        <f ca="1">IFERROR(__xludf.DUMMYFUNCTION("""COMPUTED_VALUE"""),44092.6666666666)</f>
        <v>44092.666666666599</v>
      </c>
      <c r="L435" s="2">
        <f ca="1">IFERROR(__xludf.DUMMYFUNCTION("""COMPUTED_VALUE"""),252.53)</f>
        <v>252.53</v>
      </c>
      <c r="M435" s="3">
        <f ca="1">IFERROR(__xludf.DUMMYFUNCTION("""COMPUTED_VALUE"""),44092.6666666666)</f>
        <v>44092.666666666599</v>
      </c>
      <c r="N435" s="2">
        <f ca="1">IFERROR(__xludf.DUMMYFUNCTION("""COMPUTED_VALUE"""),442.15)</f>
        <v>442.15</v>
      </c>
      <c r="O435" s="3">
        <f ca="1">IFERROR(__xludf.DUMMYFUNCTION("""COMPUTED_VALUE"""),44092.6666666666)</f>
        <v>44092.666666666599</v>
      </c>
      <c r="P435" s="2">
        <f ca="1">IFERROR(__xludf.DUMMYFUNCTION("""COMPUTED_VALUE"""),121.89)</f>
        <v>121.89</v>
      </c>
      <c r="Q435" s="3">
        <f ca="1">IFERROR(__xludf.DUMMYFUNCTION("""COMPUTED_VALUE"""),44092.6666666666)</f>
        <v>44092.666666666599</v>
      </c>
      <c r="R435" s="2">
        <f ca="1">IFERROR(__xludf.DUMMYFUNCTION("""COMPUTED_VALUE"""),218.21)</f>
        <v>218.21</v>
      </c>
      <c r="S435" s="3">
        <f ca="1">IFERROR(__xludf.DUMMYFUNCTION("""COMPUTED_VALUE"""),44092.6666666666)</f>
        <v>44092.666666666599</v>
      </c>
      <c r="T435" s="2">
        <f ca="1">IFERROR(__xludf.DUMMYFUNCTION("""COMPUTED_VALUE"""),149.18)</f>
        <v>149.18</v>
      </c>
    </row>
    <row r="436" spans="1:20">
      <c r="A436" s="3">
        <f ca="1">IFERROR(__xludf.DUMMYFUNCTION("""COMPUTED_VALUE"""),44095.6666666666)</f>
        <v>44095.666666666599</v>
      </c>
      <c r="B436" s="2">
        <f ca="1">IFERROR(__xludf.DUMMYFUNCTION("""COMPUTED_VALUE"""),110.08)</f>
        <v>110.08</v>
      </c>
      <c r="C436" s="3">
        <f ca="1">IFERROR(__xludf.DUMMYFUNCTION("""COMPUTED_VALUE"""),44095.6666666666)</f>
        <v>44095.666666666599</v>
      </c>
      <c r="D436" s="2">
        <f ca="1">IFERROR(__xludf.DUMMYFUNCTION("""COMPUTED_VALUE"""),202.54)</f>
        <v>202.54</v>
      </c>
      <c r="E436" s="3">
        <f ca="1">IFERROR(__xludf.DUMMYFUNCTION("""COMPUTED_VALUE"""),44095.6666666666)</f>
        <v>44095.666666666599</v>
      </c>
      <c r="F436" s="2">
        <f ca="1">IFERROR(__xludf.DUMMYFUNCTION("""COMPUTED_VALUE"""),2960.47)</f>
        <v>2960.47</v>
      </c>
      <c r="G436" s="3">
        <f ca="1">IFERROR(__xludf.DUMMYFUNCTION("""COMPUTED_VALUE"""),44095.6666666666)</f>
        <v>44095.666666666599</v>
      </c>
      <c r="H436" s="2">
        <f ca="1">IFERROR(__xludf.DUMMYFUNCTION("""COMPUTED_VALUE"""),1430.14)</f>
        <v>1430.14</v>
      </c>
      <c r="I436" s="3">
        <f ca="1">IFERROR(__xludf.DUMMYFUNCTION("""COMPUTED_VALUE"""),44095.6666666666)</f>
        <v>44095.666666666599</v>
      </c>
      <c r="J436" s="2">
        <f ca="1">IFERROR(__xludf.DUMMYFUNCTION("""COMPUTED_VALUE"""),1431.16)</f>
        <v>1431.16</v>
      </c>
      <c r="K436" s="3">
        <f ca="1">IFERROR(__xludf.DUMMYFUNCTION("""COMPUTED_VALUE"""),44095.6666666666)</f>
        <v>44095.666666666599</v>
      </c>
      <c r="L436" s="2">
        <f ca="1">IFERROR(__xludf.DUMMYFUNCTION("""COMPUTED_VALUE"""),248.15)</f>
        <v>248.15</v>
      </c>
      <c r="M436" s="3">
        <f ca="1">IFERROR(__xludf.DUMMYFUNCTION("""COMPUTED_VALUE"""),44095.6666666666)</f>
        <v>44095.666666666599</v>
      </c>
      <c r="N436" s="2">
        <f ca="1">IFERROR(__xludf.DUMMYFUNCTION("""COMPUTED_VALUE"""),449.39)</f>
        <v>449.39</v>
      </c>
      <c r="O436" s="3">
        <f ca="1">IFERROR(__xludf.DUMMYFUNCTION("""COMPUTED_VALUE"""),44095.6666666666)</f>
        <v>44095.666666666599</v>
      </c>
      <c r="P436" s="2">
        <f ca="1">IFERROR(__xludf.DUMMYFUNCTION("""COMPUTED_VALUE"""),125.17)</f>
        <v>125.17</v>
      </c>
      <c r="Q436" s="3">
        <f ca="1">IFERROR(__xludf.DUMMYFUNCTION("""COMPUTED_VALUE"""),44095.6666666666)</f>
        <v>44095.666666666599</v>
      </c>
      <c r="R436" s="2">
        <f ca="1">IFERROR(__xludf.DUMMYFUNCTION("""COMPUTED_VALUE"""),213.02)</f>
        <v>213.02</v>
      </c>
      <c r="S436" s="3">
        <f ca="1">IFERROR(__xludf.DUMMYFUNCTION("""COMPUTED_VALUE"""),44095.6666666666)</f>
        <v>44095.666666666599</v>
      </c>
      <c r="T436" s="2">
        <f ca="1">IFERROR(__xludf.DUMMYFUNCTION("""COMPUTED_VALUE"""),145.1)</f>
        <v>145.1</v>
      </c>
    </row>
    <row r="437" spans="1:20">
      <c r="A437" s="3">
        <f ca="1">IFERROR(__xludf.DUMMYFUNCTION("""COMPUTED_VALUE"""),44096.6666666666)</f>
        <v>44096.666666666599</v>
      </c>
      <c r="B437" s="2">
        <f ca="1">IFERROR(__xludf.DUMMYFUNCTION("""COMPUTED_VALUE"""),111.81)</f>
        <v>111.81</v>
      </c>
      <c r="C437" s="3">
        <f ca="1">IFERROR(__xludf.DUMMYFUNCTION("""COMPUTED_VALUE"""),44096.6666666666)</f>
        <v>44096.666666666599</v>
      </c>
      <c r="D437" s="2">
        <f ca="1">IFERROR(__xludf.DUMMYFUNCTION("""COMPUTED_VALUE"""),207.42)</f>
        <v>207.42</v>
      </c>
      <c r="E437" s="3">
        <f ca="1">IFERROR(__xludf.DUMMYFUNCTION("""COMPUTED_VALUE"""),44096.6666666666)</f>
        <v>44096.666666666599</v>
      </c>
      <c r="F437" s="2">
        <f ca="1">IFERROR(__xludf.DUMMYFUNCTION("""COMPUTED_VALUE"""),3128.99)</f>
        <v>3128.99</v>
      </c>
      <c r="G437" s="3">
        <f ca="1">IFERROR(__xludf.DUMMYFUNCTION("""COMPUTED_VALUE"""),44096.6666666666)</f>
        <v>44096.666666666599</v>
      </c>
      <c r="H437" s="2">
        <f ca="1">IFERROR(__xludf.DUMMYFUNCTION("""COMPUTED_VALUE"""),1459.82)</f>
        <v>1459.82</v>
      </c>
      <c r="I437" s="3">
        <f ca="1">IFERROR(__xludf.DUMMYFUNCTION("""COMPUTED_VALUE"""),44096.6666666666)</f>
        <v>44096.666666666599</v>
      </c>
      <c r="J437" s="2">
        <f ca="1">IFERROR(__xludf.DUMMYFUNCTION("""COMPUTED_VALUE"""),1465.46)</f>
        <v>1465.46</v>
      </c>
      <c r="K437" s="3">
        <f ca="1">IFERROR(__xludf.DUMMYFUNCTION("""COMPUTED_VALUE"""),44096.6666666666)</f>
        <v>44096.666666666599</v>
      </c>
      <c r="L437" s="2">
        <f ca="1">IFERROR(__xludf.DUMMYFUNCTION("""COMPUTED_VALUE"""),254.75)</f>
        <v>254.75</v>
      </c>
      <c r="M437" s="3">
        <f ca="1">IFERROR(__xludf.DUMMYFUNCTION("""COMPUTED_VALUE"""),44096.6666666666)</f>
        <v>44096.666666666599</v>
      </c>
      <c r="N437" s="2">
        <f ca="1">IFERROR(__xludf.DUMMYFUNCTION("""COMPUTED_VALUE"""),424.23)</f>
        <v>424.23</v>
      </c>
      <c r="O437" s="3">
        <f ca="1">IFERROR(__xludf.DUMMYFUNCTION("""COMPUTED_VALUE"""),44096.6666666666)</f>
        <v>44096.666666666599</v>
      </c>
      <c r="P437" s="2">
        <f ca="1">IFERROR(__xludf.DUMMYFUNCTION("""COMPUTED_VALUE"""),126.38)</f>
        <v>126.38</v>
      </c>
      <c r="Q437" s="3">
        <f ca="1">IFERROR(__xludf.DUMMYFUNCTION("""COMPUTED_VALUE"""),44096.6666666666)</f>
        <v>44096.666666666599</v>
      </c>
      <c r="R437" s="2">
        <f ca="1">IFERROR(__xludf.DUMMYFUNCTION("""COMPUTED_VALUE"""),214.16)</f>
        <v>214.16</v>
      </c>
      <c r="S437" s="3">
        <f ca="1">IFERROR(__xludf.DUMMYFUNCTION("""COMPUTED_VALUE"""),44096.6666666666)</f>
        <v>44096.666666666599</v>
      </c>
      <c r="T437" s="2">
        <f ca="1">IFERROR(__xludf.DUMMYFUNCTION("""COMPUTED_VALUE"""),144.21)</f>
        <v>144.21</v>
      </c>
    </row>
    <row r="438" spans="1:20">
      <c r="A438" s="3">
        <f ca="1">IFERROR(__xludf.DUMMYFUNCTION("""COMPUTED_VALUE"""),44097.6666666666)</f>
        <v>44097.666666666599</v>
      </c>
      <c r="B438" s="2">
        <f ca="1">IFERROR(__xludf.DUMMYFUNCTION("""COMPUTED_VALUE"""),107.12)</f>
        <v>107.12</v>
      </c>
      <c r="C438" s="3">
        <f ca="1">IFERROR(__xludf.DUMMYFUNCTION("""COMPUTED_VALUE"""),44097.6666666666)</f>
        <v>44097.666666666599</v>
      </c>
      <c r="D438" s="2">
        <f ca="1">IFERROR(__xludf.DUMMYFUNCTION("""COMPUTED_VALUE"""),200.59)</f>
        <v>200.59</v>
      </c>
      <c r="E438" s="3">
        <f ca="1">IFERROR(__xludf.DUMMYFUNCTION("""COMPUTED_VALUE"""),44097.6666666666)</f>
        <v>44097.666666666599</v>
      </c>
      <c r="F438" s="2">
        <f ca="1">IFERROR(__xludf.DUMMYFUNCTION("""COMPUTED_VALUE"""),2999.86)</f>
        <v>2999.86</v>
      </c>
      <c r="G438" s="3">
        <f ca="1">IFERROR(__xludf.DUMMYFUNCTION("""COMPUTED_VALUE"""),44097.6666666666)</f>
        <v>44097.666666666599</v>
      </c>
      <c r="H438" s="2">
        <f ca="1">IFERROR(__xludf.DUMMYFUNCTION("""COMPUTED_VALUE"""),1409.39)</f>
        <v>1409.39</v>
      </c>
      <c r="I438" s="3">
        <f ca="1">IFERROR(__xludf.DUMMYFUNCTION("""COMPUTED_VALUE"""),44097.6666666666)</f>
        <v>44097.666666666599</v>
      </c>
      <c r="J438" s="2">
        <f ca="1">IFERROR(__xludf.DUMMYFUNCTION("""COMPUTED_VALUE"""),1415.21)</f>
        <v>1415.21</v>
      </c>
      <c r="K438" s="3">
        <f ca="1">IFERROR(__xludf.DUMMYFUNCTION("""COMPUTED_VALUE"""),44097.6666666666)</f>
        <v>44097.666666666599</v>
      </c>
      <c r="L438" s="2">
        <f ca="1">IFERROR(__xludf.DUMMYFUNCTION("""COMPUTED_VALUE"""),249.02)</f>
        <v>249.02</v>
      </c>
      <c r="M438" s="3">
        <f ca="1">IFERROR(__xludf.DUMMYFUNCTION("""COMPUTED_VALUE"""),44097.6666666666)</f>
        <v>44097.666666666599</v>
      </c>
      <c r="N438" s="2">
        <f ca="1">IFERROR(__xludf.DUMMYFUNCTION("""COMPUTED_VALUE"""),380.36)</f>
        <v>380.36</v>
      </c>
      <c r="O438" s="3">
        <f ca="1">IFERROR(__xludf.DUMMYFUNCTION("""COMPUTED_VALUE"""),44097.6666666666)</f>
        <v>44097.666666666599</v>
      </c>
      <c r="P438" s="2">
        <f ca="1">IFERROR(__xludf.DUMMYFUNCTION("""COMPUTED_VALUE"""),121.24)</f>
        <v>121.24</v>
      </c>
      <c r="Q438" s="3">
        <f ca="1">IFERROR(__xludf.DUMMYFUNCTION("""COMPUTED_VALUE"""),44097.6666666666)</f>
        <v>44097.666666666599</v>
      </c>
      <c r="R438" s="2">
        <f ca="1">IFERROR(__xludf.DUMMYFUNCTION("""COMPUTED_VALUE"""),209.61)</f>
        <v>209.61</v>
      </c>
      <c r="S438" s="3">
        <f ca="1">IFERROR(__xludf.DUMMYFUNCTION("""COMPUTED_VALUE"""),44097.6666666666)</f>
        <v>44097.666666666599</v>
      </c>
      <c r="T438" s="2">
        <f ca="1">IFERROR(__xludf.DUMMYFUNCTION("""COMPUTED_VALUE"""),144.44)</f>
        <v>144.44</v>
      </c>
    </row>
    <row r="439" spans="1:20">
      <c r="A439" s="3">
        <f ca="1">IFERROR(__xludf.DUMMYFUNCTION("""COMPUTED_VALUE"""),44098.6666666666)</f>
        <v>44098.666666666599</v>
      </c>
      <c r="B439" s="2">
        <f ca="1">IFERROR(__xludf.DUMMYFUNCTION("""COMPUTED_VALUE"""),108.22)</f>
        <v>108.22</v>
      </c>
      <c r="C439" s="3">
        <f ca="1">IFERROR(__xludf.DUMMYFUNCTION("""COMPUTED_VALUE"""),44098.6666666666)</f>
        <v>44098.666666666599</v>
      </c>
      <c r="D439" s="2">
        <f ca="1">IFERROR(__xludf.DUMMYFUNCTION("""COMPUTED_VALUE"""),203.19)</f>
        <v>203.19</v>
      </c>
      <c r="E439" s="3">
        <f ca="1">IFERROR(__xludf.DUMMYFUNCTION("""COMPUTED_VALUE"""),44098.6666666666)</f>
        <v>44098.666666666599</v>
      </c>
      <c r="F439" s="2">
        <f ca="1">IFERROR(__xludf.DUMMYFUNCTION("""COMPUTED_VALUE"""),3019.79)</f>
        <v>3019.79</v>
      </c>
      <c r="G439" s="3">
        <f ca="1">IFERROR(__xludf.DUMMYFUNCTION("""COMPUTED_VALUE"""),44098.6666666666)</f>
        <v>44098.666666666599</v>
      </c>
      <c r="H439" s="2">
        <f ca="1">IFERROR(__xludf.DUMMYFUNCTION("""COMPUTED_VALUE"""),1422.86)</f>
        <v>1422.86</v>
      </c>
      <c r="I439" s="3">
        <f ca="1">IFERROR(__xludf.DUMMYFUNCTION("""COMPUTED_VALUE"""),44098.6666666666)</f>
        <v>44098.666666666599</v>
      </c>
      <c r="J439" s="2">
        <f ca="1">IFERROR(__xludf.DUMMYFUNCTION("""COMPUTED_VALUE"""),1428.29)</f>
        <v>1428.29</v>
      </c>
      <c r="K439" s="3">
        <f ca="1">IFERROR(__xludf.DUMMYFUNCTION("""COMPUTED_VALUE"""),44098.6666666666)</f>
        <v>44098.666666666599</v>
      </c>
      <c r="L439" s="2">
        <f ca="1">IFERROR(__xludf.DUMMYFUNCTION("""COMPUTED_VALUE"""),249.53)</f>
        <v>249.53</v>
      </c>
      <c r="M439" s="3">
        <f ca="1">IFERROR(__xludf.DUMMYFUNCTION("""COMPUTED_VALUE"""),44098.6666666666)</f>
        <v>44098.666666666599</v>
      </c>
      <c r="N439" s="2">
        <f ca="1">IFERROR(__xludf.DUMMYFUNCTION("""COMPUTED_VALUE"""),387.79)</f>
        <v>387.79</v>
      </c>
      <c r="O439" s="3">
        <f ca="1">IFERROR(__xludf.DUMMYFUNCTION("""COMPUTED_VALUE"""),44098.6666666666)</f>
        <v>44098.666666666599</v>
      </c>
      <c r="P439" s="2">
        <f ca="1">IFERROR(__xludf.DUMMYFUNCTION("""COMPUTED_VALUE"""),123.48)</f>
        <v>123.48</v>
      </c>
      <c r="Q439" s="3">
        <f ca="1">IFERROR(__xludf.DUMMYFUNCTION("""COMPUTED_VALUE"""),44098.6666666666)</f>
        <v>44098.666666666599</v>
      </c>
      <c r="R439" s="2">
        <f ca="1">IFERROR(__xludf.DUMMYFUNCTION("""COMPUTED_VALUE"""),208.72)</f>
        <v>208.72</v>
      </c>
      <c r="S439" s="3">
        <f ca="1">IFERROR(__xludf.DUMMYFUNCTION("""COMPUTED_VALUE"""),44098.6666666666)</f>
        <v>44098.666666666599</v>
      </c>
      <c r="T439" s="2">
        <f ca="1">IFERROR(__xludf.DUMMYFUNCTION("""COMPUTED_VALUE"""),144.67)</f>
        <v>144.66999999999999</v>
      </c>
    </row>
    <row r="440" spans="1:20">
      <c r="A440" s="3">
        <f ca="1">IFERROR(__xludf.DUMMYFUNCTION("""COMPUTED_VALUE"""),44099.6666666666)</f>
        <v>44099.666666666599</v>
      </c>
      <c r="B440" s="2">
        <f ca="1">IFERROR(__xludf.DUMMYFUNCTION("""COMPUTED_VALUE"""),112.28)</f>
        <v>112.28</v>
      </c>
      <c r="C440" s="3">
        <f ca="1">IFERROR(__xludf.DUMMYFUNCTION("""COMPUTED_VALUE"""),44099.6666666666)</f>
        <v>44099.666666666599</v>
      </c>
      <c r="D440" s="2">
        <f ca="1">IFERROR(__xludf.DUMMYFUNCTION("""COMPUTED_VALUE"""),207.82)</f>
        <v>207.82</v>
      </c>
      <c r="E440" s="3">
        <f ca="1">IFERROR(__xludf.DUMMYFUNCTION("""COMPUTED_VALUE"""),44099.6666666666)</f>
        <v>44099.666666666599</v>
      </c>
      <c r="F440" s="2">
        <f ca="1">IFERROR(__xludf.DUMMYFUNCTION("""COMPUTED_VALUE"""),3095.13)</f>
        <v>3095.13</v>
      </c>
      <c r="G440" s="3">
        <f ca="1">IFERROR(__xludf.DUMMYFUNCTION("""COMPUTED_VALUE"""),44099.6666666666)</f>
        <v>44099.666666666599</v>
      </c>
      <c r="H440" s="2">
        <f ca="1">IFERROR(__xludf.DUMMYFUNCTION("""COMPUTED_VALUE"""),1439.06)</f>
        <v>1439.06</v>
      </c>
      <c r="I440" s="3">
        <f ca="1">IFERROR(__xludf.DUMMYFUNCTION("""COMPUTED_VALUE"""),44099.6666666666)</f>
        <v>44099.666666666599</v>
      </c>
      <c r="J440" s="2">
        <f ca="1">IFERROR(__xludf.DUMMYFUNCTION("""COMPUTED_VALUE"""),1444.96)</f>
        <v>1444.96</v>
      </c>
      <c r="K440" s="3">
        <f ca="1">IFERROR(__xludf.DUMMYFUNCTION("""COMPUTED_VALUE"""),44099.6666666666)</f>
        <v>44099.666666666599</v>
      </c>
      <c r="L440" s="2">
        <f ca="1">IFERROR(__xludf.DUMMYFUNCTION("""COMPUTED_VALUE"""),254.82)</f>
        <v>254.82</v>
      </c>
      <c r="M440" s="3">
        <f ca="1">IFERROR(__xludf.DUMMYFUNCTION("""COMPUTED_VALUE"""),44099.6666666666)</f>
        <v>44099.666666666599</v>
      </c>
      <c r="N440" s="2">
        <f ca="1">IFERROR(__xludf.DUMMYFUNCTION("""COMPUTED_VALUE"""),407.34)</f>
        <v>407.34</v>
      </c>
      <c r="O440" s="3">
        <f ca="1">IFERROR(__xludf.DUMMYFUNCTION("""COMPUTED_VALUE"""),44099.6666666666)</f>
        <v>44099.666666666599</v>
      </c>
      <c r="P440" s="2">
        <f ca="1">IFERROR(__xludf.DUMMYFUNCTION("""COMPUTED_VALUE"""),128.74)</f>
        <v>128.74</v>
      </c>
      <c r="Q440" s="3">
        <f ca="1">IFERROR(__xludf.DUMMYFUNCTION("""COMPUTED_VALUE"""),44099.6666666666)</f>
        <v>44099.666666666599</v>
      </c>
      <c r="R440" s="2">
        <f ca="1">IFERROR(__xludf.DUMMYFUNCTION("""COMPUTED_VALUE"""),210.45)</f>
        <v>210.45</v>
      </c>
      <c r="S440" s="3">
        <f ca="1">IFERROR(__xludf.DUMMYFUNCTION("""COMPUTED_VALUE"""),44099.6666666666)</f>
        <v>44099.666666666599</v>
      </c>
      <c r="T440" s="2">
        <f ca="1">IFERROR(__xludf.DUMMYFUNCTION("""COMPUTED_VALUE"""),145.66)</f>
        <v>145.66</v>
      </c>
    </row>
    <row r="441" spans="1:20">
      <c r="A441" s="3">
        <f ca="1">IFERROR(__xludf.DUMMYFUNCTION("""COMPUTED_VALUE"""),44102.6666666666)</f>
        <v>44102.666666666599</v>
      </c>
      <c r="B441" s="2">
        <f ca="1">IFERROR(__xludf.DUMMYFUNCTION("""COMPUTED_VALUE"""),114.96)</f>
        <v>114.96</v>
      </c>
      <c r="C441" s="3">
        <f ca="1">IFERROR(__xludf.DUMMYFUNCTION("""COMPUTED_VALUE"""),44102.6666666666)</f>
        <v>44102.666666666599</v>
      </c>
      <c r="D441" s="2">
        <f ca="1">IFERROR(__xludf.DUMMYFUNCTION("""COMPUTED_VALUE"""),209.44)</f>
        <v>209.44</v>
      </c>
      <c r="E441" s="3">
        <f ca="1">IFERROR(__xludf.DUMMYFUNCTION("""COMPUTED_VALUE"""),44102.6666666666)</f>
        <v>44102.666666666599</v>
      </c>
      <c r="F441" s="2">
        <f ca="1">IFERROR(__xludf.DUMMYFUNCTION("""COMPUTED_VALUE"""),3174.05)</f>
        <v>3174.05</v>
      </c>
      <c r="G441" s="3">
        <f ca="1">IFERROR(__xludf.DUMMYFUNCTION("""COMPUTED_VALUE"""),44102.6666666666)</f>
        <v>44102.666666666599</v>
      </c>
      <c r="H441" s="2">
        <f ca="1">IFERROR(__xludf.DUMMYFUNCTION("""COMPUTED_VALUE"""),1458.66)</f>
        <v>1458.66</v>
      </c>
      <c r="I441" s="3">
        <f ca="1">IFERROR(__xludf.DUMMYFUNCTION("""COMPUTED_VALUE"""),44102.6666666666)</f>
        <v>44102.666666666599</v>
      </c>
      <c r="J441" s="2">
        <f ca="1">IFERROR(__xludf.DUMMYFUNCTION("""COMPUTED_VALUE"""),1464.52)</f>
        <v>1464.52</v>
      </c>
      <c r="K441" s="3">
        <f ca="1">IFERROR(__xludf.DUMMYFUNCTION("""COMPUTED_VALUE"""),44102.6666666666)</f>
        <v>44102.666666666599</v>
      </c>
      <c r="L441" s="2">
        <f ca="1">IFERROR(__xludf.DUMMYFUNCTION("""COMPUTED_VALUE"""),256.82)</f>
        <v>256.82</v>
      </c>
      <c r="M441" s="3">
        <f ca="1">IFERROR(__xludf.DUMMYFUNCTION("""COMPUTED_VALUE"""),44102.6666666666)</f>
        <v>44102.666666666599</v>
      </c>
      <c r="N441" s="2">
        <f ca="1">IFERROR(__xludf.DUMMYFUNCTION("""COMPUTED_VALUE"""),421.2)</f>
        <v>421.2</v>
      </c>
      <c r="O441" s="3">
        <f ca="1">IFERROR(__xludf.DUMMYFUNCTION("""COMPUTED_VALUE"""),44102.6666666666)</f>
        <v>44102.666666666599</v>
      </c>
      <c r="P441" s="2">
        <f ca="1">IFERROR(__xludf.DUMMYFUNCTION("""COMPUTED_VALUE"""),130.35)</f>
        <v>130.35</v>
      </c>
      <c r="Q441" s="3">
        <f ca="1">IFERROR(__xludf.DUMMYFUNCTION("""COMPUTED_VALUE"""),44102.6666666666)</f>
        <v>44102.666666666599</v>
      </c>
      <c r="R441" s="2">
        <f ca="1">IFERROR(__xludf.DUMMYFUNCTION("""COMPUTED_VALUE"""),213.54)</f>
        <v>213.54</v>
      </c>
      <c r="S441" s="3">
        <f ca="1">IFERROR(__xludf.DUMMYFUNCTION("""COMPUTED_VALUE"""),44102.6666666666)</f>
        <v>44102.666666666599</v>
      </c>
      <c r="T441" s="2">
        <f ca="1">IFERROR(__xludf.DUMMYFUNCTION("""COMPUTED_VALUE"""),147.11)</f>
        <v>147.11000000000001</v>
      </c>
    </row>
    <row r="442" spans="1:20">
      <c r="A442" s="3">
        <f ca="1">IFERROR(__xludf.DUMMYFUNCTION("""COMPUTED_VALUE"""),44103.6666666666)</f>
        <v>44103.666666666599</v>
      </c>
      <c r="B442" s="2">
        <f ca="1">IFERROR(__xludf.DUMMYFUNCTION("""COMPUTED_VALUE"""),114.09)</f>
        <v>114.09</v>
      </c>
      <c r="C442" s="3">
        <f ca="1">IFERROR(__xludf.DUMMYFUNCTION("""COMPUTED_VALUE"""),44103.6666666666)</f>
        <v>44103.666666666599</v>
      </c>
      <c r="D442" s="2">
        <f ca="1">IFERROR(__xludf.DUMMYFUNCTION("""COMPUTED_VALUE"""),207.26)</f>
        <v>207.26</v>
      </c>
      <c r="E442" s="3">
        <f ca="1">IFERROR(__xludf.DUMMYFUNCTION("""COMPUTED_VALUE"""),44103.6666666666)</f>
        <v>44103.666666666599</v>
      </c>
      <c r="F442" s="2">
        <f ca="1">IFERROR(__xludf.DUMMYFUNCTION("""COMPUTED_VALUE"""),3144.88)</f>
        <v>3144.88</v>
      </c>
      <c r="G442" s="3">
        <f ca="1">IFERROR(__xludf.DUMMYFUNCTION("""COMPUTED_VALUE"""),44103.6666666666)</f>
        <v>44103.666666666599</v>
      </c>
      <c r="H442" s="2">
        <f ca="1">IFERROR(__xludf.DUMMYFUNCTION("""COMPUTED_VALUE"""),1466.02)</f>
        <v>1466.02</v>
      </c>
      <c r="I442" s="3">
        <f ca="1">IFERROR(__xludf.DUMMYFUNCTION("""COMPUTED_VALUE"""),44103.6666666666)</f>
        <v>44103.666666666599</v>
      </c>
      <c r="J442" s="2">
        <f ca="1">IFERROR(__xludf.DUMMYFUNCTION("""COMPUTED_VALUE"""),1469.33)</f>
        <v>1469.33</v>
      </c>
      <c r="K442" s="3">
        <f ca="1">IFERROR(__xludf.DUMMYFUNCTION("""COMPUTED_VALUE"""),44103.6666666666)</f>
        <v>44103.666666666599</v>
      </c>
      <c r="L442" s="2">
        <f ca="1">IFERROR(__xludf.DUMMYFUNCTION("""COMPUTED_VALUE"""),261.79)</f>
        <v>261.79000000000002</v>
      </c>
      <c r="M442" s="3">
        <f ca="1">IFERROR(__xludf.DUMMYFUNCTION("""COMPUTED_VALUE"""),44103.6666666666)</f>
        <v>44103.666666666599</v>
      </c>
      <c r="N442" s="2">
        <f ca="1">IFERROR(__xludf.DUMMYFUNCTION("""COMPUTED_VALUE"""),419.07)</f>
        <v>419.07</v>
      </c>
      <c r="O442" s="3">
        <f ca="1">IFERROR(__xludf.DUMMYFUNCTION("""COMPUTED_VALUE"""),44103.6666666666)</f>
        <v>44103.666666666599</v>
      </c>
      <c r="P442" s="2">
        <f ca="1">IFERROR(__xludf.DUMMYFUNCTION("""COMPUTED_VALUE"""),132.26)</f>
        <v>132.26</v>
      </c>
      <c r="Q442" s="3">
        <f ca="1">IFERROR(__xludf.DUMMYFUNCTION("""COMPUTED_VALUE"""),44103.6666666666)</f>
        <v>44103.666666666599</v>
      </c>
      <c r="R442" s="2">
        <f ca="1">IFERROR(__xludf.DUMMYFUNCTION("""COMPUTED_VALUE"""),210.44)</f>
        <v>210.44</v>
      </c>
      <c r="S442" s="3">
        <f ca="1">IFERROR(__xludf.DUMMYFUNCTION("""COMPUTED_VALUE"""),44103.6666666666)</f>
        <v>44103.666666666599</v>
      </c>
      <c r="T442" s="2">
        <f ca="1">IFERROR(__xludf.DUMMYFUNCTION("""COMPUTED_VALUE"""),147.06)</f>
        <v>147.06</v>
      </c>
    </row>
    <row r="443" spans="1:20">
      <c r="A443" s="3">
        <f ca="1">IFERROR(__xludf.DUMMYFUNCTION("""COMPUTED_VALUE"""),44104.6666666666)</f>
        <v>44104.666666666599</v>
      </c>
      <c r="B443" s="2">
        <f ca="1">IFERROR(__xludf.DUMMYFUNCTION("""COMPUTED_VALUE"""),115.81)</f>
        <v>115.81</v>
      </c>
      <c r="C443" s="3">
        <f ca="1">IFERROR(__xludf.DUMMYFUNCTION("""COMPUTED_VALUE"""),44104.6666666666)</f>
        <v>44104.666666666599</v>
      </c>
      <c r="D443" s="2">
        <f ca="1">IFERROR(__xludf.DUMMYFUNCTION("""COMPUTED_VALUE"""),210.33)</f>
        <v>210.33</v>
      </c>
      <c r="E443" s="3">
        <f ca="1">IFERROR(__xludf.DUMMYFUNCTION("""COMPUTED_VALUE"""),44104.6666666666)</f>
        <v>44104.666666666599</v>
      </c>
      <c r="F443" s="2">
        <f ca="1">IFERROR(__xludf.DUMMYFUNCTION("""COMPUTED_VALUE"""),3148.73)</f>
        <v>3148.73</v>
      </c>
      <c r="G443" s="3">
        <f ca="1">IFERROR(__xludf.DUMMYFUNCTION("""COMPUTED_VALUE"""),44104.6666666666)</f>
        <v>44104.666666666599</v>
      </c>
      <c r="H443" s="2">
        <f ca="1">IFERROR(__xludf.DUMMYFUNCTION("""COMPUTED_VALUE"""),1465.6)</f>
        <v>1465.6</v>
      </c>
      <c r="I443" s="3">
        <f ca="1">IFERROR(__xludf.DUMMYFUNCTION("""COMPUTED_VALUE"""),44104.6666666666)</f>
        <v>44104.666666666599</v>
      </c>
      <c r="J443" s="2">
        <f ca="1">IFERROR(__xludf.DUMMYFUNCTION("""COMPUTED_VALUE"""),1469.6)</f>
        <v>1469.6</v>
      </c>
      <c r="K443" s="3">
        <f ca="1">IFERROR(__xludf.DUMMYFUNCTION("""COMPUTED_VALUE"""),44104.6666666666)</f>
        <v>44104.666666666599</v>
      </c>
      <c r="L443" s="2">
        <f ca="1">IFERROR(__xludf.DUMMYFUNCTION("""COMPUTED_VALUE"""),261.9)</f>
        <v>261.89999999999998</v>
      </c>
      <c r="M443" s="3">
        <f ca="1">IFERROR(__xludf.DUMMYFUNCTION("""COMPUTED_VALUE"""),44104.6666666666)</f>
        <v>44104.666666666599</v>
      </c>
      <c r="N443" s="2">
        <f ca="1">IFERROR(__xludf.DUMMYFUNCTION("""COMPUTED_VALUE"""),429.01)</f>
        <v>429.01</v>
      </c>
      <c r="O443" s="3">
        <f ca="1">IFERROR(__xludf.DUMMYFUNCTION("""COMPUTED_VALUE"""),44104.6666666666)</f>
        <v>44104.666666666599</v>
      </c>
      <c r="P443" s="2">
        <f ca="1">IFERROR(__xludf.DUMMYFUNCTION("""COMPUTED_VALUE"""),135.31)</f>
        <v>135.31</v>
      </c>
      <c r="Q443" s="3">
        <f ca="1">IFERROR(__xludf.DUMMYFUNCTION("""COMPUTED_VALUE"""),44104.6666666666)</f>
        <v>44104.666666666599</v>
      </c>
      <c r="R443" s="2">
        <f ca="1">IFERROR(__xludf.DUMMYFUNCTION("""COMPUTED_VALUE"""),212.94)</f>
        <v>212.94</v>
      </c>
      <c r="S443" s="3">
        <f ca="1">IFERROR(__xludf.DUMMYFUNCTION("""COMPUTED_VALUE"""),44104.6666666666)</f>
        <v>44104.666666666599</v>
      </c>
      <c r="T443" s="2">
        <f ca="1">IFERROR(__xludf.DUMMYFUNCTION("""COMPUTED_VALUE"""),148.88)</f>
        <v>148.88</v>
      </c>
    </row>
    <row r="444" spans="1:20">
      <c r="A444" s="3">
        <f ca="1">IFERROR(__xludf.DUMMYFUNCTION("""COMPUTED_VALUE"""),44105.6666666666)</f>
        <v>44105.666666666599</v>
      </c>
      <c r="B444" s="2">
        <f ca="1">IFERROR(__xludf.DUMMYFUNCTION("""COMPUTED_VALUE"""),116.79)</f>
        <v>116.79</v>
      </c>
      <c r="C444" s="3">
        <f ca="1">IFERROR(__xludf.DUMMYFUNCTION("""COMPUTED_VALUE"""),44105.6666666666)</f>
        <v>44105.666666666599</v>
      </c>
      <c r="D444" s="2">
        <f ca="1">IFERROR(__xludf.DUMMYFUNCTION("""COMPUTED_VALUE"""),212.46)</f>
        <v>212.46</v>
      </c>
      <c r="E444" s="3">
        <f ca="1">IFERROR(__xludf.DUMMYFUNCTION("""COMPUTED_VALUE"""),44105.6666666666)</f>
        <v>44105.666666666599</v>
      </c>
      <c r="F444" s="2">
        <f ca="1">IFERROR(__xludf.DUMMYFUNCTION("""COMPUTED_VALUE"""),3221.26)</f>
        <v>3221.26</v>
      </c>
      <c r="G444" s="3">
        <f ca="1">IFERROR(__xludf.DUMMYFUNCTION("""COMPUTED_VALUE"""),44105.6666666666)</f>
        <v>44105.666666666599</v>
      </c>
      <c r="H444" s="2">
        <f ca="1">IFERROR(__xludf.DUMMYFUNCTION("""COMPUTED_VALUE"""),1487.9)</f>
        <v>1487.9</v>
      </c>
      <c r="I444" s="3">
        <f ca="1">IFERROR(__xludf.DUMMYFUNCTION("""COMPUTED_VALUE"""),44105.6666666666)</f>
        <v>44105.666666666599</v>
      </c>
      <c r="J444" s="2">
        <f ca="1">IFERROR(__xludf.DUMMYFUNCTION("""COMPUTED_VALUE"""),1490.09)</f>
        <v>1490.09</v>
      </c>
      <c r="K444" s="3">
        <f ca="1">IFERROR(__xludf.DUMMYFUNCTION("""COMPUTED_VALUE"""),44105.6666666666)</f>
        <v>44105.666666666599</v>
      </c>
      <c r="L444" s="2">
        <f ca="1">IFERROR(__xludf.DUMMYFUNCTION("""COMPUTED_VALUE"""),266.63)</f>
        <v>266.63</v>
      </c>
      <c r="M444" s="3">
        <f ca="1">IFERROR(__xludf.DUMMYFUNCTION("""COMPUTED_VALUE"""),44105.6666666666)</f>
        <v>44105.666666666599</v>
      </c>
      <c r="N444" s="2">
        <f ca="1">IFERROR(__xludf.DUMMYFUNCTION("""COMPUTED_VALUE"""),448.16)</f>
        <v>448.16</v>
      </c>
      <c r="O444" s="3">
        <f ca="1">IFERROR(__xludf.DUMMYFUNCTION("""COMPUTED_VALUE"""),44105.6666666666)</f>
        <v>44105.666666666599</v>
      </c>
      <c r="P444" s="2">
        <f ca="1">IFERROR(__xludf.DUMMYFUNCTION("""COMPUTED_VALUE"""),136.15)</f>
        <v>136.15</v>
      </c>
      <c r="Q444" s="3">
        <f ca="1">IFERROR(__xludf.DUMMYFUNCTION("""COMPUTED_VALUE"""),44105.6666666666)</f>
        <v>44105.666666666599</v>
      </c>
      <c r="R444" s="2">
        <f ca="1">IFERROR(__xludf.DUMMYFUNCTION("""COMPUTED_VALUE"""),212.02)</f>
        <v>212.02</v>
      </c>
      <c r="S444" s="3">
        <f ca="1">IFERROR(__xludf.DUMMYFUNCTION("""COMPUTED_VALUE"""),44105.6666666666)</f>
        <v>44105.666666666599</v>
      </c>
      <c r="T444" s="2">
        <f ca="1">IFERROR(__xludf.DUMMYFUNCTION("""COMPUTED_VALUE"""),147.32)</f>
        <v>147.32</v>
      </c>
    </row>
    <row r="445" spans="1:20">
      <c r="A445" s="3">
        <f ca="1">IFERROR(__xludf.DUMMYFUNCTION("""COMPUTED_VALUE"""),44106.6666666666)</f>
        <v>44106.666666666599</v>
      </c>
      <c r="B445" s="2">
        <f ca="1">IFERROR(__xludf.DUMMYFUNCTION("""COMPUTED_VALUE"""),113.02)</f>
        <v>113.02</v>
      </c>
      <c r="C445" s="3">
        <f ca="1">IFERROR(__xludf.DUMMYFUNCTION("""COMPUTED_VALUE"""),44106.6666666666)</f>
        <v>44106.666666666599</v>
      </c>
      <c r="D445" s="2">
        <f ca="1">IFERROR(__xludf.DUMMYFUNCTION("""COMPUTED_VALUE"""),206.19)</f>
        <v>206.19</v>
      </c>
      <c r="E445" s="3">
        <f ca="1">IFERROR(__xludf.DUMMYFUNCTION("""COMPUTED_VALUE"""),44106.6666666666)</f>
        <v>44106.666666666599</v>
      </c>
      <c r="F445" s="2">
        <f ca="1">IFERROR(__xludf.DUMMYFUNCTION("""COMPUTED_VALUE"""),3125)</f>
        <v>3125</v>
      </c>
      <c r="G445" s="3">
        <f ca="1">IFERROR(__xludf.DUMMYFUNCTION("""COMPUTED_VALUE"""),44106.6666666666)</f>
        <v>44106.666666666599</v>
      </c>
      <c r="H445" s="2">
        <f ca="1">IFERROR(__xludf.DUMMYFUNCTION("""COMPUTED_VALUE"""),1455.6)</f>
        <v>1455.6</v>
      </c>
      <c r="I445" s="3">
        <f ca="1">IFERROR(__xludf.DUMMYFUNCTION("""COMPUTED_VALUE"""),44106.6666666666)</f>
        <v>44106.666666666599</v>
      </c>
      <c r="J445" s="2">
        <f ca="1">IFERROR(__xludf.DUMMYFUNCTION("""COMPUTED_VALUE"""),1458.42)</f>
        <v>1458.42</v>
      </c>
      <c r="K445" s="3">
        <f ca="1">IFERROR(__xludf.DUMMYFUNCTION("""COMPUTED_VALUE"""),44106.6666666666)</f>
        <v>44106.666666666599</v>
      </c>
      <c r="L445" s="2">
        <f ca="1">IFERROR(__xludf.DUMMYFUNCTION("""COMPUTED_VALUE"""),259.94)</f>
        <v>259.94</v>
      </c>
      <c r="M445" s="3">
        <f ca="1">IFERROR(__xludf.DUMMYFUNCTION("""COMPUTED_VALUE"""),44106.6666666666)</f>
        <v>44106.666666666599</v>
      </c>
      <c r="N445" s="2">
        <f ca="1">IFERROR(__xludf.DUMMYFUNCTION("""COMPUTED_VALUE"""),415.09)</f>
        <v>415.09</v>
      </c>
      <c r="O445" s="3">
        <f ca="1">IFERROR(__xludf.DUMMYFUNCTION("""COMPUTED_VALUE"""),44106.6666666666)</f>
        <v>44106.666666666599</v>
      </c>
      <c r="P445" s="2">
        <f ca="1">IFERROR(__xludf.DUMMYFUNCTION("""COMPUTED_VALUE"""),130.62)</f>
        <v>130.62</v>
      </c>
      <c r="Q445" s="3">
        <f ca="1">IFERROR(__xludf.DUMMYFUNCTION("""COMPUTED_VALUE"""),44106.6666666666)</f>
        <v>44106.666666666599</v>
      </c>
      <c r="R445" s="2">
        <f ca="1">IFERROR(__xludf.DUMMYFUNCTION("""COMPUTED_VALUE"""),211.18)</f>
        <v>211.18</v>
      </c>
      <c r="S445" s="3">
        <f ca="1">IFERROR(__xludf.DUMMYFUNCTION("""COMPUTED_VALUE"""),44106.6666666666)</f>
        <v>44106.666666666599</v>
      </c>
      <c r="T445" s="2">
        <f ca="1">IFERROR(__xludf.DUMMYFUNCTION("""COMPUTED_VALUE"""),146.24)</f>
        <v>146.24</v>
      </c>
    </row>
    <row r="446" spans="1:20">
      <c r="A446" s="3">
        <f ca="1">IFERROR(__xludf.DUMMYFUNCTION("""COMPUTED_VALUE"""),44109.6666666666)</f>
        <v>44109.666666666599</v>
      </c>
      <c r="B446" s="2">
        <f ca="1">IFERROR(__xludf.DUMMYFUNCTION("""COMPUTED_VALUE"""),116.5)</f>
        <v>116.5</v>
      </c>
      <c r="C446" s="3">
        <f ca="1">IFERROR(__xludf.DUMMYFUNCTION("""COMPUTED_VALUE"""),44109.6666666666)</f>
        <v>44109.666666666599</v>
      </c>
      <c r="D446" s="2">
        <f ca="1">IFERROR(__xludf.DUMMYFUNCTION("""COMPUTED_VALUE"""),210.38)</f>
        <v>210.38</v>
      </c>
      <c r="E446" s="3">
        <f ca="1">IFERROR(__xludf.DUMMYFUNCTION("""COMPUTED_VALUE"""),44109.6666666666)</f>
        <v>44109.666666666599</v>
      </c>
      <c r="F446" s="2">
        <f ca="1">IFERROR(__xludf.DUMMYFUNCTION("""COMPUTED_VALUE"""),3199.2)</f>
        <v>3199.2</v>
      </c>
      <c r="G446" s="3">
        <f ca="1">IFERROR(__xludf.DUMMYFUNCTION("""COMPUTED_VALUE"""),44109.6666666666)</f>
        <v>44109.666666666599</v>
      </c>
      <c r="H446" s="2">
        <f ca="1">IFERROR(__xludf.DUMMYFUNCTION("""COMPUTED_VALUE"""),1482.83)</f>
        <v>1482.83</v>
      </c>
      <c r="I446" s="3">
        <f ca="1">IFERROR(__xludf.DUMMYFUNCTION("""COMPUTED_VALUE"""),44109.6666666666)</f>
        <v>44109.666666666599</v>
      </c>
      <c r="J446" s="2">
        <f ca="1">IFERROR(__xludf.DUMMYFUNCTION("""COMPUTED_VALUE"""),1486.02)</f>
        <v>1486.02</v>
      </c>
      <c r="K446" s="3">
        <f ca="1">IFERROR(__xludf.DUMMYFUNCTION("""COMPUTED_VALUE"""),44109.6666666666)</f>
        <v>44109.666666666599</v>
      </c>
      <c r="L446" s="2">
        <f ca="1">IFERROR(__xludf.DUMMYFUNCTION("""COMPUTED_VALUE"""),264.65)</f>
        <v>264.64999999999998</v>
      </c>
      <c r="M446" s="3">
        <f ca="1">IFERROR(__xludf.DUMMYFUNCTION("""COMPUTED_VALUE"""),44109.6666666666)</f>
        <v>44109.666666666599</v>
      </c>
      <c r="N446" s="2">
        <f ca="1">IFERROR(__xludf.DUMMYFUNCTION("""COMPUTED_VALUE"""),425.68)</f>
        <v>425.68</v>
      </c>
      <c r="O446" s="3">
        <f ca="1">IFERROR(__xludf.DUMMYFUNCTION("""COMPUTED_VALUE"""),44109.6666666666)</f>
        <v>44109.666666666599</v>
      </c>
      <c r="P446" s="2">
        <f ca="1">IFERROR(__xludf.DUMMYFUNCTION("""COMPUTED_VALUE"""),136.43)</f>
        <v>136.43</v>
      </c>
      <c r="Q446" s="3">
        <f ca="1">IFERROR(__xludf.DUMMYFUNCTION("""COMPUTED_VALUE"""),44109.6666666666)</f>
        <v>44109.666666666599</v>
      </c>
      <c r="R446" s="2">
        <f ca="1">IFERROR(__xludf.DUMMYFUNCTION("""COMPUTED_VALUE"""),212.36)</f>
        <v>212.36</v>
      </c>
      <c r="S446" s="3">
        <f ca="1">IFERROR(__xludf.DUMMYFUNCTION("""COMPUTED_VALUE"""),44109.6666666666)</f>
        <v>44109.666666666599</v>
      </c>
      <c r="T446" s="2">
        <f ca="1">IFERROR(__xludf.DUMMYFUNCTION("""COMPUTED_VALUE"""),148.23)</f>
        <v>148.22999999999999</v>
      </c>
    </row>
    <row r="447" spans="1:20">
      <c r="A447" s="3">
        <f ca="1">IFERROR(__xludf.DUMMYFUNCTION("""COMPUTED_VALUE"""),44110.6666666666)</f>
        <v>44110.666666666599</v>
      </c>
      <c r="B447" s="2">
        <f ca="1">IFERROR(__xludf.DUMMYFUNCTION("""COMPUTED_VALUE"""),113.16)</f>
        <v>113.16</v>
      </c>
      <c r="C447" s="3">
        <f ca="1">IFERROR(__xludf.DUMMYFUNCTION("""COMPUTED_VALUE"""),44110.6666666666)</f>
        <v>44110.666666666599</v>
      </c>
      <c r="D447" s="2">
        <f ca="1">IFERROR(__xludf.DUMMYFUNCTION("""COMPUTED_VALUE"""),205.91)</f>
        <v>205.91</v>
      </c>
      <c r="E447" s="3">
        <f ca="1">IFERROR(__xludf.DUMMYFUNCTION("""COMPUTED_VALUE"""),44110.6666666666)</f>
        <v>44110.666666666599</v>
      </c>
      <c r="F447" s="2">
        <f ca="1">IFERROR(__xludf.DUMMYFUNCTION("""COMPUTED_VALUE"""),3099.96)</f>
        <v>3099.96</v>
      </c>
      <c r="G447" s="3">
        <f ca="1">IFERROR(__xludf.DUMMYFUNCTION("""COMPUTED_VALUE"""),44110.6666666666)</f>
        <v>44110.666666666599</v>
      </c>
      <c r="H447" s="2">
        <f ca="1">IFERROR(__xludf.DUMMYFUNCTION("""COMPUTED_VALUE"""),1451.02)</f>
        <v>1451.02</v>
      </c>
      <c r="I447" s="3">
        <f ca="1">IFERROR(__xludf.DUMMYFUNCTION("""COMPUTED_VALUE"""),44110.6666666666)</f>
        <v>44110.666666666599</v>
      </c>
      <c r="J447" s="2">
        <f ca="1">IFERROR(__xludf.DUMMYFUNCTION("""COMPUTED_VALUE"""),1453.44)</f>
        <v>1453.44</v>
      </c>
      <c r="K447" s="3">
        <f ca="1">IFERROR(__xludf.DUMMYFUNCTION("""COMPUTED_VALUE"""),44110.6666666666)</f>
        <v>44110.666666666599</v>
      </c>
      <c r="L447" s="2">
        <f ca="1">IFERROR(__xludf.DUMMYFUNCTION("""COMPUTED_VALUE"""),258.66)</f>
        <v>258.66000000000003</v>
      </c>
      <c r="M447" s="3">
        <f ca="1">IFERROR(__xludf.DUMMYFUNCTION("""COMPUTED_VALUE"""),44110.6666666666)</f>
        <v>44110.666666666599</v>
      </c>
      <c r="N447" s="2">
        <f ca="1">IFERROR(__xludf.DUMMYFUNCTION("""COMPUTED_VALUE"""),413.98)</f>
        <v>413.98</v>
      </c>
      <c r="O447" s="3">
        <f ca="1">IFERROR(__xludf.DUMMYFUNCTION("""COMPUTED_VALUE"""),44110.6666666666)</f>
        <v>44110.666666666599</v>
      </c>
      <c r="P447" s="2">
        <f ca="1">IFERROR(__xludf.DUMMYFUNCTION("""COMPUTED_VALUE"""),137.37)</f>
        <v>137.37</v>
      </c>
      <c r="Q447" s="3">
        <f ca="1">IFERROR(__xludf.DUMMYFUNCTION("""COMPUTED_VALUE"""),44110.6666666666)</f>
        <v>44110.666666666599</v>
      </c>
      <c r="R447" s="2">
        <f ca="1">IFERROR(__xludf.DUMMYFUNCTION("""COMPUTED_VALUE"""),210.26)</f>
        <v>210.26</v>
      </c>
      <c r="S447" s="3">
        <f ca="1">IFERROR(__xludf.DUMMYFUNCTION("""COMPUTED_VALUE"""),44110.6666666666)</f>
        <v>44110.666666666599</v>
      </c>
      <c r="T447" s="2">
        <f ca="1">IFERROR(__xludf.DUMMYFUNCTION("""COMPUTED_VALUE"""),146.26)</f>
        <v>146.26</v>
      </c>
    </row>
    <row r="448" spans="1:20">
      <c r="A448" s="3">
        <f ca="1">IFERROR(__xludf.DUMMYFUNCTION("""COMPUTED_VALUE"""),44111.6666666666)</f>
        <v>44111.666666666599</v>
      </c>
      <c r="B448" s="2">
        <f ca="1">IFERROR(__xludf.DUMMYFUNCTION("""COMPUTED_VALUE"""),115.08)</f>
        <v>115.08</v>
      </c>
      <c r="C448" s="3">
        <f ca="1">IFERROR(__xludf.DUMMYFUNCTION("""COMPUTED_VALUE"""),44111.6666666666)</f>
        <v>44111.666666666599</v>
      </c>
      <c r="D448" s="2">
        <f ca="1">IFERROR(__xludf.DUMMYFUNCTION("""COMPUTED_VALUE"""),209.83)</f>
        <v>209.83</v>
      </c>
      <c r="E448" s="3">
        <f ca="1">IFERROR(__xludf.DUMMYFUNCTION("""COMPUTED_VALUE"""),44111.6666666666)</f>
        <v>44111.666666666599</v>
      </c>
      <c r="F448" s="2">
        <f ca="1">IFERROR(__xludf.DUMMYFUNCTION("""COMPUTED_VALUE"""),3195.69)</f>
        <v>3195.69</v>
      </c>
      <c r="G448" s="3">
        <f ca="1">IFERROR(__xludf.DUMMYFUNCTION("""COMPUTED_VALUE"""),44111.6666666666)</f>
        <v>44111.666666666599</v>
      </c>
      <c r="H448" s="2">
        <f ca="1">IFERROR(__xludf.DUMMYFUNCTION("""COMPUTED_VALUE"""),1459.14)</f>
        <v>1459.14</v>
      </c>
      <c r="I448" s="3">
        <f ca="1">IFERROR(__xludf.DUMMYFUNCTION("""COMPUTED_VALUE"""),44111.6666666666)</f>
        <v>44111.666666666599</v>
      </c>
      <c r="J448" s="2">
        <f ca="1">IFERROR(__xludf.DUMMYFUNCTION("""COMPUTED_VALUE"""),1460.29)</f>
        <v>1460.29</v>
      </c>
      <c r="K448" s="3">
        <f ca="1">IFERROR(__xludf.DUMMYFUNCTION("""COMPUTED_VALUE"""),44111.6666666666)</f>
        <v>44111.666666666599</v>
      </c>
      <c r="L448" s="2">
        <f ca="1">IFERROR(__xludf.DUMMYFUNCTION("""COMPUTED_VALUE"""),258.12)</f>
        <v>258.12</v>
      </c>
      <c r="M448" s="3">
        <f ca="1">IFERROR(__xludf.DUMMYFUNCTION("""COMPUTED_VALUE"""),44111.6666666666)</f>
        <v>44111.666666666599</v>
      </c>
      <c r="N448" s="2">
        <f ca="1">IFERROR(__xludf.DUMMYFUNCTION("""COMPUTED_VALUE"""),425.3)</f>
        <v>425.3</v>
      </c>
      <c r="O448" s="3">
        <f ca="1">IFERROR(__xludf.DUMMYFUNCTION("""COMPUTED_VALUE"""),44111.6666666666)</f>
        <v>44111.666666666599</v>
      </c>
      <c r="P448" s="2">
        <f ca="1">IFERROR(__xludf.DUMMYFUNCTION("""COMPUTED_VALUE"""),139.64)</f>
        <v>139.63999999999999</v>
      </c>
      <c r="Q448" s="3">
        <f ca="1">IFERROR(__xludf.DUMMYFUNCTION("""COMPUTED_VALUE"""),44111.6666666666)</f>
        <v>44111.666666666599</v>
      </c>
      <c r="R448" s="2">
        <f ca="1">IFERROR(__xludf.DUMMYFUNCTION("""COMPUTED_VALUE"""),213.29)</f>
        <v>213.29</v>
      </c>
      <c r="S448" s="3">
        <f ca="1">IFERROR(__xludf.DUMMYFUNCTION("""COMPUTED_VALUE"""),44111.6666666666)</f>
        <v>44111.666666666599</v>
      </c>
      <c r="T448" s="2">
        <f ca="1">IFERROR(__xludf.DUMMYFUNCTION("""COMPUTED_VALUE"""),147.88)</f>
        <v>147.88</v>
      </c>
    </row>
    <row r="449" spans="1:20">
      <c r="A449" s="3">
        <f ca="1">IFERROR(__xludf.DUMMYFUNCTION("""COMPUTED_VALUE"""),44112.6666666666)</f>
        <v>44112.666666666599</v>
      </c>
      <c r="B449" s="2">
        <f ca="1">IFERROR(__xludf.DUMMYFUNCTION("""COMPUTED_VALUE"""),114.97)</f>
        <v>114.97</v>
      </c>
      <c r="C449" s="3">
        <f ca="1">IFERROR(__xludf.DUMMYFUNCTION("""COMPUTED_VALUE"""),44112.6666666666)</f>
        <v>44112.666666666599</v>
      </c>
      <c r="D449" s="2">
        <f ca="1">IFERROR(__xludf.DUMMYFUNCTION("""COMPUTED_VALUE"""),210.58)</f>
        <v>210.58</v>
      </c>
      <c r="E449" s="3">
        <f ca="1">IFERROR(__xludf.DUMMYFUNCTION("""COMPUTED_VALUE"""),44112.6666666666)</f>
        <v>44112.666666666599</v>
      </c>
      <c r="F449" s="2">
        <f ca="1">IFERROR(__xludf.DUMMYFUNCTION("""COMPUTED_VALUE"""),3190.55)</f>
        <v>3190.55</v>
      </c>
      <c r="G449" s="3">
        <f ca="1">IFERROR(__xludf.DUMMYFUNCTION("""COMPUTED_VALUE"""),44112.6666666666)</f>
        <v>44112.666666666599</v>
      </c>
      <c r="H449" s="2">
        <f ca="1">IFERROR(__xludf.DUMMYFUNCTION("""COMPUTED_VALUE"""),1483.43)</f>
        <v>1483.43</v>
      </c>
      <c r="I449" s="3">
        <f ca="1">IFERROR(__xludf.DUMMYFUNCTION("""COMPUTED_VALUE"""),44112.6666666666)</f>
        <v>44112.666666666599</v>
      </c>
      <c r="J449" s="2">
        <f ca="1">IFERROR(__xludf.DUMMYFUNCTION("""COMPUTED_VALUE"""),1485.93)</f>
        <v>1485.93</v>
      </c>
      <c r="K449" s="3">
        <f ca="1">IFERROR(__xludf.DUMMYFUNCTION("""COMPUTED_VALUE"""),44112.6666666666)</f>
        <v>44112.666666666599</v>
      </c>
      <c r="L449" s="2">
        <f ca="1">IFERROR(__xludf.DUMMYFUNCTION("""COMPUTED_VALUE"""),263.76)</f>
        <v>263.76</v>
      </c>
      <c r="M449" s="3">
        <f ca="1">IFERROR(__xludf.DUMMYFUNCTION("""COMPUTED_VALUE"""),44112.6666666666)</f>
        <v>44112.666666666599</v>
      </c>
      <c r="N449" s="2">
        <f ca="1">IFERROR(__xludf.DUMMYFUNCTION("""COMPUTED_VALUE"""),425.92)</f>
        <v>425.92</v>
      </c>
      <c r="O449" s="3">
        <f ca="1">IFERROR(__xludf.DUMMYFUNCTION("""COMPUTED_VALUE"""),44112.6666666666)</f>
        <v>44112.666666666599</v>
      </c>
      <c r="P449" s="2">
        <f ca="1">IFERROR(__xludf.DUMMYFUNCTION("""COMPUTED_VALUE"""),138.39)</f>
        <v>138.38999999999999</v>
      </c>
      <c r="Q449" s="3">
        <f ca="1">IFERROR(__xludf.DUMMYFUNCTION("""COMPUTED_VALUE"""),44112.6666666666)</f>
        <v>44112.666666666599</v>
      </c>
      <c r="R449" s="2">
        <f ca="1">IFERROR(__xludf.DUMMYFUNCTION("""COMPUTED_VALUE"""),215.15)</f>
        <v>215.15</v>
      </c>
      <c r="S449" s="3">
        <f ca="1">IFERROR(__xludf.DUMMYFUNCTION("""COMPUTED_VALUE"""),44112.6666666666)</f>
        <v>44112.666666666599</v>
      </c>
      <c r="T449" s="2">
        <f ca="1">IFERROR(__xludf.DUMMYFUNCTION("""COMPUTED_VALUE"""),148.89)</f>
        <v>148.88999999999999</v>
      </c>
    </row>
    <row r="450" spans="1:20">
      <c r="A450" s="3">
        <f ca="1">IFERROR(__xludf.DUMMYFUNCTION("""COMPUTED_VALUE"""),44113.6666666666)</f>
        <v>44113.666666666599</v>
      </c>
      <c r="B450" s="2">
        <f ca="1">IFERROR(__xludf.DUMMYFUNCTION("""COMPUTED_VALUE"""),116.97)</f>
        <v>116.97</v>
      </c>
      <c r="C450" s="3">
        <f ca="1">IFERROR(__xludf.DUMMYFUNCTION("""COMPUTED_VALUE"""),44113.6666666666)</f>
        <v>44113.666666666599</v>
      </c>
      <c r="D450" s="2">
        <f ca="1">IFERROR(__xludf.DUMMYFUNCTION("""COMPUTED_VALUE"""),215.81)</f>
        <v>215.81</v>
      </c>
      <c r="E450" s="3">
        <f ca="1">IFERROR(__xludf.DUMMYFUNCTION("""COMPUTED_VALUE"""),44113.6666666666)</f>
        <v>44113.666666666599</v>
      </c>
      <c r="F450" s="2">
        <f ca="1">IFERROR(__xludf.DUMMYFUNCTION("""COMPUTED_VALUE"""),3286.65)</f>
        <v>3286.65</v>
      </c>
      <c r="G450" s="3">
        <f ca="1">IFERROR(__xludf.DUMMYFUNCTION("""COMPUTED_VALUE"""),44113.6666666666)</f>
        <v>44113.666666666599</v>
      </c>
      <c r="H450" s="2">
        <f ca="1">IFERROR(__xludf.DUMMYFUNCTION("""COMPUTED_VALUE"""),1510.45)</f>
        <v>1510.45</v>
      </c>
      <c r="I450" s="3">
        <f ca="1">IFERROR(__xludf.DUMMYFUNCTION("""COMPUTED_VALUE"""),44113.6666666666)</f>
        <v>44113.666666666599</v>
      </c>
      <c r="J450" s="2">
        <f ca="1">IFERROR(__xludf.DUMMYFUNCTION("""COMPUTED_VALUE"""),1515.22)</f>
        <v>1515.22</v>
      </c>
      <c r="K450" s="3">
        <f ca="1">IFERROR(__xludf.DUMMYFUNCTION("""COMPUTED_VALUE"""),44113.6666666666)</f>
        <v>44113.666666666599</v>
      </c>
      <c r="L450" s="2">
        <f ca="1">IFERROR(__xludf.DUMMYFUNCTION("""COMPUTED_VALUE"""),264.45)</f>
        <v>264.45</v>
      </c>
      <c r="M450" s="3">
        <f ca="1">IFERROR(__xludf.DUMMYFUNCTION("""COMPUTED_VALUE"""),44113.6666666666)</f>
        <v>44113.666666666599</v>
      </c>
      <c r="N450" s="2">
        <f ca="1">IFERROR(__xludf.DUMMYFUNCTION("""COMPUTED_VALUE"""),434)</f>
        <v>434</v>
      </c>
      <c r="O450" s="3">
        <f ca="1">IFERROR(__xludf.DUMMYFUNCTION("""COMPUTED_VALUE"""),44113.6666666666)</f>
        <v>44113.666666666599</v>
      </c>
      <c r="P450" s="2">
        <f ca="1">IFERROR(__xludf.DUMMYFUNCTION("""COMPUTED_VALUE"""),137.63)</f>
        <v>137.63</v>
      </c>
      <c r="Q450" s="3">
        <f ca="1">IFERROR(__xludf.DUMMYFUNCTION("""COMPUTED_VALUE"""),44113.6666666666)</f>
        <v>44113.666666666599</v>
      </c>
      <c r="R450" s="2">
        <f ca="1">IFERROR(__xludf.DUMMYFUNCTION("""COMPUTED_VALUE"""),215.68)</f>
        <v>215.68</v>
      </c>
      <c r="S450" s="3">
        <f ca="1">IFERROR(__xludf.DUMMYFUNCTION("""COMPUTED_VALUE"""),44113.6666666666)</f>
        <v>44113.666666666599</v>
      </c>
      <c r="T450" s="2">
        <f ca="1">IFERROR(__xludf.DUMMYFUNCTION("""COMPUTED_VALUE"""),150.97)</f>
        <v>150.97</v>
      </c>
    </row>
    <row r="451" spans="1:20">
      <c r="A451" s="3">
        <f ca="1">IFERROR(__xludf.DUMMYFUNCTION("""COMPUTED_VALUE"""),44116.6666666666)</f>
        <v>44116.666666666599</v>
      </c>
      <c r="B451" s="2">
        <f ca="1">IFERROR(__xludf.DUMMYFUNCTION("""COMPUTED_VALUE"""),124.4)</f>
        <v>124.4</v>
      </c>
      <c r="C451" s="3">
        <f ca="1">IFERROR(__xludf.DUMMYFUNCTION("""COMPUTED_VALUE"""),44116.6666666666)</f>
        <v>44116.666666666599</v>
      </c>
      <c r="D451" s="2">
        <f ca="1">IFERROR(__xludf.DUMMYFUNCTION("""COMPUTED_VALUE"""),221.4)</f>
        <v>221.4</v>
      </c>
      <c r="E451" s="3">
        <f ca="1">IFERROR(__xludf.DUMMYFUNCTION("""COMPUTED_VALUE"""),44116.6666666666)</f>
        <v>44116.666666666599</v>
      </c>
      <c r="F451" s="2">
        <f ca="1">IFERROR(__xludf.DUMMYFUNCTION("""COMPUTED_VALUE"""),3442.93)</f>
        <v>3442.93</v>
      </c>
      <c r="G451" s="3">
        <f ca="1">IFERROR(__xludf.DUMMYFUNCTION("""COMPUTED_VALUE"""),44116.6666666666)</f>
        <v>44116.666666666599</v>
      </c>
      <c r="H451" s="2">
        <f ca="1">IFERROR(__xludf.DUMMYFUNCTION("""COMPUTED_VALUE"""),1564.59)</f>
        <v>1564.59</v>
      </c>
      <c r="I451" s="3">
        <f ca="1">IFERROR(__xludf.DUMMYFUNCTION("""COMPUTED_VALUE"""),44116.6666666666)</f>
        <v>44116.666666666599</v>
      </c>
      <c r="J451" s="2">
        <f ca="1">IFERROR(__xludf.DUMMYFUNCTION("""COMPUTED_VALUE"""),1569.15)</f>
        <v>1569.15</v>
      </c>
      <c r="K451" s="3">
        <f ca="1">IFERROR(__xludf.DUMMYFUNCTION("""COMPUTED_VALUE"""),44116.6666666666)</f>
        <v>44116.666666666599</v>
      </c>
      <c r="L451" s="2">
        <f ca="1">IFERROR(__xludf.DUMMYFUNCTION("""COMPUTED_VALUE"""),275.75)</f>
        <v>275.75</v>
      </c>
      <c r="M451" s="3">
        <f ca="1">IFERROR(__xludf.DUMMYFUNCTION("""COMPUTED_VALUE"""),44116.6666666666)</f>
        <v>44116.666666666599</v>
      </c>
      <c r="N451" s="2">
        <f ca="1">IFERROR(__xludf.DUMMYFUNCTION("""COMPUTED_VALUE"""),442.3)</f>
        <v>442.3</v>
      </c>
      <c r="O451" s="3">
        <f ca="1">IFERROR(__xludf.DUMMYFUNCTION("""COMPUTED_VALUE"""),44116.6666666666)</f>
        <v>44116.666666666599</v>
      </c>
      <c r="P451" s="2">
        <f ca="1">IFERROR(__xludf.DUMMYFUNCTION("""COMPUTED_VALUE"""),142.26)</f>
        <v>142.26</v>
      </c>
      <c r="Q451" s="3">
        <f ca="1">IFERROR(__xludf.DUMMYFUNCTION("""COMPUTED_VALUE"""),44116.6666666666)</f>
        <v>44116.666666666599</v>
      </c>
      <c r="R451" s="2">
        <f ca="1">IFERROR(__xludf.DUMMYFUNCTION("""COMPUTED_VALUE"""),216.41)</f>
        <v>216.41</v>
      </c>
      <c r="S451" s="3">
        <f ca="1">IFERROR(__xludf.DUMMYFUNCTION("""COMPUTED_VALUE"""),44116.6666666666)</f>
        <v>44116.666666666599</v>
      </c>
      <c r="T451" s="2">
        <f ca="1">IFERROR(__xludf.DUMMYFUNCTION("""COMPUTED_VALUE"""),151.84)</f>
        <v>151.84</v>
      </c>
    </row>
    <row r="452" spans="1:20">
      <c r="A452" s="3">
        <f ca="1">IFERROR(__xludf.DUMMYFUNCTION("""COMPUTED_VALUE"""),44117.6666666666)</f>
        <v>44117.666666666599</v>
      </c>
      <c r="B452" s="2">
        <f ca="1">IFERROR(__xludf.DUMMYFUNCTION("""COMPUTED_VALUE"""),121.1)</f>
        <v>121.1</v>
      </c>
      <c r="C452" s="3">
        <f ca="1">IFERROR(__xludf.DUMMYFUNCTION("""COMPUTED_VALUE"""),44117.6666666666)</f>
        <v>44117.666666666599</v>
      </c>
      <c r="D452" s="2">
        <f ca="1">IFERROR(__xludf.DUMMYFUNCTION("""COMPUTED_VALUE"""),222.86)</f>
        <v>222.86</v>
      </c>
      <c r="E452" s="3">
        <f ca="1">IFERROR(__xludf.DUMMYFUNCTION("""COMPUTED_VALUE"""),44117.6666666666)</f>
        <v>44117.666666666599</v>
      </c>
      <c r="F452" s="2">
        <f ca="1">IFERROR(__xludf.DUMMYFUNCTION("""COMPUTED_VALUE"""),3443.63)</f>
        <v>3443.63</v>
      </c>
      <c r="G452" s="3">
        <f ca="1">IFERROR(__xludf.DUMMYFUNCTION("""COMPUTED_VALUE"""),44117.6666666666)</f>
        <v>44117.666666666599</v>
      </c>
      <c r="H452" s="2">
        <f ca="1">IFERROR(__xludf.DUMMYFUNCTION("""COMPUTED_VALUE"""),1567.07)</f>
        <v>1567.07</v>
      </c>
      <c r="I452" s="3">
        <f ca="1">IFERROR(__xludf.DUMMYFUNCTION("""COMPUTED_VALUE"""),44117.6666666666)</f>
        <v>44117.666666666599</v>
      </c>
      <c r="J452" s="2">
        <f ca="1">IFERROR(__xludf.DUMMYFUNCTION("""COMPUTED_VALUE"""),1571.68)</f>
        <v>1571.68</v>
      </c>
      <c r="K452" s="3">
        <f ca="1">IFERROR(__xludf.DUMMYFUNCTION("""COMPUTED_VALUE"""),44117.6666666666)</f>
        <v>44117.666666666599</v>
      </c>
      <c r="L452" s="2">
        <f ca="1">IFERROR(__xludf.DUMMYFUNCTION("""COMPUTED_VALUE"""),276.14)</f>
        <v>276.14</v>
      </c>
      <c r="M452" s="3">
        <f ca="1">IFERROR(__xludf.DUMMYFUNCTION("""COMPUTED_VALUE"""),44117.6666666666)</f>
        <v>44117.666666666599</v>
      </c>
      <c r="N452" s="2">
        <f ca="1">IFERROR(__xludf.DUMMYFUNCTION("""COMPUTED_VALUE"""),446.65)</f>
        <v>446.65</v>
      </c>
      <c r="O452" s="3">
        <f ca="1">IFERROR(__xludf.DUMMYFUNCTION("""COMPUTED_VALUE"""),44117.6666666666)</f>
        <v>44117.666666666599</v>
      </c>
      <c r="P452" s="2">
        <f ca="1">IFERROR(__xludf.DUMMYFUNCTION("""COMPUTED_VALUE"""),142.48)</f>
        <v>142.47999999999999</v>
      </c>
      <c r="Q452" s="3">
        <f ca="1">IFERROR(__xludf.DUMMYFUNCTION("""COMPUTED_VALUE"""),44117.6666666666)</f>
        <v>44117.666666666599</v>
      </c>
      <c r="R452" s="2">
        <f ca="1">IFERROR(__xludf.DUMMYFUNCTION("""COMPUTED_VALUE"""),212.31)</f>
        <v>212.31</v>
      </c>
      <c r="S452" s="3">
        <f ca="1">IFERROR(__xludf.DUMMYFUNCTION("""COMPUTED_VALUE"""),44117.6666666666)</f>
        <v>44117.666666666599</v>
      </c>
      <c r="T452" s="2">
        <f ca="1">IFERROR(__xludf.DUMMYFUNCTION("""COMPUTED_VALUE"""),148.36)</f>
        <v>148.36000000000001</v>
      </c>
    </row>
    <row r="453" spans="1:20">
      <c r="A453" s="3">
        <f ca="1">IFERROR(__xludf.DUMMYFUNCTION("""COMPUTED_VALUE"""),44118.6666666666)</f>
        <v>44118.666666666599</v>
      </c>
      <c r="B453" s="2">
        <f ca="1">IFERROR(__xludf.DUMMYFUNCTION("""COMPUTED_VALUE"""),121.19)</f>
        <v>121.19</v>
      </c>
      <c r="C453" s="3">
        <f ca="1">IFERROR(__xludf.DUMMYFUNCTION("""COMPUTED_VALUE"""),44118.6666666666)</f>
        <v>44118.666666666599</v>
      </c>
      <c r="D453" s="2">
        <f ca="1">IFERROR(__xludf.DUMMYFUNCTION("""COMPUTED_VALUE"""),220.86)</f>
        <v>220.86</v>
      </c>
      <c r="E453" s="3">
        <f ca="1">IFERROR(__xludf.DUMMYFUNCTION("""COMPUTED_VALUE"""),44118.6666666666)</f>
        <v>44118.666666666599</v>
      </c>
      <c r="F453" s="2">
        <f ca="1">IFERROR(__xludf.DUMMYFUNCTION("""COMPUTED_VALUE"""),3363.71)</f>
        <v>3363.71</v>
      </c>
      <c r="G453" s="3">
        <f ca="1">IFERROR(__xludf.DUMMYFUNCTION("""COMPUTED_VALUE"""),44118.6666666666)</f>
        <v>44118.666666666599</v>
      </c>
      <c r="H453" s="2">
        <f ca="1">IFERROR(__xludf.DUMMYFUNCTION("""COMPUTED_VALUE"""),1563.44)</f>
        <v>1563.44</v>
      </c>
      <c r="I453" s="3">
        <f ca="1">IFERROR(__xludf.DUMMYFUNCTION("""COMPUTED_VALUE"""),44118.6666666666)</f>
        <v>44118.666666666599</v>
      </c>
      <c r="J453" s="2">
        <f ca="1">IFERROR(__xludf.DUMMYFUNCTION("""COMPUTED_VALUE"""),1568.08)</f>
        <v>1568.08</v>
      </c>
      <c r="K453" s="3">
        <f ca="1">IFERROR(__xludf.DUMMYFUNCTION("""COMPUTED_VALUE"""),44118.6666666666)</f>
        <v>44118.666666666599</v>
      </c>
      <c r="L453" s="2">
        <f ca="1">IFERROR(__xludf.DUMMYFUNCTION("""COMPUTED_VALUE"""),271.82)</f>
        <v>271.82</v>
      </c>
      <c r="M453" s="3">
        <f ca="1">IFERROR(__xludf.DUMMYFUNCTION("""COMPUTED_VALUE"""),44118.6666666666)</f>
        <v>44118.666666666599</v>
      </c>
      <c r="N453" s="2">
        <f ca="1">IFERROR(__xludf.DUMMYFUNCTION("""COMPUTED_VALUE"""),461.3)</f>
        <v>461.3</v>
      </c>
      <c r="O453" s="3">
        <f ca="1">IFERROR(__xludf.DUMMYFUNCTION("""COMPUTED_VALUE"""),44118.6666666666)</f>
        <v>44118.666666666599</v>
      </c>
      <c r="P453" s="2">
        <f ca="1">IFERROR(__xludf.DUMMYFUNCTION("""COMPUTED_VALUE"""),140.95)</f>
        <v>140.94999999999999</v>
      </c>
      <c r="Q453" s="3">
        <f ca="1">IFERROR(__xludf.DUMMYFUNCTION("""COMPUTED_VALUE"""),44118.6666666666)</f>
        <v>44118.666666666599</v>
      </c>
      <c r="R453" s="2">
        <f ca="1">IFERROR(__xludf.DUMMYFUNCTION("""COMPUTED_VALUE"""),210.91)</f>
        <v>210.91</v>
      </c>
      <c r="S453" s="3">
        <f ca="1">IFERROR(__xludf.DUMMYFUNCTION("""COMPUTED_VALUE"""),44118.6666666666)</f>
        <v>44118.666666666599</v>
      </c>
      <c r="T453" s="2">
        <f ca="1">IFERROR(__xludf.DUMMYFUNCTION("""COMPUTED_VALUE"""),148.1)</f>
        <v>148.1</v>
      </c>
    </row>
    <row r="454" spans="1:20">
      <c r="A454" s="3">
        <f ca="1">IFERROR(__xludf.DUMMYFUNCTION("""COMPUTED_VALUE"""),44119.6666666666)</f>
        <v>44119.666666666599</v>
      </c>
      <c r="B454" s="2">
        <f ca="1">IFERROR(__xludf.DUMMYFUNCTION("""COMPUTED_VALUE"""),120.71)</f>
        <v>120.71</v>
      </c>
      <c r="C454" s="3">
        <f ca="1">IFERROR(__xludf.DUMMYFUNCTION("""COMPUTED_VALUE"""),44119.6666666666)</f>
        <v>44119.666666666599</v>
      </c>
      <c r="D454" s="2">
        <f ca="1">IFERROR(__xludf.DUMMYFUNCTION("""COMPUTED_VALUE"""),219.66)</f>
        <v>219.66</v>
      </c>
      <c r="E454" s="3">
        <f ca="1">IFERROR(__xludf.DUMMYFUNCTION("""COMPUTED_VALUE"""),44119.6666666666)</f>
        <v>44119.666666666599</v>
      </c>
      <c r="F454" s="2">
        <f ca="1">IFERROR(__xludf.DUMMYFUNCTION("""COMPUTED_VALUE"""),3338.65)</f>
        <v>3338.65</v>
      </c>
      <c r="G454" s="3">
        <f ca="1">IFERROR(__xludf.DUMMYFUNCTION("""COMPUTED_VALUE"""),44119.6666666666)</f>
        <v>44119.666666666599</v>
      </c>
      <c r="H454" s="2">
        <f ca="1">IFERROR(__xludf.DUMMYFUNCTION("""COMPUTED_VALUE"""),1555.47)</f>
        <v>1555.47</v>
      </c>
      <c r="I454" s="3">
        <f ca="1">IFERROR(__xludf.DUMMYFUNCTION("""COMPUTED_VALUE"""),44119.6666666666)</f>
        <v>44119.666666666599</v>
      </c>
      <c r="J454" s="2">
        <f ca="1">IFERROR(__xludf.DUMMYFUNCTION("""COMPUTED_VALUE"""),1559.13)</f>
        <v>1559.13</v>
      </c>
      <c r="K454" s="3">
        <f ca="1">IFERROR(__xludf.DUMMYFUNCTION("""COMPUTED_VALUE"""),44119.6666666666)</f>
        <v>44119.666666666599</v>
      </c>
      <c r="L454" s="2">
        <f ca="1">IFERROR(__xludf.DUMMYFUNCTION("""COMPUTED_VALUE"""),266.72)</f>
        <v>266.72000000000003</v>
      </c>
      <c r="M454" s="3">
        <f ca="1">IFERROR(__xludf.DUMMYFUNCTION("""COMPUTED_VALUE"""),44119.6666666666)</f>
        <v>44119.666666666599</v>
      </c>
      <c r="N454" s="2">
        <f ca="1">IFERROR(__xludf.DUMMYFUNCTION("""COMPUTED_VALUE"""),448.88)</f>
        <v>448.88</v>
      </c>
      <c r="O454" s="3">
        <f ca="1">IFERROR(__xludf.DUMMYFUNCTION("""COMPUTED_VALUE"""),44119.6666666666)</f>
        <v>44119.666666666599</v>
      </c>
      <c r="P454" s="2">
        <f ca="1">IFERROR(__xludf.DUMMYFUNCTION("""COMPUTED_VALUE"""),139.7)</f>
        <v>139.69999999999999</v>
      </c>
      <c r="Q454" s="3">
        <f ca="1">IFERROR(__xludf.DUMMYFUNCTION("""COMPUTED_VALUE"""),44119.6666666666)</f>
        <v>44119.666666666599</v>
      </c>
      <c r="R454" s="2">
        <f ca="1">IFERROR(__xludf.DUMMYFUNCTION("""COMPUTED_VALUE"""),211.65)</f>
        <v>211.65</v>
      </c>
      <c r="S454" s="3">
        <f ca="1">IFERROR(__xludf.DUMMYFUNCTION("""COMPUTED_VALUE"""),44119.6666666666)</f>
        <v>44119.666666666599</v>
      </c>
      <c r="T454" s="2">
        <f ca="1">IFERROR(__xludf.DUMMYFUNCTION("""COMPUTED_VALUE"""),147.19)</f>
        <v>147.19</v>
      </c>
    </row>
    <row r="455" spans="1:20">
      <c r="A455" s="3">
        <f ca="1">IFERROR(__xludf.DUMMYFUNCTION("""COMPUTED_VALUE"""),44120.6666666666)</f>
        <v>44120.666666666599</v>
      </c>
      <c r="B455" s="2">
        <f ca="1">IFERROR(__xludf.DUMMYFUNCTION("""COMPUTED_VALUE"""),119.02)</f>
        <v>119.02</v>
      </c>
      <c r="C455" s="3">
        <f ca="1">IFERROR(__xludf.DUMMYFUNCTION("""COMPUTED_VALUE"""),44120.6666666666)</f>
        <v>44120.666666666599</v>
      </c>
      <c r="D455" s="2">
        <f ca="1">IFERROR(__xludf.DUMMYFUNCTION("""COMPUTED_VALUE"""),219.66)</f>
        <v>219.66</v>
      </c>
      <c r="E455" s="3">
        <f ca="1">IFERROR(__xludf.DUMMYFUNCTION("""COMPUTED_VALUE"""),44120.6666666666)</f>
        <v>44120.666666666599</v>
      </c>
      <c r="F455" s="2">
        <f ca="1">IFERROR(__xludf.DUMMYFUNCTION("""COMPUTED_VALUE"""),3272.71)</f>
        <v>3272.71</v>
      </c>
      <c r="G455" s="3">
        <f ca="1">IFERROR(__xludf.DUMMYFUNCTION("""COMPUTED_VALUE"""),44120.6666666666)</f>
        <v>44120.666666666599</v>
      </c>
      <c r="H455" s="2">
        <f ca="1">IFERROR(__xludf.DUMMYFUNCTION("""COMPUTED_VALUE"""),1567.7)</f>
        <v>1567.7</v>
      </c>
      <c r="I455" s="3">
        <f ca="1">IFERROR(__xludf.DUMMYFUNCTION("""COMPUTED_VALUE"""),44120.6666666666)</f>
        <v>44120.666666666599</v>
      </c>
      <c r="J455" s="2">
        <f ca="1">IFERROR(__xludf.DUMMYFUNCTION("""COMPUTED_VALUE"""),1573.01)</f>
        <v>1573.01</v>
      </c>
      <c r="K455" s="3">
        <f ca="1">IFERROR(__xludf.DUMMYFUNCTION("""COMPUTED_VALUE"""),44120.6666666666)</f>
        <v>44120.666666666599</v>
      </c>
      <c r="L455" s="2">
        <f ca="1">IFERROR(__xludf.DUMMYFUNCTION("""COMPUTED_VALUE"""),265.93)</f>
        <v>265.93</v>
      </c>
      <c r="M455" s="3">
        <f ca="1">IFERROR(__xludf.DUMMYFUNCTION("""COMPUTED_VALUE"""),44120.6666666666)</f>
        <v>44120.666666666599</v>
      </c>
      <c r="N455" s="2">
        <f ca="1">IFERROR(__xludf.DUMMYFUNCTION("""COMPUTED_VALUE"""),439.67)</f>
        <v>439.67</v>
      </c>
      <c r="O455" s="3">
        <f ca="1">IFERROR(__xludf.DUMMYFUNCTION("""COMPUTED_VALUE"""),44120.6666666666)</f>
        <v>44120.666666666599</v>
      </c>
      <c r="P455" s="2">
        <f ca="1">IFERROR(__xludf.DUMMYFUNCTION("""COMPUTED_VALUE"""),138.12)</f>
        <v>138.12</v>
      </c>
      <c r="Q455" s="3">
        <f ca="1">IFERROR(__xludf.DUMMYFUNCTION("""COMPUTED_VALUE"""),44120.6666666666)</f>
        <v>44120.666666666599</v>
      </c>
      <c r="R455" s="2">
        <f ca="1">IFERROR(__xludf.DUMMYFUNCTION("""COMPUTED_VALUE"""),211.91)</f>
        <v>211.91</v>
      </c>
      <c r="S455" s="3">
        <f ca="1">IFERROR(__xludf.DUMMYFUNCTION("""COMPUTED_VALUE"""),44120.6666666666)</f>
        <v>44120.666666666599</v>
      </c>
      <c r="T455" s="2">
        <f ca="1">IFERROR(__xludf.DUMMYFUNCTION("""COMPUTED_VALUE"""),148.1)</f>
        <v>148.1</v>
      </c>
    </row>
    <row r="456" spans="1:20">
      <c r="A456" s="3">
        <f ca="1">IFERROR(__xludf.DUMMYFUNCTION("""COMPUTED_VALUE"""),44123.6666666666)</f>
        <v>44123.666666666599</v>
      </c>
      <c r="B456" s="2">
        <f ca="1">IFERROR(__xludf.DUMMYFUNCTION("""COMPUTED_VALUE"""),115.98)</f>
        <v>115.98</v>
      </c>
      <c r="C456" s="3">
        <f ca="1">IFERROR(__xludf.DUMMYFUNCTION("""COMPUTED_VALUE"""),44123.6666666666)</f>
        <v>44123.666666666599</v>
      </c>
      <c r="D456" s="2">
        <f ca="1">IFERROR(__xludf.DUMMYFUNCTION("""COMPUTED_VALUE"""),214.22)</f>
        <v>214.22</v>
      </c>
      <c r="E456" s="3">
        <f ca="1">IFERROR(__xludf.DUMMYFUNCTION("""COMPUTED_VALUE"""),44123.6666666666)</f>
        <v>44123.666666666599</v>
      </c>
      <c r="F456" s="2">
        <f ca="1">IFERROR(__xludf.DUMMYFUNCTION("""COMPUTED_VALUE"""),3207.21)</f>
        <v>3207.21</v>
      </c>
      <c r="G456" s="3">
        <f ca="1">IFERROR(__xludf.DUMMYFUNCTION("""COMPUTED_VALUE"""),44123.6666666666)</f>
        <v>44123.666666666599</v>
      </c>
      <c r="H456" s="2">
        <f ca="1">IFERROR(__xludf.DUMMYFUNCTION("""COMPUTED_VALUE"""),1529.95)</f>
        <v>1529.95</v>
      </c>
      <c r="I456" s="3">
        <f ca="1">IFERROR(__xludf.DUMMYFUNCTION("""COMPUTED_VALUE"""),44123.6666666666)</f>
        <v>44123.666666666599</v>
      </c>
      <c r="J456" s="2">
        <f ca="1">IFERROR(__xludf.DUMMYFUNCTION("""COMPUTED_VALUE"""),1534.61)</f>
        <v>1534.61</v>
      </c>
      <c r="K456" s="3">
        <f ca="1">IFERROR(__xludf.DUMMYFUNCTION("""COMPUTED_VALUE"""),44123.6666666666)</f>
        <v>44123.666666666599</v>
      </c>
      <c r="L456" s="2">
        <f ca="1">IFERROR(__xludf.DUMMYFUNCTION("""COMPUTED_VALUE"""),261.4)</f>
        <v>261.39999999999998</v>
      </c>
      <c r="M456" s="3">
        <f ca="1">IFERROR(__xludf.DUMMYFUNCTION("""COMPUTED_VALUE"""),44123.6666666666)</f>
        <v>44123.666666666599</v>
      </c>
      <c r="N456" s="2">
        <f ca="1">IFERROR(__xludf.DUMMYFUNCTION("""COMPUTED_VALUE"""),430.83)</f>
        <v>430.83</v>
      </c>
      <c r="O456" s="3">
        <f ca="1">IFERROR(__xludf.DUMMYFUNCTION("""COMPUTED_VALUE"""),44123.6666666666)</f>
        <v>44123.666666666599</v>
      </c>
      <c r="P456" s="2">
        <f ca="1">IFERROR(__xludf.DUMMYFUNCTION("""COMPUTED_VALUE"""),134.98)</f>
        <v>134.97999999999999</v>
      </c>
      <c r="Q456" s="3">
        <f ca="1">IFERROR(__xludf.DUMMYFUNCTION("""COMPUTED_VALUE"""),44123.6666666666)</f>
        <v>44123.666666666599</v>
      </c>
      <c r="R456" s="2">
        <f ca="1">IFERROR(__xludf.DUMMYFUNCTION("""COMPUTED_VALUE"""),208.99)</f>
        <v>208.99</v>
      </c>
      <c r="S456" s="3">
        <f ca="1">IFERROR(__xludf.DUMMYFUNCTION("""COMPUTED_VALUE"""),44123.6666666666)</f>
        <v>44123.666666666599</v>
      </c>
      <c r="T456" s="2">
        <f ca="1">IFERROR(__xludf.DUMMYFUNCTION("""COMPUTED_VALUE"""),144.32)</f>
        <v>144.32</v>
      </c>
    </row>
    <row r="457" spans="1:20">
      <c r="A457" s="3">
        <f ca="1">IFERROR(__xludf.DUMMYFUNCTION("""COMPUTED_VALUE"""),44124.6666666666)</f>
        <v>44124.666666666599</v>
      </c>
      <c r="B457" s="2">
        <f ca="1">IFERROR(__xludf.DUMMYFUNCTION("""COMPUTED_VALUE"""),117.51)</f>
        <v>117.51</v>
      </c>
      <c r="C457" s="3">
        <f ca="1">IFERROR(__xludf.DUMMYFUNCTION("""COMPUTED_VALUE"""),44124.6666666666)</f>
        <v>44124.666666666599</v>
      </c>
      <c r="D457" s="2">
        <f ca="1">IFERROR(__xludf.DUMMYFUNCTION("""COMPUTED_VALUE"""),214.65)</f>
        <v>214.65</v>
      </c>
      <c r="E457" s="3">
        <f ca="1">IFERROR(__xludf.DUMMYFUNCTION("""COMPUTED_VALUE"""),44124.6666666666)</f>
        <v>44124.666666666599</v>
      </c>
      <c r="F457" s="2">
        <f ca="1">IFERROR(__xludf.DUMMYFUNCTION("""COMPUTED_VALUE"""),3217.01)</f>
        <v>3217.01</v>
      </c>
      <c r="G457" s="3">
        <f ca="1">IFERROR(__xludf.DUMMYFUNCTION("""COMPUTED_VALUE"""),44124.6666666666)</f>
        <v>44124.666666666599</v>
      </c>
      <c r="H457" s="2">
        <f ca="1">IFERROR(__xludf.DUMMYFUNCTION("""COMPUTED_VALUE"""),1551.08)</f>
        <v>1551.08</v>
      </c>
      <c r="I457" s="3">
        <f ca="1">IFERROR(__xludf.DUMMYFUNCTION("""COMPUTED_VALUE"""),44124.6666666666)</f>
        <v>44124.666666666599</v>
      </c>
      <c r="J457" s="2">
        <f ca="1">IFERROR(__xludf.DUMMYFUNCTION("""COMPUTED_VALUE"""),1555.93)</f>
        <v>1555.93</v>
      </c>
      <c r="K457" s="3">
        <f ca="1">IFERROR(__xludf.DUMMYFUNCTION("""COMPUTED_VALUE"""),44124.6666666666)</f>
        <v>44124.666666666599</v>
      </c>
      <c r="L457" s="2">
        <f ca="1">IFERROR(__xludf.DUMMYFUNCTION("""COMPUTED_VALUE"""),267.56)</f>
        <v>267.56</v>
      </c>
      <c r="M457" s="3">
        <f ca="1">IFERROR(__xludf.DUMMYFUNCTION("""COMPUTED_VALUE"""),44124.6666666666)</f>
        <v>44124.666666666599</v>
      </c>
      <c r="N457" s="2">
        <f ca="1">IFERROR(__xludf.DUMMYFUNCTION("""COMPUTED_VALUE"""),421.94)</f>
        <v>421.94</v>
      </c>
      <c r="O457" s="3">
        <f ca="1">IFERROR(__xludf.DUMMYFUNCTION("""COMPUTED_VALUE"""),44124.6666666666)</f>
        <v>44124.666666666599</v>
      </c>
      <c r="P457" s="2">
        <f ca="1">IFERROR(__xludf.DUMMYFUNCTION("""COMPUTED_VALUE"""),136.46)</f>
        <v>136.46</v>
      </c>
      <c r="Q457" s="3">
        <f ca="1">IFERROR(__xludf.DUMMYFUNCTION("""COMPUTED_VALUE"""),44124.6666666666)</f>
        <v>44124.666666666599</v>
      </c>
      <c r="R457" s="2">
        <f ca="1">IFERROR(__xludf.DUMMYFUNCTION("""COMPUTED_VALUE"""),210.06)</f>
        <v>210.06</v>
      </c>
      <c r="S457" s="3">
        <f ca="1">IFERROR(__xludf.DUMMYFUNCTION("""COMPUTED_VALUE"""),44124.6666666666)</f>
        <v>44124.666666666599</v>
      </c>
      <c r="T457" s="2">
        <f ca="1">IFERROR(__xludf.DUMMYFUNCTION("""COMPUTED_VALUE"""),144.55)</f>
        <v>144.55000000000001</v>
      </c>
    </row>
    <row r="458" spans="1:20">
      <c r="A458" s="3">
        <f ca="1">IFERROR(__xludf.DUMMYFUNCTION("""COMPUTED_VALUE"""),44125.6666666666)</f>
        <v>44125.666666666599</v>
      </c>
      <c r="B458" s="2">
        <f ca="1">IFERROR(__xludf.DUMMYFUNCTION("""COMPUTED_VALUE"""),116.87)</f>
        <v>116.87</v>
      </c>
      <c r="C458" s="3">
        <f ca="1">IFERROR(__xludf.DUMMYFUNCTION("""COMPUTED_VALUE"""),44125.6666666666)</f>
        <v>44125.666666666599</v>
      </c>
      <c r="D458" s="2">
        <f ca="1">IFERROR(__xludf.DUMMYFUNCTION("""COMPUTED_VALUE"""),214.8)</f>
        <v>214.8</v>
      </c>
      <c r="E458" s="3">
        <f ca="1">IFERROR(__xludf.DUMMYFUNCTION("""COMPUTED_VALUE"""),44125.6666666666)</f>
        <v>44125.666666666599</v>
      </c>
      <c r="F458" s="2">
        <f ca="1">IFERROR(__xludf.DUMMYFUNCTION("""COMPUTED_VALUE"""),3184.94)</f>
        <v>3184.94</v>
      </c>
      <c r="G458" s="3">
        <f ca="1">IFERROR(__xludf.DUMMYFUNCTION("""COMPUTED_VALUE"""),44125.6666666666)</f>
        <v>44125.666666666599</v>
      </c>
      <c r="H458" s="2">
        <f ca="1">IFERROR(__xludf.DUMMYFUNCTION("""COMPUTED_VALUE"""),1585.99)</f>
        <v>1585.99</v>
      </c>
      <c r="I458" s="3">
        <f ca="1">IFERROR(__xludf.DUMMYFUNCTION("""COMPUTED_VALUE"""),44125.6666666666)</f>
        <v>44125.666666666599</v>
      </c>
      <c r="J458" s="2">
        <f ca="1">IFERROR(__xludf.DUMMYFUNCTION("""COMPUTED_VALUE"""),1593.31)</f>
        <v>1593.31</v>
      </c>
      <c r="K458" s="3">
        <f ca="1">IFERROR(__xludf.DUMMYFUNCTION("""COMPUTED_VALUE"""),44125.6666666666)</f>
        <v>44125.666666666599</v>
      </c>
      <c r="L458" s="2">
        <f ca="1">IFERROR(__xludf.DUMMYFUNCTION("""COMPUTED_VALUE"""),278.73)</f>
        <v>278.73</v>
      </c>
      <c r="M458" s="3">
        <f ca="1">IFERROR(__xludf.DUMMYFUNCTION("""COMPUTED_VALUE"""),44125.6666666666)</f>
        <v>44125.666666666599</v>
      </c>
      <c r="N458" s="2">
        <f ca="1">IFERROR(__xludf.DUMMYFUNCTION("""COMPUTED_VALUE"""),422.64)</f>
        <v>422.64</v>
      </c>
      <c r="O458" s="3">
        <f ca="1">IFERROR(__xludf.DUMMYFUNCTION("""COMPUTED_VALUE"""),44125.6666666666)</f>
        <v>44125.666666666599</v>
      </c>
      <c r="P458" s="2">
        <f ca="1">IFERROR(__xludf.DUMMYFUNCTION("""COMPUTED_VALUE"""),135.25)</f>
        <v>135.25</v>
      </c>
      <c r="Q458" s="3">
        <f ca="1">IFERROR(__xludf.DUMMYFUNCTION("""COMPUTED_VALUE"""),44125.6666666666)</f>
        <v>44125.666666666599</v>
      </c>
      <c r="R458" s="2">
        <f ca="1">IFERROR(__xludf.DUMMYFUNCTION("""COMPUTED_VALUE"""),210.18)</f>
        <v>210.18</v>
      </c>
      <c r="S458" s="3">
        <f ca="1">IFERROR(__xludf.DUMMYFUNCTION("""COMPUTED_VALUE"""),44125.6666666666)</f>
        <v>44125.666666666599</v>
      </c>
      <c r="T458" s="2">
        <f ca="1">IFERROR(__xludf.DUMMYFUNCTION("""COMPUTED_VALUE"""),143.93)</f>
        <v>143.93</v>
      </c>
    </row>
    <row r="459" spans="1:20">
      <c r="A459" s="3">
        <f ca="1">IFERROR(__xludf.DUMMYFUNCTION("""COMPUTED_VALUE"""),44126.6666666666)</f>
        <v>44126.666666666599</v>
      </c>
      <c r="B459" s="2">
        <f ca="1">IFERROR(__xludf.DUMMYFUNCTION("""COMPUTED_VALUE"""),115.75)</f>
        <v>115.75</v>
      </c>
      <c r="C459" s="3">
        <f ca="1">IFERROR(__xludf.DUMMYFUNCTION("""COMPUTED_VALUE"""),44126.6666666666)</f>
        <v>44126.666666666599</v>
      </c>
      <c r="D459" s="2">
        <f ca="1">IFERROR(__xludf.DUMMYFUNCTION("""COMPUTED_VALUE"""),214.89)</f>
        <v>214.89</v>
      </c>
      <c r="E459" s="3">
        <f ca="1">IFERROR(__xludf.DUMMYFUNCTION("""COMPUTED_VALUE"""),44126.6666666666)</f>
        <v>44126.666666666599</v>
      </c>
      <c r="F459" s="2">
        <f ca="1">IFERROR(__xludf.DUMMYFUNCTION("""COMPUTED_VALUE"""),3176.4)</f>
        <v>3176.4</v>
      </c>
      <c r="G459" s="3">
        <f ca="1">IFERROR(__xludf.DUMMYFUNCTION("""COMPUTED_VALUE"""),44126.6666666666)</f>
        <v>44126.666666666599</v>
      </c>
      <c r="H459" s="2">
        <f ca="1">IFERROR(__xludf.DUMMYFUNCTION("""COMPUTED_VALUE"""),1606.66)</f>
        <v>1606.66</v>
      </c>
      <c r="I459" s="3">
        <f ca="1">IFERROR(__xludf.DUMMYFUNCTION("""COMPUTED_VALUE"""),44126.6666666666)</f>
        <v>44126.666666666599</v>
      </c>
      <c r="J459" s="2">
        <f ca="1">IFERROR(__xludf.DUMMYFUNCTION("""COMPUTED_VALUE"""),1615.33)</f>
        <v>1615.33</v>
      </c>
      <c r="K459" s="3">
        <f ca="1">IFERROR(__xludf.DUMMYFUNCTION("""COMPUTED_VALUE"""),44126.6666666666)</f>
        <v>44126.666666666599</v>
      </c>
      <c r="L459" s="2">
        <f ca="1">IFERROR(__xludf.DUMMYFUNCTION("""COMPUTED_VALUE"""),278.12)</f>
        <v>278.12</v>
      </c>
      <c r="M459" s="3">
        <f ca="1">IFERROR(__xludf.DUMMYFUNCTION("""COMPUTED_VALUE"""),44126.6666666666)</f>
        <v>44126.666666666599</v>
      </c>
      <c r="N459" s="2">
        <f ca="1">IFERROR(__xludf.DUMMYFUNCTION("""COMPUTED_VALUE"""),425.79)</f>
        <v>425.79</v>
      </c>
      <c r="O459" s="3">
        <f ca="1">IFERROR(__xludf.DUMMYFUNCTION("""COMPUTED_VALUE"""),44126.6666666666)</f>
        <v>44126.666666666599</v>
      </c>
      <c r="P459" s="2">
        <f ca="1">IFERROR(__xludf.DUMMYFUNCTION("""COMPUTED_VALUE"""),133.61)</f>
        <v>133.61000000000001</v>
      </c>
      <c r="Q459" s="3">
        <f ca="1">IFERROR(__xludf.DUMMYFUNCTION("""COMPUTED_VALUE"""),44126.6666666666)</f>
        <v>44126.666666666599</v>
      </c>
      <c r="R459" s="2">
        <f ca="1">IFERROR(__xludf.DUMMYFUNCTION("""COMPUTED_VALUE"""),211.61)</f>
        <v>211.61</v>
      </c>
      <c r="S459" s="3">
        <f ca="1">IFERROR(__xludf.DUMMYFUNCTION("""COMPUTED_VALUE"""),44126.6666666666)</f>
        <v>44126.666666666599</v>
      </c>
      <c r="T459" s="2">
        <f ca="1">IFERROR(__xludf.DUMMYFUNCTION("""COMPUTED_VALUE"""),145.08)</f>
        <v>145.08000000000001</v>
      </c>
    </row>
    <row r="460" spans="1:20">
      <c r="A460" s="3">
        <f ca="1">IFERROR(__xludf.DUMMYFUNCTION("""COMPUTED_VALUE"""),44127.6666666666)</f>
        <v>44127.666666666599</v>
      </c>
      <c r="B460" s="2">
        <f ca="1">IFERROR(__xludf.DUMMYFUNCTION("""COMPUTED_VALUE"""),115.04)</f>
        <v>115.04</v>
      </c>
      <c r="C460" s="3">
        <f ca="1">IFERROR(__xludf.DUMMYFUNCTION("""COMPUTED_VALUE"""),44127.6666666666)</f>
        <v>44127.666666666599</v>
      </c>
      <c r="D460" s="2">
        <f ca="1">IFERROR(__xludf.DUMMYFUNCTION("""COMPUTED_VALUE"""),216.23)</f>
        <v>216.23</v>
      </c>
      <c r="E460" s="3">
        <f ca="1">IFERROR(__xludf.DUMMYFUNCTION("""COMPUTED_VALUE"""),44127.6666666666)</f>
        <v>44127.666666666599</v>
      </c>
      <c r="F460" s="2">
        <f ca="1">IFERROR(__xludf.DUMMYFUNCTION("""COMPUTED_VALUE"""),3204.4)</f>
        <v>3204.4</v>
      </c>
      <c r="G460" s="3">
        <f ca="1">IFERROR(__xludf.DUMMYFUNCTION("""COMPUTED_VALUE"""),44127.6666666666)</f>
        <v>44127.666666666599</v>
      </c>
      <c r="H460" s="2">
        <f ca="1">IFERROR(__xludf.DUMMYFUNCTION("""COMPUTED_VALUE"""),1632.98)</f>
        <v>1632.98</v>
      </c>
      <c r="I460" s="3">
        <f ca="1">IFERROR(__xludf.DUMMYFUNCTION("""COMPUTED_VALUE"""),44127.6666666666)</f>
        <v>44127.666666666599</v>
      </c>
      <c r="J460" s="2">
        <f ca="1">IFERROR(__xludf.DUMMYFUNCTION("""COMPUTED_VALUE"""),1641)</f>
        <v>1641</v>
      </c>
      <c r="K460" s="3">
        <f ca="1">IFERROR(__xludf.DUMMYFUNCTION("""COMPUTED_VALUE"""),44127.6666666666)</f>
        <v>44127.666666666599</v>
      </c>
      <c r="L460" s="2">
        <f ca="1">IFERROR(__xludf.DUMMYFUNCTION("""COMPUTED_VALUE"""),284.79)</f>
        <v>284.79000000000002</v>
      </c>
      <c r="M460" s="3">
        <f ca="1">IFERROR(__xludf.DUMMYFUNCTION("""COMPUTED_VALUE"""),44127.6666666666)</f>
        <v>44127.666666666599</v>
      </c>
      <c r="N460" s="2">
        <f ca="1">IFERROR(__xludf.DUMMYFUNCTION("""COMPUTED_VALUE"""),420.63)</f>
        <v>420.63</v>
      </c>
      <c r="O460" s="3">
        <f ca="1">IFERROR(__xludf.DUMMYFUNCTION("""COMPUTED_VALUE"""),44127.6666666666)</f>
        <v>44127.666666666599</v>
      </c>
      <c r="P460" s="2">
        <f ca="1">IFERROR(__xludf.DUMMYFUNCTION("""COMPUTED_VALUE"""),135.9)</f>
        <v>135.9</v>
      </c>
      <c r="Q460" s="3">
        <f ca="1">IFERROR(__xludf.DUMMYFUNCTION("""COMPUTED_VALUE"""),44127.6666666666)</f>
        <v>44127.666666666599</v>
      </c>
      <c r="R460" s="2">
        <f ca="1">IFERROR(__xludf.DUMMYFUNCTION("""COMPUTED_VALUE"""),212.71)</f>
        <v>212.71</v>
      </c>
      <c r="S460" s="3">
        <f ca="1">IFERROR(__xludf.DUMMYFUNCTION("""COMPUTED_VALUE"""),44127.6666666666)</f>
        <v>44127.666666666599</v>
      </c>
      <c r="T460" s="2">
        <f ca="1">IFERROR(__xludf.DUMMYFUNCTION("""COMPUTED_VALUE"""),145.24)</f>
        <v>145.24</v>
      </c>
    </row>
    <row r="461" spans="1:20">
      <c r="A461" s="3">
        <f ca="1">IFERROR(__xludf.DUMMYFUNCTION("""COMPUTED_VALUE"""),44130.6666666666)</f>
        <v>44130.666666666599</v>
      </c>
      <c r="B461" s="2">
        <f ca="1">IFERROR(__xludf.DUMMYFUNCTION("""COMPUTED_VALUE"""),115.05)</f>
        <v>115.05</v>
      </c>
      <c r="C461" s="3">
        <f ca="1">IFERROR(__xludf.DUMMYFUNCTION("""COMPUTED_VALUE"""),44130.6666666666)</f>
        <v>44130.666666666599</v>
      </c>
      <c r="D461" s="2">
        <f ca="1">IFERROR(__xludf.DUMMYFUNCTION("""COMPUTED_VALUE"""),210.08)</f>
        <v>210.08</v>
      </c>
      <c r="E461" s="3">
        <f ca="1">IFERROR(__xludf.DUMMYFUNCTION("""COMPUTED_VALUE"""),44130.6666666666)</f>
        <v>44130.666666666599</v>
      </c>
      <c r="F461" s="2">
        <f ca="1">IFERROR(__xludf.DUMMYFUNCTION("""COMPUTED_VALUE"""),3207.04)</f>
        <v>3207.04</v>
      </c>
      <c r="G461" s="3">
        <f ca="1">IFERROR(__xludf.DUMMYFUNCTION("""COMPUTED_VALUE"""),44130.6666666666)</f>
        <v>44130.666666666599</v>
      </c>
      <c r="H461" s="2">
        <f ca="1">IFERROR(__xludf.DUMMYFUNCTION("""COMPUTED_VALUE"""),1584.29)</f>
        <v>1584.29</v>
      </c>
      <c r="I461" s="3">
        <f ca="1">IFERROR(__xludf.DUMMYFUNCTION("""COMPUTED_VALUE"""),44130.6666666666)</f>
        <v>44130.666666666599</v>
      </c>
      <c r="J461" s="2">
        <f ca="1">IFERROR(__xludf.DUMMYFUNCTION("""COMPUTED_VALUE"""),1590.45)</f>
        <v>1590.45</v>
      </c>
      <c r="K461" s="3">
        <f ca="1">IFERROR(__xludf.DUMMYFUNCTION("""COMPUTED_VALUE"""),44130.6666666666)</f>
        <v>44130.666666666599</v>
      </c>
      <c r="L461" s="2">
        <f ca="1">IFERROR(__xludf.DUMMYFUNCTION("""COMPUTED_VALUE"""),277.11)</f>
        <v>277.11</v>
      </c>
      <c r="M461" s="3">
        <f ca="1">IFERROR(__xludf.DUMMYFUNCTION("""COMPUTED_VALUE"""),44130.6666666666)</f>
        <v>44130.666666666599</v>
      </c>
      <c r="N461" s="2">
        <f ca="1">IFERROR(__xludf.DUMMYFUNCTION("""COMPUTED_VALUE"""),420.28)</f>
        <v>420.28</v>
      </c>
      <c r="O461" s="3">
        <f ca="1">IFERROR(__xludf.DUMMYFUNCTION("""COMPUTED_VALUE"""),44130.6666666666)</f>
        <v>44130.666666666599</v>
      </c>
      <c r="P461" s="2">
        <f ca="1">IFERROR(__xludf.DUMMYFUNCTION("""COMPUTED_VALUE"""),131.41)</f>
        <v>131.41</v>
      </c>
      <c r="Q461" s="3">
        <f ca="1">IFERROR(__xludf.DUMMYFUNCTION("""COMPUTED_VALUE"""),44130.6666666666)</f>
        <v>44130.666666666599</v>
      </c>
      <c r="R461" s="2">
        <f ca="1">IFERROR(__xludf.DUMMYFUNCTION("""COMPUTED_VALUE"""),208.49)</f>
        <v>208.49</v>
      </c>
      <c r="S461" s="3">
        <f ca="1">IFERROR(__xludf.DUMMYFUNCTION("""COMPUTED_VALUE"""),44130.6666666666)</f>
        <v>44130.666666666599</v>
      </c>
      <c r="T461" s="2">
        <f ca="1">IFERROR(__xludf.DUMMYFUNCTION("""COMPUTED_VALUE"""),143.97)</f>
        <v>143.97</v>
      </c>
    </row>
    <row r="462" spans="1:20">
      <c r="A462" s="3">
        <f ca="1">IFERROR(__xludf.DUMMYFUNCTION("""COMPUTED_VALUE"""),44131.6666666666)</f>
        <v>44131.666666666599</v>
      </c>
      <c r="B462" s="2">
        <f ca="1">IFERROR(__xludf.DUMMYFUNCTION("""COMPUTED_VALUE"""),116.6)</f>
        <v>116.6</v>
      </c>
      <c r="C462" s="3">
        <f ca="1">IFERROR(__xludf.DUMMYFUNCTION("""COMPUTED_VALUE"""),44131.6666666666)</f>
        <v>44131.666666666599</v>
      </c>
      <c r="D462" s="2">
        <f ca="1">IFERROR(__xludf.DUMMYFUNCTION("""COMPUTED_VALUE"""),213.25)</f>
        <v>213.25</v>
      </c>
      <c r="E462" s="3">
        <f ca="1">IFERROR(__xludf.DUMMYFUNCTION("""COMPUTED_VALUE"""),44131.6666666666)</f>
        <v>44131.666666666599</v>
      </c>
      <c r="F462" s="2">
        <f ca="1">IFERROR(__xludf.DUMMYFUNCTION("""COMPUTED_VALUE"""),3286.33)</f>
        <v>3286.33</v>
      </c>
      <c r="G462" s="3">
        <f ca="1">IFERROR(__xludf.DUMMYFUNCTION("""COMPUTED_VALUE"""),44131.6666666666)</f>
        <v>44131.666666666599</v>
      </c>
      <c r="H462" s="2">
        <f ca="1">IFERROR(__xludf.DUMMYFUNCTION("""COMPUTED_VALUE"""),1598.88)</f>
        <v>1598.88</v>
      </c>
      <c r="I462" s="3">
        <f ca="1">IFERROR(__xludf.DUMMYFUNCTION("""COMPUTED_VALUE"""),44131.6666666666)</f>
        <v>44131.666666666599</v>
      </c>
      <c r="J462" s="2">
        <f ca="1">IFERROR(__xludf.DUMMYFUNCTION("""COMPUTED_VALUE"""),1604.26)</f>
        <v>1604.26</v>
      </c>
      <c r="K462" s="3">
        <f ca="1">IFERROR(__xludf.DUMMYFUNCTION("""COMPUTED_VALUE"""),44131.6666666666)</f>
        <v>44131.666666666599</v>
      </c>
      <c r="L462" s="2">
        <f ca="1">IFERROR(__xludf.DUMMYFUNCTION("""COMPUTED_VALUE"""),283.29)</f>
        <v>283.29000000000002</v>
      </c>
      <c r="M462" s="3">
        <f ca="1">IFERROR(__xludf.DUMMYFUNCTION("""COMPUTED_VALUE"""),44131.6666666666)</f>
        <v>44131.666666666599</v>
      </c>
      <c r="N462" s="2">
        <f ca="1">IFERROR(__xludf.DUMMYFUNCTION("""COMPUTED_VALUE"""),424.68)</f>
        <v>424.68</v>
      </c>
      <c r="O462" s="3">
        <f ca="1">IFERROR(__xludf.DUMMYFUNCTION("""COMPUTED_VALUE"""),44131.6666666666)</f>
        <v>44131.666666666599</v>
      </c>
      <c r="P462" s="2">
        <f ca="1">IFERROR(__xludf.DUMMYFUNCTION("""COMPUTED_VALUE"""),133.97)</f>
        <v>133.97</v>
      </c>
      <c r="Q462" s="3">
        <f ca="1">IFERROR(__xludf.DUMMYFUNCTION("""COMPUTED_VALUE"""),44131.6666666666)</f>
        <v>44131.666666666599</v>
      </c>
      <c r="R462" s="2">
        <f ca="1">IFERROR(__xludf.DUMMYFUNCTION("""COMPUTED_VALUE"""),206.88)</f>
        <v>206.88</v>
      </c>
      <c r="S462" s="3">
        <f ca="1">IFERROR(__xludf.DUMMYFUNCTION("""COMPUTED_VALUE"""),44131.6666666666)</f>
        <v>44131.666666666599</v>
      </c>
      <c r="T462" s="2">
        <f ca="1">IFERROR(__xludf.DUMMYFUNCTION("""COMPUTED_VALUE"""),143.15)</f>
        <v>143.15</v>
      </c>
    </row>
    <row r="463" spans="1:20">
      <c r="A463" s="3">
        <f ca="1">IFERROR(__xludf.DUMMYFUNCTION("""COMPUTED_VALUE"""),44132.6666666666)</f>
        <v>44132.666666666599</v>
      </c>
      <c r="B463" s="2">
        <f ca="1">IFERROR(__xludf.DUMMYFUNCTION("""COMPUTED_VALUE"""),111.2)</f>
        <v>111.2</v>
      </c>
      <c r="C463" s="3">
        <f ca="1">IFERROR(__xludf.DUMMYFUNCTION("""COMPUTED_VALUE"""),44132.6666666666)</f>
        <v>44132.666666666599</v>
      </c>
      <c r="D463" s="2">
        <f ca="1">IFERROR(__xludf.DUMMYFUNCTION("""COMPUTED_VALUE"""),202.68)</f>
        <v>202.68</v>
      </c>
      <c r="E463" s="3">
        <f ca="1">IFERROR(__xludf.DUMMYFUNCTION("""COMPUTED_VALUE"""),44132.6666666666)</f>
        <v>44132.666666666599</v>
      </c>
      <c r="F463" s="2">
        <f ca="1">IFERROR(__xludf.DUMMYFUNCTION("""COMPUTED_VALUE"""),3162.78)</f>
        <v>3162.78</v>
      </c>
      <c r="G463" s="3">
        <f ca="1">IFERROR(__xludf.DUMMYFUNCTION("""COMPUTED_VALUE"""),44132.6666666666)</f>
        <v>44132.666666666599</v>
      </c>
      <c r="H463" s="2">
        <f ca="1">IFERROR(__xludf.DUMMYFUNCTION("""COMPUTED_VALUE"""),1510.8)</f>
        <v>1510.8</v>
      </c>
      <c r="I463" s="3">
        <f ca="1">IFERROR(__xludf.DUMMYFUNCTION("""COMPUTED_VALUE"""),44132.6666666666)</f>
        <v>44132.666666666599</v>
      </c>
      <c r="J463" s="2">
        <f ca="1">IFERROR(__xludf.DUMMYFUNCTION("""COMPUTED_VALUE"""),1516.62)</f>
        <v>1516.62</v>
      </c>
      <c r="K463" s="3">
        <f ca="1">IFERROR(__xludf.DUMMYFUNCTION("""COMPUTED_VALUE"""),44132.6666666666)</f>
        <v>44132.666666666599</v>
      </c>
      <c r="L463" s="2">
        <f ca="1">IFERROR(__xludf.DUMMYFUNCTION("""COMPUTED_VALUE"""),267.67)</f>
        <v>267.67</v>
      </c>
      <c r="M463" s="3">
        <f ca="1">IFERROR(__xludf.DUMMYFUNCTION("""COMPUTED_VALUE"""),44132.6666666666)</f>
        <v>44132.666666666599</v>
      </c>
      <c r="N463" s="2">
        <f ca="1">IFERROR(__xludf.DUMMYFUNCTION("""COMPUTED_VALUE"""),406.02)</f>
        <v>406.02</v>
      </c>
      <c r="O463" s="3">
        <f ca="1">IFERROR(__xludf.DUMMYFUNCTION("""COMPUTED_VALUE"""),44132.6666666666)</f>
        <v>44132.666666666599</v>
      </c>
      <c r="P463" s="2">
        <f ca="1">IFERROR(__xludf.DUMMYFUNCTION("""COMPUTED_VALUE"""),126.27)</f>
        <v>126.27</v>
      </c>
      <c r="Q463" s="3">
        <f ca="1">IFERROR(__xludf.DUMMYFUNCTION("""COMPUTED_VALUE"""),44132.6666666666)</f>
        <v>44132.666666666599</v>
      </c>
      <c r="R463" s="2">
        <f ca="1">IFERROR(__xludf.DUMMYFUNCTION("""COMPUTED_VALUE"""),200.7)</f>
        <v>200.7</v>
      </c>
      <c r="S463" s="3">
        <f ca="1">IFERROR(__xludf.DUMMYFUNCTION("""COMPUTED_VALUE"""),44132.6666666666)</f>
        <v>44132.666666666599</v>
      </c>
      <c r="T463" s="2">
        <f ca="1">IFERROR(__xludf.DUMMYFUNCTION("""COMPUTED_VALUE"""),138.36)</f>
        <v>138.36000000000001</v>
      </c>
    </row>
    <row r="464" spans="1:20">
      <c r="A464" s="3">
        <f ca="1">IFERROR(__xludf.DUMMYFUNCTION("""COMPUTED_VALUE"""),44133.6666666666)</f>
        <v>44133.666666666599</v>
      </c>
      <c r="B464" s="2">
        <f ca="1">IFERROR(__xludf.DUMMYFUNCTION("""COMPUTED_VALUE"""),115.32)</f>
        <v>115.32</v>
      </c>
      <c r="C464" s="3">
        <f ca="1">IFERROR(__xludf.DUMMYFUNCTION("""COMPUTED_VALUE"""),44133.6666666666)</f>
        <v>44133.666666666599</v>
      </c>
      <c r="D464" s="2">
        <f ca="1">IFERROR(__xludf.DUMMYFUNCTION("""COMPUTED_VALUE"""),204.72)</f>
        <v>204.72</v>
      </c>
      <c r="E464" s="3">
        <f ca="1">IFERROR(__xludf.DUMMYFUNCTION("""COMPUTED_VALUE"""),44133.6666666666)</f>
        <v>44133.666666666599</v>
      </c>
      <c r="F464" s="2">
        <f ca="1">IFERROR(__xludf.DUMMYFUNCTION("""COMPUTED_VALUE"""),3211.01)</f>
        <v>3211.01</v>
      </c>
      <c r="G464" s="3">
        <f ca="1">IFERROR(__xludf.DUMMYFUNCTION("""COMPUTED_VALUE"""),44133.6666666666)</f>
        <v>44133.666666666599</v>
      </c>
      <c r="H464" s="2">
        <f ca="1">IFERROR(__xludf.DUMMYFUNCTION("""COMPUTED_VALUE"""),1556.88)</f>
        <v>1556.88</v>
      </c>
      <c r="I464" s="3">
        <f ca="1">IFERROR(__xludf.DUMMYFUNCTION("""COMPUTED_VALUE"""),44133.6666666666)</f>
        <v>44133.666666666599</v>
      </c>
      <c r="J464" s="2">
        <f ca="1">IFERROR(__xludf.DUMMYFUNCTION("""COMPUTED_VALUE"""),1567.24)</f>
        <v>1567.24</v>
      </c>
      <c r="K464" s="3">
        <f ca="1">IFERROR(__xludf.DUMMYFUNCTION("""COMPUTED_VALUE"""),44133.6666666666)</f>
        <v>44133.666666666599</v>
      </c>
      <c r="L464" s="2">
        <f ca="1">IFERROR(__xludf.DUMMYFUNCTION("""COMPUTED_VALUE"""),280.83)</f>
        <v>280.83</v>
      </c>
      <c r="M464" s="3">
        <f ca="1">IFERROR(__xludf.DUMMYFUNCTION("""COMPUTED_VALUE"""),44133.6666666666)</f>
        <v>44133.666666666599</v>
      </c>
      <c r="N464" s="2">
        <f ca="1">IFERROR(__xludf.DUMMYFUNCTION("""COMPUTED_VALUE"""),410.83)</f>
        <v>410.83</v>
      </c>
      <c r="O464" s="3">
        <f ca="1">IFERROR(__xludf.DUMMYFUNCTION("""COMPUTED_VALUE"""),44133.6666666666)</f>
        <v>44133.666666666599</v>
      </c>
      <c r="P464" s="2">
        <f ca="1">IFERROR(__xludf.DUMMYFUNCTION("""COMPUTED_VALUE"""),130.24)</f>
        <v>130.24</v>
      </c>
      <c r="Q464" s="3">
        <f ca="1">IFERROR(__xludf.DUMMYFUNCTION("""COMPUTED_VALUE"""),44133.6666666666)</f>
        <v>44133.666666666599</v>
      </c>
      <c r="R464" s="2">
        <f ca="1">IFERROR(__xludf.DUMMYFUNCTION("""COMPUTED_VALUE"""),201.51)</f>
        <v>201.51</v>
      </c>
      <c r="S464" s="3">
        <f ca="1">IFERROR(__xludf.DUMMYFUNCTION("""COMPUTED_VALUE"""),44133.6666666666)</f>
        <v>44133.666666666599</v>
      </c>
      <c r="T464" s="2">
        <f ca="1">IFERROR(__xludf.DUMMYFUNCTION("""COMPUTED_VALUE"""),137.19)</f>
        <v>137.19</v>
      </c>
    </row>
    <row r="465" spans="1:20">
      <c r="A465" s="3">
        <f ca="1">IFERROR(__xludf.DUMMYFUNCTION("""COMPUTED_VALUE"""),44134.6666666666)</f>
        <v>44134.666666666599</v>
      </c>
      <c r="B465" s="2">
        <f ca="1">IFERROR(__xludf.DUMMYFUNCTION("""COMPUTED_VALUE"""),108.86)</f>
        <v>108.86</v>
      </c>
      <c r="C465" s="3">
        <f ca="1">IFERROR(__xludf.DUMMYFUNCTION("""COMPUTED_VALUE"""),44134.6666666666)</f>
        <v>44134.666666666599</v>
      </c>
      <c r="D465" s="2">
        <f ca="1">IFERROR(__xludf.DUMMYFUNCTION("""COMPUTED_VALUE"""),202.47)</f>
        <v>202.47</v>
      </c>
      <c r="E465" s="3">
        <f ca="1">IFERROR(__xludf.DUMMYFUNCTION("""COMPUTED_VALUE"""),44134.6666666666)</f>
        <v>44134.666666666599</v>
      </c>
      <c r="F465" s="2">
        <f ca="1">IFERROR(__xludf.DUMMYFUNCTION("""COMPUTED_VALUE"""),3036.15)</f>
        <v>3036.15</v>
      </c>
      <c r="G465" s="3">
        <f ca="1">IFERROR(__xludf.DUMMYFUNCTION("""COMPUTED_VALUE"""),44134.6666666666)</f>
        <v>44134.666666666599</v>
      </c>
      <c r="H465" s="2">
        <f ca="1">IFERROR(__xludf.DUMMYFUNCTION("""COMPUTED_VALUE"""),1616.11)</f>
        <v>1616.11</v>
      </c>
      <c r="I465" s="3">
        <f ca="1">IFERROR(__xludf.DUMMYFUNCTION("""COMPUTED_VALUE"""),44134.6666666666)</f>
        <v>44134.666666666599</v>
      </c>
      <c r="J465" s="2">
        <f ca="1">IFERROR(__xludf.DUMMYFUNCTION("""COMPUTED_VALUE"""),1621.01)</f>
        <v>1621.01</v>
      </c>
      <c r="K465" s="3">
        <f ca="1">IFERROR(__xludf.DUMMYFUNCTION("""COMPUTED_VALUE"""),44134.6666666666)</f>
        <v>44134.666666666599</v>
      </c>
      <c r="L465" s="2">
        <f ca="1">IFERROR(__xludf.DUMMYFUNCTION("""COMPUTED_VALUE"""),263.11)</f>
        <v>263.11</v>
      </c>
      <c r="M465" s="3">
        <f ca="1">IFERROR(__xludf.DUMMYFUNCTION("""COMPUTED_VALUE"""),44134.6666666666)</f>
        <v>44134.666666666599</v>
      </c>
      <c r="N465" s="2">
        <f ca="1">IFERROR(__xludf.DUMMYFUNCTION("""COMPUTED_VALUE"""),388.04)</f>
        <v>388.04</v>
      </c>
      <c r="O465" s="3">
        <f ca="1">IFERROR(__xludf.DUMMYFUNCTION("""COMPUTED_VALUE"""),44134.6666666666)</f>
        <v>44134.666666666599</v>
      </c>
      <c r="P465" s="2">
        <f ca="1">IFERROR(__xludf.DUMMYFUNCTION("""COMPUTED_VALUE"""),125.34)</f>
        <v>125.34</v>
      </c>
      <c r="Q465" s="3">
        <f ca="1">IFERROR(__xludf.DUMMYFUNCTION("""COMPUTED_VALUE"""),44134.6666666666)</f>
        <v>44134.666666666599</v>
      </c>
      <c r="R465" s="2">
        <f ca="1">IFERROR(__xludf.DUMMYFUNCTION("""COMPUTED_VALUE"""),201.9)</f>
        <v>201.9</v>
      </c>
      <c r="S465" s="3">
        <f ca="1">IFERROR(__xludf.DUMMYFUNCTION("""COMPUTED_VALUE"""),44134.6666666666)</f>
        <v>44134.666666666599</v>
      </c>
      <c r="T465" s="2">
        <f ca="1">IFERROR(__xludf.DUMMYFUNCTION("""COMPUTED_VALUE"""),137.11)</f>
        <v>137.11000000000001</v>
      </c>
    </row>
    <row r="466" spans="1:20">
      <c r="A466" s="3">
        <f ca="1">IFERROR(__xludf.DUMMYFUNCTION("""COMPUTED_VALUE"""),44137.6666666666)</f>
        <v>44137.666666666599</v>
      </c>
      <c r="B466" s="2">
        <f ca="1">IFERROR(__xludf.DUMMYFUNCTION("""COMPUTED_VALUE"""),108.77)</f>
        <v>108.77</v>
      </c>
      <c r="C466" s="3">
        <f ca="1">IFERROR(__xludf.DUMMYFUNCTION("""COMPUTED_VALUE"""),44137.6666666666)</f>
        <v>44137.666666666599</v>
      </c>
      <c r="D466" s="2">
        <f ca="1">IFERROR(__xludf.DUMMYFUNCTION("""COMPUTED_VALUE"""),202.33)</f>
        <v>202.33</v>
      </c>
      <c r="E466" s="3">
        <f ca="1">IFERROR(__xludf.DUMMYFUNCTION("""COMPUTED_VALUE"""),44137.6666666666)</f>
        <v>44137.666666666599</v>
      </c>
      <c r="F466" s="2">
        <f ca="1">IFERROR(__xludf.DUMMYFUNCTION("""COMPUTED_VALUE"""),3004.48)</f>
        <v>3004.48</v>
      </c>
      <c r="G466" s="3">
        <f ca="1">IFERROR(__xludf.DUMMYFUNCTION("""COMPUTED_VALUE"""),44137.6666666666)</f>
        <v>44137.666666666599</v>
      </c>
      <c r="H466" s="2">
        <f ca="1">IFERROR(__xludf.DUMMYFUNCTION("""COMPUTED_VALUE"""),1624.32)</f>
        <v>1624.32</v>
      </c>
      <c r="I466" s="3">
        <f ca="1">IFERROR(__xludf.DUMMYFUNCTION("""COMPUTED_VALUE"""),44137.6666666666)</f>
        <v>44137.666666666599</v>
      </c>
      <c r="J466" s="2">
        <f ca="1">IFERROR(__xludf.DUMMYFUNCTION("""COMPUTED_VALUE"""),1626.03)</f>
        <v>1626.03</v>
      </c>
      <c r="K466" s="3">
        <f ca="1">IFERROR(__xludf.DUMMYFUNCTION("""COMPUTED_VALUE"""),44137.6666666666)</f>
        <v>44137.666666666599</v>
      </c>
      <c r="L466" s="2">
        <f ca="1">IFERROR(__xludf.DUMMYFUNCTION("""COMPUTED_VALUE"""),261.36)</f>
        <v>261.36</v>
      </c>
      <c r="M466" s="3">
        <f ca="1">IFERROR(__xludf.DUMMYFUNCTION("""COMPUTED_VALUE"""),44137.6666666666)</f>
        <v>44137.666666666599</v>
      </c>
      <c r="N466" s="2">
        <f ca="1">IFERROR(__xludf.DUMMYFUNCTION("""COMPUTED_VALUE"""),400.51)</f>
        <v>400.51</v>
      </c>
      <c r="O466" s="3">
        <f ca="1">IFERROR(__xludf.DUMMYFUNCTION("""COMPUTED_VALUE"""),44137.6666666666)</f>
        <v>44137.666666666599</v>
      </c>
      <c r="P466" s="2">
        <f ca="1">IFERROR(__xludf.DUMMYFUNCTION("""COMPUTED_VALUE"""),125.81)</f>
        <v>125.81</v>
      </c>
      <c r="Q466" s="3">
        <f ca="1">IFERROR(__xludf.DUMMYFUNCTION("""COMPUTED_VALUE"""),44137.6666666666)</f>
        <v>44137.666666666599</v>
      </c>
      <c r="R466" s="2">
        <f ca="1">IFERROR(__xludf.DUMMYFUNCTION("""COMPUTED_VALUE"""),204.31)</f>
        <v>204.31</v>
      </c>
      <c r="S466" s="3">
        <f ca="1">IFERROR(__xludf.DUMMYFUNCTION("""COMPUTED_VALUE"""),44137.6666666666)</f>
        <v>44137.666666666599</v>
      </c>
      <c r="T466" s="2">
        <f ca="1">IFERROR(__xludf.DUMMYFUNCTION("""COMPUTED_VALUE"""),138.69)</f>
        <v>138.69</v>
      </c>
    </row>
    <row r="467" spans="1:20">
      <c r="A467" s="3">
        <f ca="1">IFERROR(__xludf.DUMMYFUNCTION("""COMPUTED_VALUE"""),44138.6666666666)</f>
        <v>44138.666666666599</v>
      </c>
      <c r="B467" s="2">
        <f ca="1">IFERROR(__xludf.DUMMYFUNCTION("""COMPUTED_VALUE"""),110.44)</f>
        <v>110.44</v>
      </c>
      <c r="C467" s="3">
        <f ca="1">IFERROR(__xludf.DUMMYFUNCTION("""COMPUTED_VALUE"""),44138.6666666666)</f>
        <v>44138.666666666599</v>
      </c>
      <c r="D467" s="2">
        <f ca="1">IFERROR(__xludf.DUMMYFUNCTION("""COMPUTED_VALUE"""),206.43)</f>
        <v>206.43</v>
      </c>
      <c r="E467" s="3">
        <f ca="1">IFERROR(__xludf.DUMMYFUNCTION("""COMPUTED_VALUE"""),44138.6666666666)</f>
        <v>44138.666666666599</v>
      </c>
      <c r="F467" s="2">
        <f ca="1">IFERROR(__xludf.DUMMYFUNCTION("""COMPUTED_VALUE"""),3048.41)</f>
        <v>3048.41</v>
      </c>
      <c r="G467" s="3">
        <f ca="1">IFERROR(__xludf.DUMMYFUNCTION("""COMPUTED_VALUE"""),44138.6666666666)</f>
        <v>44138.666666666599</v>
      </c>
      <c r="H467" s="2">
        <f ca="1">IFERROR(__xludf.DUMMYFUNCTION("""COMPUTED_VALUE"""),1645.66)</f>
        <v>1645.66</v>
      </c>
      <c r="I467" s="3">
        <f ca="1">IFERROR(__xludf.DUMMYFUNCTION("""COMPUTED_VALUE"""),44138.6666666666)</f>
        <v>44138.666666666599</v>
      </c>
      <c r="J467" s="2">
        <f ca="1">IFERROR(__xludf.DUMMYFUNCTION("""COMPUTED_VALUE"""),1650.21)</f>
        <v>1650.21</v>
      </c>
      <c r="K467" s="3">
        <f ca="1">IFERROR(__xludf.DUMMYFUNCTION("""COMPUTED_VALUE"""),44138.6666666666)</f>
        <v>44138.666666666599</v>
      </c>
      <c r="L467" s="2">
        <f ca="1">IFERROR(__xludf.DUMMYFUNCTION("""COMPUTED_VALUE"""),265.3)</f>
        <v>265.3</v>
      </c>
      <c r="M467" s="3">
        <f ca="1">IFERROR(__xludf.DUMMYFUNCTION("""COMPUTED_VALUE"""),44138.6666666666)</f>
        <v>44138.666666666599</v>
      </c>
      <c r="N467" s="2">
        <f ca="1">IFERROR(__xludf.DUMMYFUNCTION("""COMPUTED_VALUE"""),423.9)</f>
        <v>423.9</v>
      </c>
      <c r="O467" s="3">
        <f ca="1">IFERROR(__xludf.DUMMYFUNCTION("""COMPUTED_VALUE"""),44138.6666666666)</f>
        <v>44138.666666666599</v>
      </c>
      <c r="P467" s="2">
        <f ca="1">IFERROR(__xludf.DUMMYFUNCTION("""COMPUTED_VALUE"""),130.2)</f>
        <v>130.19999999999999</v>
      </c>
      <c r="Q467" s="3">
        <f ca="1">IFERROR(__xludf.DUMMYFUNCTION("""COMPUTED_VALUE"""),44138.6666666666)</f>
        <v>44138.666666666599</v>
      </c>
      <c r="R467" s="2">
        <f ca="1">IFERROR(__xludf.DUMMYFUNCTION("""COMPUTED_VALUE"""),206.63)</f>
        <v>206.63</v>
      </c>
      <c r="S467" s="3">
        <f ca="1">IFERROR(__xludf.DUMMYFUNCTION("""COMPUTED_VALUE"""),44138.6666666666)</f>
        <v>44138.666666666599</v>
      </c>
      <c r="T467" s="2">
        <f ca="1">IFERROR(__xludf.DUMMYFUNCTION("""COMPUTED_VALUE"""),138.5)</f>
        <v>138.5</v>
      </c>
    </row>
    <row r="468" spans="1:20">
      <c r="A468" s="3">
        <f ca="1">IFERROR(__xludf.DUMMYFUNCTION("""COMPUTED_VALUE"""),44139.6666666666)</f>
        <v>44139.666666666599</v>
      </c>
      <c r="B468" s="2">
        <f ca="1">IFERROR(__xludf.DUMMYFUNCTION("""COMPUTED_VALUE"""),114.95)</f>
        <v>114.95</v>
      </c>
      <c r="C468" s="3">
        <f ca="1">IFERROR(__xludf.DUMMYFUNCTION("""COMPUTED_VALUE"""),44139.6666666666)</f>
        <v>44139.666666666599</v>
      </c>
      <c r="D468" s="2">
        <f ca="1">IFERROR(__xludf.DUMMYFUNCTION("""COMPUTED_VALUE"""),216.39)</f>
        <v>216.39</v>
      </c>
      <c r="E468" s="3">
        <f ca="1">IFERROR(__xludf.DUMMYFUNCTION("""COMPUTED_VALUE"""),44139.6666666666)</f>
        <v>44139.666666666599</v>
      </c>
      <c r="F468" s="2">
        <f ca="1">IFERROR(__xludf.DUMMYFUNCTION("""COMPUTED_VALUE"""),3241.16)</f>
        <v>3241.16</v>
      </c>
      <c r="G468" s="3">
        <f ca="1">IFERROR(__xludf.DUMMYFUNCTION("""COMPUTED_VALUE"""),44139.6666666666)</f>
        <v>44139.666666666599</v>
      </c>
      <c r="H468" s="2">
        <f ca="1">IFERROR(__xludf.DUMMYFUNCTION("""COMPUTED_VALUE"""),1745.85)</f>
        <v>1745.85</v>
      </c>
      <c r="I468" s="3">
        <f ca="1">IFERROR(__xludf.DUMMYFUNCTION("""COMPUTED_VALUE"""),44139.6666666666)</f>
        <v>44139.666666666599</v>
      </c>
      <c r="J468" s="2">
        <f ca="1">IFERROR(__xludf.DUMMYFUNCTION("""COMPUTED_VALUE"""),1749.13)</f>
        <v>1749.13</v>
      </c>
      <c r="K468" s="3">
        <f ca="1">IFERROR(__xludf.DUMMYFUNCTION("""COMPUTED_VALUE"""),44139.6666666666)</f>
        <v>44139.666666666599</v>
      </c>
      <c r="L468" s="2">
        <f ca="1">IFERROR(__xludf.DUMMYFUNCTION("""COMPUTED_VALUE"""),287.38)</f>
        <v>287.38</v>
      </c>
      <c r="M468" s="3">
        <f ca="1">IFERROR(__xludf.DUMMYFUNCTION("""COMPUTED_VALUE"""),44139.6666666666)</f>
        <v>44139.666666666599</v>
      </c>
      <c r="N468" s="2">
        <f ca="1">IFERROR(__xludf.DUMMYFUNCTION("""COMPUTED_VALUE"""),420.98)</f>
        <v>420.98</v>
      </c>
      <c r="O468" s="3">
        <f ca="1">IFERROR(__xludf.DUMMYFUNCTION("""COMPUTED_VALUE"""),44139.6666666666)</f>
        <v>44139.666666666599</v>
      </c>
      <c r="P468" s="2">
        <f ca="1">IFERROR(__xludf.DUMMYFUNCTION("""COMPUTED_VALUE"""),137.94)</f>
        <v>137.94</v>
      </c>
      <c r="Q468" s="3">
        <f ca="1">IFERROR(__xludf.DUMMYFUNCTION("""COMPUTED_VALUE"""),44139.6666666666)</f>
        <v>44139.666666666599</v>
      </c>
      <c r="R468" s="2">
        <f ca="1">IFERROR(__xludf.DUMMYFUNCTION("""COMPUTED_VALUE"""),206.17)</f>
        <v>206.17</v>
      </c>
      <c r="S468" s="3">
        <f ca="1">IFERROR(__xludf.DUMMYFUNCTION("""COMPUTED_VALUE"""),44139.6666666666)</f>
        <v>44139.666666666599</v>
      </c>
      <c r="T468" s="2">
        <f ca="1">IFERROR(__xludf.DUMMYFUNCTION("""COMPUTED_VALUE"""),139.4)</f>
        <v>139.4</v>
      </c>
    </row>
    <row r="469" spans="1:20">
      <c r="A469" s="3">
        <f ca="1">IFERROR(__xludf.DUMMYFUNCTION("""COMPUTED_VALUE"""),44140.6666666666)</f>
        <v>44140.666666666599</v>
      </c>
      <c r="B469" s="2">
        <f ca="1">IFERROR(__xludf.DUMMYFUNCTION("""COMPUTED_VALUE"""),119.03)</f>
        <v>119.03</v>
      </c>
      <c r="C469" s="3">
        <f ca="1">IFERROR(__xludf.DUMMYFUNCTION("""COMPUTED_VALUE"""),44140.6666666666)</f>
        <v>44140.666666666599</v>
      </c>
      <c r="D469" s="2">
        <f ca="1">IFERROR(__xludf.DUMMYFUNCTION("""COMPUTED_VALUE"""),223.29)</f>
        <v>223.29</v>
      </c>
      <c r="E469" s="3">
        <f ca="1">IFERROR(__xludf.DUMMYFUNCTION("""COMPUTED_VALUE"""),44140.6666666666)</f>
        <v>44140.666666666599</v>
      </c>
      <c r="F469" s="2">
        <f ca="1">IFERROR(__xludf.DUMMYFUNCTION("""COMPUTED_VALUE"""),3322)</f>
        <v>3322</v>
      </c>
      <c r="G469" s="3">
        <f ca="1">IFERROR(__xludf.DUMMYFUNCTION("""COMPUTED_VALUE"""),44140.6666666666)</f>
        <v>44140.666666666599</v>
      </c>
      <c r="H469" s="2">
        <f ca="1">IFERROR(__xludf.DUMMYFUNCTION("""COMPUTED_VALUE"""),1762.5)</f>
        <v>1762.5</v>
      </c>
      <c r="I469" s="3">
        <f ca="1">IFERROR(__xludf.DUMMYFUNCTION("""COMPUTED_VALUE"""),44140.6666666666)</f>
        <v>44140.666666666599</v>
      </c>
      <c r="J469" s="2">
        <f ca="1">IFERROR(__xludf.DUMMYFUNCTION("""COMPUTED_VALUE"""),1763.37)</f>
        <v>1763.37</v>
      </c>
      <c r="K469" s="3">
        <f ca="1">IFERROR(__xludf.DUMMYFUNCTION("""COMPUTED_VALUE"""),44140.6666666666)</f>
        <v>44140.666666666599</v>
      </c>
      <c r="L469" s="2">
        <f ca="1">IFERROR(__xludf.DUMMYFUNCTION("""COMPUTED_VALUE"""),294.68)</f>
        <v>294.68</v>
      </c>
      <c r="M469" s="3">
        <f ca="1">IFERROR(__xludf.DUMMYFUNCTION("""COMPUTED_VALUE"""),44140.6666666666)</f>
        <v>44140.666666666599</v>
      </c>
      <c r="N469" s="2">
        <f ca="1">IFERROR(__xludf.DUMMYFUNCTION("""COMPUTED_VALUE"""),438.09)</f>
        <v>438.09</v>
      </c>
      <c r="O469" s="3">
        <f ca="1">IFERROR(__xludf.DUMMYFUNCTION("""COMPUTED_VALUE"""),44140.6666666666)</f>
        <v>44140.666666666599</v>
      </c>
      <c r="P469" s="2">
        <f ca="1">IFERROR(__xludf.DUMMYFUNCTION("""COMPUTED_VALUE"""),141.6)</f>
        <v>141.6</v>
      </c>
      <c r="Q469" s="3">
        <f ca="1">IFERROR(__xludf.DUMMYFUNCTION("""COMPUTED_VALUE"""),44140.6666666666)</f>
        <v>44140.666666666599</v>
      </c>
      <c r="R469" s="2">
        <f ca="1">IFERROR(__xludf.DUMMYFUNCTION("""COMPUTED_VALUE"""),207.45)</f>
        <v>207.45</v>
      </c>
      <c r="S469" s="3">
        <f ca="1">IFERROR(__xludf.DUMMYFUNCTION("""COMPUTED_VALUE"""),44140.6666666666)</f>
        <v>44140.666666666599</v>
      </c>
      <c r="T469" s="2">
        <f ca="1">IFERROR(__xludf.DUMMYFUNCTION("""COMPUTED_VALUE"""),139.76)</f>
        <v>139.76</v>
      </c>
    </row>
    <row r="470" spans="1:20">
      <c r="A470" s="3">
        <f ca="1">IFERROR(__xludf.DUMMYFUNCTION("""COMPUTED_VALUE"""),44141.6666666666)</f>
        <v>44141.666666666599</v>
      </c>
      <c r="B470" s="2">
        <f ca="1">IFERROR(__xludf.DUMMYFUNCTION("""COMPUTED_VALUE"""),118.69)</f>
        <v>118.69</v>
      </c>
      <c r="C470" s="3">
        <f ca="1">IFERROR(__xludf.DUMMYFUNCTION("""COMPUTED_VALUE"""),44141.6666666666)</f>
        <v>44141.666666666599</v>
      </c>
      <c r="D470" s="2">
        <f ca="1">IFERROR(__xludf.DUMMYFUNCTION("""COMPUTED_VALUE"""),223.72)</f>
        <v>223.72</v>
      </c>
      <c r="E470" s="3">
        <f ca="1">IFERROR(__xludf.DUMMYFUNCTION("""COMPUTED_VALUE"""),44141.6666666666)</f>
        <v>44141.666666666599</v>
      </c>
      <c r="F470" s="2">
        <f ca="1">IFERROR(__xludf.DUMMYFUNCTION("""COMPUTED_VALUE"""),3311.37)</f>
        <v>3311.37</v>
      </c>
      <c r="G470" s="3">
        <f ca="1">IFERROR(__xludf.DUMMYFUNCTION("""COMPUTED_VALUE"""),44141.6666666666)</f>
        <v>44141.666666666599</v>
      </c>
      <c r="H470" s="2">
        <f ca="1">IFERROR(__xludf.DUMMYFUNCTION("""COMPUTED_VALUE"""),1759.73)</f>
        <v>1759.73</v>
      </c>
      <c r="I470" s="3">
        <f ca="1">IFERROR(__xludf.DUMMYFUNCTION("""COMPUTED_VALUE"""),44141.6666666666)</f>
        <v>44141.666666666599</v>
      </c>
      <c r="J470" s="2">
        <f ca="1">IFERROR(__xludf.DUMMYFUNCTION("""COMPUTED_VALUE"""),1761.75)</f>
        <v>1761.75</v>
      </c>
      <c r="K470" s="3">
        <f ca="1">IFERROR(__xludf.DUMMYFUNCTION("""COMPUTED_VALUE"""),44141.6666666666)</f>
        <v>44141.666666666599</v>
      </c>
      <c r="L470" s="2">
        <f ca="1">IFERROR(__xludf.DUMMYFUNCTION("""COMPUTED_VALUE"""),293.41)</f>
        <v>293.41000000000003</v>
      </c>
      <c r="M470" s="3">
        <f ca="1">IFERROR(__xludf.DUMMYFUNCTION("""COMPUTED_VALUE"""),44141.6666666666)</f>
        <v>44141.666666666599</v>
      </c>
      <c r="N470" s="2">
        <f ca="1">IFERROR(__xludf.DUMMYFUNCTION("""COMPUTED_VALUE"""),429.95)</f>
        <v>429.95</v>
      </c>
      <c r="O470" s="3">
        <f ca="1">IFERROR(__xludf.DUMMYFUNCTION("""COMPUTED_VALUE"""),44141.6666666666)</f>
        <v>44141.666666666599</v>
      </c>
      <c r="P470" s="2">
        <f ca="1">IFERROR(__xludf.DUMMYFUNCTION("""COMPUTED_VALUE"""),145.62)</f>
        <v>145.62</v>
      </c>
      <c r="Q470" s="3">
        <f ca="1">IFERROR(__xludf.DUMMYFUNCTION("""COMPUTED_VALUE"""),44141.6666666666)</f>
        <v>44141.666666666599</v>
      </c>
      <c r="R470" s="2">
        <f ca="1">IFERROR(__xludf.DUMMYFUNCTION("""COMPUTED_VALUE"""),208.85)</f>
        <v>208.85</v>
      </c>
      <c r="S470" s="3">
        <f ca="1">IFERROR(__xludf.DUMMYFUNCTION("""COMPUTED_VALUE"""),44141.6666666666)</f>
        <v>44141.666666666599</v>
      </c>
      <c r="T470" s="2">
        <f ca="1">IFERROR(__xludf.DUMMYFUNCTION("""COMPUTED_VALUE"""),142.25)</f>
        <v>142.25</v>
      </c>
    </row>
    <row r="471" spans="1:20">
      <c r="A471" s="3">
        <f ca="1">IFERROR(__xludf.DUMMYFUNCTION("""COMPUTED_VALUE"""),44144.6666666666)</f>
        <v>44144.666666666599</v>
      </c>
      <c r="B471" s="2">
        <f ca="1">IFERROR(__xludf.DUMMYFUNCTION("""COMPUTED_VALUE"""),116.32)</f>
        <v>116.32</v>
      </c>
      <c r="C471" s="3">
        <f ca="1">IFERROR(__xludf.DUMMYFUNCTION("""COMPUTED_VALUE"""),44144.6666666666)</f>
        <v>44144.666666666599</v>
      </c>
      <c r="D471" s="2">
        <f ca="1">IFERROR(__xludf.DUMMYFUNCTION("""COMPUTED_VALUE"""),218.39)</f>
        <v>218.39</v>
      </c>
      <c r="E471" s="3">
        <f ca="1">IFERROR(__xludf.DUMMYFUNCTION("""COMPUTED_VALUE"""),44144.6666666666)</f>
        <v>44144.666666666599</v>
      </c>
      <c r="F471" s="2">
        <f ca="1">IFERROR(__xludf.DUMMYFUNCTION("""COMPUTED_VALUE"""),3143.74)</f>
        <v>3143.74</v>
      </c>
      <c r="G471" s="3">
        <f ca="1">IFERROR(__xludf.DUMMYFUNCTION("""COMPUTED_VALUE"""),44144.6666666666)</f>
        <v>44144.666666666599</v>
      </c>
      <c r="H471" s="2">
        <f ca="1">IFERROR(__xludf.DUMMYFUNCTION("""COMPUTED_VALUE"""),1761.42)</f>
        <v>1761.42</v>
      </c>
      <c r="I471" s="3">
        <f ca="1">IFERROR(__xludf.DUMMYFUNCTION("""COMPUTED_VALUE"""),44144.6666666666)</f>
        <v>44144.666666666599</v>
      </c>
      <c r="J471" s="2">
        <f ca="1">IFERROR(__xludf.DUMMYFUNCTION("""COMPUTED_VALUE"""),1763)</f>
        <v>1763</v>
      </c>
      <c r="K471" s="3">
        <f ca="1">IFERROR(__xludf.DUMMYFUNCTION("""COMPUTED_VALUE"""),44144.6666666666)</f>
        <v>44144.666666666599</v>
      </c>
      <c r="L471" s="2">
        <f ca="1">IFERROR(__xludf.DUMMYFUNCTION("""COMPUTED_VALUE"""),278.77)</f>
        <v>278.77</v>
      </c>
      <c r="M471" s="3">
        <f ca="1">IFERROR(__xludf.DUMMYFUNCTION("""COMPUTED_VALUE"""),44144.6666666666)</f>
        <v>44144.666666666599</v>
      </c>
      <c r="N471" s="2">
        <f ca="1">IFERROR(__xludf.DUMMYFUNCTION("""COMPUTED_VALUE"""),421.26)</f>
        <v>421.26</v>
      </c>
      <c r="O471" s="3">
        <f ca="1">IFERROR(__xludf.DUMMYFUNCTION("""COMPUTED_VALUE"""),44144.6666666666)</f>
        <v>44144.666666666599</v>
      </c>
      <c r="P471" s="2">
        <f ca="1">IFERROR(__xludf.DUMMYFUNCTION("""COMPUTED_VALUE"""),136.31)</f>
        <v>136.31</v>
      </c>
      <c r="Q471" s="3">
        <f ca="1">IFERROR(__xludf.DUMMYFUNCTION("""COMPUTED_VALUE"""),44144.6666666666)</f>
        <v>44144.666666666599</v>
      </c>
      <c r="R471" s="2">
        <f ca="1">IFERROR(__xludf.DUMMYFUNCTION("""COMPUTED_VALUE"""),221.5)</f>
        <v>221.5</v>
      </c>
      <c r="S471" s="3">
        <f ca="1">IFERROR(__xludf.DUMMYFUNCTION("""COMPUTED_VALUE"""),44144.6666666666)</f>
        <v>44144.666666666599</v>
      </c>
      <c r="T471" s="2">
        <f ca="1">IFERROR(__xludf.DUMMYFUNCTION("""COMPUTED_VALUE"""),146.08)</f>
        <v>146.08000000000001</v>
      </c>
    </row>
    <row r="472" spans="1:20">
      <c r="A472" s="3">
        <f ca="1">IFERROR(__xludf.DUMMYFUNCTION("""COMPUTED_VALUE"""),44145.6666666666)</f>
        <v>44145.666666666599</v>
      </c>
      <c r="B472" s="2">
        <f ca="1">IFERROR(__xludf.DUMMYFUNCTION("""COMPUTED_VALUE"""),115.97)</f>
        <v>115.97</v>
      </c>
      <c r="C472" s="3">
        <f ca="1">IFERROR(__xludf.DUMMYFUNCTION("""COMPUTED_VALUE"""),44145.6666666666)</f>
        <v>44145.666666666599</v>
      </c>
      <c r="D472" s="2">
        <f ca="1">IFERROR(__xludf.DUMMYFUNCTION("""COMPUTED_VALUE"""),211.01)</f>
        <v>211.01</v>
      </c>
      <c r="E472" s="3">
        <f ca="1">IFERROR(__xludf.DUMMYFUNCTION("""COMPUTED_VALUE"""),44145.6666666666)</f>
        <v>44145.666666666599</v>
      </c>
      <c r="F472" s="2">
        <f ca="1">IFERROR(__xludf.DUMMYFUNCTION("""COMPUTED_VALUE"""),3035.02)</f>
        <v>3035.02</v>
      </c>
      <c r="G472" s="3">
        <f ca="1">IFERROR(__xludf.DUMMYFUNCTION("""COMPUTED_VALUE"""),44145.6666666666)</f>
        <v>44145.666666666599</v>
      </c>
      <c r="H472" s="2">
        <f ca="1">IFERROR(__xludf.DUMMYFUNCTION("""COMPUTED_VALUE"""),1737.72)</f>
        <v>1737.72</v>
      </c>
      <c r="I472" s="3">
        <f ca="1">IFERROR(__xludf.DUMMYFUNCTION("""COMPUTED_VALUE"""),44145.6666666666)</f>
        <v>44145.666666666599</v>
      </c>
      <c r="J472" s="2">
        <f ca="1">IFERROR(__xludf.DUMMYFUNCTION("""COMPUTED_VALUE"""),1740.39)</f>
        <v>1740.39</v>
      </c>
      <c r="K472" s="3">
        <f ca="1">IFERROR(__xludf.DUMMYFUNCTION("""COMPUTED_VALUE"""),44145.6666666666)</f>
        <v>44145.666666666599</v>
      </c>
      <c r="L472" s="2">
        <f ca="1">IFERROR(__xludf.DUMMYFUNCTION("""COMPUTED_VALUE"""),272.43)</f>
        <v>272.43</v>
      </c>
      <c r="M472" s="3">
        <f ca="1">IFERROR(__xludf.DUMMYFUNCTION("""COMPUTED_VALUE"""),44145.6666666666)</f>
        <v>44145.666666666599</v>
      </c>
      <c r="N472" s="2">
        <f ca="1">IFERROR(__xludf.DUMMYFUNCTION("""COMPUTED_VALUE"""),410.36)</f>
        <v>410.36</v>
      </c>
      <c r="O472" s="3">
        <f ca="1">IFERROR(__xludf.DUMMYFUNCTION("""COMPUTED_VALUE"""),44145.6666666666)</f>
        <v>44145.666666666599</v>
      </c>
      <c r="P472" s="2">
        <f ca="1">IFERROR(__xludf.DUMMYFUNCTION("""COMPUTED_VALUE"""),127.7)</f>
        <v>127.7</v>
      </c>
      <c r="Q472" s="3">
        <f ca="1">IFERROR(__xludf.DUMMYFUNCTION("""COMPUTED_VALUE"""),44145.6666666666)</f>
        <v>44145.666666666599</v>
      </c>
      <c r="R472" s="2">
        <f ca="1">IFERROR(__xludf.DUMMYFUNCTION("""COMPUTED_VALUE"""),228.48)</f>
        <v>228.48</v>
      </c>
      <c r="S472" s="3">
        <f ca="1">IFERROR(__xludf.DUMMYFUNCTION("""COMPUTED_VALUE"""),44145.6666666666)</f>
        <v>44145.666666666599</v>
      </c>
      <c r="T472" s="2">
        <f ca="1">IFERROR(__xludf.DUMMYFUNCTION("""COMPUTED_VALUE"""),148.28)</f>
        <v>148.28</v>
      </c>
    </row>
    <row r="473" spans="1:20">
      <c r="A473" s="3">
        <f ca="1">IFERROR(__xludf.DUMMYFUNCTION("""COMPUTED_VALUE"""),44146.6666666666)</f>
        <v>44146.666666666599</v>
      </c>
      <c r="B473" s="2">
        <f ca="1">IFERROR(__xludf.DUMMYFUNCTION("""COMPUTED_VALUE"""),119.49)</f>
        <v>119.49</v>
      </c>
      <c r="C473" s="3">
        <f ca="1">IFERROR(__xludf.DUMMYFUNCTION("""COMPUTED_VALUE"""),44146.6666666666)</f>
        <v>44146.666666666599</v>
      </c>
      <c r="D473" s="2">
        <f ca="1">IFERROR(__xludf.DUMMYFUNCTION("""COMPUTED_VALUE"""),216.55)</f>
        <v>216.55</v>
      </c>
      <c r="E473" s="3">
        <f ca="1">IFERROR(__xludf.DUMMYFUNCTION("""COMPUTED_VALUE"""),44146.6666666666)</f>
        <v>44146.666666666599</v>
      </c>
      <c r="F473" s="2">
        <f ca="1">IFERROR(__xludf.DUMMYFUNCTION("""COMPUTED_VALUE"""),3137.39)</f>
        <v>3137.39</v>
      </c>
      <c r="G473" s="3">
        <f ca="1">IFERROR(__xludf.DUMMYFUNCTION("""COMPUTED_VALUE"""),44146.6666666666)</f>
        <v>44146.666666666599</v>
      </c>
      <c r="H473" s="2">
        <f ca="1">IFERROR(__xludf.DUMMYFUNCTION("""COMPUTED_VALUE"""),1747.23)</f>
        <v>1747.23</v>
      </c>
      <c r="I473" s="3">
        <f ca="1">IFERROR(__xludf.DUMMYFUNCTION("""COMPUTED_VALUE"""),44146.6666666666)</f>
        <v>44146.666666666599</v>
      </c>
      <c r="J473" s="2">
        <f ca="1">IFERROR(__xludf.DUMMYFUNCTION("""COMPUTED_VALUE"""),1752.71)</f>
        <v>1752.71</v>
      </c>
      <c r="K473" s="3">
        <f ca="1">IFERROR(__xludf.DUMMYFUNCTION("""COMPUTED_VALUE"""),44146.6666666666)</f>
        <v>44146.666666666599</v>
      </c>
      <c r="L473" s="2">
        <f ca="1">IFERROR(__xludf.DUMMYFUNCTION("""COMPUTED_VALUE"""),276.48)</f>
        <v>276.48</v>
      </c>
      <c r="M473" s="3">
        <f ca="1">IFERROR(__xludf.DUMMYFUNCTION("""COMPUTED_VALUE"""),44146.6666666666)</f>
        <v>44146.666666666599</v>
      </c>
      <c r="N473" s="2">
        <f ca="1">IFERROR(__xludf.DUMMYFUNCTION("""COMPUTED_VALUE"""),417.13)</f>
        <v>417.13</v>
      </c>
      <c r="O473" s="3">
        <f ca="1">IFERROR(__xludf.DUMMYFUNCTION("""COMPUTED_VALUE"""),44146.6666666666)</f>
        <v>44146.666666666599</v>
      </c>
      <c r="P473" s="2">
        <f ca="1">IFERROR(__xludf.DUMMYFUNCTION("""COMPUTED_VALUE"""),134.18)</f>
        <v>134.18</v>
      </c>
      <c r="Q473" s="3">
        <f ca="1">IFERROR(__xludf.DUMMYFUNCTION("""COMPUTED_VALUE"""),44146.6666666666)</f>
        <v>44146.666666666599</v>
      </c>
      <c r="R473" s="2">
        <f ca="1">IFERROR(__xludf.DUMMYFUNCTION("""COMPUTED_VALUE"""),227.37)</f>
        <v>227.37</v>
      </c>
      <c r="S473" s="3">
        <f ca="1">IFERROR(__xludf.DUMMYFUNCTION("""COMPUTED_VALUE"""),44146.6666666666)</f>
        <v>44146.666666666599</v>
      </c>
      <c r="T473" s="2">
        <f ca="1">IFERROR(__xludf.DUMMYFUNCTION("""COMPUTED_VALUE"""),147.8)</f>
        <v>147.80000000000001</v>
      </c>
    </row>
    <row r="474" spans="1:20">
      <c r="A474" s="3">
        <f ca="1">IFERROR(__xludf.DUMMYFUNCTION("""COMPUTED_VALUE"""),44147.6666666666)</f>
        <v>44147.666666666599</v>
      </c>
      <c r="B474" s="2">
        <f ca="1">IFERROR(__xludf.DUMMYFUNCTION("""COMPUTED_VALUE"""),119.21)</f>
        <v>119.21</v>
      </c>
      <c r="C474" s="3">
        <f ca="1">IFERROR(__xludf.DUMMYFUNCTION("""COMPUTED_VALUE"""),44147.6666666666)</f>
        <v>44147.666666666599</v>
      </c>
      <c r="D474" s="2">
        <f ca="1">IFERROR(__xludf.DUMMYFUNCTION("""COMPUTED_VALUE"""),215.44)</f>
        <v>215.44</v>
      </c>
      <c r="E474" s="3">
        <f ca="1">IFERROR(__xludf.DUMMYFUNCTION("""COMPUTED_VALUE"""),44147.6666666666)</f>
        <v>44147.666666666599</v>
      </c>
      <c r="F474" s="2">
        <f ca="1">IFERROR(__xludf.DUMMYFUNCTION("""COMPUTED_VALUE"""),3110.28)</f>
        <v>3110.28</v>
      </c>
      <c r="G474" s="3">
        <f ca="1">IFERROR(__xludf.DUMMYFUNCTION("""COMPUTED_VALUE"""),44147.6666666666)</f>
        <v>44147.666666666599</v>
      </c>
      <c r="H474" s="2">
        <f ca="1">IFERROR(__xludf.DUMMYFUNCTION("""COMPUTED_VALUE"""),1742.82)</f>
        <v>1742.82</v>
      </c>
      <c r="I474" s="3">
        <f ca="1">IFERROR(__xludf.DUMMYFUNCTION("""COMPUTED_VALUE"""),44147.6666666666)</f>
        <v>44147.666666666599</v>
      </c>
      <c r="J474" s="2">
        <f ca="1">IFERROR(__xludf.DUMMYFUNCTION("""COMPUTED_VALUE"""),1749.84)</f>
        <v>1749.84</v>
      </c>
      <c r="K474" s="3">
        <f ca="1">IFERROR(__xludf.DUMMYFUNCTION("""COMPUTED_VALUE"""),44147.6666666666)</f>
        <v>44147.666666666599</v>
      </c>
      <c r="L474" s="2">
        <f ca="1">IFERROR(__xludf.DUMMYFUNCTION("""COMPUTED_VALUE"""),275.08)</f>
        <v>275.08</v>
      </c>
      <c r="M474" s="3">
        <f ca="1">IFERROR(__xludf.DUMMYFUNCTION("""COMPUTED_VALUE"""),44147.6666666666)</f>
        <v>44147.666666666599</v>
      </c>
      <c r="N474" s="2">
        <f ca="1">IFERROR(__xludf.DUMMYFUNCTION("""COMPUTED_VALUE"""),411.76)</f>
        <v>411.76</v>
      </c>
      <c r="O474" s="3">
        <f ca="1">IFERROR(__xludf.DUMMYFUNCTION("""COMPUTED_VALUE"""),44147.6666666666)</f>
        <v>44147.666666666599</v>
      </c>
      <c r="P474" s="2">
        <f ca="1">IFERROR(__xludf.DUMMYFUNCTION("""COMPUTED_VALUE"""),134.57)</f>
        <v>134.57</v>
      </c>
      <c r="Q474" s="3">
        <f ca="1">IFERROR(__xludf.DUMMYFUNCTION("""COMPUTED_VALUE"""),44147.6666666666)</f>
        <v>44147.666666666599</v>
      </c>
      <c r="R474" s="2">
        <f ca="1">IFERROR(__xludf.DUMMYFUNCTION("""COMPUTED_VALUE"""),224.72)</f>
        <v>224.72</v>
      </c>
      <c r="S474" s="3">
        <f ca="1">IFERROR(__xludf.DUMMYFUNCTION("""COMPUTED_VALUE"""),44147.6666666666)</f>
        <v>44147.666666666599</v>
      </c>
      <c r="T474" s="2">
        <f ca="1">IFERROR(__xludf.DUMMYFUNCTION("""COMPUTED_VALUE"""),148.3)</f>
        <v>148.30000000000001</v>
      </c>
    </row>
    <row r="475" spans="1:20">
      <c r="A475" s="3">
        <f ca="1">IFERROR(__xludf.DUMMYFUNCTION("""COMPUTED_VALUE"""),44148.6666666666)</f>
        <v>44148.666666666599</v>
      </c>
      <c r="B475" s="2">
        <f ca="1">IFERROR(__xludf.DUMMYFUNCTION("""COMPUTED_VALUE"""),119.26)</f>
        <v>119.26</v>
      </c>
      <c r="C475" s="3">
        <f ca="1">IFERROR(__xludf.DUMMYFUNCTION("""COMPUTED_VALUE"""),44148.6666666666)</f>
        <v>44148.666666666599</v>
      </c>
      <c r="D475" s="2">
        <f ca="1">IFERROR(__xludf.DUMMYFUNCTION("""COMPUTED_VALUE"""),216.51)</f>
        <v>216.51</v>
      </c>
      <c r="E475" s="3">
        <f ca="1">IFERROR(__xludf.DUMMYFUNCTION("""COMPUTED_VALUE"""),44148.6666666666)</f>
        <v>44148.666666666599</v>
      </c>
      <c r="F475" s="2">
        <f ca="1">IFERROR(__xludf.DUMMYFUNCTION("""COMPUTED_VALUE"""),3128.81)</f>
        <v>3128.81</v>
      </c>
      <c r="G475" s="3">
        <f ca="1">IFERROR(__xludf.DUMMYFUNCTION("""COMPUTED_VALUE"""),44148.6666666666)</f>
        <v>44148.666666666599</v>
      </c>
      <c r="H475" s="2">
        <f ca="1">IFERROR(__xludf.DUMMYFUNCTION("""COMPUTED_VALUE"""),1772.26)</f>
        <v>1772.26</v>
      </c>
      <c r="I475" s="3">
        <f ca="1">IFERROR(__xludf.DUMMYFUNCTION("""COMPUTED_VALUE"""),44148.6666666666)</f>
        <v>44148.666666666599</v>
      </c>
      <c r="J475" s="2">
        <f ca="1">IFERROR(__xludf.DUMMYFUNCTION("""COMPUTED_VALUE"""),1777.02)</f>
        <v>1777.02</v>
      </c>
      <c r="K475" s="3">
        <f ca="1">IFERROR(__xludf.DUMMYFUNCTION("""COMPUTED_VALUE"""),44148.6666666666)</f>
        <v>44148.666666666599</v>
      </c>
      <c r="L475" s="2">
        <f ca="1">IFERROR(__xludf.DUMMYFUNCTION("""COMPUTED_VALUE"""),276.95)</f>
        <v>276.95</v>
      </c>
      <c r="M475" s="3">
        <f ca="1">IFERROR(__xludf.DUMMYFUNCTION("""COMPUTED_VALUE"""),44148.6666666666)</f>
        <v>44148.666666666599</v>
      </c>
      <c r="N475" s="2">
        <f ca="1">IFERROR(__xludf.DUMMYFUNCTION("""COMPUTED_VALUE"""),408.5)</f>
        <v>408.5</v>
      </c>
      <c r="O475" s="3">
        <f ca="1">IFERROR(__xludf.DUMMYFUNCTION("""COMPUTED_VALUE"""),44148.6666666666)</f>
        <v>44148.666666666599</v>
      </c>
      <c r="P475" s="2">
        <f ca="1">IFERROR(__xludf.DUMMYFUNCTION("""COMPUTED_VALUE"""),132.97)</f>
        <v>132.97</v>
      </c>
      <c r="Q475" s="3">
        <f ca="1">IFERROR(__xludf.DUMMYFUNCTION("""COMPUTED_VALUE"""),44148.6666666666)</f>
        <v>44148.666666666599</v>
      </c>
      <c r="R475" s="2">
        <f ca="1">IFERROR(__xludf.DUMMYFUNCTION("""COMPUTED_VALUE"""),227.42)</f>
        <v>227.42</v>
      </c>
      <c r="S475" s="3">
        <f ca="1">IFERROR(__xludf.DUMMYFUNCTION("""COMPUTED_VALUE"""),44148.6666666666)</f>
        <v>44148.666666666599</v>
      </c>
      <c r="T475" s="2">
        <f ca="1">IFERROR(__xludf.DUMMYFUNCTION("""COMPUTED_VALUE"""),149.9)</f>
        <v>149.9</v>
      </c>
    </row>
    <row r="476" spans="1:20">
      <c r="A476" s="3">
        <f ca="1">IFERROR(__xludf.DUMMYFUNCTION("""COMPUTED_VALUE"""),44151.6666666666)</f>
        <v>44151.666666666599</v>
      </c>
      <c r="B476" s="2">
        <f ca="1">IFERROR(__xludf.DUMMYFUNCTION("""COMPUTED_VALUE"""),120.3)</f>
        <v>120.3</v>
      </c>
      <c r="C476" s="3">
        <f ca="1">IFERROR(__xludf.DUMMYFUNCTION("""COMPUTED_VALUE"""),44151.6666666666)</f>
        <v>44151.666666666599</v>
      </c>
      <c r="D476" s="2">
        <f ca="1">IFERROR(__xludf.DUMMYFUNCTION("""COMPUTED_VALUE"""),217.23)</f>
        <v>217.23</v>
      </c>
      <c r="E476" s="3">
        <f ca="1">IFERROR(__xludf.DUMMYFUNCTION("""COMPUTED_VALUE"""),44151.6666666666)</f>
        <v>44151.666666666599</v>
      </c>
      <c r="F476" s="2">
        <f ca="1">IFERROR(__xludf.DUMMYFUNCTION("""COMPUTED_VALUE"""),3131.06)</f>
        <v>3131.06</v>
      </c>
      <c r="G476" s="3">
        <f ca="1">IFERROR(__xludf.DUMMYFUNCTION("""COMPUTED_VALUE"""),44151.6666666666)</f>
        <v>44151.666666666599</v>
      </c>
      <c r="H476" s="2">
        <f ca="1">IFERROR(__xludf.DUMMYFUNCTION("""COMPUTED_VALUE"""),1774.03)</f>
        <v>1774.03</v>
      </c>
      <c r="I476" s="3">
        <f ca="1">IFERROR(__xludf.DUMMYFUNCTION("""COMPUTED_VALUE"""),44151.6666666666)</f>
        <v>44151.666666666599</v>
      </c>
      <c r="J476" s="2">
        <f ca="1">IFERROR(__xludf.DUMMYFUNCTION("""COMPUTED_VALUE"""),1781.38)</f>
        <v>1781.38</v>
      </c>
      <c r="K476" s="3">
        <f ca="1">IFERROR(__xludf.DUMMYFUNCTION("""COMPUTED_VALUE"""),44151.6666666666)</f>
        <v>44151.666666666599</v>
      </c>
      <c r="L476" s="2">
        <f ca="1">IFERROR(__xludf.DUMMYFUNCTION("""COMPUTED_VALUE"""),278.96)</f>
        <v>278.95999999999998</v>
      </c>
      <c r="M476" s="3">
        <f ca="1">IFERROR(__xludf.DUMMYFUNCTION("""COMPUTED_VALUE"""),44151.6666666666)</f>
        <v>44151.666666666599</v>
      </c>
      <c r="N476" s="2">
        <f ca="1">IFERROR(__xludf.DUMMYFUNCTION("""COMPUTED_VALUE"""),408.09)</f>
        <v>408.09</v>
      </c>
      <c r="O476" s="3">
        <f ca="1">IFERROR(__xludf.DUMMYFUNCTION("""COMPUTED_VALUE"""),44151.6666666666)</f>
        <v>44151.666666666599</v>
      </c>
      <c r="P476" s="2">
        <f ca="1">IFERROR(__xludf.DUMMYFUNCTION("""COMPUTED_VALUE"""),135.15)</f>
        <v>135.15</v>
      </c>
      <c r="Q476" s="3">
        <f ca="1">IFERROR(__xludf.DUMMYFUNCTION("""COMPUTED_VALUE"""),44151.6666666666)</f>
        <v>44151.666666666599</v>
      </c>
      <c r="R476" s="2">
        <f ca="1">IFERROR(__xludf.DUMMYFUNCTION("""COMPUTED_VALUE"""),233.1)</f>
        <v>233.1</v>
      </c>
      <c r="S476" s="3">
        <f ca="1">IFERROR(__xludf.DUMMYFUNCTION("""COMPUTED_VALUE"""),44151.6666666666)</f>
        <v>44151.666666666599</v>
      </c>
      <c r="T476" s="2">
        <f ca="1">IFERROR(__xludf.DUMMYFUNCTION("""COMPUTED_VALUE"""),150.85)</f>
        <v>150.85</v>
      </c>
    </row>
    <row r="477" spans="1:20">
      <c r="A477" s="3">
        <f ca="1">IFERROR(__xludf.DUMMYFUNCTION("""COMPUTED_VALUE"""),44152.6666666666)</f>
        <v>44152.666666666599</v>
      </c>
      <c r="B477" s="2">
        <f ca="1">IFERROR(__xludf.DUMMYFUNCTION("""COMPUTED_VALUE"""),119.39)</f>
        <v>119.39</v>
      </c>
      <c r="C477" s="3">
        <f ca="1">IFERROR(__xludf.DUMMYFUNCTION("""COMPUTED_VALUE"""),44152.6666666666)</f>
        <v>44152.666666666599</v>
      </c>
      <c r="D477" s="2">
        <f ca="1">IFERROR(__xludf.DUMMYFUNCTION("""COMPUTED_VALUE"""),214.46)</f>
        <v>214.46</v>
      </c>
      <c r="E477" s="3">
        <f ca="1">IFERROR(__xludf.DUMMYFUNCTION("""COMPUTED_VALUE"""),44152.6666666666)</f>
        <v>44152.666666666599</v>
      </c>
      <c r="F477" s="2">
        <f ca="1">IFERROR(__xludf.DUMMYFUNCTION("""COMPUTED_VALUE"""),3135.66)</f>
        <v>3135.66</v>
      </c>
      <c r="G477" s="3">
        <f ca="1">IFERROR(__xludf.DUMMYFUNCTION("""COMPUTED_VALUE"""),44152.6666666666)</f>
        <v>44152.666666666599</v>
      </c>
      <c r="H477" s="2">
        <f ca="1">IFERROR(__xludf.DUMMYFUNCTION("""COMPUTED_VALUE"""),1761.66)</f>
        <v>1761.66</v>
      </c>
      <c r="I477" s="3">
        <f ca="1">IFERROR(__xludf.DUMMYFUNCTION("""COMPUTED_VALUE"""),44152.6666666666)</f>
        <v>44152.666666666599</v>
      </c>
      <c r="J477" s="2">
        <f ca="1">IFERROR(__xludf.DUMMYFUNCTION("""COMPUTED_VALUE"""),1770.15)</f>
        <v>1770.15</v>
      </c>
      <c r="K477" s="3">
        <f ca="1">IFERROR(__xludf.DUMMYFUNCTION("""COMPUTED_VALUE"""),44152.6666666666)</f>
        <v>44152.666666666599</v>
      </c>
      <c r="L477" s="2">
        <f ca="1">IFERROR(__xludf.DUMMYFUNCTION("""COMPUTED_VALUE"""),275)</f>
        <v>275</v>
      </c>
      <c r="M477" s="3">
        <f ca="1">IFERROR(__xludf.DUMMYFUNCTION("""COMPUTED_VALUE"""),44152.6666666666)</f>
        <v>44152.666666666599</v>
      </c>
      <c r="N477" s="2">
        <f ca="1">IFERROR(__xludf.DUMMYFUNCTION("""COMPUTED_VALUE"""),441.61)</f>
        <v>441.61</v>
      </c>
      <c r="O477" s="3">
        <f ca="1">IFERROR(__xludf.DUMMYFUNCTION("""COMPUTED_VALUE"""),44152.6666666666)</f>
        <v>44152.666666666599</v>
      </c>
      <c r="P477" s="2">
        <f ca="1">IFERROR(__xludf.DUMMYFUNCTION("""COMPUTED_VALUE"""),134.22)</f>
        <v>134.22</v>
      </c>
      <c r="Q477" s="3">
        <f ca="1">IFERROR(__xludf.DUMMYFUNCTION("""COMPUTED_VALUE"""),44152.6666666666)</f>
        <v>44152.666666666599</v>
      </c>
      <c r="R477" s="2">
        <f ca="1">IFERROR(__xludf.DUMMYFUNCTION("""COMPUTED_VALUE"""),233.16)</f>
        <v>233.16</v>
      </c>
      <c r="S477" s="3">
        <f ca="1">IFERROR(__xludf.DUMMYFUNCTION("""COMPUTED_VALUE"""),44152.6666666666)</f>
        <v>44152.666666666599</v>
      </c>
      <c r="T477" s="2">
        <f ca="1">IFERROR(__xludf.DUMMYFUNCTION("""COMPUTED_VALUE"""),149.35)</f>
        <v>149.35</v>
      </c>
    </row>
    <row r="478" spans="1:20">
      <c r="A478" s="3">
        <f ca="1">IFERROR(__xludf.DUMMYFUNCTION("""COMPUTED_VALUE"""),44153.6666666666)</f>
        <v>44153.666666666599</v>
      </c>
      <c r="B478" s="2">
        <f ca="1">IFERROR(__xludf.DUMMYFUNCTION("""COMPUTED_VALUE"""),118.03)</f>
        <v>118.03</v>
      </c>
      <c r="C478" s="3">
        <f ca="1">IFERROR(__xludf.DUMMYFUNCTION("""COMPUTED_VALUE"""),44153.6666666666)</f>
        <v>44153.666666666599</v>
      </c>
      <c r="D478" s="2">
        <f ca="1">IFERROR(__xludf.DUMMYFUNCTION("""COMPUTED_VALUE"""),211.08)</f>
        <v>211.08</v>
      </c>
      <c r="E478" s="3">
        <f ca="1">IFERROR(__xludf.DUMMYFUNCTION("""COMPUTED_VALUE"""),44153.6666666666)</f>
        <v>44153.666666666599</v>
      </c>
      <c r="F478" s="2">
        <f ca="1">IFERROR(__xludf.DUMMYFUNCTION("""COMPUTED_VALUE"""),3105.46)</f>
        <v>3105.46</v>
      </c>
      <c r="G478" s="3">
        <f ca="1">IFERROR(__xludf.DUMMYFUNCTION("""COMPUTED_VALUE"""),44153.6666666666)</f>
        <v>44153.666666666599</v>
      </c>
      <c r="H478" s="2">
        <f ca="1">IFERROR(__xludf.DUMMYFUNCTION("""COMPUTED_VALUE"""),1740.64)</f>
        <v>1740.64</v>
      </c>
      <c r="I478" s="3">
        <f ca="1">IFERROR(__xludf.DUMMYFUNCTION("""COMPUTED_VALUE"""),44153.6666666666)</f>
        <v>44153.666666666599</v>
      </c>
      <c r="J478" s="2">
        <f ca="1">IFERROR(__xludf.DUMMYFUNCTION("""COMPUTED_VALUE"""),1746.78)</f>
        <v>1746.78</v>
      </c>
      <c r="K478" s="3">
        <f ca="1">IFERROR(__xludf.DUMMYFUNCTION("""COMPUTED_VALUE"""),44153.6666666666)</f>
        <v>44153.666666666599</v>
      </c>
      <c r="L478" s="2">
        <f ca="1">IFERROR(__xludf.DUMMYFUNCTION("""COMPUTED_VALUE"""),271.97)</f>
        <v>271.97000000000003</v>
      </c>
      <c r="M478" s="3">
        <f ca="1">IFERROR(__xludf.DUMMYFUNCTION("""COMPUTED_VALUE"""),44153.6666666666)</f>
        <v>44153.666666666599</v>
      </c>
      <c r="N478" s="2">
        <f ca="1">IFERROR(__xludf.DUMMYFUNCTION("""COMPUTED_VALUE"""),486.64)</f>
        <v>486.64</v>
      </c>
      <c r="O478" s="3">
        <f ca="1">IFERROR(__xludf.DUMMYFUNCTION("""COMPUTED_VALUE"""),44153.6666666666)</f>
        <v>44153.666666666599</v>
      </c>
      <c r="P478" s="2">
        <f ca="1">IFERROR(__xludf.DUMMYFUNCTION("""COMPUTED_VALUE"""),134.29)</f>
        <v>134.29</v>
      </c>
      <c r="Q478" s="3">
        <f ca="1">IFERROR(__xludf.DUMMYFUNCTION("""COMPUTED_VALUE"""),44153.6666666666)</f>
        <v>44153.666666666599</v>
      </c>
      <c r="R478" s="2">
        <f ca="1">IFERROR(__xludf.DUMMYFUNCTION("""COMPUTED_VALUE"""),230.07)</f>
        <v>230.07</v>
      </c>
      <c r="S478" s="3">
        <f ca="1">IFERROR(__xludf.DUMMYFUNCTION("""COMPUTED_VALUE"""),44153.6666666666)</f>
        <v>44153.666666666599</v>
      </c>
      <c r="T478" s="2">
        <f ca="1">IFERROR(__xludf.DUMMYFUNCTION("""COMPUTED_VALUE"""),147.37)</f>
        <v>147.37</v>
      </c>
    </row>
    <row r="479" spans="1:20">
      <c r="A479" s="3">
        <f ca="1">IFERROR(__xludf.DUMMYFUNCTION("""COMPUTED_VALUE"""),44154.6666666666)</f>
        <v>44154.666666666599</v>
      </c>
      <c r="B479" s="2">
        <f ca="1">IFERROR(__xludf.DUMMYFUNCTION("""COMPUTED_VALUE"""),118.64)</f>
        <v>118.64</v>
      </c>
      <c r="C479" s="3">
        <f ca="1">IFERROR(__xludf.DUMMYFUNCTION("""COMPUTED_VALUE"""),44154.6666666666)</f>
        <v>44154.666666666599</v>
      </c>
      <c r="D479" s="2">
        <f ca="1">IFERROR(__xludf.DUMMYFUNCTION("""COMPUTED_VALUE"""),212.42)</f>
        <v>212.42</v>
      </c>
      <c r="E479" s="3">
        <f ca="1">IFERROR(__xludf.DUMMYFUNCTION("""COMPUTED_VALUE"""),44154.6666666666)</f>
        <v>44154.666666666599</v>
      </c>
      <c r="F479" s="2">
        <f ca="1">IFERROR(__xludf.DUMMYFUNCTION("""COMPUTED_VALUE"""),3117.02)</f>
        <v>3117.02</v>
      </c>
      <c r="G479" s="3">
        <f ca="1">IFERROR(__xludf.DUMMYFUNCTION("""COMPUTED_VALUE"""),44154.6666666666)</f>
        <v>44154.666666666599</v>
      </c>
      <c r="H479" s="2">
        <f ca="1">IFERROR(__xludf.DUMMYFUNCTION("""COMPUTED_VALUE"""),1758.57)</f>
        <v>1758.57</v>
      </c>
      <c r="I479" s="3">
        <f ca="1">IFERROR(__xludf.DUMMYFUNCTION("""COMPUTED_VALUE"""),44154.6666666666)</f>
        <v>44154.666666666599</v>
      </c>
      <c r="J479" s="2">
        <f ca="1">IFERROR(__xludf.DUMMYFUNCTION("""COMPUTED_VALUE"""),1763.92)</f>
        <v>1763.92</v>
      </c>
      <c r="K479" s="3">
        <f ca="1">IFERROR(__xludf.DUMMYFUNCTION("""COMPUTED_VALUE"""),44154.6666666666)</f>
        <v>44154.666666666599</v>
      </c>
      <c r="L479" s="2">
        <f ca="1">IFERROR(__xludf.DUMMYFUNCTION("""COMPUTED_VALUE"""),272.94)</f>
        <v>272.94</v>
      </c>
      <c r="M479" s="3">
        <f ca="1">IFERROR(__xludf.DUMMYFUNCTION("""COMPUTED_VALUE"""),44154.6666666666)</f>
        <v>44154.666666666599</v>
      </c>
      <c r="N479" s="2">
        <f ca="1">IFERROR(__xludf.DUMMYFUNCTION("""COMPUTED_VALUE"""),499.27)</f>
        <v>499.27</v>
      </c>
      <c r="O479" s="3">
        <f ca="1">IFERROR(__xludf.DUMMYFUNCTION("""COMPUTED_VALUE"""),44154.6666666666)</f>
        <v>44154.666666666599</v>
      </c>
      <c r="P479" s="2">
        <f ca="1">IFERROR(__xludf.DUMMYFUNCTION("""COMPUTED_VALUE"""),134.4)</f>
        <v>134.4</v>
      </c>
      <c r="Q479" s="3">
        <f ca="1">IFERROR(__xludf.DUMMYFUNCTION("""COMPUTED_VALUE"""),44154.6666666666)</f>
        <v>44154.666666666599</v>
      </c>
      <c r="R479" s="2">
        <f ca="1">IFERROR(__xludf.DUMMYFUNCTION("""COMPUTED_VALUE"""),229.53)</f>
        <v>229.53</v>
      </c>
      <c r="S479" s="3">
        <f ca="1">IFERROR(__xludf.DUMMYFUNCTION("""COMPUTED_VALUE"""),44154.6666666666)</f>
        <v>44154.666666666599</v>
      </c>
      <c r="T479" s="2">
        <f ca="1">IFERROR(__xludf.DUMMYFUNCTION("""COMPUTED_VALUE"""),147.14)</f>
        <v>147.13999999999999</v>
      </c>
    </row>
    <row r="480" spans="1:20">
      <c r="A480" s="3">
        <f ca="1">IFERROR(__xludf.DUMMYFUNCTION("""COMPUTED_VALUE"""),44155.6666666666)</f>
        <v>44155.666666666599</v>
      </c>
      <c r="B480" s="2">
        <f ca="1">IFERROR(__xludf.DUMMYFUNCTION("""COMPUTED_VALUE"""),117.34)</f>
        <v>117.34</v>
      </c>
      <c r="C480" s="3">
        <f ca="1">IFERROR(__xludf.DUMMYFUNCTION("""COMPUTED_VALUE"""),44155.6666666666)</f>
        <v>44155.666666666599</v>
      </c>
      <c r="D480" s="2">
        <f ca="1">IFERROR(__xludf.DUMMYFUNCTION("""COMPUTED_VALUE"""),210.39)</f>
        <v>210.39</v>
      </c>
      <c r="E480" s="3">
        <f ca="1">IFERROR(__xludf.DUMMYFUNCTION("""COMPUTED_VALUE"""),44155.6666666666)</f>
        <v>44155.666666666599</v>
      </c>
      <c r="F480" s="2">
        <f ca="1">IFERROR(__xludf.DUMMYFUNCTION("""COMPUTED_VALUE"""),3099.4)</f>
        <v>3099.4</v>
      </c>
      <c r="G480" s="3">
        <f ca="1">IFERROR(__xludf.DUMMYFUNCTION("""COMPUTED_VALUE"""),44155.6666666666)</f>
        <v>44155.666666666599</v>
      </c>
      <c r="H480" s="2">
        <f ca="1">IFERROR(__xludf.DUMMYFUNCTION("""COMPUTED_VALUE"""),1736.38)</f>
        <v>1736.38</v>
      </c>
      <c r="I480" s="3">
        <f ca="1">IFERROR(__xludf.DUMMYFUNCTION("""COMPUTED_VALUE"""),44155.6666666666)</f>
        <v>44155.666666666599</v>
      </c>
      <c r="J480" s="2">
        <f ca="1">IFERROR(__xludf.DUMMYFUNCTION("""COMPUTED_VALUE"""),1742.19)</f>
        <v>1742.19</v>
      </c>
      <c r="K480" s="3">
        <f ca="1">IFERROR(__xludf.DUMMYFUNCTION("""COMPUTED_VALUE"""),44155.6666666666)</f>
        <v>44155.666666666599</v>
      </c>
      <c r="L480" s="2">
        <f ca="1">IFERROR(__xludf.DUMMYFUNCTION("""COMPUTED_VALUE"""),269.7)</f>
        <v>269.7</v>
      </c>
      <c r="M480" s="3">
        <f ca="1">IFERROR(__xludf.DUMMYFUNCTION("""COMPUTED_VALUE"""),44155.6666666666)</f>
        <v>44155.666666666599</v>
      </c>
      <c r="N480" s="2">
        <f ca="1">IFERROR(__xludf.DUMMYFUNCTION("""COMPUTED_VALUE"""),489.61)</f>
        <v>489.61</v>
      </c>
      <c r="O480" s="3">
        <f ca="1">IFERROR(__xludf.DUMMYFUNCTION("""COMPUTED_VALUE"""),44155.6666666666)</f>
        <v>44155.666666666599</v>
      </c>
      <c r="P480" s="2">
        <f ca="1">IFERROR(__xludf.DUMMYFUNCTION("""COMPUTED_VALUE"""),130.88)</f>
        <v>130.88</v>
      </c>
      <c r="Q480" s="3">
        <f ca="1">IFERROR(__xludf.DUMMYFUNCTION("""COMPUTED_VALUE"""),44155.6666666666)</f>
        <v>44155.666666666599</v>
      </c>
      <c r="R480" s="2">
        <f ca="1">IFERROR(__xludf.DUMMYFUNCTION("""COMPUTED_VALUE"""),227.01)</f>
        <v>227.01</v>
      </c>
      <c r="S480" s="3">
        <f ca="1">IFERROR(__xludf.DUMMYFUNCTION("""COMPUTED_VALUE"""),44155.6666666666)</f>
        <v>44155.666666666599</v>
      </c>
      <c r="T480" s="2">
        <f ca="1">IFERROR(__xludf.DUMMYFUNCTION("""COMPUTED_VALUE"""),146.36)</f>
        <v>146.36000000000001</v>
      </c>
    </row>
    <row r="481" spans="1:20">
      <c r="A481" s="3">
        <f ca="1">IFERROR(__xludf.DUMMYFUNCTION("""COMPUTED_VALUE"""),44158.6666666666)</f>
        <v>44158.666666666599</v>
      </c>
      <c r="B481" s="2">
        <f ca="1">IFERROR(__xludf.DUMMYFUNCTION("""COMPUTED_VALUE"""),113.85)</f>
        <v>113.85</v>
      </c>
      <c r="C481" s="3">
        <f ca="1">IFERROR(__xludf.DUMMYFUNCTION("""COMPUTED_VALUE"""),44158.6666666666)</f>
        <v>44158.666666666599</v>
      </c>
      <c r="D481" s="2">
        <f ca="1">IFERROR(__xludf.DUMMYFUNCTION("""COMPUTED_VALUE"""),210.11)</f>
        <v>210.11</v>
      </c>
      <c r="E481" s="3">
        <f ca="1">IFERROR(__xludf.DUMMYFUNCTION("""COMPUTED_VALUE"""),44158.6666666666)</f>
        <v>44158.666666666599</v>
      </c>
      <c r="F481" s="2">
        <f ca="1">IFERROR(__xludf.DUMMYFUNCTION("""COMPUTED_VALUE"""),3098.39)</f>
        <v>3098.39</v>
      </c>
      <c r="G481" s="3">
        <f ca="1">IFERROR(__xludf.DUMMYFUNCTION("""COMPUTED_VALUE"""),44158.6666666666)</f>
        <v>44158.666666666599</v>
      </c>
      <c r="H481" s="2">
        <f ca="1">IFERROR(__xludf.DUMMYFUNCTION("""COMPUTED_VALUE"""),1727.56)</f>
        <v>1727.56</v>
      </c>
      <c r="I481" s="3">
        <f ca="1">IFERROR(__xludf.DUMMYFUNCTION("""COMPUTED_VALUE"""),44158.6666666666)</f>
        <v>44158.666666666599</v>
      </c>
      <c r="J481" s="2">
        <f ca="1">IFERROR(__xludf.DUMMYFUNCTION("""COMPUTED_VALUE"""),1734.86)</f>
        <v>1734.86</v>
      </c>
      <c r="K481" s="3">
        <f ca="1">IFERROR(__xludf.DUMMYFUNCTION("""COMPUTED_VALUE"""),44158.6666666666)</f>
        <v>44158.666666666599</v>
      </c>
      <c r="L481" s="2">
        <f ca="1">IFERROR(__xludf.DUMMYFUNCTION("""COMPUTED_VALUE"""),268.43)</f>
        <v>268.43</v>
      </c>
      <c r="M481" s="3">
        <f ca="1">IFERROR(__xludf.DUMMYFUNCTION("""COMPUTED_VALUE"""),44158.6666666666)</f>
        <v>44158.666666666599</v>
      </c>
      <c r="N481" s="2">
        <f ca="1">IFERROR(__xludf.DUMMYFUNCTION("""COMPUTED_VALUE"""),521.85)</f>
        <v>521.85</v>
      </c>
      <c r="O481" s="3">
        <f ca="1">IFERROR(__xludf.DUMMYFUNCTION("""COMPUTED_VALUE"""),44158.6666666666)</f>
        <v>44158.666666666599</v>
      </c>
      <c r="P481" s="2">
        <f ca="1">IFERROR(__xludf.DUMMYFUNCTION("""COMPUTED_VALUE"""),131.4)</f>
        <v>131.4</v>
      </c>
      <c r="Q481" s="3">
        <f ca="1">IFERROR(__xludf.DUMMYFUNCTION("""COMPUTED_VALUE"""),44158.6666666666)</f>
        <v>44158.666666666599</v>
      </c>
      <c r="R481" s="2">
        <f ca="1">IFERROR(__xludf.DUMMYFUNCTION("""COMPUTED_VALUE"""),229.54)</f>
        <v>229.54</v>
      </c>
      <c r="S481" s="3">
        <f ca="1">IFERROR(__xludf.DUMMYFUNCTION("""COMPUTED_VALUE"""),44158.6666666666)</f>
        <v>44158.666666666599</v>
      </c>
      <c r="T481" s="2">
        <f ca="1">IFERROR(__xludf.DUMMYFUNCTION("""COMPUTED_VALUE"""),143.87)</f>
        <v>143.87</v>
      </c>
    </row>
    <row r="482" spans="1:20">
      <c r="A482" s="3">
        <f ca="1">IFERROR(__xludf.DUMMYFUNCTION("""COMPUTED_VALUE"""),44159.6666666666)</f>
        <v>44159.666666666599</v>
      </c>
      <c r="B482" s="2">
        <f ca="1">IFERROR(__xludf.DUMMYFUNCTION("""COMPUTED_VALUE"""),115.17)</f>
        <v>115.17</v>
      </c>
      <c r="C482" s="3">
        <f ca="1">IFERROR(__xludf.DUMMYFUNCTION("""COMPUTED_VALUE"""),44159.6666666666)</f>
        <v>44159.666666666599</v>
      </c>
      <c r="D482" s="2">
        <f ca="1">IFERROR(__xludf.DUMMYFUNCTION("""COMPUTED_VALUE"""),213.86)</f>
        <v>213.86</v>
      </c>
      <c r="E482" s="3">
        <f ca="1">IFERROR(__xludf.DUMMYFUNCTION("""COMPUTED_VALUE"""),44159.6666666666)</f>
        <v>44159.666666666599</v>
      </c>
      <c r="F482" s="2">
        <f ca="1">IFERROR(__xludf.DUMMYFUNCTION("""COMPUTED_VALUE"""),3118.06)</f>
        <v>3118.06</v>
      </c>
      <c r="G482" s="3">
        <f ca="1">IFERROR(__xludf.DUMMYFUNCTION("""COMPUTED_VALUE"""),44159.6666666666)</f>
        <v>44159.666666666599</v>
      </c>
      <c r="H482" s="2">
        <f ca="1">IFERROR(__xludf.DUMMYFUNCTION("""COMPUTED_VALUE"""),1763.9)</f>
        <v>1763.9</v>
      </c>
      <c r="I482" s="3">
        <f ca="1">IFERROR(__xludf.DUMMYFUNCTION("""COMPUTED_VALUE"""),44159.6666666666)</f>
        <v>44159.666666666599</v>
      </c>
      <c r="J482" s="2">
        <f ca="1">IFERROR(__xludf.DUMMYFUNCTION("""COMPUTED_VALUE"""),1768.88)</f>
        <v>1768.88</v>
      </c>
      <c r="K482" s="3">
        <f ca="1">IFERROR(__xludf.DUMMYFUNCTION("""COMPUTED_VALUE"""),44159.6666666666)</f>
        <v>44159.666666666599</v>
      </c>
      <c r="L482" s="2">
        <f ca="1">IFERROR(__xludf.DUMMYFUNCTION("""COMPUTED_VALUE"""),276.92)</f>
        <v>276.92</v>
      </c>
      <c r="M482" s="3">
        <f ca="1">IFERROR(__xludf.DUMMYFUNCTION("""COMPUTED_VALUE"""),44159.6666666666)</f>
        <v>44159.666666666599</v>
      </c>
      <c r="N482" s="2">
        <f ca="1">IFERROR(__xludf.DUMMYFUNCTION("""COMPUTED_VALUE"""),555.38)</f>
        <v>555.38</v>
      </c>
      <c r="O482" s="3">
        <f ca="1">IFERROR(__xludf.DUMMYFUNCTION("""COMPUTED_VALUE"""),44159.6666666666)</f>
        <v>44159.666666666599</v>
      </c>
      <c r="P482" s="2">
        <f ca="1">IFERROR(__xludf.DUMMYFUNCTION("""COMPUTED_VALUE"""),129.58)</f>
        <v>129.58000000000001</v>
      </c>
      <c r="Q482" s="3">
        <f ca="1">IFERROR(__xludf.DUMMYFUNCTION("""COMPUTED_VALUE"""),44159.6666666666)</f>
        <v>44159.666666666599</v>
      </c>
      <c r="R482" s="2">
        <f ca="1">IFERROR(__xludf.DUMMYFUNCTION("""COMPUTED_VALUE"""),233.92)</f>
        <v>233.92</v>
      </c>
      <c r="S482" s="3">
        <f ca="1">IFERROR(__xludf.DUMMYFUNCTION("""COMPUTED_VALUE"""),44159.6666666666)</f>
        <v>44159.666666666599</v>
      </c>
      <c r="T482" s="2">
        <f ca="1">IFERROR(__xludf.DUMMYFUNCTION("""COMPUTED_VALUE"""),143.87)</f>
        <v>143.87</v>
      </c>
    </row>
    <row r="483" spans="1:20">
      <c r="A483" s="3">
        <f ca="1">IFERROR(__xludf.DUMMYFUNCTION("""COMPUTED_VALUE"""),44160.6666666666)</f>
        <v>44160.666666666599</v>
      </c>
      <c r="B483" s="2">
        <f ca="1">IFERROR(__xludf.DUMMYFUNCTION("""COMPUTED_VALUE"""),116.03)</f>
        <v>116.03</v>
      </c>
      <c r="C483" s="3">
        <f ca="1">IFERROR(__xludf.DUMMYFUNCTION("""COMPUTED_VALUE"""),44160.6666666666)</f>
        <v>44160.666666666599</v>
      </c>
      <c r="D483" s="2">
        <f ca="1">IFERROR(__xludf.DUMMYFUNCTION("""COMPUTED_VALUE"""),213.87)</f>
        <v>213.87</v>
      </c>
      <c r="E483" s="3">
        <f ca="1">IFERROR(__xludf.DUMMYFUNCTION("""COMPUTED_VALUE"""),44160.6666666666)</f>
        <v>44160.666666666599</v>
      </c>
      <c r="F483" s="2">
        <f ca="1">IFERROR(__xludf.DUMMYFUNCTION("""COMPUTED_VALUE"""),3185.07)</f>
        <v>3185.07</v>
      </c>
      <c r="G483" s="3">
        <f ca="1">IFERROR(__xludf.DUMMYFUNCTION("""COMPUTED_VALUE"""),44160.6666666666)</f>
        <v>44160.666666666599</v>
      </c>
      <c r="H483" s="2">
        <f ca="1">IFERROR(__xludf.DUMMYFUNCTION("""COMPUTED_VALUE"""),1764.13)</f>
        <v>1764.13</v>
      </c>
      <c r="I483" s="3">
        <f ca="1">IFERROR(__xludf.DUMMYFUNCTION("""COMPUTED_VALUE"""),44160.6666666666)</f>
        <v>44160.666666666599</v>
      </c>
      <c r="J483" s="2">
        <f ca="1">IFERROR(__xludf.DUMMYFUNCTION("""COMPUTED_VALUE"""),1771.43)</f>
        <v>1771.43</v>
      </c>
      <c r="K483" s="3">
        <f ca="1">IFERROR(__xludf.DUMMYFUNCTION("""COMPUTED_VALUE"""),44160.6666666666)</f>
        <v>44160.666666666599</v>
      </c>
      <c r="L483" s="2">
        <f ca="1">IFERROR(__xludf.DUMMYFUNCTION("""COMPUTED_VALUE"""),275.59)</f>
        <v>275.58999999999997</v>
      </c>
      <c r="M483" s="3">
        <f ca="1">IFERROR(__xludf.DUMMYFUNCTION("""COMPUTED_VALUE"""),44160.6666666666)</f>
        <v>44160.666666666599</v>
      </c>
      <c r="N483" s="2">
        <f ca="1">IFERROR(__xludf.DUMMYFUNCTION("""COMPUTED_VALUE"""),574)</f>
        <v>574</v>
      </c>
      <c r="O483" s="3">
        <f ca="1">IFERROR(__xludf.DUMMYFUNCTION("""COMPUTED_VALUE"""),44160.6666666666)</f>
        <v>44160.666666666599</v>
      </c>
      <c r="P483" s="2">
        <f ca="1">IFERROR(__xludf.DUMMYFUNCTION("""COMPUTED_VALUE"""),132.35)</f>
        <v>132.35</v>
      </c>
      <c r="Q483" s="3">
        <f ca="1">IFERROR(__xludf.DUMMYFUNCTION("""COMPUTED_VALUE"""),44160.6666666666)</f>
        <v>44160.666666666599</v>
      </c>
      <c r="R483" s="2">
        <f ca="1">IFERROR(__xludf.DUMMYFUNCTION("""COMPUTED_VALUE"""),233.13)</f>
        <v>233.13</v>
      </c>
      <c r="S483" s="3">
        <f ca="1">IFERROR(__xludf.DUMMYFUNCTION("""COMPUTED_VALUE"""),44160.6666666666)</f>
        <v>44160.666666666599</v>
      </c>
      <c r="T483" s="2">
        <f ca="1">IFERROR(__xludf.DUMMYFUNCTION("""COMPUTED_VALUE"""),143.68)</f>
        <v>143.68</v>
      </c>
    </row>
    <row r="484" spans="1:20">
      <c r="A484" s="3">
        <f ca="1">IFERROR(__xludf.DUMMYFUNCTION("""COMPUTED_VALUE"""),44162.5416666666)</f>
        <v>44162.541666666599</v>
      </c>
      <c r="B484" s="2">
        <f ca="1">IFERROR(__xludf.DUMMYFUNCTION("""COMPUTED_VALUE"""),116.59)</f>
        <v>116.59</v>
      </c>
      <c r="C484" s="3">
        <f ca="1">IFERROR(__xludf.DUMMYFUNCTION("""COMPUTED_VALUE"""),44162.5416666666)</f>
        <v>44162.541666666599</v>
      </c>
      <c r="D484" s="2">
        <f ca="1">IFERROR(__xludf.DUMMYFUNCTION("""COMPUTED_VALUE"""),215.23)</f>
        <v>215.23</v>
      </c>
      <c r="E484" s="3">
        <f ca="1">IFERROR(__xludf.DUMMYFUNCTION("""COMPUTED_VALUE"""),44162.5416666666)</f>
        <v>44162.541666666599</v>
      </c>
      <c r="F484" s="2">
        <f ca="1">IFERROR(__xludf.DUMMYFUNCTION("""COMPUTED_VALUE"""),3195.34)</f>
        <v>3195.34</v>
      </c>
      <c r="G484" s="3">
        <f ca="1">IFERROR(__xludf.DUMMYFUNCTION("""COMPUTED_VALUE"""),44162.5416666666)</f>
        <v>44162.541666666599</v>
      </c>
      <c r="H484" s="2">
        <f ca="1">IFERROR(__xludf.DUMMYFUNCTION("""COMPUTED_VALUE"""),1787.02)</f>
        <v>1787.02</v>
      </c>
      <c r="I484" s="3">
        <f ca="1">IFERROR(__xludf.DUMMYFUNCTION("""COMPUTED_VALUE"""),44162.5416666666)</f>
        <v>44162.541666666599</v>
      </c>
      <c r="J484" s="2">
        <f ca="1">IFERROR(__xludf.DUMMYFUNCTION("""COMPUTED_VALUE"""),1793.19)</f>
        <v>1793.19</v>
      </c>
      <c r="K484" s="3">
        <f ca="1">IFERROR(__xludf.DUMMYFUNCTION("""COMPUTED_VALUE"""),44162.5416666666)</f>
        <v>44162.541666666599</v>
      </c>
      <c r="L484" s="2">
        <f ca="1">IFERROR(__xludf.DUMMYFUNCTION("""COMPUTED_VALUE"""),277.81)</f>
        <v>277.81</v>
      </c>
      <c r="M484" s="3">
        <f ca="1">IFERROR(__xludf.DUMMYFUNCTION("""COMPUTED_VALUE"""),44162.5416666666)</f>
        <v>44162.541666666599</v>
      </c>
      <c r="N484" s="2">
        <f ca="1">IFERROR(__xludf.DUMMYFUNCTION("""COMPUTED_VALUE"""),585.76)</f>
        <v>585.76</v>
      </c>
      <c r="O484" s="3">
        <f ca="1">IFERROR(__xludf.DUMMYFUNCTION("""COMPUTED_VALUE"""),44162.5416666666)</f>
        <v>44162.541666666599</v>
      </c>
      <c r="P484" s="2">
        <f ca="1">IFERROR(__xludf.DUMMYFUNCTION("""COMPUTED_VALUE"""),132.61)</f>
        <v>132.61000000000001</v>
      </c>
      <c r="Q484" s="3">
        <f ca="1">IFERROR(__xludf.DUMMYFUNCTION("""COMPUTED_VALUE"""),44162.5416666666)</f>
        <v>44162.541666666599</v>
      </c>
      <c r="R484" s="2">
        <f ca="1">IFERROR(__xludf.DUMMYFUNCTION("""COMPUTED_VALUE"""),231.55)</f>
        <v>231.55</v>
      </c>
      <c r="S484" s="3">
        <f ca="1">IFERROR(__xludf.DUMMYFUNCTION("""COMPUTED_VALUE"""),44162.5416666666)</f>
        <v>44162.541666666599</v>
      </c>
      <c r="T484" s="2">
        <f ca="1">IFERROR(__xludf.DUMMYFUNCTION("""COMPUTED_VALUE"""),144)</f>
        <v>144</v>
      </c>
    </row>
    <row r="485" spans="1:20">
      <c r="A485" s="3">
        <f ca="1">IFERROR(__xludf.DUMMYFUNCTION("""COMPUTED_VALUE"""),44165.6666666666)</f>
        <v>44165.666666666599</v>
      </c>
      <c r="B485" s="2">
        <f ca="1">IFERROR(__xludf.DUMMYFUNCTION("""COMPUTED_VALUE"""),119.05)</f>
        <v>119.05</v>
      </c>
      <c r="C485" s="3">
        <f ca="1">IFERROR(__xludf.DUMMYFUNCTION("""COMPUTED_VALUE"""),44165.6666666666)</f>
        <v>44165.666666666599</v>
      </c>
      <c r="D485" s="2">
        <f ca="1">IFERROR(__xludf.DUMMYFUNCTION("""COMPUTED_VALUE"""),214.07)</f>
        <v>214.07</v>
      </c>
      <c r="E485" s="3">
        <f ca="1">IFERROR(__xludf.DUMMYFUNCTION("""COMPUTED_VALUE"""),44165.6666666666)</f>
        <v>44165.666666666599</v>
      </c>
      <c r="F485" s="2">
        <f ca="1">IFERROR(__xludf.DUMMYFUNCTION("""COMPUTED_VALUE"""),3168.04)</f>
        <v>3168.04</v>
      </c>
      <c r="G485" s="3">
        <f ca="1">IFERROR(__xludf.DUMMYFUNCTION("""COMPUTED_VALUE"""),44165.6666666666)</f>
        <v>44165.666666666599</v>
      </c>
      <c r="H485" s="2">
        <f ca="1">IFERROR(__xludf.DUMMYFUNCTION("""COMPUTED_VALUE"""),1754.4)</f>
        <v>1754.4</v>
      </c>
      <c r="I485" s="3">
        <f ca="1">IFERROR(__xludf.DUMMYFUNCTION("""COMPUTED_VALUE"""),44165.6666666666)</f>
        <v>44165.666666666599</v>
      </c>
      <c r="J485" s="2">
        <f ca="1">IFERROR(__xludf.DUMMYFUNCTION("""COMPUTED_VALUE"""),1760.74)</f>
        <v>1760.74</v>
      </c>
      <c r="K485" s="3">
        <f ca="1">IFERROR(__xludf.DUMMYFUNCTION("""COMPUTED_VALUE"""),44165.6666666666)</f>
        <v>44165.666666666599</v>
      </c>
      <c r="L485" s="2">
        <f ca="1">IFERROR(__xludf.DUMMYFUNCTION("""COMPUTED_VALUE"""),276.97)</f>
        <v>276.97000000000003</v>
      </c>
      <c r="M485" s="3">
        <f ca="1">IFERROR(__xludf.DUMMYFUNCTION("""COMPUTED_VALUE"""),44165.6666666666)</f>
        <v>44165.666666666599</v>
      </c>
      <c r="N485" s="2">
        <f ca="1">IFERROR(__xludf.DUMMYFUNCTION("""COMPUTED_VALUE"""),567.6)</f>
        <v>567.6</v>
      </c>
      <c r="O485" s="3">
        <f ca="1">IFERROR(__xludf.DUMMYFUNCTION("""COMPUTED_VALUE"""),44165.6666666666)</f>
        <v>44165.666666666599</v>
      </c>
      <c r="P485" s="2">
        <f ca="1">IFERROR(__xludf.DUMMYFUNCTION("""COMPUTED_VALUE"""),134.01)</f>
        <v>134.01</v>
      </c>
      <c r="Q485" s="3">
        <f ca="1">IFERROR(__xludf.DUMMYFUNCTION("""COMPUTED_VALUE"""),44165.6666666666)</f>
        <v>44165.666666666599</v>
      </c>
      <c r="R485" s="2">
        <f ca="1">IFERROR(__xludf.DUMMYFUNCTION("""COMPUTED_VALUE"""),228.91)</f>
        <v>228.91</v>
      </c>
      <c r="S485" s="3">
        <f ca="1">IFERROR(__xludf.DUMMYFUNCTION("""COMPUTED_VALUE"""),44165.6666666666)</f>
        <v>44165.666666666599</v>
      </c>
      <c r="T485" s="2">
        <f ca="1">IFERROR(__xludf.DUMMYFUNCTION("""COMPUTED_VALUE"""),144.68)</f>
        <v>144.68</v>
      </c>
    </row>
    <row r="486" spans="1:20">
      <c r="A486" s="3">
        <f ca="1">IFERROR(__xludf.DUMMYFUNCTION("""COMPUTED_VALUE"""),44166.6666666666)</f>
        <v>44166.666666666599</v>
      </c>
      <c r="B486" s="2">
        <f ca="1">IFERROR(__xludf.DUMMYFUNCTION("""COMPUTED_VALUE"""),122.72)</f>
        <v>122.72</v>
      </c>
      <c r="C486" s="3">
        <f ca="1">IFERROR(__xludf.DUMMYFUNCTION("""COMPUTED_VALUE"""),44166.6666666666)</f>
        <v>44166.666666666599</v>
      </c>
      <c r="D486" s="2">
        <f ca="1">IFERROR(__xludf.DUMMYFUNCTION("""COMPUTED_VALUE"""),216.21)</f>
        <v>216.21</v>
      </c>
      <c r="E486" s="3">
        <f ca="1">IFERROR(__xludf.DUMMYFUNCTION("""COMPUTED_VALUE"""),44166.6666666666)</f>
        <v>44166.666666666599</v>
      </c>
      <c r="F486" s="2">
        <f ca="1">IFERROR(__xludf.DUMMYFUNCTION("""COMPUTED_VALUE"""),3220.08)</f>
        <v>3220.08</v>
      </c>
      <c r="G486" s="3">
        <f ca="1">IFERROR(__xludf.DUMMYFUNCTION("""COMPUTED_VALUE"""),44166.6666666666)</f>
        <v>44166.666666666599</v>
      </c>
      <c r="H486" s="2">
        <f ca="1">IFERROR(__xludf.DUMMYFUNCTION("""COMPUTED_VALUE"""),1795.36)</f>
        <v>1795.36</v>
      </c>
      <c r="I486" s="3">
        <f ca="1">IFERROR(__xludf.DUMMYFUNCTION("""COMPUTED_VALUE"""),44166.6666666666)</f>
        <v>44166.666666666599</v>
      </c>
      <c r="J486" s="2">
        <f ca="1">IFERROR(__xludf.DUMMYFUNCTION("""COMPUTED_VALUE"""),1798.1)</f>
        <v>1798.1</v>
      </c>
      <c r="K486" s="3">
        <f ca="1">IFERROR(__xludf.DUMMYFUNCTION("""COMPUTED_VALUE"""),44166.6666666666)</f>
        <v>44166.666666666599</v>
      </c>
      <c r="L486" s="2">
        <f ca="1">IFERROR(__xludf.DUMMYFUNCTION("""COMPUTED_VALUE"""),286.55)</f>
        <v>286.55</v>
      </c>
      <c r="M486" s="3">
        <f ca="1">IFERROR(__xludf.DUMMYFUNCTION("""COMPUTED_VALUE"""),44166.6666666666)</f>
        <v>44166.666666666599</v>
      </c>
      <c r="N486" s="2">
        <f ca="1">IFERROR(__xludf.DUMMYFUNCTION("""COMPUTED_VALUE"""),584.76)</f>
        <v>584.76</v>
      </c>
      <c r="O486" s="3">
        <f ca="1">IFERROR(__xludf.DUMMYFUNCTION("""COMPUTED_VALUE"""),44166.6666666666)</f>
        <v>44166.666666666599</v>
      </c>
      <c r="P486" s="2">
        <f ca="1">IFERROR(__xludf.DUMMYFUNCTION("""COMPUTED_VALUE"""),133.9)</f>
        <v>133.9</v>
      </c>
      <c r="Q486" s="3">
        <f ca="1">IFERROR(__xludf.DUMMYFUNCTION("""COMPUTED_VALUE"""),44166.6666666666)</f>
        <v>44166.666666666599</v>
      </c>
      <c r="R486" s="2">
        <f ca="1">IFERROR(__xludf.DUMMYFUNCTION("""COMPUTED_VALUE"""),229.68)</f>
        <v>229.68</v>
      </c>
      <c r="S486" s="3">
        <f ca="1">IFERROR(__xludf.DUMMYFUNCTION("""COMPUTED_VALUE"""),44166.6666666666)</f>
        <v>44166.666666666599</v>
      </c>
      <c r="T486" s="2">
        <f ca="1">IFERROR(__xludf.DUMMYFUNCTION("""COMPUTED_VALUE"""),147.45)</f>
        <v>147.44999999999999</v>
      </c>
    </row>
    <row r="487" spans="1:20">
      <c r="A487" s="3">
        <f ca="1">IFERROR(__xludf.DUMMYFUNCTION("""COMPUTED_VALUE"""),44167.6666666666)</f>
        <v>44167.666666666599</v>
      </c>
      <c r="B487" s="2">
        <f ca="1">IFERROR(__xludf.DUMMYFUNCTION("""COMPUTED_VALUE"""),123.08)</f>
        <v>123.08</v>
      </c>
      <c r="C487" s="3">
        <f ca="1">IFERROR(__xludf.DUMMYFUNCTION("""COMPUTED_VALUE"""),44167.6666666666)</f>
        <v>44167.666666666599</v>
      </c>
      <c r="D487" s="2">
        <f ca="1">IFERROR(__xludf.DUMMYFUNCTION("""COMPUTED_VALUE"""),215.37)</f>
        <v>215.37</v>
      </c>
      <c r="E487" s="3">
        <f ca="1">IFERROR(__xludf.DUMMYFUNCTION("""COMPUTED_VALUE"""),44167.6666666666)</f>
        <v>44167.666666666599</v>
      </c>
      <c r="F487" s="2">
        <f ca="1">IFERROR(__xludf.DUMMYFUNCTION("""COMPUTED_VALUE"""),3203.53)</f>
        <v>3203.53</v>
      </c>
      <c r="G487" s="3">
        <f ca="1">IFERROR(__xludf.DUMMYFUNCTION("""COMPUTED_VALUE"""),44167.6666666666)</f>
        <v>44167.666666666599</v>
      </c>
      <c r="H487" s="2">
        <f ca="1">IFERROR(__xludf.DUMMYFUNCTION("""COMPUTED_VALUE"""),1824.97)</f>
        <v>1824.97</v>
      </c>
      <c r="I487" s="3">
        <f ca="1">IFERROR(__xludf.DUMMYFUNCTION("""COMPUTED_VALUE"""),44167.6666666666)</f>
        <v>44167.666666666599</v>
      </c>
      <c r="J487" s="2">
        <f ca="1">IFERROR(__xludf.DUMMYFUNCTION("""COMPUTED_VALUE"""),1827.95)</f>
        <v>1827.95</v>
      </c>
      <c r="K487" s="3">
        <f ca="1">IFERROR(__xludf.DUMMYFUNCTION("""COMPUTED_VALUE"""),44167.6666666666)</f>
        <v>44167.666666666599</v>
      </c>
      <c r="L487" s="2">
        <f ca="1">IFERROR(__xludf.DUMMYFUNCTION("""COMPUTED_VALUE"""),287.52)</f>
        <v>287.52</v>
      </c>
      <c r="M487" s="3">
        <f ca="1">IFERROR(__xludf.DUMMYFUNCTION("""COMPUTED_VALUE"""),44167.6666666666)</f>
        <v>44167.666666666599</v>
      </c>
      <c r="N487" s="2">
        <f ca="1">IFERROR(__xludf.DUMMYFUNCTION("""COMPUTED_VALUE"""),568.82)</f>
        <v>568.82000000000005</v>
      </c>
      <c r="O487" s="3">
        <f ca="1">IFERROR(__xludf.DUMMYFUNCTION("""COMPUTED_VALUE"""),44167.6666666666)</f>
        <v>44167.666666666599</v>
      </c>
      <c r="P487" s="2">
        <f ca="1">IFERROR(__xludf.DUMMYFUNCTION("""COMPUTED_VALUE"""),135.45)</f>
        <v>135.44999999999999</v>
      </c>
      <c r="Q487" s="3">
        <f ca="1">IFERROR(__xludf.DUMMYFUNCTION("""COMPUTED_VALUE"""),44167.6666666666)</f>
        <v>44167.666666666599</v>
      </c>
      <c r="R487" s="2">
        <f ca="1">IFERROR(__xludf.DUMMYFUNCTION("""COMPUTED_VALUE"""),230.42)</f>
        <v>230.42</v>
      </c>
      <c r="S487" s="3">
        <f ca="1">IFERROR(__xludf.DUMMYFUNCTION("""COMPUTED_VALUE"""),44167.6666666666)</f>
        <v>44167.666666666599</v>
      </c>
      <c r="T487" s="2">
        <f ca="1">IFERROR(__xludf.DUMMYFUNCTION("""COMPUTED_VALUE"""),148.14)</f>
        <v>148.13999999999999</v>
      </c>
    </row>
    <row r="488" spans="1:20">
      <c r="A488" s="3">
        <f ca="1">IFERROR(__xludf.DUMMYFUNCTION("""COMPUTED_VALUE"""),44168.6666666666)</f>
        <v>44168.666666666599</v>
      </c>
      <c r="B488" s="2">
        <f ca="1">IFERROR(__xludf.DUMMYFUNCTION("""COMPUTED_VALUE"""),122.94)</f>
        <v>122.94</v>
      </c>
      <c r="C488" s="3">
        <f ca="1">IFERROR(__xludf.DUMMYFUNCTION("""COMPUTED_VALUE"""),44168.6666666666)</f>
        <v>44168.666666666599</v>
      </c>
      <c r="D488" s="2">
        <f ca="1">IFERROR(__xludf.DUMMYFUNCTION("""COMPUTED_VALUE"""),214.24)</f>
        <v>214.24</v>
      </c>
      <c r="E488" s="3">
        <f ca="1">IFERROR(__xludf.DUMMYFUNCTION("""COMPUTED_VALUE"""),44168.6666666666)</f>
        <v>44168.666666666599</v>
      </c>
      <c r="F488" s="2">
        <f ca="1">IFERROR(__xludf.DUMMYFUNCTION("""COMPUTED_VALUE"""),3186.73)</f>
        <v>3186.73</v>
      </c>
      <c r="G488" s="3">
        <f ca="1">IFERROR(__xludf.DUMMYFUNCTION("""COMPUTED_VALUE"""),44168.6666666666)</f>
        <v>44168.666666666599</v>
      </c>
      <c r="H488" s="2">
        <f ca="1">IFERROR(__xludf.DUMMYFUNCTION("""COMPUTED_VALUE"""),1821.84)</f>
        <v>1821.84</v>
      </c>
      <c r="I488" s="3">
        <f ca="1">IFERROR(__xludf.DUMMYFUNCTION("""COMPUTED_VALUE"""),44168.6666666666)</f>
        <v>44168.666666666599</v>
      </c>
      <c r="J488" s="2">
        <f ca="1">IFERROR(__xludf.DUMMYFUNCTION("""COMPUTED_VALUE"""),1826.77)</f>
        <v>1826.77</v>
      </c>
      <c r="K488" s="3">
        <f ca="1">IFERROR(__xludf.DUMMYFUNCTION("""COMPUTED_VALUE"""),44168.6666666666)</f>
        <v>44168.666666666599</v>
      </c>
      <c r="L488" s="2">
        <f ca="1">IFERROR(__xludf.DUMMYFUNCTION("""COMPUTED_VALUE"""),281.85)</f>
        <v>281.85000000000002</v>
      </c>
      <c r="M488" s="3">
        <f ca="1">IFERROR(__xludf.DUMMYFUNCTION("""COMPUTED_VALUE"""),44168.6666666666)</f>
        <v>44168.666666666599</v>
      </c>
      <c r="N488" s="2">
        <f ca="1">IFERROR(__xludf.DUMMYFUNCTION("""COMPUTED_VALUE"""),593.38)</f>
        <v>593.38</v>
      </c>
      <c r="O488" s="3">
        <f ca="1">IFERROR(__xludf.DUMMYFUNCTION("""COMPUTED_VALUE"""),44168.6666666666)</f>
        <v>44168.666666666599</v>
      </c>
      <c r="P488" s="2">
        <f ca="1">IFERROR(__xludf.DUMMYFUNCTION("""COMPUTED_VALUE"""),133.96)</f>
        <v>133.96</v>
      </c>
      <c r="Q488" s="3">
        <f ca="1">IFERROR(__xludf.DUMMYFUNCTION("""COMPUTED_VALUE"""),44168.6666666666)</f>
        <v>44168.666666666599</v>
      </c>
      <c r="R488" s="2">
        <f ca="1">IFERROR(__xludf.DUMMYFUNCTION("""COMPUTED_VALUE"""),231.02)</f>
        <v>231.02</v>
      </c>
      <c r="S488" s="3">
        <f ca="1">IFERROR(__xludf.DUMMYFUNCTION("""COMPUTED_VALUE"""),44168.6666666666)</f>
        <v>44168.666666666599</v>
      </c>
      <c r="T488" s="2">
        <f ca="1">IFERROR(__xludf.DUMMYFUNCTION("""COMPUTED_VALUE"""),149)</f>
        <v>149</v>
      </c>
    </row>
    <row r="489" spans="1:20">
      <c r="A489" s="3">
        <f ca="1">IFERROR(__xludf.DUMMYFUNCTION("""COMPUTED_VALUE"""),44169.6666666666)</f>
        <v>44169.666666666599</v>
      </c>
      <c r="B489" s="2">
        <f ca="1">IFERROR(__xludf.DUMMYFUNCTION("""COMPUTED_VALUE"""),122.25)</f>
        <v>122.25</v>
      </c>
      <c r="C489" s="3">
        <f ca="1">IFERROR(__xludf.DUMMYFUNCTION("""COMPUTED_VALUE"""),44169.6666666666)</f>
        <v>44169.666666666599</v>
      </c>
      <c r="D489" s="2">
        <f ca="1">IFERROR(__xludf.DUMMYFUNCTION("""COMPUTED_VALUE"""),214.36)</f>
        <v>214.36</v>
      </c>
      <c r="E489" s="3">
        <f ca="1">IFERROR(__xludf.DUMMYFUNCTION("""COMPUTED_VALUE"""),44169.6666666666)</f>
        <v>44169.666666666599</v>
      </c>
      <c r="F489" s="2">
        <f ca="1">IFERROR(__xludf.DUMMYFUNCTION("""COMPUTED_VALUE"""),3162.58)</f>
        <v>3162.58</v>
      </c>
      <c r="G489" s="3">
        <f ca="1">IFERROR(__xludf.DUMMYFUNCTION("""COMPUTED_VALUE"""),44169.6666666666)</f>
        <v>44169.666666666599</v>
      </c>
      <c r="H489" s="2">
        <f ca="1">IFERROR(__xludf.DUMMYFUNCTION("""COMPUTED_VALUE"""),1823.76)</f>
        <v>1823.76</v>
      </c>
      <c r="I489" s="3">
        <f ca="1">IFERROR(__xludf.DUMMYFUNCTION("""COMPUTED_VALUE"""),44169.6666666666)</f>
        <v>44169.666666666599</v>
      </c>
      <c r="J489" s="2">
        <f ca="1">IFERROR(__xludf.DUMMYFUNCTION("""COMPUTED_VALUE"""),1827.99)</f>
        <v>1827.99</v>
      </c>
      <c r="K489" s="3">
        <f ca="1">IFERROR(__xludf.DUMMYFUNCTION("""COMPUTED_VALUE"""),44169.6666666666)</f>
        <v>44169.666666666599</v>
      </c>
      <c r="L489" s="2">
        <f ca="1">IFERROR(__xludf.DUMMYFUNCTION("""COMPUTED_VALUE"""),279.7)</f>
        <v>279.7</v>
      </c>
      <c r="M489" s="3">
        <f ca="1">IFERROR(__xludf.DUMMYFUNCTION("""COMPUTED_VALUE"""),44169.6666666666)</f>
        <v>44169.666666666599</v>
      </c>
      <c r="N489" s="2">
        <f ca="1">IFERROR(__xludf.DUMMYFUNCTION("""COMPUTED_VALUE"""),599.04)</f>
        <v>599.04</v>
      </c>
      <c r="O489" s="3">
        <f ca="1">IFERROR(__xludf.DUMMYFUNCTION("""COMPUTED_VALUE"""),44169.6666666666)</f>
        <v>44169.666666666599</v>
      </c>
      <c r="P489" s="2">
        <f ca="1">IFERROR(__xludf.DUMMYFUNCTION("""COMPUTED_VALUE"""),135.58)</f>
        <v>135.58000000000001</v>
      </c>
      <c r="Q489" s="3">
        <f ca="1">IFERROR(__xludf.DUMMYFUNCTION("""COMPUTED_VALUE"""),44169.6666666666)</f>
        <v>44169.666666666599</v>
      </c>
      <c r="R489" s="2">
        <f ca="1">IFERROR(__xludf.DUMMYFUNCTION("""COMPUTED_VALUE"""),231.35)</f>
        <v>231.35</v>
      </c>
      <c r="S489" s="3">
        <f ca="1">IFERROR(__xludf.DUMMYFUNCTION("""COMPUTED_VALUE"""),44169.6666666666)</f>
        <v>44169.666666666599</v>
      </c>
      <c r="T489" s="2">
        <f ca="1">IFERROR(__xludf.DUMMYFUNCTION("""COMPUTED_VALUE"""),150.27)</f>
        <v>150.27000000000001</v>
      </c>
    </row>
    <row r="490" spans="1:20">
      <c r="A490" s="3">
        <f ca="1">IFERROR(__xludf.DUMMYFUNCTION("""COMPUTED_VALUE"""),44172.6666666666)</f>
        <v>44172.666666666599</v>
      </c>
      <c r="B490" s="2">
        <f ca="1">IFERROR(__xludf.DUMMYFUNCTION("""COMPUTED_VALUE"""),123.75)</f>
        <v>123.75</v>
      </c>
      <c r="C490" s="3">
        <f ca="1">IFERROR(__xludf.DUMMYFUNCTION("""COMPUTED_VALUE"""),44172.6666666666)</f>
        <v>44172.666666666599</v>
      </c>
      <c r="D490" s="2">
        <f ca="1">IFERROR(__xludf.DUMMYFUNCTION("""COMPUTED_VALUE"""),214.29)</f>
        <v>214.29</v>
      </c>
      <c r="E490" s="3">
        <f ca="1">IFERROR(__xludf.DUMMYFUNCTION("""COMPUTED_VALUE"""),44172.6666666666)</f>
        <v>44172.666666666599</v>
      </c>
      <c r="F490" s="2">
        <f ca="1">IFERROR(__xludf.DUMMYFUNCTION("""COMPUTED_VALUE"""),3158)</f>
        <v>3158</v>
      </c>
      <c r="G490" s="3">
        <f ca="1">IFERROR(__xludf.DUMMYFUNCTION("""COMPUTED_VALUE"""),44172.6666666666)</f>
        <v>44172.666666666599</v>
      </c>
      <c r="H490" s="2">
        <f ca="1">IFERROR(__xludf.DUMMYFUNCTION("""COMPUTED_VALUE"""),1817.03)</f>
        <v>1817.03</v>
      </c>
      <c r="I490" s="3">
        <f ca="1">IFERROR(__xludf.DUMMYFUNCTION("""COMPUTED_VALUE"""),44172.6666666666)</f>
        <v>44172.666666666599</v>
      </c>
      <c r="J490" s="2">
        <f ca="1">IFERROR(__xludf.DUMMYFUNCTION("""COMPUTED_VALUE"""),1819.48)</f>
        <v>1819.48</v>
      </c>
      <c r="K490" s="3">
        <f ca="1">IFERROR(__xludf.DUMMYFUNCTION("""COMPUTED_VALUE"""),44172.6666666666)</f>
        <v>44172.666666666599</v>
      </c>
      <c r="L490" s="2">
        <f ca="1">IFERROR(__xludf.DUMMYFUNCTION("""COMPUTED_VALUE"""),285.58)</f>
        <v>285.58</v>
      </c>
      <c r="M490" s="3">
        <f ca="1">IFERROR(__xludf.DUMMYFUNCTION("""COMPUTED_VALUE"""),44172.6666666666)</f>
        <v>44172.666666666599</v>
      </c>
      <c r="N490" s="2">
        <f ca="1">IFERROR(__xludf.DUMMYFUNCTION("""COMPUTED_VALUE"""),641.76)</f>
        <v>641.76</v>
      </c>
      <c r="O490" s="3">
        <f ca="1">IFERROR(__xludf.DUMMYFUNCTION("""COMPUTED_VALUE"""),44172.6666666666)</f>
        <v>44172.666666666599</v>
      </c>
      <c r="P490" s="2">
        <f ca="1">IFERROR(__xludf.DUMMYFUNCTION("""COMPUTED_VALUE"""),136.07)</f>
        <v>136.07</v>
      </c>
      <c r="Q490" s="3">
        <f ca="1">IFERROR(__xludf.DUMMYFUNCTION("""COMPUTED_VALUE"""),44172.6666666666)</f>
        <v>44172.666666666599</v>
      </c>
      <c r="R490" s="2">
        <f ca="1">IFERROR(__xludf.DUMMYFUNCTION("""COMPUTED_VALUE"""),229.24)</f>
        <v>229.24</v>
      </c>
      <c r="S490" s="3">
        <f ca="1">IFERROR(__xludf.DUMMYFUNCTION("""COMPUTED_VALUE"""),44172.6666666666)</f>
        <v>44172.666666666599</v>
      </c>
      <c r="T490" s="2">
        <f ca="1">IFERROR(__xludf.DUMMYFUNCTION("""COMPUTED_VALUE"""),148.97)</f>
        <v>148.97</v>
      </c>
    </row>
    <row r="491" spans="1:20">
      <c r="A491" s="3">
        <f ca="1">IFERROR(__xludf.DUMMYFUNCTION("""COMPUTED_VALUE"""),44173.6666666666)</f>
        <v>44173.666666666599</v>
      </c>
      <c r="B491" s="2">
        <f ca="1">IFERROR(__xludf.DUMMYFUNCTION("""COMPUTED_VALUE"""),124.38)</f>
        <v>124.38</v>
      </c>
      <c r="C491" s="3">
        <f ca="1">IFERROR(__xludf.DUMMYFUNCTION("""COMPUTED_VALUE"""),44173.6666666666)</f>
        <v>44173.666666666599</v>
      </c>
      <c r="D491" s="2">
        <f ca="1">IFERROR(__xludf.DUMMYFUNCTION("""COMPUTED_VALUE"""),216.01)</f>
        <v>216.01</v>
      </c>
      <c r="E491" s="3">
        <f ca="1">IFERROR(__xludf.DUMMYFUNCTION("""COMPUTED_VALUE"""),44173.6666666666)</f>
        <v>44173.666666666599</v>
      </c>
      <c r="F491" s="2">
        <f ca="1">IFERROR(__xludf.DUMMYFUNCTION("""COMPUTED_VALUE"""),3177.29)</f>
        <v>3177.29</v>
      </c>
      <c r="G491" s="3">
        <f ca="1">IFERROR(__xludf.DUMMYFUNCTION("""COMPUTED_VALUE"""),44173.6666666666)</f>
        <v>44173.666666666599</v>
      </c>
      <c r="H491" s="2">
        <f ca="1">IFERROR(__xludf.DUMMYFUNCTION("""COMPUTED_VALUE"""),1811.33)</f>
        <v>1811.33</v>
      </c>
      <c r="I491" s="3">
        <f ca="1">IFERROR(__xludf.DUMMYFUNCTION("""COMPUTED_VALUE"""),44173.6666666666)</f>
        <v>44173.666666666599</v>
      </c>
      <c r="J491" s="2">
        <f ca="1">IFERROR(__xludf.DUMMYFUNCTION("""COMPUTED_VALUE"""),1818.55)</f>
        <v>1818.55</v>
      </c>
      <c r="K491" s="3">
        <f ca="1">IFERROR(__xludf.DUMMYFUNCTION("""COMPUTED_VALUE"""),44173.6666666666)</f>
        <v>44173.666666666599</v>
      </c>
      <c r="L491" s="2">
        <f ca="1">IFERROR(__xludf.DUMMYFUNCTION("""COMPUTED_VALUE"""),283.4)</f>
        <v>283.39999999999998</v>
      </c>
      <c r="M491" s="3">
        <f ca="1">IFERROR(__xludf.DUMMYFUNCTION("""COMPUTED_VALUE"""),44173.6666666666)</f>
        <v>44173.666666666599</v>
      </c>
      <c r="N491" s="2">
        <f ca="1">IFERROR(__xludf.DUMMYFUNCTION("""COMPUTED_VALUE"""),649.88)</f>
        <v>649.88</v>
      </c>
      <c r="O491" s="3">
        <f ca="1">IFERROR(__xludf.DUMMYFUNCTION("""COMPUTED_VALUE"""),44173.6666666666)</f>
        <v>44173.666666666599</v>
      </c>
      <c r="P491" s="2">
        <f ca="1">IFERROR(__xludf.DUMMYFUNCTION("""COMPUTED_VALUE"""),133.5)</f>
        <v>133.5</v>
      </c>
      <c r="Q491" s="3">
        <f ca="1">IFERROR(__xludf.DUMMYFUNCTION("""COMPUTED_VALUE"""),44173.6666666666)</f>
        <v>44173.666666666599</v>
      </c>
      <c r="R491" s="2">
        <f ca="1">IFERROR(__xludf.DUMMYFUNCTION("""COMPUTED_VALUE"""),228.19)</f>
        <v>228.19</v>
      </c>
      <c r="S491" s="3">
        <f ca="1">IFERROR(__xludf.DUMMYFUNCTION("""COMPUTED_VALUE"""),44173.6666666666)</f>
        <v>44173.666666666599</v>
      </c>
      <c r="T491" s="2">
        <f ca="1">IFERROR(__xludf.DUMMYFUNCTION("""COMPUTED_VALUE"""),151.55)</f>
        <v>151.55000000000001</v>
      </c>
    </row>
    <row r="492" spans="1:20">
      <c r="A492" s="3">
        <f ca="1">IFERROR(__xludf.DUMMYFUNCTION("""COMPUTED_VALUE"""),44174.6666666666)</f>
        <v>44174.666666666599</v>
      </c>
      <c r="B492" s="2">
        <f ca="1">IFERROR(__xludf.DUMMYFUNCTION("""COMPUTED_VALUE"""),121.78)</f>
        <v>121.78</v>
      </c>
      <c r="C492" s="3">
        <f ca="1">IFERROR(__xludf.DUMMYFUNCTION("""COMPUTED_VALUE"""),44174.6666666666)</f>
        <v>44174.666666666599</v>
      </c>
      <c r="D492" s="2">
        <f ca="1">IFERROR(__xludf.DUMMYFUNCTION("""COMPUTED_VALUE"""),211.8)</f>
        <v>211.8</v>
      </c>
      <c r="E492" s="3">
        <f ca="1">IFERROR(__xludf.DUMMYFUNCTION("""COMPUTED_VALUE"""),44174.6666666666)</f>
        <v>44174.666666666599</v>
      </c>
      <c r="F492" s="2">
        <f ca="1">IFERROR(__xludf.DUMMYFUNCTION("""COMPUTED_VALUE"""),3104.2)</f>
        <v>3104.2</v>
      </c>
      <c r="G492" s="3">
        <f ca="1">IFERROR(__xludf.DUMMYFUNCTION("""COMPUTED_VALUE"""),44174.6666666666)</f>
        <v>44174.666666666599</v>
      </c>
      <c r="H492" s="2">
        <f ca="1">IFERROR(__xludf.DUMMYFUNCTION("""COMPUTED_VALUE"""),1777.86)</f>
        <v>1777.86</v>
      </c>
      <c r="I492" s="3">
        <f ca="1">IFERROR(__xludf.DUMMYFUNCTION("""COMPUTED_VALUE"""),44174.6666666666)</f>
        <v>44174.666666666599</v>
      </c>
      <c r="J492" s="2">
        <f ca="1">IFERROR(__xludf.DUMMYFUNCTION("""COMPUTED_VALUE"""),1784.13)</f>
        <v>1784.13</v>
      </c>
      <c r="K492" s="3">
        <f ca="1">IFERROR(__xludf.DUMMYFUNCTION("""COMPUTED_VALUE"""),44174.6666666666)</f>
        <v>44174.666666666599</v>
      </c>
      <c r="L492" s="2">
        <f ca="1">IFERROR(__xludf.DUMMYFUNCTION("""COMPUTED_VALUE"""),277.92)</f>
        <v>277.92</v>
      </c>
      <c r="M492" s="3">
        <f ca="1">IFERROR(__xludf.DUMMYFUNCTION("""COMPUTED_VALUE"""),44174.6666666666)</f>
        <v>44174.666666666599</v>
      </c>
      <c r="N492" s="2">
        <f ca="1">IFERROR(__xludf.DUMMYFUNCTION("""COMPUTED_VALUE"""),604.48)</f>
        <v>604.48</v>
      </c>
      <c r="O492" s="3">
        <f ca="1">IFERROR(__xludf.DUMMYFUNCTION("""COMPUTED_VALUE"""),44174.6666666666)</f>
        <v>44174.666666666599</v>
      </c>
      <c r="P492" s="2">
        <f ca="1">IFERROR(__xludf.DUMMYFUNCTION("""COMPUTED_VALUE"""),129.31)</f>
        <v>129.31</v>
      </c>
      <c r="Q492" s="3">
        <f ca="1">IFERROR(__xludf.DUMMYFUNCTION("""COMPUTED_VALUE"""),44174.6666666666)</f>
        <v>44174.666666666599</v>
      </c>
      <c r="R492" s="2">
        <f ca="1">IFERROR(__xludf.DUMMYFUNCTION("""COMPUTED_VALUE"""),227.51)</f>
        <v>227.51</v>
      </c>
      <c r="S492" s="3">
        <f ca="1">IFERROR(__xludf.DUMMYFUNCTION("""COMPUTED_VALUE"""),44174.6666666666)</f>
        <v>44174.666666666599</v>
      </c>
      <c r="T492" s="2">
        <f ca="1">IFERROR(__xludf.DUMMYFUNCTION("""COMPUTED_VALUE"""),153.1)</f>
        <v>153.1</v>
      </c>
    </row>
    <row r="493" spans="1:20">
      <c r="A493" s="3">
        <f ca="1">IFERROR(__xludf.DUMMYFUNCTION("""COMPUTED_VALUE"""),44175.6666666666)</f>
        <v>44175.666666666599</v>
      </c>
      <c r="B493" s="2">
        <f ca="1">IFERROR(__xludf.DUMMYFUNCTION("""COMPUTED_VALUE"""),123.24)</f>
        <v>123.24</v>
      </c>
      <c r="C493" s="3">
        <f ca="1">IFERROR(__xludf.DUMMYFUNCTION("""COMPUTED_VALUE"""),44175.6666666666)</f>
        <v>44175.666666666599</v>
      </c>
      <c r="D493" s="2">
        <f ca="1">IFERROR(__xludf.DUMMYFUNCTION("""COMPUTED_VALUE"""),210.52)</f>
        <v>210.52</v>
      </c>
      <c r="E493" s="3">
        <f ca="1">IFERROR(__xludf.DUMMYFUNCTION("""COMPUTED_VALUE"""),44175.6666666666)</f>
        <v>44175.666666666599</v>
      </c>
      <c r="F493" s="2">
        <f ca="1">IFERROR(__xludf.DUMMYFUNCTION("""COMPUTED_VALUE"""),3101.49)</f>
        <v>3101.49</v>
      </c>
      <c r="G493" s="3">
        <f ca="1">IFERROR(__xludf.DUMMYFUNCTION("""COMPUTED_VALUE"""),44175.6666666666)</f>
        <v>44175.666666666599</v>
      </c>
      <c r="H493" s="2">
        <f ca="1">IFERROR(__xludf.DUMMYFUNCTION("""COMPUTED_VALUE"""),1767.65)</f>
        <v>1767.65</v>
      </c>
      <c r="I493" s="3">
        <f ca="1">IFERROR(__xludf.DUMMYFUNCTION("""COMPUTED_VALUE"""),44175.6666666666)</f>
        <v>44175.666666666599</v>
      </c>
      <c r="J493" s="2">
        <f ca="1">IFERROR(__xludf.DUMMYFUNCTION("""COMPUTED_VALUE"""),1775.33)</f>
        <v>1775.33</v>
      </c>
      <c r="K493" s="3">
        <f ca="1">IFERROR(__xludf.DUMMYFUNCTION("""COMPUTED_VALUE"""),44175.6666666666)</f>
        <v>44175.666666666599</v>
      </c>
      <c r="L493" s="2">
        <f ca="1">IFERROR(__xludf.DUMMYFUNCTION("""COMPUTED_VALUE"""),277.12)</f>
        <v>277.12</v>
      </c>
      <c r="M493" s="3">
        <f ca="1">IFERROR(__xludf.DUMMYFUNCTION("""COMPUTED_VALUE"""),44175.6666666666)</f>
        <v>44175.666666666599</v>
      </c>
      <c r="N493" s="2">
        <f ca="1">IFERROR(__xludf.DUMMYFUNCTION("""COMPUTED_VALUE"""),627.07)</f>
        <v>627.07000000000005</v>
      </c>
      <c r="O493" s="3">
        <f ca="1">IFERROR(__xludf.DUMMYFUNCTION("""COMPUTED_VALUE"""),44175.6666666666)</f>
        <v>44175.666666666599</v>
      </c>
      <c r="P493" s="2">
        <f ca="1">IFERROR(__xludf.DUMMYFUNCTION("""COMPUTED_VALUE"""),129.72)</f>
        <v>129.72</v>
      </c>
      <c r="Q493" s="3">
        <f ca="1">IFERROR(__xludf.DUMMYFUNCTION("""COMPUTED_VALUE"""),44175.6666666666)</f>
        <v>44175.666666666599</v>
      </c>
      <c r="R493" s="2">
        <f ca="1">IFERROR(__xludf.DUMMYFUNCTION("""COMPUTED_VALUE"""),227.35)</f>
        <v>227.35</v>
      </c>
      <c r="S493" s="3">
        <f ca="1">IFERROR(__xludf.DUMMYFUNCTION("""COMPUTED_VALUE"""),44175.6666666666)</f>
        <v>44175.666666666599</v>
      </c>
      <c r="T493" s="2">
        <f ca="1">IFERROR(__xludf.DUMMYFUNCTION("""COMPUTED_VALUE"""),152.25)</f>
        <v>152.25</v>
      </c>
    </row>
    <row r="494" spans="1:20">
      <c r="A494" s="3">
        <f ca="1">IFERROR(__xludf.DUMMYFUNCTION("""COMPUTED_VALUE"""),44176.6666666666)</f>
        <v>44176.666666666599</v>
      </c>
      <c r="B494" s="2">
        <f ca="1">IFERROR(__xludf.DUMMYFUNCTION("""COMPUTED_VALUE"""),122.41)</f>
        <v>122.41</v>
      </c>
      <c r="C494" s="3">
        <f ca="1">IFERROR(__xludf.DUMMYFUNCTION("""COMPUTED_VALUE"""),44176.6666666666)</f>
        <v>44176.666666666599</v>
      </c>
      <c r="D494" s="2">
        <f ca="1">IFERROR(__xludf.DUMMYFUNCTION("""COMPUTED_VALUE"""),213.26)</f>
        <v>213.26</v>
      </c>
      <c r="E494" s="3">
        <f ca="1">IFERROR(__xludf.DUMMYFUNCTION("""COMPUTED_VALUE"""),44176.6666666666)</f>
        <v>44176.666666666599</v>
      </c>
      <c r="F494" s="2">
        <f ca="1">IFERROR(__xludf.DUMMYFUNCTION("""COMPUTED_VALUE"""),3116.42)</f>
        <v>3116.42</v>
      </c>
      <c r="G494" s="3">
        <f ca="1">IFERROR(__xludf.DUMMYFUNCTION("""COMPUTED_VALUE"""),44176.6666666666)</f>
        <v>44176.666666666599</v>
      </c>
      <c r="H494" s="2">
        <f ca="1">IFERROR(__xludf.DUMMYFUNCTION("""COMPUTED_VALUE"""),1774.8)</f>
        <v>1774.8</v>
      </c>
      <c r="I494" s="3">
        <f ca="1">IFERROR(__xludf.DUMMYFUNCTION("""COMPUTED_VALUE"""),44176.6666666666)</f>
        <v>44176.666666666599</v>
      </c>
      <c r="J494" s="2">
        <f ca="1">IFERROR(__xludf.DUMMYFUNCTION("""COMPUTED_VALUE"""),1781.77)</f>
        <v>1781.77</v>
      </c>
      <c r="K494" s="3">
        <f ca="1">IFERROR(__xludf.DUMMYFUNCTION("""COMPUTED_VALUE"""),44176.6666666666)</f>
        <v>44176.666666666599</v>
      </c>
      <c r="L494" s="2">
        <f ca="1">IFERROR(__xludf.DUMMYFUNCTION("""COMPUTED_VALUE"""),273.55)</f>
        <v>273.55</v>
      </c>
      <c r="M494" s="3">
        <f ca="1">IFERROR(__xludf.DUMMYFUNCTION("""COMPUTED_VALUE"""),44176.6666666666)</f>
        <v>44176.666666666599</v>
      </c>
      <c r="N494" s="2">
        <f ca="1">IFERROR(__xludf.DUMMYFUNCTION("""COMPUTED_VALUE"""),609.99)</f>
        <v>609.99</v>
      </c>
      <c r="O494" s="3">
        <f ca="1">IFERROR(__xludf.DUMMYFUNCTION("""COMPUTED_VALUE"""),44176.6666666666)</f>
        <v>44176.666666666599</v>
      </c>
      <c r="P494" s="2">
        <f ca="1">IFERROR(__xludf.DUMMYFUNCTION("""COMPUTED_VALUE"""),130.13)</f>
        <v>130.13</v>
      </c>
      <c r="Q494" s="3">
        <f ca="1">IFERROR(__xludf.DUMMYFUNCTION("""COMPUTED_VALUE"""),44176.6666666666)</f>
        <v>44176.666666666599</v>
      </c>
      <c r="R494" s="2">
        <f ca="1">IFERROR(__xludf.DUMMYFUNCTION("""COMPUTED_VALUE"""),226.39)</f>
        <v>226.39</v>
      </c>
      <c r="S494" s="3">
        <f ca="1">IFERROR(__xludf.DUMMYFUNCTION("""COMPUTED_VALUE"""),44176.6666666666)</f>
        <v>44176.666666666599</v>
      </c>
      <c r="T494" s="2">
        <f ca="1">IFERROR(__xludf.DUMMYFUNCTION("""COMPUTED_VALUE"""),152.95)</f>
        <v>152.94999999999999</v>
      </c>
    </row>
    <row r="495" spans="1:20">
      <c r="A495" s="3">
        <f ca="1">IFERROR(__xludf.DUMMYFUNCTION("""COMPUTED_VALUE"""),44179.6666666666)</f>
        <v>44179.666666666599</v>
      </c>
      <c r="B495" s="2">
        <f ca="1">IFERROR(__xludf.DUMMYFUNCTION("""COMPUTED_VALUE"""),121.78)</f>
        <v>121.78</v>
      </c>
      <c r="C495" s="3">
        <f ca="1">IFERROR(__xludf.DUMMYFUNCTION("""COMPUTED_VALUE"""),44179.6666666666)</f>
        <v>44179.666666666599</v>
      </c>
      <c r="D495" s="2">
        <f ca="1">IFERROR(__xludf.DUMMYFUNCTION("""COMPUTED_VALUE"""),214.2)</f>
        <v>214.2</v>
      </c>
      <c r="E495" s="3">
        <f ca="1">IFERROR(__xludf.DUMMYFUNCTION("""COMPUTED_VALUE"""),44179.6666666666)</f>
        <v>44179.666666666599</v>
      </c>
      <c r="F495" s="2">
        <f ca="1">IFERROR(__xludf.DUMMYFUNCTION("""COMPUTED_VALUE"""),3156.97)</f>
        <v>3156.97</v>
      </c>
      <c r="G495" s="3">
        <f ca="1">IFERROR(__xludf.DUMMYFUNCTION("""COMPUTED_VALUE"""),44179.6666666666)</f>
        <v>44179.666666666599</v>
      </c>
      <c r="H495" s="2">
        <f ca="1">IFERROR(__xludf.DUMMYFUNCTION("""COMPUTED_VALUE"""),1752.26)</f>
        <v>1752.26</v>
      </c>
      <c r="I495" s="3">
        <f ca="1">IFERROR(__xludf.DUMMYFUNCTION("""COMPUTED_VALUE"""),44179.6666666666)</f>
        <v>44179.666666666599</v>
      </c>
      <c r="J495" s="2">
        <f ca="1">IFERROR(__xludf.DUMMYFUNCTION("""COMPUTED_VALUE"""),1760.06)</f>
        <v>1760.06</v>
      </c>
      <c r="K495" s="3">
        <f ca="1">IFERROR(__xludf.DUMMYFUNCTION("""COMPUTED_VALUE"""),44179.6666666666)</f>
        <v>44179.666666666599</v>
      </c>
      <c r="L495" s="2">
        <f ca="1">IFERROR(__xludf.DUMMYFUNCTION("""COMPUTED_VALUE"""),274.19)</f>
        <v>274.19</v>
      </c>
      <c r="M495" s="3">
        <f ca="1">IFERROR(__xludf.DUMMYFUNCTION("""COMPUTED_VALUE"""),44179.6666666666)</f>
        <v>44179.666666666599</v>
      </c>
      <c r="N495" s="2">
        <f ca="1">IFERROR(__xludf.DUMMYFUNCTION("""COMPUTED_VALUE"""),639.83)</f>
        <v>639.83000000000004</v>
      </c>
      <c r="O495" s="3">
        <f ca="1">IFERROR(__xludf.DUMMYFUNCTION("""COMPUTED_VALUE"""),44179.6666666666)</f>
        <v>44179.666666666599</v>
      </c>
      <c r="P495" s="2">
        <f ca="1">IFERROR(__xludf.DUMMYFUNCTION("""COMPUTED_VALUE"""),133.09)</f>
        <v>133.09</v>
      </c>
      <c r="Q495" s="3">
        <f ca="1">IFERROR(__xludf.DUMMYFUNCTION("""COMPUTED_VALUE"""),44179.6666666666)</f>
        <v>44179.666666666599</v>
      </c>
      <c r="R495" s="2">
        <f ca="1">IFERROR(__xludf.DUMMYFUNCTION("""COMPUTED_VALUE"""),222.85)</f>
        <v>222.85</v>
      </c>
      <c r="S495" s="3">
        <f ca="1">IFERROR(__xludf.DUMMYFUNCTION("""COMPUTED_VALUE"""),44179.6666666666)</f>
        <v>44179.666666666599</v>
      </c>
      <c r="T495" s="2">
        <f ca="1">IFERROR(__xludf.DUMMYFUNCTION("""COMPUTED_VALUE"""),149.07)</f>
        <v>149.07</v>
      </c>
    </row>
    <row r="496" spans="1:20">
      <c r="A496" s="3">
        <f ca="1">IFERROR(__xludf.DUMMYFUNCTION("""COMPUTED_VALUE"""),44180.6666666666)</f>
        <v>44180.666666666599</v>
      </c>
      <c r="B496" s="2">
        <f ca="1">IFERROR(__xludf.DUMMYFUNCTION("""COMPUTED_VALUE"""),127.88)</f>
        <v>127.88</v>
      </c>
      <c r="C496" s="3">
        <f ca="1">IFERROR(__xludf.DUMMYFUNCTION("""COMPUTED_VALUE"""),44180.6666666666)</f>
        <v>44180.666666666599</v>
      </c>
      <c r="D496" s="2">
        <f ca="1">IFERROR(__xludf.DUMMYFUNCTION("""COMPUTED_VALUE"""),214.13)</f>
        <v>214.13</v>
      </c>
      <c r="E496" s="3">
        <f ca="1">IFERROR(__xludf.DUMMYFUNCTION("""COMPUTED_VALUE"""),44180.6666666666)</f>
        <v>44180.666666666599</v>
      </c>
      <c r="F496" s="2">
        <f ca="1">IFERROR(__xludf.DUMMYFUNCTION("""COMPUTED_VALUE"""),3165.12)</f>
        <v>3165.12</v>
      </c>
      <c r="G496" s="3">
        <f ca="1">IFERROR(__xludf.DUMMYFUNCTION("""COMPUTED_VALUE"""),44180.6666666666)</f>
        <v>44180.666666666599</v>
      </c>
      <c r="H496" s="2">
        <f ca="1">IFERROR(__xludf.DUMMYFUNCTION("""COMPUTED_VALUE"""),1761.08)</f>
        <v>1761.08</v>
      </c>
      <c r="I496" s="3">
        <f ca="1">IFERROR(__xludf.DUMMYFUNCTION("""COMPUTED_VALUE"""),44180.6666666666)</f>
        <v>44180.666666666599</v>
      </c>
      <c r="J496" s="2">
        <f ca="1">IFERROR(__xludf.DUMMYFUNCTION("""COMPUTED_VALUE"""),1767.77)</f>
        <v>1767.77</v>
      </c>
      <c r="K496" s="3">
        <f ca="1">IFERROR(__xludf.DUMMYFUNCTION("""COMPUTED_VALUE"""),44180.6666666666)</f>
        <v>44180.666666666599</v>
      </c>
      <c r="L496" s="2">
        <f ca="1">IFERROR(__xludf.DUMMYFUNCTION("""COMPUTED_VALUE"""),275.55)</f>
        <v>275.55</v>
      </c>
      <c r="M496" s="3">
        <f ca="1">IFERROR(__xludf.DUMMYFUNCTION("""COMPUTED_VALUE"""),44180.6666666666)</f>
        <v>44180.666666666599</v>
      </c>
      <c r="N496" s="2">
        <f ca="1">IFERROR(__xludf.DUMMYFUNCTION("""COMPUTED_VALUE"""),633.25)</f>
        <v>633.25</v>
      </c>
      <c r="O496" s="3">
        <f ca="1">IFERROR(__xludf.DUMMYFUNCTION("""COMPUTED_VALUE"""),44180.6666666666)</f>
        <v>44180.666666666599</v>
      </c>
      <c r="P496" s="2">
        <f ca="1">IFERROR(__xludf.DUMMYFUNCTION("""COMPUTED_VALUE"""),133.6)</f>
        <v>133.6</v>
      </c>
      <c r="Q496" s="3">
        <f ca="1">IFERROR(__xludf.DUMMYFUNCTION("""COMPUTED_VALUE"""),44180.6666666666)</f>
        <v>44180.666666666599</v>
      </c>
      <c r="R496" s="2">
        <f ca="1">IFERROR(__xludf.DUMMYFUNCTION("""COMPUTED_VALUE"""),224.38)</f>
        <v>224.38</v>
      </c>
      <c r="S496" s="3">
        <f ca="1">IFERROR(__xludf.DUMMYFUNCTION("""COMPUTED_VALUE"""),44180.6666666666)</f>
        <v>44180.666666666599</v>
      </c>
      <c r="T496" s="2">
        <f ca="1">IFERROR(__xludf.DUMMYFUNCTION("""COMPUTED_VALUE"""),150.57)</f>
        <v>150.57</v>
      </c>
    </row>
    <row r="497" spans="1:20">
      <c r="A497" s="3">
        <f ca="1">IFERROR(__xludf.DUMMYFUNCTION("""COMPUTED_VALUE"""),44181.6666666666)</f>
        <v>44181.666666666599</v>
      </c>
      <c r="B497" s="2">
        <f ca="1">IFERROR(__xludf.DUMMYFUNCTION("""COMPUTED_VALUE"""),127.81)</f>
        <v>127.81</v>
      </c>
      <c r="C497" s="3">
        <f ca="1">IFERROR(__xludf.DUMMYFUNCTION("""COMPUTED_VALUE"""),44181.6666666666)</f>
        <v>44181.666666666599</v>
      </c>
      <c r="D497" s="2">
        <f ca="1">IFERROR(__xludf.DUMMYFUNCTION("""COMPUTED_VALUE"""),219.28)</f>
        <v>219.28</v>
      </c>
      <c r="E497" s="3">
        <f ca="1">IFERROR(__xludf.DUMMYFUNCTION("""COMPUTED_VALUE"""),44181.6666666666)</f>
        <v>44181.666666666599</v>
      </c>
      <c r="F497" s="2">
        <f ca="1">IFERROR(__xludf.DUMMYFUNCTION("""COMPUTED_VALUE"""),3240.96)</f>
        <v>3240.96</v>
      </c>
      <c r="G497" s="3">
        <f ca="1">IFERROR(__xludf.DUMMYFUNCTION("""COMPUTED_VALUE"""),44181.6666666666)</f>
        <v>44181.666666666599</v>
      </c>
      <c r="H497" s="2">
        <f ca="1">IFERROR(__xludf.DUMMYFUNCTION("""COMPUTED_VALUE"""),1757.19)</f>
        <v>1757.19</v>
      </c>
      <c r="I497" s="3">
        <f ca="1">IFERROR(__xludf.DUMMYFUNCTION("""COMPUTED_VALUE"""),44181.6666666666)</f>
        <v>44181.666666666599</v>
      </c>
      <c r="J497" s="2">
        <f ca="1">IFERROR(__xludf.DUMMYFUNCTION("""COMPUTED_VALUE"""),1763)</f>
        <v>1763</v>
      </c>
      <c r="K497" s="3">
        <f ca="1">IFERROR(__xludf.DUMMYFUNCTION("""COMPUTED_VALUE"""),44181.6666666666)</f>
        <v>44181.666666666599</v>
      </c>
      <c r="L497" s="2">
        <f ca="1">IFERROR(__xludf.DUMMYFUNCTION("""COMPUTED_VALUE"""),275.67)</f>
        <v>275.67</v>
      </c>
      <c r="M497" s="3">
        <f ca="1">IFERROR(__xludf.DUMMYFUNCTION("""COMPUTED_VALUE"""),44181.6666666666)</f>
        <v>44181.666666666599</v>
      </c>
      <c r="N497" s="2">
        <f ca="1">IFERROR(__xludf.DUMMYFUNCTION("""COMPUTED_VALUE"""),622.77)</f>
        <v>622.77</v>
      </c>
      <c r="O497" s="3">
        <f ca="1">IFERROR(__xludf.DUMMYFUNCTION("""COMPUTED_VALUE"""),44181.6666666666)</f>
        <v>44181.666666666599</v>
      </c>
      <c r="P497" s="2">
        <f ca="1">IFERROR(__xludf.DUMMYFUNCTION("""COMPUTED_VALUE"""),132.43)</f>
        <v>132.43</v>
      </c>
      <c r="Q497" s="3">
        <f ca="1">IFERROR(__xludf.DUMMYFUNCTION("""COMPUTED_VALUE"""),44181.6666666666)</f>
        <v>44181.666666666599</v>
      </c>
      <c r="R497" s="2">
        <f ca="1">IFERROR(__xludf.DUMMYFUNCTION("""COMPUTED_VALUE"""),221.91)</f>
        <v>221.91</v>
      </c>
      <c r="S497" s="3">
        <f ca="1">IFERROR(__xludf.DUMMYFUNCTION("""COMPUTED_VALUE"""),44181.6666666666)</f>
        <v>44181.666666666599</v>
      </c>
      <c r="T497" s="2">
        <f ca="1">IFERROR(__xludf.DUMMYFUNCTION("""COMPUTED_VALUE"""),149.67)</f>
        <v>149.66999999999999</v>
      </c>
    </row>
    <row r="498" spans="1:20">
      <c r="A498" s="3">
        <f ca="1">IFERROR(__xludf.DUMMYFUNCTION("""COMPUTED_VALUE"""),44182.6666666666)</f>
        <v>44182.666666666599</v>
      </c>
      <c r="B498" s="2">
        <f ca="1">IFERROR(__xludf.DUMMYFUNCTION("""COMPUTED_VALUE"""),128.7)</f>
        <v>128.69999999999999</v>
      </c>
      <c r="C498" s="3">
        <f ca="1">IFERROR(__xludf.DUMMYFUNCTION("""COMPUTED_VALUE"""),44182.6666666666)</f>
        <v>44182.666666666599</v>
      </c>
      <c r="D498" s="2">
        <f ca="1">IFERROR(__xludf.DUMMYFUNCTION("""COMPUTED_VALUE"""),219.42)</f>
        <v>219.42</v>
      </c>
      <c r="E498" s="3">
        <f ca="1">IFERROR(__xludf.DUMMYFUNCTION("""COMPUTED_VALUE"""),44182.6666666666)</f>
        <v>44182.666666666599</v>
      </c>
      <c r="F498" s="2">
        <f ca="1">IFERROR(__xludf.DUMMYFUNCTION("""COMPUTED_VALUE"""),3236.08)</f>
        <v>3236.08</v>
      </c>
      <c r="G498" s="3">
        <f ca="1">IFERROR(__xludf.DUMMYFUNCTION("""COMPUTED_VALUE"""),44182.6666666666)</f>
        <v>44182.666666666599</v>
      </c>
      <c r="H498" s="2">
        <f ca="1">IFERROR(__xludf.DUMMYFUNCTION("""COMPUTED_VALUE"""),1740.51)</f>
        <v>1740.51</v>
      </c>
      <c r="I498" s="3">
        <f ca="1">IFERROR(__xludf.DUMMYFUNCTION("""COMPUTED_VALUE"""),44182.6666666666)</f>
        <v>44182.666666666599</v>
      </c>
      <c r="J498" s="2">
        <f ca="1">IFERROR(__xludf.DUMMYFUNCTION("""COMPUTED_VALUE"""),1747.9)</f>
        <v>1747.9</v>
      </c>
      <c r="K498" s="3">
        <f ca="1">IFERROR(__xludf.DUMMYFUNCTION("""COMPUTED_VALUE"""),44182.6666666666)</f>
        <v>44182.666666666599</v>
      </c>
      <c r="L498" s="2">
        <f ca="1">IFERROR(__xludf.DUMMYFUNCTION("""COMPUTED_VALUE"""),274.48)</f>
        <v>274.48</v>
      </c>
      <c r="M498" s="3">
        <f ca="1">IFERROR(__xludf.DUMMYFUNCTION("""COMPUTED_VALUE"""),44182.6666666666)</f>
        <v>44182.666666666599</v>
      </c>
      <c r="N498" s="2">
        <f ca="1">IFERROR(__xludf.DUMMYFUNCTION("""COMPUTED_VALUE"""),655.9)</f>
        <v>655.9</v>
      </c>
      <c r="O498" s="3">
        <f ca="1">IFERROR(__xludf.DUMMYFUNCTION("""COMPUTED_VALUE"""),44182.6666666666)</f>
        <v>44182.666666666599</v>
      </c>
      <c r="P498" s="2">
        <f ca="1">IFERROR(__xludf.DUMMYFUNCTION("""COMPUTED_VALUE"""),133.41)</f>
        <v>133.41</v>
      </c>
      <c r="Q498" s="3">
        <f ca="1">IFERROR(__xludf.DUMMYFUNCTION("""COMPUTED_VALUE"""),44182.6666666666)</f>
        <v>44182.666666666599</v>
      </c>
      <c r="R498" s="2">
        <f ca="1">IFERROR(__xludf.DUMMYFUNCTION("""COMPUTED_VALUE"""),224.68)</f>
        <v>224.68</v>
      </c>
      <c r="S498" s="3">
        <f ca="1">IFERROR(__xludf.DUMMYFUNCTION("""COMPUTED_VALUE"""),44182.6666666666)</f>
        <v>44182.666666666599</v>
      </c>
      <c r="T498" s="2">
        <f ca="1">IFERROR(__xludf.DUMMYFUNCTION("""COMPUTED_VALUE"""),153.62)</f>
        <v>153.62</v>
      </c>
    </row>
    <row r="499" spans="1:20">
      <c r="A499" s="3">
        <f ca="1">IFERROR(__xludf.DUMMYFUNCTION("""COMPUTED_VALUE"""),44183.6666666666)</f>
        <v>44183.666666666599</v>
      </c>
      <c r="B499" s="2">
        <f ca="1">IFERROR(__xludf.DUMMYFUNCTION("""COMPUTED_VALUE"""),126.66)</f>
        <v>126.66</v>
      </c>
      <c r="C499" s="3">
        <f ca="1">IFERROR(__xludf.DUMMYFUNCTION("""COMPUTED_VALUE"""),44183.6666666666)</f>
        <v>44183.666666666599</v>
      </c>
      <c r="D499" s="2">
        <f ca="1">IFERROR(__xludf.DUMMYFUNCTION("""COMPUTED_VALUE"""),218.59)</f>
        <v>218.59</v>
      </c>
      <c r="E499" s="3">
        <f ca="1">IFERROR(__xludf.DUMMYFUNCTION("""COMPUTED_VALUE"""),44183.6666666666)</f>
        <v>44183.666666666599</v>
      </c>
      <c r="F499" s="2">
        <f ca="1">IFERROR(__xludf.DUMMYFUNCTION("""COMPUTED_VALUE"""),3201.65)</f>
        <v>3201.65</v>
      </c>
      <c r="G499" s="3">
        <f ca="1">IFERROR(__xludf.DUMMYFUNCTION("""COMPUTED_VALUE"""),44183.6666666666)</f>
        <v>44183.666666666599</v>
      </c>
      <c r="H499" s="2">
        <f ca="1">IFERROR(__xludf.DUMMYFUNCTION("""COMPUTED_VALUE"""),1726.22)</f>
        <v>1726.22</v>
      </c>
      <c r="I499" s="3">
        <f ca="1">IFERROR(__xludf.DUMMYFUNCTION("""COMPUTED_VALUE"""),44183.6666666666)</f>
        <v>44183.666666666599</v>
      </c>
      <c r="J499" s="2">
        <f ca="1">IFERROR(__xludf.DUMMYFUNCTION("""COMPUTED_VALUE"""),1731.01)</f>
        <v>1731.01</v>
      </c>
      <c r="K499" s="3">
        <f ca="1">IFERROR(__xludf.DUMMYFUNCTION("""COMPUTED_VALUE"""),44183.6666666666)</f>
        <v>44183.666666666599</v>
      </c>
      <c r="L499" s="2">
        <f ca="1">IFERROR(__xludf.DUMMYFUNCTION("""COMPUTED_VALUE"""),276.4)</f>
        <v>276.39999999999998</v>
      </c>
      <c r="M499" s="3">
        <f ca="1">IFERROR(__xludf.DUMMYFUNCTION("""COMPUTED_VALUE"""),44183.6666666666)</f>
        <v>44183.666666666599</v>
      </c>
      <c r="N499" s="2">
        <f ca="1">IFERROR(__xludf.DUMMYFUNCTION("""COMPUTED_VALUE"""),695)</f>
        <v>695</v>
      </c>
      <c r="O499" s="3">
        <f ca="1">IFERROR(__xludf.DUMMYFUNCTION("""COMPUTED_VALUE"""),44183.6666666666)</f>
        <v>44183.666666666599</v>
      </c>
      <c r="P499" s="2">
        <f ca="1">IFERROR(__xludf.DUMMYFUNCTION("""COMPUTED_VALUE"""),132.72)</f>
        <v>132.72</v>
      </c>
      <c r="Q499" s="3">
        <f ca="1">IFERROR(__xludf.DUMMYFUNCTION("""COMPUTED_VALUE"""),44183.6666666666)</f>
        <v>44183.666666666599</v>
      </c>
      <c r="R499" s="2">
        <f ca="1">IFERROR(__xludf.DUMMYFUNCTION("""COMPUTED_VALUE"""),223.43)</f>
        <v>223.43</v>
      </c>
      <c r="S499" s="3">
        <f ca="1">IFERROR(__xludf.DUMMYFUNCTION("""COMPUTED_VALUE"""),44183.6666666666)</f>
        <v>44183.666666666599</v>
      </c>
      <c r="T499" s="2">
        <f ca="1">IFERROR(__xludf.DUMMYFUNCTION("""COMPUTED_VALUE"""),154.51)</f>
        <v>154.51</v>
      </c>
    </row>
    <row r="500" spans="1:20">
      <c r="A500" s="3">
        <f ca="1">IFERROR(__xludf.DUMMYFUNCTION("""COMPUTED_VALUE"""),44186.6666666666)</f>
        <v>44186.666666666599</v>
      </c>
      <c r="B500" s="2">
        <f ca="1">IFERROR(__xludf.DUMMYFUNCTION("""COMPUTED_VALUE"""),128.23)</f>
        <v>128.22999999999999</v>
      </c>
      <c r="C500" s="3">
        <f ca="1">IFERROR(__xludf.DUMMYFUNCTION("""COMPUTED_VALUE"""),44186.6666666666)</f>
        <v>44186.666666666599</v>
      </c>
      <c r="D500" s="2">
        <f ca="1">IFERROR(__xludf.DUMMYFUNCTION("""COMPUTED_VALUE"""),222.59)</f>
        <v>222.59</v>
      </c>
      <c r="E500" s="3">
        <f ca="1">IFERROR(__xludf.DUMMYFUNCTION("""COMPUTED_VALUE"""),44186.6666666666)</f>
        <v>44186.666666666599</v>
      </c>
      <c r="F500" s="2">
        <f ca="1">IFERROR(__xludf.DUMMYFUNCTION("""COMPUTED_VALUE"""),3206.18)</f>
        <v>3206.18</v>
      </c>
      <c r="G500" s="3">
        <f ca="1">IFERROR(__xludf.DUMMYFUNCTION("""COMPUTED_VALUE"""),44186.6666666666)</f>
        <v>44186.666666666599</v>
      </c>
      <c r="H500" s="2">
        <f ca="1">IFERROR(__xludf.DUMMYFUNCTION("""COMPUTED_VALUE"""),1734.56)</f>
        <v>1734.56</v>
      </c>
      <c r="I500" s="3">
        <f ca="1">IFERROR(__xludf.DUMMYFUNCTION("""COMPUTED_VALUE"""),44186.6666666666)</f>
        <v>44186.666666666599</v>
      </c>
      <c r="J500" s="2">
        <f ca="1">IFERROR(__xludf.DUMMYFUNCTION("""COMPUTED_VALUE"""),1739.37)</f>
        <v>1739.37</v>
      </c>
      <c r="K500" s="3">
        <f ca="1">IFERROR(__xludf.DUMMYFUNCTION("""COMPUTED_VALUE"""),44186.6666666666)</f>
        <v>44186.666666666599</v>
      </c>
      <c r="L500" s="2">
        <f ca="1">IFERROR(__xludf.DUMMYFUNCTION("""COMPUTED_VALUE"""),272.79)</f>
        <v>272.79000000000002</v>
      </c>
      <c r="M500" s="3">
        <f ca="1">IFERROR(__xludf.DUMMYFUNCTION("""COMPUTED_VALUE"""),44186.6666666666)</f>
        <v>44186.666666666599</v>
      </c>
      <c r="N500" s="2">
        <f ca="1">IFERROR(__xludf.DUMMYFUNCTION("""COMPUTED_VALUE"""),649.86)</f>
        <v>649.86</v>
      </c>
      <c r="O500" s="3">
        <f ca="1">IFERROR(__xludf.DUMMYFUNCTION("""COMPUTED_VALUE"""),44186.6666666666)</f>
        <v>44186.666666666599</v>
      </c>
      <c r="P500" s="2">
        <f ca="1">IFERROR(__xludf.DUMMYFUNCTION("""COMPUTED_VALUE"""),133.32)</f>
        <v>133.32</v>
      </c>
      <c r="Q500" s="3">
        <f ca="1">IFERROR(__xludf.DUMMYFUNCTION("""COMPUTED_VALUE"""),44186.6666666666)</f>
        <v>44186.666666666599</v>
      </c>
      <c r="R500" s="2">
        <f ca="1">IFERROR(__xludf.DUMMYFUNCTION("""COMPUTED_VALUE"""),223.49)</f>
        <v>223.49</v>
      </c>
      <c r="S500" s="3">
        <f ca="1">IFERROR(__xludf.DUMMYFUNCTION("""COMPUTED_VALUE"""),44186.6666666666)</f>
        <v>44186.666666666599</v>
      </c>
      <c r="T500" s="2">
        <f ca="1">IFERROR(__xludf.DUMMYFUNCTION("""COMPUTED_VALUE"""),153.02)</f>
        <v>153.02000000000001</v>
      </c>
    </row>
    <row r="501" spans="1:20">
      <c r="A501" s="3">
        <f ca="1">IFERROR(__xludf.DUMMYFUNCTION("""COMPUTED_VALUE"""),44187.6666666666)</f>
        <v>44187.666666666599</v>
      </c>
      <c r="B501" s="2">
        <f ca="1">IFERROR(__xludf.DUMMYFUNCTION("""COMPUTED_VALUE"""),131.88)</f>
        <v>131.88</v>
      </c>
      <c r="C501" s="3">
        <f ca="1">IFERROR(__xludf.DUMMYFUNCTION("""COMPUTED_VALUE"""),44187.6666666666)</f>
        <v>44187.666666666599</v>
      </c>
      <c r="D501" s="2">
        <f ca="1">IFERROR(__xludf.DUMMYFUNCTION("""COMPUTED_VALUE"""),223.94)</f>
        <v>223.94</v>
      </c>
      <c r="E501" s="3">
        <f ca="1">IFERROR(__xludf.DUMMYFUNCTION("""COMPUTED_VALUE"""),44187.6666666666)</f>
        <v>44187.666666666599</v>
      </c>
      <c r="F501" s="2">
        <f ca="1">IFERROR(__xludf.DUMMYFUNCTION("""COMPUTED_VALUE"""),3206.52)</f>
        <v>3206.52</v>
      </c>
      <c r="G501" s="3">
        <f ca="1">IFERROR(__xludf.DUMMYFUNCTION("""COMPUTED_VALUE"""),44187.6666666666)</f>
        <v>44187.666666666599</v>
      </c>
      <c r="H501" s="2">
        <f ca="1">IFERROR(__xludf.DUMMYFUNCTION("""COMPUTED_VALUE"""),1720.22)</f>
        <v>1720.22</v>
      </c>
      <c r="I501" s="3">
        <f ca="1">IFERROR(__xludf.DUMMYFUNCTION("""COMPUTED_VALUE"""),44187.6666666666)</f>
        <v>44187.666666666599</v>
      </c>
      <c r="J501" s="2">
        <f ca="1">IFERROR(__xludf.DUMMYFUNCTION("""COMPUTED_VALUE"""),1723.5)</f>
        <v>1723.5</v>
      </c>
      <c r="K501" s="3">
        <f ca="1">IFERROR(__xludf.DUMMYFUNCTION("""COMPUTED_VALUE"""),44187.6666666666)</f>
        <v>44187.666666666599</v>
      </c>
      <c r="L501" s="2">
        <f ca="1">IFERROR(__xludf.DUMMYFUNCTION("""COMPUTED_VALUE"""),267.09)</f>
        <v>267.08999999999997</v>
      </c>
      <c r="M501" s="3">
        <f ca="1">IFERROR(__xludf.DUMMYFUNCTION("""COMPUTED_VALUE"""),44187.6666666666)</f>
        <v>44187.666666666599</v>
      </c>
      <c r="N501" s="2">
        <f ca="1">IFERROR(__xludf.DUMMYFUNCTION("""COMPUTED_VALUE"""),640.34)</f>
        <v>640.34</v>
      </c>
      <c r="O501" s="3">
        <f ca="1">IFERROR(__xludf.DUMMYFUNCTION("""COMPUTED_VALUE"""),44187.6666666666)</f>
        <v>44187.666666666599</v>
      </c>
      <c r="P501" s="2">
        <f ca="1">IFERROR(__xludf.DUMMYFUNCTION("""COMPUTED_VALUE"""),132.78)</f>
        <v>132.78</v>
      </c>
      <c r="Q501" s="3">
        <f ca="1">IFERROR(__xludf.DUMMYFUNCTION("""COMPUTED_VALUE"""),44187.6666666666)</f>
        <v>44187.666666666599</v>
      </c>
      <c r="R501" s="2">
        <f ca="1">IFERROR(__xludf.DUMMYFUNCTION("""COMPUTED_VALUE"""),221.88)</f>
        <v>221.88</v>
      </c>
      <c r="S501" s="3">
        <f ca="1">IFERROR(__xludf.DUMMYFUNCTION("""COMPUTED_VALUE"""),44187.6666666666)</f>
        <v>44187.666666666599</v>
      </c>
      <c r="T501" s="2">
        <f ca="1">IFERROR(__xludf.DUMMYFUNCTION("""COMPUTED_VALUE"""),152.72)</f>
        <v>152.72</v>
      </c>
    </row>
    <row r="502" spans="1:20">
      <c r="A502" s="3">
        <f ca="1">IFERROR(__xludf.DUMMYFUNCTION("""COMPUTED_VALUE"""),44188.6666666666)</f>
        <v>44188.666666666599</v>
      </c>
      <c r="B502" s="2">
        <f ca="1">IFERROR(__xludf.DUMMYFUNCTION("""COMPUTED_VALUE"""),130.96)</f>
        <v>130.96</v>
      </c>
      <c r="C502" s="3">
        <f ca="1">IFERROR(__xludf.DUMMYFUNCTION("""COMPUTED_VALUE"""),44188.6666666666)</f>
        <v>44188.666666666599</v>
      </c>
      <c r="D502" s="2">
        <f ca="1">IFERROR(__xludf.DUMMYFUNCTION("""COMPUTED_VALUE"""),221.02)</f>
        <v>221.02</v>
      </c>
      <c r="E502" s="3">
        <f ca="1">IFERROR(__xludf.DUMMYFUNCTION("""COMPUTED_VALUE"""),44188.6666666666)</f>
        <v>44188.666666666599</v>
      </c>
      <c r="F502" s="2">
        <f ca="1">IFERROR(__xludf.DUMMYFUNCTION("""COMPUTED_VALUE"""),3185.27)</f>
        <v>3185.27</v>
      </c>
      <c r="G502" s="3">
        <f ca="1">IFERROR(__xludf.DUMMYFUNCTION("""COMPUTED_VALUE"""),44188.6666666666)</f>
        <v>44188.666666666599</v>
      </c>
      <c r="H502" s="2">
        <f ca="1">IFERROR(__xludf.DUMMYFUNCTION("""COMPUTED_VALUE"""),1728.23)</f>
        <v>1728.23</v>
      </c>
      <c r="I502" s="3">
        <f ca="1">IFERROR(__xludf.DUMMYFUNCTION("""COMPUTED_VALUE"""),44188.6666666666)</f>
        <v>44188.666666666599</v>
      </c>
      <c r="J502" s="2">
        <f ca="1">IFERROR(__xludf.DUMMYFUNCTION("""COMPUTED_VALUE"""),1732.38)</f>
        <v>1732.38</v>
      </c>
      <c r="K502" s="3">
        <f ca="1">IFERROR(__xludf.DUMMYFUNCTION("""COMPUTED_VALUE"""),44188.6666666666)</f>
        <v>44188.666666666599</v>
      </c>
      <c r="L502" s="2">
        <f ca="1">IFERROR(__xludf.DUMMYFUNCTION("""COMPUTED_VALUE"""),268.11)</f>
        <v>268.11</v>
      </c>
      <c r="M502" s="3">
        <f ca="1">IFERROR(__xludf.DUMMYFUNCTION("""COMPUTED_VALUE"""),44188.6666666666)</f>
        <v>44188.666666666599</v>
      </c>
      <c r="N502" s="2">
        <f ca="1">IFERROR(__xludf.DUMMYFUNCTION("""COMPUTED_VALUE"""),645.98)</f>
        <v>645.98</v>
      </c>
      <c r="O502" s="3">
        <f ca="1">IFERROR(__xludf.DUMMYFUNCTION("""COMPUTED_VALUE"""),44188.6666666666)</f>
        <v>44188.666666666599</v>
      </c>
      <c r="P502" s="2">
        <f ca="1">IFERROR(__xludf.DUMMYFUNCTION("""COMPUTED_VALUE"""),130.09)</f>
        <v>130.09</v>
      </c>
      <c r="Q502" s="3">
        <f ca="1">IFERROR(__xludf.DUMMYFUNCTION("""COMPUTED_VALUE"""),44188.6666666666)</f>
        <v>44188.666666666599</v>
      </c>
      <c r="R502" s="2">
        <f ca="1">IFERROR(__xludf.DUMMYFUNCTION("""COMPUTED_VALUE"""),224.24)</f>
        <v>224.24</v>
      </c>
      <c r="S502" s="3">
        <f ca="1">IFERROR(__xludf.DUMMYFUNCTION("""COMPUTED_VALUE"""),44188.6666666666)</f>
        <v>44188.666666666599</v>
      </c>
      <c r="T502" s="2">
        <f ca="1">IFERROR(__xludf.DUMMYFUNCTION("""COMPUTED_VALUE"""),151.94)</f>
        <v>151.94</v>
      </c>
    </row>
    <row r="503" spans="1:20">
      <c r="A503" s="3">
        <f ca="1">IFERROR(__xludf.DUMMYFUNCTION("""COMPUTED_VALUE"""),44189.5416666666)</f>
        <v>44189.541666666599</v>
      </c>
      <c r="B503" s="2">
        <f ca="1">IFERROR(__xludf.DUMMYFUNCTION("""COMPUTED_VALUE"""),131.97)</f>
        <v>131.97</v>
      </c>
      <c r="C503" s="3">
        <f ca="1">IFERROR(__xludf.DUMMYFUNCTION("""COMPUTED_VALUE"""),44189.5416666666)</f>
        <v>44189.541666666599</v>
      </c>
      <c r="D503" s="2">
        <f ca="1">IFERROR(__xludf.DUMMYFUNCTION("""COMPUTED_VALUE"""),222.75)</f>
        <v>222.75</v>
      </c>
      <c r="E503" s="3">
        <f ca="1">IFERROR(__xludf.DUMMYFUNCTION("""COMPUTED_VALUE"""),44189.5416666666)</f>
        <v>44189.541666666599</v>
      </c>
      <c r="F503" s="2">
        <f ca="1">IFERROR(__xludf.DUMMYFUNCTION("""COMPUTED_VALUE"""),3172.69)</f>
        <v>3172.69</v>
      </c>
      <c r="G503" s="3">
        <f ca="1">IFERROR(__xludf.DUMMYFUNCTION("""COMPUTED_VALUE"""),44189.5416666666)</f>
        <v>44189.541666666599</v>
      </c>
      <c r="H503" s="2">
        <f ca="1">IFERROR(__xludf.DUMMYFUNCTION("""COMPUTED_VALUE"""),1734.16)</f>
        <v>1734.16</v>
      </c>
      <c r="I503" s="3">
        <f ca="1">IFERROR(__xludf.DUMMYFUNCTION("""COMPUTED_VALUE"""),44189.5416666666)</f>
        <v>44189.541666666599</v>
      </c>
      <c r="J503" s="2">
        <f ca="1">IFERROR(__xludf.DUMMYFUNCTION("""COMPUTED_VALUE"""),1738.85)</f>
        <v>1738.85</v>
      </c>
      <c r="K503" s="3">
        <f ca="1">IFERROR(__xludf.DUMMYFUNCTION("""COMPUTED_VALUE"""),44189.5416666666)</f>
        <v>44189.541666666599</v>
      </c>
      <c r="L503" s="2">
        <f ca="1">IFERROR(__xludf.DUMMYFUNCTION("""COMPUTED_VALUE"""),267.4)</f>
        <v>267.39999999999998</v>
      </c>
      <c r="M503" s="3">
        <f ca="1">IFERROR(__xludf.DUMMYFUNCTION("""COMPUTED_VALUE"""),44189.5416666666)</f>
        <v>44189.541666666599</v>
      </c>
      <c r="N503" s="2">
        <f ca="1">IFERROR(__xludf.DUMMYFUNCTION("""COMPUTED_VALUE"""),661.77)</f>
        <v>661.77</v>
      </c>
      <c r="O503" s="3">
        <f ca="1">IFERROR(__xludf.DUMMYFUNCTION("""COMPUTED_VALUE"""),44189.5416666666)</f>
        <v>44189.541666666599</v>
      </c>
      <c r="P503" s="2">
        <f ca="1">IFERROR(__xludf.DUMMYFUNCTION("""COMPUTED_VALUE"""),129.94)</f>
        <v>129.94</v>
      </c>
      <c r="Q503" s="3">
        <f ca="1">IFERROR(__xludf.DUMMYFUNCTION("""COMPUTED_VALUE"""),44189.5416666666)</f>
        <v>44189.541666666599</v>
      </c>
      <c r="R503" s="2">
        <f ca="1">IFERROR(__xludf.DUMMYFUNCTION("""COMPUTED_VALUE"""),226.53)</f>
        <v>226.53</v>
      </c>
      <c r="S503" s="3">
        <f ca="1">IFERROR(__xludf.DUMMYFUNCTION("""COMPUTED_VALUE"""),44189.5416666666)</f>
        <v>44189.541666666599</v>
      </c>
      <c r="T503" s="2">
        <f ca="1">IFERROR(__xludf.DUMMYFUNCTION("""COMPUTED_VALUE"""),152.47)</f>
        <v>152.47</v>
      </c>
    </row>
    <row r="504" spans="1:20">
      <c r="A504" s="3">
        <f ca="1">IFERROR(__xludf.DUMMYFUNCTION("""COMPUTED_VALUE"""),44193.6666666666)</f>
        <v>44193.666666666599</v>
      </c>
      <c r="B504" s="2">
        <f ca="1">IFERROR(__xludf.DUMMYFUNCTION("""COMPUTED_VALUE"""),136.69)</f>
        <v>136.69</v>
      </c>
      <c r="C504" s="3">
        <f ca="1">IFERROR(__xludf.DUMMYFUNCTION("""COMPUTED_VALUE"""),44193.6666666666)</f>
        <v>44193.666666666599</v>
      </c>
      <c r="D504" s="2">
        <f ca="1">IFERROR(__xludf.DUMMYFUNCTION("""COMPUTED_VALUE"""),224.96)</f>
        <v>224.96</v>
      </c>
      <c r="E504" s="3">
        <f ca="1">IFERROR(__xludf.DUMMYFUNCTION("""COMPUTED_VALUE"""),44193.6666666666)</f>
        <v>44193.666666666599</v>
      </c>
      <c r="F504" s="2">
        <f ca="1">IFERROR(__xludf.DUMMYFUNCTION("""COMPUTED_VALUE"""),3283.96)</f>
        <v>3283.96</v>
      </c>
      <c r="G504" s="3">
        <f ca="1">IFERROR(__xludf.DUMMYFUNCTION("""COMPUTED_VALUE"""),44193.6666666666)</f>
        <v>44193.666666666599</v>
      </c>
      <c r="H504" s="2">
        <f ca="1">IFERROR(__xludf.DUMMYFUNCTION("""COMPUTED_VALUE"""),1773.96)</f>
        <v>1773.96</v>
      </c>
      <c r="I504" s="3">
        <f ca="1">IFERROR(__xludf.DUMMYFUNCTION("""COMPUTED_VALUE"""),44193.6666666666)</f>
        <v>44193.666666666599</v>
      </c>
      <c r="J504" s="2">
        <f ca="1">IFERROR(__xludf.DUMMYFUNCTION("""COMPUTED_VALUE"""),1776.09)</f>
        <v>1776.09</v>
      </c>
      <c r="K504" s="3">
        <f ca="1">IFERROR(__xludf.DUMMYFUNCTION("""COMPUTED_VALUE"""),44193.6666666666)</f>
        <v>44193.666666666599</v>
      </c>
      <c r="L504" s="2">
        <f ca="1">IFERROR(__xludf.DUMMYFUNCTION("""COMPUTED_VALUE"""),277)</f>
        <v>277</v>
      </c>
      <c r="M504" s="3">
        <f ca="1">IFERROR(__xludf.DUMMYFUNCTION("""COMPUTED_VALUE"""),44193.6666666666)</f>
        <v>44193.666666666599</v>
      </c>
      <c r="N504" s="2">
        <f ca="1">IFERROR(__xludf.DUMMYFUNCTION("""COMPUTED_VALUE"""),663.69)</f>
        <v>663.69</v>
      </c>
      <c r="O504" s="3">
        <f ca="1">IFERROR(__xludf.DUMMYFUNCTION("""COMPUTED_VALUE"""),44193.6666666666)</f>
        <v>44193.666666666599</v>
      </c>
      <c r="P504" s="2">
        <f ca="1">IFERROR(__xludf.DUMMYFUNCTION("""COMPUTED_VALUE"""),129)</f>
        <v>129</v>
      </c>
      <c r="Q504" s="3">
        <f ca="1">IFERROR(__xludf.DUMMYFUNCTION("""COMPUTED_VALUE"""),44193.6666666666)</f>
        <v>44193.666666666599</v>
      </c>
      <c r="R504" s="2">
        <f ca="1">IFERROR(__xludf.DUMMYFUNCTION("""COMPUTED_VALUE"""),228.41)</f>
        <v>228.41</v>
      </c>
      <c r="S504" s="3">
        <f ca="1">IFERROR(__xludf.DUMMYFUNCTION("""COMPUTED_VALUE"""),44193.6666666666)</f>
        <v>44193.666666666599</v>
      </c>
      <c r="T504" s="2">
        <f ca="1">IFERROR(__xludf.DUMMYFUNCTION("""COMPUTED_VALUE"""),153.19)</f>
        <v>153.19</v>
      </c>
    </row>
    <row r="505" spans="1:20">
      <c r="A505" s="3">
        <f ca="1">IFERROR(__xludf.DUMMYFUNCTION("""COMPUTED_VALUE"""),44194.6666666666)</f>
        <v>44194.666666666599</v>
      </c>
      <c r="B505" s="2">
        <f ca="1">IFERROR(__xludf.DUMMYFUNCTION("""COMPUTED_VALUE"""),134.87)</f>
        <v>134.87</v>
      </c>
      <c r="C505" s="3">
        <f ca="1">IFERROR(__xludf.DUMMYFUNCTION("""COMPUTED_VALUE"""),44194.6666666666)</f>
        <v>44194.666666666599</v>
      </c>
      <c r="D505" s="2">
        <f ca="1">IFERROR(__xludf.DUMMYFUNCTION("""COMPUTED_VALUE"""),224.15)</f>
        <v>224.15</v>
      </c>
      <c r="E505" s="3">
        <f ca="1">IFERROR(__xludf.DUMMYFUNCTION("""COMPUTED_VALUE"""),44194.6666666666)</f>
        <v>44194.666666666599</v>
      </c>
      <c r="F505" s="2">
        <f ca="1">IFERROR(__xludf.DUMMYFUNCTION("""COMPUTED_VALUE"""),3322)</f>
        <v>3322</v>
      </c>
      <c r="G505" s="3">
        <f ca="1">IFERROR(__xludf.DUMMYFUNCTION("""COMPUTED_VALUE"""),44194.6666666666)</f>
        <v>44194.666666666599</v>
      </c>
      <c r="H505" s="2">
        <f ca="1">IFERROR(__xludf.DUMMYFUNCTION("""COMPUTED_VALUE"""),1757.76)</f>
        <v>1757.76</v>
      </c>
      <c r="I505" s="3">
        <f ca="1">IFERROR(__xludf.DUMMYFUNCTION("""COMPUTED_VALUE"""),44194.6666666666)</f>
        <v>44194.666666666599</v>
      </c>
      <c r="J505" s="2">
        <f ca="1">IFERROR(__xludf.DUMMYFUNCTION("""COMPUTED_VALUE"""),1758.72)</f>
        <v>1758.72</v>
      </c>
      <c r="K505" s="3">
        <f ca="1">IFERROR(__xludf.DUMMYFUNCTION("""COMPUTED_VALUE"""),44194.6666666666)</f>
        <v>44194.666666666599</v>
      </c>
      <c r="L505" s="2">
        <f ca="1">IFERROR(__xludf.DUMMYFUNCTION("""COMPUTED_VALUE"""),276.78)</f>
        <v>276.77999999999997</v>
      </c>
      <c r="M505" s="3">
        <f ca="1">IFERROR(__xludf.DUMMYFUNCTION("""COMPUTED_VALUE"""),44194.6666666666)</f>
        <v>44194.666666666599</v>
      </c>
      <c r="N505" s="2">
        <f ca="1">IFERROR(__xludf.DUMMYFUNCTION("""COMPUTED_VALUE"""),665.99)</f>
        <v>665.99</v>
      </c>
      <c r="O505" s="3">
        <f ca="1">IFERROR(__xludf.DUMMYFUNCTION("""COMPUTED_VALUE"""),44194.6666666666)</f>
        <v>44194.666666666599</v>
      </c>
      <c r="P505" s="2">
        <f ca="1">IFERROR(__xludf.DUMMYFUNCTION("""COMPUTED_VALUE"""),129.43)</f>
        <v>129.43</v>
      </c>
      <c r="Q505" s="3">
        <f ca="1">IFERROR(__xludf.DUMMYFUNCTION("""COMPUTED_VALUE"""),44194.6666666666)</f>
        <v>44194.666666666599</v>
      </c>
      <c r="R505" s="2">
        <f ca="1">IFERROR(__xludf.DUMMYFUNCTION("""COMPUTED_VALUE"""),229.57)</f>
        <v>229.57</v>
      </c>
      <c r="S505" s="3">
        <f ca="1">IFERROR(__xludf.DUMMYFUNCTION("""COMPUTED_VALUE"""),44194.6666666666)</f>
        <v>44194.666666666599</v>
      </c>
      <c r="T505" s="2">
        <f ca="1">IFERROR(__xludf.DUMMYFUNCTION("""COMPUTED_VALUE"""),154.14)</f>
        <v>154.13999999999999</v>
      </c>
    </row>
    <row r="506" spans="1:20">
      <c r="A506" s="3">
        <f ca="1">IFERROR(__xludf.DUMMYFUNCTION("""COMPUTED_VALUE"""),44195.6666666666)</f>
        <v>44195.666666666599</v>
      </c>
      <c r="B506" s="2">
        <f ca="1">IFERROR(__xludf.DUMMYFUNCTION("""COMPUTED_VALUE"""),133.72)</f>
        <v>133.72</v>
      </c>
      <c r="C506" s="3">
        <f ca="1">IFERROR(__xludf.DUMMYFUNCTION("""COMPUTED_VALUE"""),44195.6666666666)</f>
        <v>44195.666666666599</v>
      </c>
      <c r="D506" s="2">
        <f ca="1">IFERROR(__xludf.DUMMYFUNCTION("""COMPUTED_VALUE"""),221.68)</f>
        <v>221.68</v>
      </c>
      <c r="E506" s="3">
        <f ca="1">IFERROR(__xludf.DUMMYFUNCTION("""COMPUTED_VALUE"""),44195.6666666666)</f>
        <v>44195.666666666599</v>
      </c>
      <c r="F506" s="2">
        <f ca="1">IFERROR(__xludf.DUMMYFUNCTION("""COMPUTED_VALUE"""),3285.85)</f>
        <v>3285.85</v>
      </c>
      <c r="G506" s="3">
        <f ca="1">IFERROR(__xludf.DUMMYFUNCTION("""COMPUTED_VALUE"""),44195.6666666666)</f>
        <v>44195.666666666599</v>
      </c>
      <c r="H506" s="2">
        <f ca="1">IFERROR(__xludf.DUMMYFUNCTION("""COMPUTED_VALUE"""),1736.25)</f>
        <v>1736.25</v>
      </c>
      <c r="I506" s="3">
        <f ca="1">IFERROR(__xludf.DUMMYFUNCTION("""COMPUTED_VALUE"""),44195.6666666666)</f>
        <v>44195.666666666599</v>
      </c>
      <c r="J506" s="2">
        <f ca="1">IFERROR(__xludf.DUMMYFUNCTION("""COMPUTED_VALUE"""),1739.52)</f>
        <v>1739.52</v>
      </c>
      <c r="K506" s="3">
        <f ca="1">IFERROR(__xludf.DUMMYFUNCTION("""COMPUTED_VALUE"""),44195.6666666666)</f>
        <v>44195.666666666599</v>
      </c>
      <c r="L506" s="2">
        <f ca="1">IFERROR(__xludf.DUMMYFUNCTION("""COMPUTED_VALUE"""),271.87)</f>
        <v>271.87</v>
      </c>
      <c r="M506" s="3">
        <f ca="1">IFERROR(__xludf.DUMMYFUNCTION("""COMPUTED_VALUE"""),44195.6666666666)</f>
        <v>44195.666666666599</v>
      </c>
      <c r="N506" s="2">
        <f ca="1">IFERROR(__xludf.DUMMYFUNCTION("""COMPUTED_VALUE"""),694.78)</f>
        <v>694.78</v>
      </c>
      <c r="O506" s="3">
        <f ca="1">IFERROR(__xludf.DUMMYFUNCTION("""COMPUTED_VALUE"""),44195.6666666666)</f>
        <v>44195.666666666599</v>
      </c>
      <c r="P506" s="2">
        <f ca="1">IFERROR(__xludf.DUMMYFUNCTION("""COMPUTED_VALUE"""),131.46)</f>
        <v>131.46</v>
      </c>
      <c r="Q506" s="3">
        <f ca="1">IFERROR(__xludf.DUMMYFUNCTION("""COMPUTED_VALUE"""),44195.6666666666)</f>
        <v>44195.666666666599</v>
      </c>
      <c r="R506" s="2">
        <f ca="1">IFERROR(__xludf.DUMMYFUNCTION("""COMPUTED_VALUE"""),229.65)</f>
        <v>229.65</v>
      </c>
      <c r="S506" s="3">
        <f ca="1">IFERROR(__xludf.DUMMYFUNCTION("""COMPUTED_VALUE"""),44195.6666666666)</f>
        <v>44195.666666666599</v>
      </c>
      <c r="T506" s="2">
        <f ca="1">IFERROR(__xludf.DUMMYFUNCTION("""COMPUTED_VALUE"""),156.05)</f>
        <v>156.05000000000001</v>
      </c>
    </row>
    <row r="507" spans="1:20">
      <c r="A507" s="3">
        <f ca="1">IFERROR(__xludf.DUMMYFUNCTION("""COMPUTED_VALUE"""),44196.6666666666)</f>
        <v>44196.666666666599</v>
      </c>
      <c r="B507" s="2">
        <f ca="1">IFERROR(__xludf.DUMMYFUNCTION("""COMPUTED_VALUE"""),132.69)</f>
        <v>132.69</v>
      </c>
      <c r="C507" s="3">
        <f ca="1">IFERROR(__xludf.DUMMYFUNCTION("""COMPUTED_VALUE"""),44196.6666666666)</f>
        <v>44196.666666666599</v>
      </c>
      <c r="D507" s="2">
        <f ca="1">IFERROR(__xludf.DUMMYFUNCTION("""COMPUTED_VALUE"""),222.42)</f>
        <v>222.42</v>
      </c>
      <c r="E507" s="3">
        <f ca="1">IFERROR(__xludf.DUMMYFUNCTION("""COMPUTED_VALUE"""),44196.6666666666)</f>
        <v>44196.666666666599</v>
      </c>
      <c r="F507" s="2">
        <f ca="1">IFERROR(__xludf.DUMMYFUNCTION("""COMPUTED_VALUE"""),3256.93)</f>
        <v>3256.93</v>
      </c>
      <c r="G507" s="3">
        <f ca="1">IFERROR(__xludf.DUMMYFUNCTION("""COMPUTED_VALUE"""),44196.6666666666)</f>
        <v>44196.666666666599</v>
      </c>
      <c r="H507" s="2">
        <f ca="1">IFERROR(__xludf.DUMMYFUNCTION("""COMPUTED_VALUE"""),1752.64)</f>
        <v>1752.64</v>
      </c>
      <c r="I507" s="3">
        <f ca="1">IFERROR(__xludf.DUMMYFUNCTION("""COMPUTED_VALUE"""),44196.6666666666)</f>
        <v>44196.666666666599</v>
      </c>
      <c r="J507" s="2">
        <f ca="1">IFERROR(__xludf.DUMMYFUNCTION("""COMPUTED_VALUE"""),1751.88)</f>
        <v>1751.88</v>
      </c>
      <c r="K507" s="3">
        <f ca="1">IFERROR(__xludf.DUMMYFUNCTION("""COMPUTED_VALUE"""),44196.6666666666)</f>
        <v>44196.666666666599</v>
      </c>
      <c r="L507" s="2">
        <f ca="1">IFERROR(__xludf.DUMMYFUNCTION("""COMPUTED_VALUE"""),273.16)</f>
        <v>273.16000000000003</v>
      </c>
      <c r="M507" s="3">
        <f ca="1">IFERROR(__xludf.DUMMYFUNCTION("""COMPUTED_VALUE"""),44196.6666666666)</f>
        <v>44196.666666666599</v>
      </c>
      <c r="N507" s="2">
        <f ca="1">IFERROR(__xludf.DUMMYFUNCTION("""COMPUTED_VALUE"""),705.67)</f>
        <v>705.67</v>
      </c>
      <c r="O507" s="3">
        <f ca="1">IFERROR(__xludf.DUMMYFUNCTION("""COMPUTED_VALUE"""),44196.6666666666)</f>
        <v>44196.666666666599</v>
      </c>
      <c r="P507" s="2">
        <f ca="1">IFERROR(__xludf.DUMMYFUNCTION("""COMPUTED_VALUE"""),130.55)</f>
        <v>130.55000000000001</v>
      </c>
      <c r="Q507" s="3">
        <f ca="1">IFERROR(__xludf.DUMMYFUNCTION("""COMPUTED_VALUE"""),44196.6666666666)</f>
        <v>44196.666666666599</v>
      </c>
      <c r="R507" s="2">
        <f ca="1">IFERROR(__xludf.DUMMYFUNCTION("""COMPUTED_VALUE"""),231.87)</f>
        <v>231.87</v>
      </c>
      <c r="S507" s="3">
        <f ca="1">IFERROR(__xludf.DUMMYFUNCTION("""COMPUTED_VALUE"""),44196.6666666666)</f>
        <v>44196.666666666599</v>
      </c>
      <c r="T507" s="2">
        <f ca="1">IFERROR(__xludf.DUMMYFUNCTION("""COMPUTED_VALUE"""),157.38)</f>
        <v>157.38</v>
      </c>
    </row>
    <row r="508" spans="1:20">
      <c r="A508" s="3">
        <f ca="1">IFERROR(__xludf.DUMMYFUNCTION("""COMPUTED_VALUE"""),44200.6666666666)</f>
        <v>44200.666666666599</v>
      </c>
      <c r="B508" s="2">
        <f ca="1">IFERROR(__xludf.DUMMYFUNCTION("""COMPUTED_VALUE"""),129.41)</f>
        <v>129.41</v>
      </c>
      <c r="C508" s="3">
        <f ca="1">IFERROR(__xludf.DUMMYFUNCTION("""COMPUTED_VALUE"""),44200.6666666666)</f>
        <v>44200.666666666599</v>
      </c>
      <c r="D508" s="2">
        <f ca="1">IFERROR(__xludf.DUMMYFUNCTION("""COMPUTED_VALUE"""),217.69)</f>
        <v>217.69</v>
      </c>
      <c r="E508" s="3">
        <f ca="1">IFERROR(__xludf.DUMMYFUNCTION("""COMPUTED_VALUE"""),44200.6666666666)</f>
        <v>44200.666666666599</v>
      </c>
      <c r="F508" s="2">
        <f ca="1">IFERROR(__xludf.DUMMYFUNCTION("""COMPUTED_VALUE"""),3186.63)</f>
        <v>3186.63</v>
      </c>
      <c r="G508" s="3">
        <f ca="1">IFERROR(__xludf.DUMMYFUNCTION("""COMPUTED_VALUE"""),44200.6666666666)</f>
        <v>44200.666666666599</v>
      </c>
      <c r="H508" s="2">
        <f ca="1">IFERROR(__xludf.DUMMYFUNCTION("""COMPUTED_VALUE"""),1726.13)</f>
        <v>1726.13</v>
      </c>
      <c r="I508" s="3">
        <f ca="1">IFERROR(__xludf.DUMMYFUNCTION("""COMPUTED_VALUE"""),44200.6666666666)</f>
        <v>44200.666666666599</v>
      </c>
      <c r="J508" s="2">
        <f ca="1">IFERROR(__xludf.DUMMYFUNCTION("""COMPUTED_VALUE"""),1728.24)</f>
        <v>1728.24</v>
      </c>
      <c r="K508" s="3">
        <f ca="1">IFERROR(__xludf.DUMMYFUNCTION("""COMPUTED_VALUE"""),44200.6666666666)</f>
        <v>44200.666666666599</v>
      </c>
      <c r="L508" s="2">
        <f ca="1">IFERROR(__xludf.DUMMYFUNCTION("""COMPUTED_VALUE"""),268.94)</f>
        <v>268.94</v>
      </c>
      <c r="M508" s="3">
        <f ca="1">IFERROR(__xludf.DUMMYFUNCTION("""COMPUTED_VALUE"""),44200.6666666666)</f>
        <v>44200.666666666599</v>
      </c>
      <c r="N508" s="2">
        <f ca="1">IFERROR(__xludf.DUMMYFUNCTION("""COMPUTED_VALUE"""),729.77)</f>
        <v>729.77</v>
      </c>
      <c r="O508" s="3">
        <f ca="1">IFERROR(__xludf.DUMMYFUNCTION("""COMPUTED_VALUE"""),44200.6666666666)</f>
        <v>44200.666666666599</v>
      </c>
      <c r="P508" s="2">
        <f ca="1">IFERROR(__xludf.DUMMYFUNCTION("""COMPUTED_VALUE"""),131.14)</f>
        <v>131.13999999999999</v>
      </c>
      <c r="Q508" s="3">
        <f ca="1">IFERROR(__xludf.DUMMYFUNCTION("""COMPUTED_VALUE"""),44200.6666666666)</f>
        <v>44200.666666666599</v>
      </c>
      <c r="R508" s="2">
        <f ca="1">IFERROR(__xludf.DUMMYFUNCTION("""COMPUTED_VALUE"""),228.45)</f>
        <v>228.45</v>
      </c>
      <c r="S508" s="3">
        <f ca="1">IFERROR(__xludf.DUMMYFUNCTION("""COMPUTED_VALUE"""),44200.6666666666)</f>
        <v>44200.666666666599</v>
      </c>
      <c r="T508" s="2">
        <f ca="1">IFERROR(__xludf.DUMMYFUNCTION("""COMPUTED_VALUE"""),156.5)</f>
        <v>156.5</v>
      </c>
    </row>
    <row r="509" spans="1:20">
      <c r="A509" s="3">
        <f ca="1">IFERROR(__xludf.DUMMYFUNCTION("""COMPUTED_VALUE"""),44201.6666666666)</f>
        <v>44201.666666666599</v>
      </c>
      <c r="B509" s="2">
        <f ca="1">IFERROR(__xludf.DUMMYFUNCTION("""COMPUTED_VALUE"""),131.01)</f>
        <v>131.01</v>
      </c>
      <c r="C509" s="3">
        <f ca="1">IFERROR(__xludf.DUMMYFUNCTION("""COMPUTED_VALUE"""),44201.6666666666)</f>
        <v>44201.666666666599</v>
      </c>
      <c r="D509" s="2">
        <f ca="1">IFERROR(__xludf.DUMMYFUNCTION("""COMPUTED_VALUE"""),217.9)</f>
        <v>217.9</v>
      </c>
      <c r="E509" s="3">
        <f ca="1">IFERROR(__xludf.DUMMYFUNCTION("""COMPUTED_VALUE"""),44201.6666666666)</f>
        <v>44201.666666666599</v>
      </c>
      <c r="F509" s="2">
        <f ca="1">IFERROR(__xludf.DUMMYFUNCTION("""COMPUTED_VALUE"""),3218.51)</f>
        <v>3218.51</v>
      </c>
      <c r="G509" s="3">
        <f ca="1">IFERROR(__xludf.DUMMYFUNCTION("""COMPUTED_VALUE"""),44201.6666666666)</f>
        <v>44201.666666666599</v>
      </c>
      <c r="H509" s="2">
        <f ca="1">IFERROR(__xludf.DUMMYFUNCTION("""COMPUTED_VALUE"""),1740.05)</f>
        <v>1740.05</v>
      </c>
      <c r="I509" s="3">
        <f ca="1">IFERROR(__xludf.DUMMYFUNCTION("""COMPUTED_VALUE"""),44201.6666666666)</f>
        <v>44201.666666666599</v>
      </c>
      <c r="J509" s="2">
        <f ca="1">IFERROR(__xludf.DUMMYFUNCTION("""COMPUTED_VALUE"""),1740.92)</f>
        <v>1740.92</v>
      </c>
      <c r="K509" s="3">
        <f ca="1">IFERROR(__xludf.DUMMYFUNCTION("""COMPUTED_VALUE"""),44201.6666666666)</f>
        <v>44201.666666666599</v>
      </c>
      <c r="L509" s="2">
        <f ca="1">IFERROR(__xludf.DUMMYFUNCTION("""COMPUTED_VALUE"""),270.97)</f>
        <v>270.97000000000003</v>
      </c>
      <c r="M509" s="3">
        <f ca="1">IFERROR(__xludf.DUMMYFUNCTION("""COMPUTED_VALUE"""),44201.6666666666)</f>
        <v>44201.666666666599</v>
      </c>
      <c r="N509" s="2">
        <f ca="1">IFERROR(__xludf.DUMMYFUNCTION("""COMPUTED_VALUE"""),735.11)</f>
        <v>735.11</v>
      </c>
      <c r="O509" s="3">
        <f ca="1">IFERROR(__xludf.DUMMYFUNCTION("""COMPUTED_VALUE"""),44201.6666666666)</f>
        <v>44201.666666666599</v>
      </c>
      <c r="P509" s="2">
        <f ca="1">IFERROR(__xludf.DUMMYFUNCTION("""COMPUTED_VALUE"""),134.05)</f>
        <v>134.05000000000001</v>
      </c>
      <c r="Q509" s="3">
        <f ca="1">IFERROR(__xludf.DUMMYFUNCTION("""COMPUTED_VALUE"""),44201.6666666666)</f>
        <v>44201.666666666599</v>
      </c>
      <c r="R509" s="2">
        <f ca="1">IFERROR(__xludf.DUMMYFUNCTION("""COMPUTED_VALUE"""),227.47)</f>
        <v>227.47</v>
      </c>
      <c r="S509" s="3">
        <f ca="1">IFERROR(__xludf.DUMMYFUNCTION("""COMPUTED_VALUE"""),44201.6666666666)</f>
        <v>44201.666666666599</v>
      </c>
      <c r="T509" s="2">
        <f ca="1">IFERROR(__xludf.DUMMYFUNCTION("""COMPUTED_VALUE"""),158.34)</f>
        <v>158.34</v>
      </c>
    </row>
    <row r="510" spans="1:20">
      <c r="A510" s="3">
        <f ca="1">IFERROR(__xludf.DUMMYFUNCTION("""COMPUTED_VALUE"""),44202.6666666666)</f>
        <v>44202.666666666599</v>
      </c>
      <c r="B510" s="2">
        <f ca="1">IFERROR(__xludf.DUMMYFUNCTION("""COMPUTED_VALUE"""),126.6)</f>
        <v>126.6</v>
      </c>
      <c r="C510" s="3">
        <f ca="1">IFERROR(__xludf.DUMMYFUNCTION("""COMPUTED_VALUE"""),44202.6666666666)</f>
        <v>44202.666666666599</v>
      </c>
      <c r="D510" s="2">
        <f ca="1">IFERROR(__xludf.DUMMYFUNCTION("""COMPUTED_VALUE"""),212.25)</f>
        <v>212.25</v>
      </c>
      <c r="E510" s="3">
        <f ca="1">IFERROR(__xludf.DUMMYFUNCTION("""COMPUTED_VALUE"""),44202.6666666666)</f>
        <v>44202.666666666599</v>
      </c>
      <c r="F510" s="2">
        <f ca="1">IFERROR(__xludf.DUMMYFUNCTION("""COMPUTED_VALUE"""),3138.38)</f>
        <v>3138.38</v>
      </c>
      <c r="G510" s="3">
        <f ca="1">IFERROR(__xludf.DUMMYFUNCTION("""COMPUTED_VALUE"""),44202.6666666666)</f>
        <v>44202.666666666599</v>
      </c>
      <c r="H510" s="2">
        <f ca="1">IFERROR(__xludf.DUMMYFUNCTION("""COMPUTED_VALUE"""),1722.88)</f>
        <v>1722.88</v>
      </c>
      <c r="I510" s="3">
        <f ca="1">IFERROR(__xludf.DUMMYFUNCTION("""COMPUTED_VALUE"""),44202.6666666666)</f>
        <v>44202.666666666599</v>
      </c>
      <c r="J510" s="2">
        <f ca="1">IFERROR(__xludf.DUMMYFUNCTION("""COMPUTED_VALUE"""),1735.29)</f>
        <v>1735.29</v>
      </c>
      <c r="K510" s="3">
        <f ca="1">IFERROR(__xludf.DUMMYFUNCTION("""COMPUTED_VALUE"""),44202.6666666666)</f>
        <v>44202.666666666599</v>
      </c>
      <c r="L510" s="2">
        <f ca="1">IFERROR(__xludf.DUMMYFUNCTION("""COMPUTED_VALUE"""),263.31)</f>
        <v>263.31</v>
      </c>
      <c r="M510" s="3">
        <f ca="1">IFERROR(__xludf.DUMMYFUNCTION("""COMPUTED_VALUE"""),44202.6666666666)</f>
        <v>44202.666666666599</v>
      </c>
      <c r="N510" s="2">
        <f ca="1">IFERROR(__xludf.DUMMYFUNCTION("""COMPUTED_VALUE"""),755.98)</f>
        <v>755.98</v>
      </c>
      <c r="O510" s="3">
        <f ca="1">IFERROR(__xludf.DUMMYFUNCTION("""COMPUTED_VALUE"""),44202.6666666666)</f>
        <v>44202.666666666599</v>
      </c>
      <c r="P510" s="2">
        <f ca="1">IFERROR(__xludf.DUMMYFUNCTION("""COMPUTED_VALUE"""),126.15)</f>
        <v>126.15</v>
      </c>
      <c r="Q510" s="3">
        <f ca="1">IFERROR(__xludf.DUMMYFUNCTION("""COMPUTED_VALUE"""),44202.6666666666)</f>
        <v>44202.666666666599</v>
      </c>
      <c r="R510" s="2">
        <f ca="1">IFERROR(__xludf.DUMMYFUNCTION("""COMPUTED_VALUE"""),230.27)</f>
        <v>230.27</v>
      </c>
      <c r="S510" s="3">
        <f ca="1">IFERROR(__xludf.DUMMYFUNCTION("""COMPUTED_VALUE"""),44202.6666666666)</f>
        <v>44202.666666666599</v>
      </c>
      <c r="T510" s="2">
        <f ca="1">IFERROR(__xludf.DUMMYFUNCTION("""COMPUTED_VALUE"""),159.83)</f>
        <v>159.83000000000001</v>
      </c>
    </row>
    <row r="511" spans="1:20">
      <c r="A511" s="3">
        <f ca="1">IFERROR(__xludf.DUMMYFUNCTION("""COMPUTED_VALUE"""),44203.6666666666)</f>
        <v>44203.666666666599</v>
      </c>
      <c r="B511" s="2">
        <f ca="1">IFERROR(__xludf.DUMMYFUNCTION("""COMPUTED_VALUE"""),130.92)</f>
        <v>130.91999999999999</v>
      </c>
      <c r="C511" s="3">
        <f ca="1">IFERROR(__xludf.DUMMYFUNCTION("""COMPUTED_VALUE"""),44203.6666666666)</f>
        <v>44203.666666666599</v>
      </c>
      <c r="D511" s="2">
        <f ca="1">IFERROR(__xludf.DUMMYFUNCTION("""COMPUTED_VALUE"""),218.29)</f>
        <v>218.29</v>
      </c>
      <c r="E511" s="3">
        <f ca="1">IFERROR(__xludf.DUMMYFUNCTION("""COMPUTED_VALUE"""),44203.6666666666)</f>
        <v>44203.666666666599</v>
      </c>
      <c r="F511" s="2">
        <f ca="1">IFERROR(__xludf.DUMMYFUNCTION("""COMPUTED_VALUE"""),3162.16)</f>
        <v>3162.16</v>
      </c>
      <c r="G511" s="3">
        <f ca="1">IFERROR(__xludf.DUMMYFUNCTION("""COMPUTED_VALUE"""),44203.6666666666)</f>
        <v>44203.666666666599</v>
      </c>
      <c r="H511" s="2">
        <f ca="1">IFERROR(__xludf.DUMMYFUNCTION("""COMPUTED_VALUE"""),1774.34)</f>
        <v>1774.34</v>
      </c>
      <c r="I511" s="3">
        <f ca="1">IFERROR(__xludf.DUMMYFUNCTION("""COMPUTED_VALUE"""),44203.6666666666)</f>
        <v>44203.666666666599</v>
      </c>
      <c r="J511" s="2">
        <f ca="1">IFERROR(__xludf.DUMMYFUNCTION("""COMPUTED_VALUE"""),1787.25)</f>
        <v>1787.25</v>
      </c>
      <c r="K511" s="3">
        <f ca="1">IFERROR(__xludf.DUMMYFUNCTION("""COMPUTED_VALUE"""),44203.6666666666)</f>
        <v>44203.666666666599</v>
      </c>
      <c r="L511" s="2">
        <f ca="1">IFERROR(__xludf.DUMMYFUNCTION("""COMPUTED_VALUE"""),268.74)</f>
        <v>268.74</v>
      </c>
      <c r="M511" s="3">
        <f ca="1">IFERROR(__xludf.DUMMYFUNCTION("""COMPUTED_VALUE"""),44203.6666666666)</f>
        <v>44203.666666666599</v>
      </c>
      <c r="N511" s="2">
        <f ca="1">IFERROR(__xludf.DUMMYFUNCTION("""COMPUTED_VALUE"""),816.04)</f>
        <v>816.04</v>
      </c>
      <c r="O511" s="3">
        <f ca="1">IFERROR(__xludf.DUMMYFUNCTION("""COMPUTED_VALUE"""),44203.6666666666)</f>
        <v>44203.666666666599</v>
      </c>
      <c r="P511" s="2">
        <f ca="1">IFERROR(__xludf.DUMMYFUNCTION("""COMPUTED_VALUE"""),133.44)</f>
        <v>133.44</v>
      </c>
      <c r="Q511" s="3">
        <f ca="1">IFERROR(__xludf.DUMMYFUNCTION("""COMPUTED_VALUE"""),44203.6666666666)</f>
        <v>44203.666666666599</v>
      </c>
      <c r="R511" s="2">
        <f ca="1">IFERROR(__xludf.DUMMYFUNCTION("""COMPUTED_VALUE"""),232.88)</f>
        <v>232.88</v>
      </c>
      <c r="S511" s="3">
        <f ca="1">IFERROR(__xludf.DUMMYFUNCTION("""COMPUTED_VALUE"""),44203.6666666666)</f>
        <v>44203.666666666599</v>
      </c>
      <c r="T511" s="2">
        <f ca="1">IFERROR(__xludf.DUMMYFUNCTION("""COMPUTED_VALUE"""),160.37)</f>
        <v>160.37</v>
      </c>
    </row>
    <row r="512" spans="1:20">
      <c r="A512" s="3">
        <f ca="1">IFERROR(__xludf.DUMMYFUNCTION("""COMPUTED_VALUE"""),44204.6666666666)</f>
        <v>44204.666666666599</v>
      </c>
      <c r="B512" s="2">
        <f ca="1">IFERROR(__xludf.DUMMYFUNCTION("""COMPUTED_VALUE"""),132.05)</f>
        <v>132.05000000000001</v>
      </c>
      <c r="C512" s="3">
        <f ca="1">IFERROR(__xludf.DUMMYFUNCTION("""COMPUTED_VALUE"""),44204.6666666666)</f>
        <v>44204.666666666599</v>
      </c>
      <c r="D512" s="2">
        <f ca="1">IFERROR(__xludf.DUMMYFUNCTION("""COMPUTED_VALUE"""),219.62)</f>
        <v>219.62</v>
      </c>
      <c r="E512" s="3">
        <f ca="1">IFERROR(__xludf.DUMMYFUNCTION("""COMPUTED_VALUE"""),44204.6666666666)</f>
        <v>44204.666666666599</v>
      </c>
      <c r="F512" s="2">
        <f ca="1">IFERROR(__xludf.DUMMYFUNCTION("""COMPUTED_VALUE"""),3182.7)</f>
        <v>3182.7</v>
      </c>
      <c r="G512" s="3">
        <f ca="1">IFERROR(__xludf.DUMMYFUNCTION("""COMPUTED_VALUE"""),44204.6666666666)</f>
        <v>44204.666666666599</v>
      </c>
      <c r="H512" s="2">
        <f ca="1">IFERROR(__xludf.DUMMYFUNCTION("""COMPUTED_VALUE"""),1797.83)</f>
        <v>1797.83</v>
      </c>
      <c r="I512" s="3">
        <f ca="1">IFERROR(__xludf.DUMMYFUNCTION("""COMPUTED_VALUE"""),44204.6666666666)</f>
        <v>44204.666666666599</v>
      </c>
      <c r="J512" s="2">
        <f ca="1">IFERROR(__xludf.DUMMYFUNCTION("""COMPUTED_VALUE"""),1807.21)</f>
        <v>1807.21</v>
      </c>
      <c r="K512" s="3">
        <f ca="1">IFERROR(__xludf.DUMMYFUNCTION("""COMPUTED_VALUE"""),44204.6666666666)</f>
        <v>44204.666666666599</v>
      </c>
      <c r="L512" s="2">
        <f ca="1">IFERROR(__xludf.DUMMYFUNCTION("""COMPUTED_VALUE"""),267.57)</f>
        <v>267.57</v>
      </c>
      <c r="M512" s="3">
        <f ca="1">IFERROR(__xludf.DUMMYFUNCTION("""COMPUTED_VALUE"""),44204.6666666666)</f>
        <v>44204.666666666599</v>
      </c>
      <c r="N512" s="2">
        <f ca="1">IFERROR(__xludf.DUMMYFUNCTION("""COMPUTED_VALUE"""),880.02)</f>
        <v>880.02</v>
      </c>
      <c r="O512" s="3">
        <f ca="1">IFERROR(__xludf.DUMMYFUNCTION("""COMPUTED_VALUE"""),44204.6666666666)</f>
        <v>44204.666666666599</v>
      </c>
      <c r="P512" s="2">
        <f ca="1">IFERROR(__xludf.DUMMYFUNCTION("""COMPUTED_VALUE"""),132.77)</f>
        <v>132.77000000000001</v>
      </c>
      <c r="Q512" s="3">
        <f ca="1">IFERROR(__xludf.DUMMYFUNCTION("""COMPUTED_VALUE"""),44204.6666666666)</f>
        <v>44204.666666666599</v>
      </c>
      <c r="R512" s="2">
        <f ca="1">IFERROR(__xludf.DUMMYFUNCTION("""COMPUTED_VALUE"""),234.03)</f>
        <v>234.03</v>
      </c>
      <c r="S512" s="3">
        <f ca="1">IFERROR(__xludf.DUMMYFUNCTION("""COMPUTED_VALUE"""),44204.6666666666)</f>
        <v>44204.666666666599</v>
      </c>
      <c r="T512" s="2">
        <f ca="1">IFERROR(__xludf.DUMMYFUNCTION("""COMPUTED_VALUE"""),160.04)</f>
        <v>160.04</v>
      </c>
    </row>
    <row r="513" spans="1:20">
      <c r="A513" s="3">
        <f ca="1">IFERROR(__xludf.DUMMYFUNCTION("""COMPUTED_VALUE"""),44207.6666666666)</f>
        <v>44207.666666666599</v>
      </c>
      <c r="B513" s="2">
        <f ca="1">IFERROR(__xludf.DUMMYFUNCTION("""COMPUTED_VALUE"""),128.98)</f>
        <v>128.97999999999999</v>
      </c>
      <c r="C513" s="3">
        <f ca="1">IFERROR(__xludf.DUMMYFUNCTION("""COMPUTED_VALUE"""),44207.6666666666)</f>
        <v>44207.666666666599</v>
      </c>
      <c r="D513" s="2">
        <f ca="1">IFERROR(__xludf.DUMMYFUNCTION("""COMPUTED_VALUE"""),217.49)</f>
        <v>217.49</v>
      </c>
      <c r="E513" s="3">
        <f ca="1">IFERROR(__xludf.DUMMYFUNCTION("""COMPUTED_VALUE"""),44207.6666666666)</f>
        <v>44207.666666666599</v>
      </c>
      <c r="F513" s="2">
        <f ca="1">IFERROR(__xludf.DUMMYFUNCTION("""COMPUTED_VALUE"""),3114.21)</f>
        <v>3114.21</v>
      </c>
      <c r="G513" s="3">
        <f ca="1">IFERROR(__xludf.DUMMYFUNCTION("""COMPUTED_VALUE"""),44207.6666666666)</f>
        <v>44207.666666666599</v>
      </c>
      <c r="H513" s="2">
        <f ca="1">IFERROR(__xludf.DUMMYFUNCTION("""COMPUTED_VALUE"""),1756.29)</f>
        <v>1756.29</v>
      </c>
      <c r="I513" s="3">
        <f ca="1">IFERROR(__xludf.DUMMYFUNCTION("""COMPUTED_VALUE"""),44207.6666666666)</f>
        <v>44207.666666666599</v>
      </c>
      <c r="J513" s="2">
        <f ca="1">IFERROR(__xludf.DUMMYFUNCTION("""COMPUTED_VALUE"""),1766.72)</f>
        <v>1766.72</v>
      </c>
      <c r="K513" s="3">
        <f ca="1">IFERROR(__xludf.DUMMYFUNCTION("""COMPUTED_VALUE"""),44207.6666666666)</f>
        <v>44207.666666666599</v>
      </c>
      <c r="L513" s="2">
        <f ca="1">IFERROR(__xludf.DUMMYFUNCTION("""COMPUTED_VALUE"""),256.84)</f>
        <v>256.83999999999997</v>
      </c>
      <c r="M513" s="3">
        <f ca="1">IFERROR(__xludf.DUMMYFUNCTION("""COMPUTED_VALUE"""),44207.6666666666)</f>
        <v>44207.666666666599</v>
      </c>
      <c r="N513" s="2">
        <f ca="1">IFERROR(__xludf.DUMMYFUNCTION("""COMPUTED_VALUE"""),811.19)</f>
        <v>811.19</v>
      </c>
      <c r="O513" s="3">
        <f ca="1">IFERROR(__xludf.DUMMYFUNCTION("""COMPUTED_VALUE"""),44207.6666666666)</f>
        <v>44207.666666666599</v>
      </c>
      <c r="P513" s="2">
        <f ca="1">IFERROR(__xludf.DUMMYFUNCTION("""COMPUTED_VALUE"""),136.22)</f>
        <v>136.22</v>
      </c>
      <c r="Q513" s="3">
        <f ca="1">IFERROR(__xludf.DUMMYFUNCTION("""COMPUTED_VALUE"""),44207.6666666666)</f>
        <v>44207.666666666599</v>
      </c>
      <c r="R513" s="2">
        <f ca="1">IFERROR(__xludf.DUMMYFUNCTION("""COMPUTED_VALUE"""),233.43)</f>
        <v>233.43</v>
      </c>
      <c r="S513" s="3">
        <f ca="1">IFERROR(__xludf.DUMMYFUNCTION("""COMPUTED_VALUE"""),44207.6666666666)</f>
        <v>44207.666666666599</v>
      </c>
      <c r="T513" s="2">
        <f ca="1">IFERROR(__xludf.DUMMYFUNCTION("""COMPUTED_VALUE"""),159.37)</f>
        <v>159.37</v>
      </c>
    </row>
    <row r="514" spans="1:20">
      <c r="A514" s="3">
        <f ca="1">IFERROR(__xludf.DUMMYFUNCTION("""COMPUTED_VALUE"""),44208.6666666666)</f>
        <v>44208.666666666599</v>
      </c>
      <c r="B514" s="2">
        <f ca="1">IFERROR(__xludf.DUMMYFUNCTION("""COMPUTED_VALUE"""),128.8)</f>
        <v>128.80000000000001</v>
      </c>
      <c r="C514" s="3">
        <f ca="1">IFERROR(__xludf.DUMMYFUNCTION("""COMPUTED_VALUE"""),44208.6666666666)</f>
        <v>44208.666666666599</v>
      </c>
      <c r="D514" s="2">
        <f ca="1">IFERROR(__xludf.DUMMYFUNCTION("""COMPUTED_VALUE"""),214.93)</f>
        <v>214.93</v>
      </c>
      <c r="E514" s="3">
        <f ca="1">IFERROR(__xludf.DUMMYFUNCTION("""COMPUTED_VALUE"""),44208.6666666666)</f>
        <v>44208.666666666599</v>
      </c>
      <c r="F514" s="2">
        <f ca="1">IFERROR(__xludf.DUMMYFUNCTION("""COMPUTED_VALUE"""),3120.83)</f>
        <v>3120.83</v>
      </c>
      <c r="G514" s="3">
        <f ca="1">IFERROR(__xludf.DUMMYFUNCTION("""COMPUTED_VALUE"""),44208.6666666666)</f>
        <v>44208.666666666599</v>
      </c>
      <c r="H514" s="2">
        <f ca="1">IFERROR(__xludf.DUMMYFUNCTION("""COMPUTED_VALUE"""),1737.43)</f>
        <v>1737.43</v>
      </c>
      <c r="I514" s="3">
        <f ca="1">IFERROR(__xludf.DUMMYFUNCTION("""COMPUTED_VALUE"""),44208.6666666666)</f>
        <v>44208.666666666599</v>
      </c>
      <c r="J514" s="2">
        <f ca="1">IFERROR(__xludf.DUMMYFUNCTION("""COMPUTED_VALUE"""),1746.55)</f>
        <v>1746.55</v>
      </c>
      <c r="K514" s="3">
        <f ca="1">IFERROR(__xludf.DUMMYFUNCTION("""COMPUTED_VALUE"""),44208.6666666666)</f>
        <v>44208.666666666599</v>
      </c>
      <c r="L514" s="2">
        <f ca="1">IFERROR(__xludf.DUMMYFUNCTION("""COMPUTED_VALUE"""),251.09)</f>
        <v>251.09</v>
      </c>
      <c r="M514" s="3">
        <f ca="1">IFERROR(__xludf.DUMMYFUNCTION("""COMPUTED_VALUE"""),44208.6666666666)</f>
        <v>44208.666666666599</v>
      </c>
      <c r="N514" s="2">
        <f ca="1">IFERROR(__xludf.DUMMYFUNCTION("""COMPUTED_VALUE"""),849.44)</f>
        <v>849.44</v>
      </c>
      <c r="O514" s="3">
        <f ca="1">IFERROR(__xludf.DUMMYFUNCTION("""COMPUTED_VALUE"""),44208.6666666666)</f>
        <v>44208.666666666599</v>
      </c>
      <c r="P514" s="2">
        <f ca="1">IFERROR(__xludf.DUMMYFUNCTION("""COMPUTED_VALUE"""),134.85)</f>
        <v>134.85</v>
      </c>
      <c r="Q514" s="3">
        <f ca="1">IFERROR(__xludf.DUMMYFUNCTION("""COMPUTED_VALUE"""),44208.6666666666)</f>
        <v>44208.666666666599</v>
      </c>
      <c r="R514" s="2">
        <f ca="1">IFERROR(__xludf.DUMMYFUNCTION("""COMPUTED_VALUE"""),233.03)</f>
        <v>233.03</v>
      </c>
      <c r="S514" s="3">
        <f ca="1">IFERROR(__xludf.DUMMYFUNCTION("""COMPUTED_VALUE"""),44208.6666666666)</f>
        <v>44208.666666666599</v>
      </c>
      <c r="T514" s="2">
        <f ca="1">IFERROR(__xludf.DUMMYFUNCTION("""COMPUTED_VALUE"""),158.13)</f>
        <v>158.13</v>
      </c>
    </row>
    <row r="515" spans="1:20">
      <c r="A515" s="3">
        <f ca="1">IFERROR(__xludf.DUMMYFUNCTION("""COMPUTED_VALUE"""),44209.6666666666)</f>
        <v>44209.666666666599</v>
      </c>
      <c r="B515" s="2">
        <f ca="1">IFERROR(__xludf.DUMMYFUNCTION("""COMPUTED_VALUE"""),130.89)</f>
        <v>130.88999999999999</v>
      </c>
      <c r="C515" s="3">
        <f ca="1">IFERROR(__xludf.DUMMYFUNCTION("""COMPUTED_VALUE"""),44209.6666666666)</f>
        <v>44209.666666666599</v>
      </c>
      <c r="D515" s="2">
        <f ca="1">IFERROR(__xludf.DUMMYFUNCTION("""COMPUTED_VALUE"""),216.34)</f>
        <v>216.34</v>
      </c>
      <c r="E515" s="3">
        <f ca="1">IFERROR(__xludf.DUMMYFUNCTION("""COMPUTED_VALUE"""),44209.6666666666)</f>
        <v>44209.666666666599</v>
      </c>
      <c r="F515" s="2">
        <f ca="1">IFERROR(__xludf.DUMMYFUNCTION("""COMPUTED_VALUE"""),3165.89)</f>
        <v>3165.89</v>
      </c>
      <c r="G515" s="3">
        <f ca="1">IFERROR(__xludf.DUMMYFUNCTION("""COMPUTED_VALUE"""),44209.6666666666)</f>
        <v>44209.666666666599</v>
      </c>
      <c r="H515" s="2">
        <f ca="1">IFERROR(__xludf.DUMMYFUNCTION("""COMPUTED_VALUE"""),1747.25)</f>
        <v>1747.25</v>
      </c>
      <c r="I515" s="3">
        <f ca="1">IFERROR(__xludf.DUMMYFUNCTION("""COMPUTED_VALUE"""),44209.6666666666)</f>
        <v>44209.666666666599</v>
      </c>
      <c r="J515" s="2">
        <f ca="1">IFERROR(__xludf.DUMMYFUNCTION("""COMPUTED_VALUE"""),1754.4)</f>
        <v>1754.4</v>
      </c>
      <c r="K515" s="3">
        <f ca="1">IFERROR(__xludf.DUMMYFUNCTION("""COMPUTED_VALUE"""),44209.6666666666)</f>
        <v>44209.666666666599</v>
      </c>
      <c r="L515" s="2">
        <f ca="1">IFERROR(__xludf.DUMMYFUNCTION("""COMPUTED_VALUE"""),251.64)</f>
        <v>251.64</v>
      </c>
      <c r="M515" s="3">
        <f ca="1">IFERROR(__xludf.DUMMYFUNCTION("""COMPUTED_VALUE"""),44209.6666666666)</f>
        <v>44209.666666666599</v>
      </c>
      <c r="N515" s="2">
        <f ca="1">IFERROR(__xludf.DUMMYFUNCTION("""COMPUTED_VALUE"""),854.41)</f>
        <v>854.41</v>
      </c>
      <c r="O515" s="3">
        <f ca="1">IFERROR(__xludf.DUMMYFUNCTION("""COMPUTED_VALUE"""),44209.6666666666)</f>
        <v>44209.666666666599</v>
      </c>
      <c r="P515" s="2">
        <f ca="1">IFERROR(__xludf.DUMMYFUNCTION("""COMPUTED_VALUE"""),135.32)</f>
        <v>135.32</v>
      </c>
      <c r="Q515" s="3">
        <f ca="1">IFERROR(__xludf.DUMMYFUNCTION("""COMPUTED_VALUE"""),44209.6666666666)</f>
        <v>44209.666666666599</v>
      </c>
      <c r="R515" s="2">
        <f ca="1">IFERROR(__xludf.DUMMYFUNCTION("""COMPUTED_VALUE"""),234.51)</f>
        <v>234.51</v>
      </c>
      <c r="S515" s="3">
        <f ca="1">IFERROR(__xludf.DUMMYFUNCTION("""COMPUTED_VALUE"""),44209.6666666666)</f>
        <v>44209.666666666599</v>
      </c>
      <c r="T515" s="2">
        <f ca="1">IFERROR(__xludf.DUMMYFUNCTION("""COMPUTED_VALUE"""),157.89)</f>
        <v>157.88999999999999</v>
      </c>
    </row>
    <row r="516" spans="1:20">
      <c r="A516" s="3">
        <f ca="1">IFERROR(__xludf.DUMMYFUNCTION("""COMPUTED_VALUE"""),44210.6666666666)</f>
        <v>44210.666666666599</v>
      </c>
      <c r="B516" s="2">
        <f ca="1">IFERROR(__xludf.DUMMYFUNCTION("""COMPUTED_VALUE"""),128.91)</f>
        <v>128.91</v>
      </c>
      <c r="C516" s="3">
        <f ca="1">IFERROR(__xludf.DUMMYFUNCTION("""COMPUTED_VALUE"""),44210.6666666666)</f>
        <v>44210.666666666599</v>
      </c>
      <c r="D516" s="2">
        <f ca="1">IFERROR(__xludf.DUMMYFUNCTION("""COMPUTED_VALUE"""),213.02)</f>
        <v>213.02</v>
      </c>
      <c r="E516" s="3">
        <f ca="1">IFERROR(__xludf.DUMMYFUNCTION("""COMPUTED_VALUE"""),44210.6666666666)</f>
        <v>44210.666666666599</v>
      </c>
      <c r="F516" s="2">
        <f ca="1">IFERROR(__xludf.DUMMYFUNCTION("""COMPUTED_VALUE"""),3127.47)</f>
        <v>3127.47</v>
      </c>
      <c r="G516" s="3">
        <f ca="1">IFERROR(__xludf.DUMMYFUNCTION("""COMPUTED_VALUE"""),44210.6666666666)</f>
        <v>44210.666666666599</v>
      </c>
      <c r="H516" s="2">
        <f ca="1">IFERROR(__xludf.DUMMYFUNCTION("""COMPUTED_VALUE"""),1730.92)</f>
        <v>1730.92</v>
      </c>
      <c r="I516" s="3">
        <f ca="1">IFERROR(__xludf.DUMMYFUNCTION("""COMPUTED_VALUE"""),44210.6666666666)</f>
        <v>44210.666666666599</v>
      </c>
      <c r="J516" s="2">
        <f ca="1">IFERROR(__xludf.DUMMYFUNCTION("""COMPUTED_VALUE"""),1740.18)</f>
        <v>1740.18</v>
      </c>
      <c r="K516" s="3">
        <f ca="1">IFERROR(__xludf.DUMMYFUNCTION("""COMPUTED_VALUE"""),44210.6666666666)</f>
        <v>44210.666666666599</v>
      </c>
      <c r="L516" s="2">
        <f ca="1">IFERROR(__xludf.DUMMYFUNCTION("""COMPUTED_VALUE"""),245.64)</f>
        <v>245.64</v>
      </c>
      <c r="M516" s="3">
        <f ca="1">IFERROR(__xludf.DUMMYFUNCTION("""COMPUTED_VALUE"""),44210.6666666666)</f>
        <v>44210.666666666599</v>
      </c>
      <c r="N516" s="2">
        <f ca="1">IFERROR(__xludf.DUMMYFUNCTION("""COMPUTED_VALUE"""),845)</f>
        <v>845</v>
      </c>
      <c r="O516" s="3">
        <f ca="1">IFERROR(__xludf.DUMMYFUNCTION("""COMPUTED_VALUE"""),44210.6666666666)</f>
        <v>44210.666666666599</v>
      </c>
      <c r="P516" s="2">
        <f ca="1">IFERROR(__xludf.DUMMYFUNCTION("""COMPUTED_VALUE"""),132)</f>
        <v>132</v>
      </c>
      <c r="Q516" s="3">
        <f ca="1">IFERROR(__xludf.DUMMYFUNCTION("""COMPUTED_VALUE"""),44210.6666666666)</f>
        <v>44210.666666666599</v>
      </c>
      <c r="R516" s="2">
        <f ca="1">IFERROR(__xludf.DUMMYFUNCTION("""COMPUTED_VALUE"""),235.02)</f>
        <v>235.02</v>
      </c>
      <c r="S516" s="3">
        <f ca="1">IFERROR(__xludf.DUMMYFUNCTION("""COMPUTED_VALUE"""),44210.6666666666)</f>
        <v>44210.666666666599</v>
      </c>
      <c r="T516" s="2">
        <f ca="1">IFERROR(__xludf.DUMMYFUNCTION("""COMPUTED_VALUE"""),160.65)</f>
        <v>160.65</v>
      </c>
    </row>
    <row r="517" spans="1:20">
      <c r="A517" s="3">
        <f ca="1">IFERROR(__xludf.DUMMYFUNCTION("""COMPUTED_VALUE"""),44211.6666666666)</f>
        <v>44211.666666666599</v>
      </c>
      <c r="B517" s="2">
        <f ca="1">IFERROR(__xludf.DUMMYFUNCTION("""COMPUTED_VALUE"""),127.14)</f>
        <v>127.14</v>
      </c>
      <c r="C517" s="3">
        <f ca="1">IFERROR(__xludf.DUMMYFUNCTION("""COMPUTED_VALUE"""),44211.6666666666)</f>
        <v>44211.666666666599</v>
      </c>
      <c r="D517" s="2">
        <f ca="1">IFERROR(__xludf.DUMMYFUNCTION("""COMPUTED_VALUE"""),212.65)</f>
        <v>212.65</v>
      </c>
      <c r="E517" s="3">
        <f ca="1">IFERROR(__xludf.DUMMYFUNCTION("""COMPUTED_VALUE"""),44211.6666666666)</f>
        <v>44211.666666666599</v>
      </c>
      <c r="F517" s="2">
        <f ca="1">IFERROR(__xludf.DUMMYFUNCTION("""COMPUTED_VALUE"""),3104.25)</f>
        <v>3104.25</v>
      </c>
      <c r="G517" s="3">
        <f ca="1">IFERROR(__xludf.DUMMYFUNCTION("""COMPUTED_VALUE"""),44211.6666666666)</f>
        <v>44211.666666666599</v>
      </c>
      <c r="H517" s="2">
        <f ca="1">IFERROR(__xludf.DUMMYFUNCTION("""COMPUTED_VALUE"""),1727.62)</f>
        <v>1727.62</v>
      </c>
      <c r="I517" s="3">
        <f ca="1">IFERROR(__xludf.DUMMYFUNCTION("""COMPUTED_VALUE"""),44211.6666666666)</f>
        <v>44211.666666666599</v>
      </c>
      <c r="J517" s="2">
        <f ca="1">IFERROR(__xludf.DUMMYFUNCTION("""COMPUTED_VALUE"""),1736.19)</f>
        <v>1736.19</v>
      </c>
      <c r="K517" s="3">
        <f ca="1">IFERROR(__xludf.DUMMYFUNCTION("""COMPUTED_VALUE"""),44211.6666666666)</f>
        <v>44211.666666666599</v>
      </c>
      <c r="L517" s="2">
        <f ca="1">IFERROR(__xludf.DUMMYFUNCTION("""COMPUTED_VALUE"""),251.36)</f>
        <v>251.36</v>
      </c>
      <c r="M517" s="3">
        <f ca="1">IFERROR(__xludf.DUMMYFUNCTION("""COMPUTED_VALUE"""),44211.6666666666)</f>
        <v>44211.666666666599</v>
      </c>
      <c r="N517" s="2">
        <f ca="1">IFERROR(__xludf.DUMMYFUNCTION("""COMPUTED_VALUE"""),826.16)</f>
        <v>826.16</v>
      </c>
      <c r="O517" s="3">
        <f ca="1">IFERROR(__xludf.DUMMYFUNCTION("""COMPUTED_VALUE"""),44211.6666666666)</f>
        <v>44211.666666666599</v>
      </c>
      <c r="P517" s="2">
        <f ca="1">IFERROR(__xludf.DUMMYFUNCTION("""COMPUTED_VALUE"""),128.6)</f>
        <v>128.6</v>
      </c>
      <c r="Q517" s="3">
        <f ca="1">IFERROR(__xludf.DUMMYFUNCTION("""COMPUTED_VALUE"""),44211.6666666666)</f>
        <v>44211.666666666599</v>
      </c>
      <c r="R517" s="2">
        <f ca="1">IFERROR(__xludf.DUMMYFUNCTION("""COMPUTED_VALUE"""),233.49)</f>
        <v>233.49</v>
      </c>
      <c r="S517" s="3">
        <f ca="1">IFERROR(__xludf.DUMMYFUNCTION("""COMPUTED_VALUE"""),44211.6666666666)</f>
        <v>44211.666666666599</v>
      </c>
      <c r="T517" s="2">
        <f ca="1">IFERROR(__xludf.DUMMYFUNCTION("""COMPUTED_VALUE"""),160.3)</f>
        <v>160.30000000000001</v>
      </c>
    </row>
    <row r="518" spans="1:20">
      <c r="A518" s="3">
        <f ca="1">IFERROR(__xludf.DUMMYFUNCTION("""COMPUTED_VALUE"""),44215.6666666666)</f>
        <v>44215.666666666599</v>
      </c>
      <c r="B518" s="2">
        <f ca="1">IFERROR(__xludf.DUMMYFUNCTION("""COMPUTED_VALUE"""),127.83)</f>
        <v>127.83</v>
      </c>
      <c r="C518" s="3">
        <f ca="1">IFERROR(__xludf.DUMMYFUNCTION("""COMPUTED_VALUE"""),44215.6666666666)</f>
        <v>44215.666666666599</v>
      </c>
      <c r="D518" s="2">
        <f ca="1">IFERROR(__xludf.DUMMYFUNCTION("""COMPUTED_VALUE"""),216.44)</f>
        <v>216.44</v>
      </c>
      <c r="E518" s="3">
        <f ca="1">IFERROR(__xludf.DUMMYFUNCTION("""COMPUTED_VALUE"""),44215.6666666666)</f>
        <v>44215.666666666599</v>
      </c>
      <c r="F518" s="2">
        <f ca="1">IFERROR(__xludf.DUMMYFUNCTION("""COMPUTED_VALUE"""),3120.76)</f>
        <v>3120.76</v>
      </c>
      <c r="G518" s="3">
        <f ca="1">IFERROR(__xludf.DUMMYFUNCTION("""COMPUTED_VALUE"""),44215.6666666666)</f>
        <v>44215.666666666599</v>
      </c>
      <c r="H518" s="2">
        <f ca="1">IFERROR(__xludf.DUMMYFUNCTION("""COMPUTED_VALUE"""),1784.47)</f>
        <v>1784.47</v>
      </c>
      <c r="I518" s="3">
        <f ca="1">IFERROR(__xludf.DUMMYFUNCTION("""COMPUTED_VALUE"""),44215.6666666666)</f>
        <v>44215.666666666599</v>
      </c>
      <c r="J518" s="2">
        <f ca="1">IFERROR(__xludf.DUMMYFUNCTION("""COMPUTED_VALUE"""),1790.86)</f>
        <v>1790.86</v>
      </c>
      <c r="K518" s="3">
        <f ca="1">IFERROR(__xludf.DUMMYFUNCTION("""COMPUTED_VALUE"""),44215.6666666666)</f>
        <v>44215.666666666599</v>
      </c>
      <c r="L518" s="2">
        <f ca="1">IFERROR(__xludf.DUMMYFUNCTION("""COMPUTED_VALUE"""),261.1)</f>
        <v>261.10000000000002</v>
      </c>
      <c r="M518" s="3">
        <f ca="1">IFERROR(__xludf.DUMMYFUNCTION("""COMPUTED_VALUE"""),44215.6666666666)</f>
        <v>44215.666666666599</v>
      </c>
      <c r="N518" s="2">
        <f ca="1">IFERROR(__xludf.DUMMYFUNCTION("""COMPUTED_VALUE"""),844.55)</f>
        <v>844.55</v>
      </c>
      <c r="O518" s="3">
        <f ca="1">IFERROR(__xludf.DUMMYFUNCTION("""COMPUTED_VALUE"""),44215.6666666666)</f>
        <v>44215.666666666599</v>
      </c>
      <c r="P518" s="2">
        <f ca="1">IFERROR(__xludf.DUMMYFUNCTION("""COMPUTED_VALUE"""),130.25)</f>
        <v>130.25</v>
      </c>
      <c r="Q518" s="3">
        <f ca="1">IFERROR(__xludf.DUMMYFUNCTION("""COMPUTED_VALUE"""),44215.6666666666)</f>
        <v>44215.666666666599</v>
      </c>
      <c r="R518" s="2">
        <f ca="1">IFERROR(__xludf.DUMMYFUNCTION("""COMPUTED_VALUE"""),234.55)</f>
        <v>234.55</v>
      </c>
      <c r="S518" s="3">
        <f ca="1">IFERROR(__xludf.DUMMYFUNCTION("""COMPUTED_VALUE"""),44215.6666666666)</f>
        <v>44215.666666666599</v>
      </c>
      <c r="T518" s="2">
        <f ca="1">IFERROR(__xludf.DUMMYFUNCTION("""COMPUTED_VALUE"""),162.78)</f>
        <v>162.78</v>
      </c>
    </row>
    <row r="519" spans="1:20">
      <c r="A519" s="3">
        <f ca="1">IFERROR(__xludf.DUMMYFUNCTION("""COMPUTED_VALUE"""),44216.6666666666)</f>
        <v>44216.666666666599</v>
      </c>
      <c r="B519" s="2">
        <f ca="1">IFERROR(__xludf.DUMMYFUNCTION("""COMPUTED_VALUE"""),132.03)</f>
        <v>132.03</v>
      </c>
      <c r="C519" s="3">
        <f ca="1">IFERROR(__xludf.DUMMYFUNCTION("""COMPUTED_VALUE"""),44216.6666666666)</f>
        <v>44216.666666666599</v>
      </c>
      <c r="D519" s="2">
        <f ca="1">IFERROR(__xludf.DUMMYFUNCTION("""COMPUTED_VALUE"""),224.34)</f>
        <v>224.34</v>
      </c>
      <c r="E519" s="3">
        <f ca="1">IFERROR(__xludf.DUMMYFUNCTION("""COMPUTED_VALUE"""),44216.6666666666)</f>
        <v>44216.666666666599</v>
      </c>
      <c r="F519" s="2">
        <f ca="1">IFERROR(__xludf.DUMMYFUNCTION("""COMPUTED_VALUE"""),3263.38)</f>
        <v>3263.38</v>
      </c>
      <c r="G519" s="3">
        <f ca="1">IFERROR(__xludf.DUMMYFUNCTION("""COMPUTED_VALUE"""),44216.6666666666)</f>
        <v>44216.666666666599</v>
      </c>
      <c r="H519" s="2">
        <f ca="1">IFERROR(__xludf.DUMMYFUNCTION("""COMPUTED_VALUE"""),1880.07)</f>
        <v>1880.07</v>
      </c>
      <c r="I519" s="3">
        <f ca="1">IFERROR(__xludf.DUMMYFUNCTION("""COMPUTED_VALUE"""),44216.6666666666)</f>
        <v>44216.666666666599</v>
      </c>
      <c r="J519" s="2">
        <f ca="1">IFERROR(__xludf.DUMMYFUNCTION("""COMPUTED_VALUE"""),1886.9)</f>
        <v>1886.9</v>
      </c>
      <c r="K519" s="3">
        <f ca="1">IFERROR(__xludf.DUMMYFUNCTION("""COMPUTED_VALUE"""),44216.6666666666)</f>
        <v>44216.666666666599</v>
      </c>
      <c r="L519" s="2">
        <f ca="1">IFERROR(__xludf.DUMMYFUNCTION("""COMPUTED_VALUE"""),267.48)</f>
        <v>267.48</v>
      </c>
      <c r="M519" s="3">
        <f ca="1">IFERROR(__xludf.DUMMYFUNCTION("""COMPUTED_VALUE"""),44216.6666666666)</f>
        <v>44216.666666666599</v>
      </c>
      <c r="N519" s="2">
        <f ca="1">IFERROR(__xludf.DUMMYFUNCTION("""COMPUTED_VALUE"""),850.45)</f>
        <v>850.45</v>
      </c>
      <c r="O519" s="3">
        <f ca="1">IFERROR(__xludf.DUMMYFUNCTION("""COMPUTED_VALUE"""),44216.6666666666)</f>
        <v>44216.666666666599</v>
      </c>
      <c r="P519" s="2">
        <f ca="1">IFERROR(__xludf.DUMMYFUNCTION("""COMPUTED_VALUE"""),133.66)</f>
        <v>133.66</v>
      </c>
      <c r="Q519" s="3">
        <f ca="1">IFERROR(__xludf.DUMMYFUNCTION("""COMPUTED_VALUE"""),44216.6666666666)</f>
        <v>44216.666666666599</v>
      </c>
      <c r="R519" s="2">
        <f ca="1">IFERROR(__xludf.DUMMYFUNCTION("""COMPUTED_VALUE"""),234.76)</f>
        <v>234.76</v>
      </c>
      <c r="S519" s="3">
        <f ca="1">IFERROR(__xludf.DUMMYFUNCTION("""COMPUTED_VALUE"""),44216.6666666666)</f>
        <v>44216.666666666599</v>
      </c>
      <c r="T519" s="2">
        <f ca="1">IFERROR(__xludf.DUMMYFUNCTION("""COMPUTED_VALUE"""),162.38)</f>
        <v>162.38</v>
      </c>
    </row>
    <row r="520" spans="1:20">
      <c r="A520" s="3">
        <f ca="1">IFERROR(__xludf.DUMMYFUNCTION("""COMPUTED_VALUE"""),44217.6666666666)</f>
        <v>44217.666666666599</v>
      </c>
      <c r="B520" s="2">
        <f ca="1">IFERROR(__xludf.DUMMYFUNCTION("""COMPUTED_VALUE"""),136.87)</f>
        <v>136.87</v>
      </c>
      <c r="C520" s="3">
        <f ca="1">IFERROR(__xludf.DUMMYFUNCTION("""COMPUTED_VALUE"""),44217.6666666666)</f>
        <v>44217.666666666599</v>
      </c>
      <c r="D520" s="2">
        <f ca="1">IFERROR(__xludf.DUMMYFUNCTION("""COMPUTED_VALUE"""),224.97)</f>
        <v>224.97</v>
      </c>
      <c r="E520" s="3">
        <f ca="1">IFERROR(__xludf.DUMMYFUNCTION("""COMPUTED_VALUE"""),44217.6666666666)</f>
        <v>44217.666666666599</v>
      </c>
      <c r="F520" s="2">
        <f ca="1">IFERROR(__xludf.DUMMYFUNCTION("""COMPUTED_VALUE"""),3306.99)</f>
        <v>3306.99</v>
      </c>
      <c r="G520" s="3">
        <f ca="1">IFERROR(__xludf.DUMMYFUNCTION("""COMPUTED_VALUE"""),44217.6666666666)</f>
        <v>44217.666666666599</v>
      </c>
      <c r="H520" s="2">
        <f ca="1">IFERROR(__xludf.DUMMYFUNCTION("""COMPUTED_VALUE"""),1884.15)</f>
        <v>1884.15</v>
      </c>
      <c r="I520" s="3">
        <f ca="1">IFERROR(__xludf.DUMMYFUNCTION("""COMPUTED_VALUE"""),44217.6666666666)</f>
        <v>44217.666666666599</v>
      </c>
      <c r="J520" s="2">
        <f ca="1">IFERROR(__xludf.DUMMYFUNCTION("""COMPUTED_VALUE"""),1891.25)</f>
        <v>1891.25</v>
      </c>
      <c r="K520" s="3">
        <f ca="1">IFERROR(__xludf.DUMMYFUNCTION("""COMPUTED_VALUE"""),44217.6666666666)</f>
        <v>44217.666666666599</v>
      </c>
      <c r="L520" s="2">
        <f ca="1">IFERROR(__xludf.DUMMYFUNCTION("""COMPUTED_VALUE"""),272.87)</f>
        <v>272.87</v>
      </c>
      <c r="M520" s="3">
        <f ca="1">IFERROR(__xludf.DUMMYFUNCTION("""COMPUTED_VALUE"""),44217.6666666666)</f>
        <v>44217.666666666599</v>
      </c>
      <c r="N520" s="2">
        <f ca="1">IFERROR(__xludf.DUMMYFUNCTION("""COMPUTED_VALUE"""),844.99)</f>
        <v>844.99</v>
      </c>
      <c r="O520" s="3">
        <f ca="1">IFERROR(__xludf.DUMMYFUNCTION("""COMPUTED_VALUE"""),44217.6666666666)</f>
        <v>44217.666666666599</v>
      </c>
      <c r="P520" s="2">
        <f ca="1">IFERROR(__xludf.DUMMYFUNCTION("""COMPUTED_VALUE"""),138.68)</f>
        <v>138.68</v>
      </c>
      <c r="Q520" s="3">
        <f ca="1">IFERROR(__xludf.DUMMYFUNCTION("""COMPUTED_VALUE"""),44217.6666666666)</f>
        <v>44217.666666666599</v>
      </c>
      <c r="R520" s="2">
        <f ca="1">IFERROR(__xludf.DUMMYFUNCTION("""COMPUTED_VALUE"""),234.16)</f>
        <v>234.16</v>
      </c>
      <c r="S520" s="3">
        <f ca="1">IFERROR(__xludf.DUMMYFUNCTION("""COMPUTED_VALUE"""),44217.6666666666)</f>
        <v>44217.666666666599</v>
      </c>
      <c r="T520" s="2">
        <f ca="1">IFERROR(__xludf.DUMMYFUNCTION("""COMPUTED_VALUE"""),161.73)</f>
        <v>161.72999999999999</v>
      </c>
    </row>
    <row r="521" spans="1:20">
      <c r="A521" s="3">
        <f ca="1">IFERROR(__xludf.DUMMYFUNCTION("""COMPUTED_VALUE"""),44218.6666666666)</f>
        <v>44218.666666666599</v>
      </c>
      <c r="B521" s="2">
        <f ca="1">IFERROR(__xludf.DUMMYFUNCTION("""COMPUTED_VALUE"""),139.07)</f>
        <v>139.07</v>
      </c>
      <c r="C521" s="3">
        <f ca="1">IFERROR(__xludf.DUMMYFUNCTION("""COMPUTED_VALUE"""),44218.6666666666)</f>
        <v>44218.666666666599</v>
      </c>
      <c r="D521" s="2">
        <f ca="1">IFERROR(__xludf.DUMMYFUNCTION("""COMPUTED_VALUE"""),225.95)</f>
        <v>225.95</v>
      </c>
      <c r="E521" s="3">
        <f ca="1">IFERROR(__xludf.DUMMYFUNCTION("""COMPUTED_VALUE"""),44218.6666666666)</f>
        <v>44218.666666666599</v>
      </c>
      <c r="F521" s="2">
        <f ca="1">IFERROR(__xludf.DUMMYFUNCTION("""COMPUTED_VALUE"""),3292.23)</f>
        <v>3292.23</v>
      </c>
      <c r="G521" s="3">
        <f ca="1">IFERROR(__xludf.DUMMYFUNCTION("""COMPUTED_VALUE"""),44218.6666666666)</f>
        <v>44218.666666666599</v>
      </c>
      <c r="H521" s="2">
        <f ca="1">IFERROR(__xludf.DUMMYFUNCTION("""COMPUTED_VALUE"""),1892.56)</f>
        <v>1892.56</v>
      </c>
      <c r="I521" s="3">
        <f ca="1">IFERROR(__xludf.DUMMYFUNCTION("""COMPUTED_VALUE"""),44218.6666666666)</f>
        <v>44218.666666666599</v>
      </c>
      <c r="J521" s="2">
        <f ca="1">IFERROR(__xludf.DUMMYFUNCTION("""COMPUTED_VALUE"""),1901.05)</f>
        <v>1901.05</v>
      </c>
      <c r="K521" s="3">
        <f ca="1">IFERROR(__xludf.DUMMYFUNCTION("""COMPUTED_VALUE"""),44218.6666666666)</f>
        <v>44218.666666666599</v>
      </c>
      <c r="L521" s="2">
        <f ca="1">IFERROR(__xludf.DUMMYFUNCTION("""COMPUTED_VALUE"""),274.5)</f>
        <v>274.5</v>
      </c>
      <c r="M521" s="3">
        <f ca="1">IFERROR(__xludf.DUMMYFUNCTION("""COMPUTED_VALUE"""),44218.6666666666)</f>
        <v>44218.666666666599</v>
      </c>
      <c r="N521" s="2">
        <f ca="1">IFERROR(__xludf.DUMMYFUNCTION("""COMPUTED_VALUE"""),846.64)</f>
        <v>846.64</v>
      </c>
      <c r="O521" s="3">
        <f ca="1">IFERROR(__xludf.DUMMYFUNCTION("""COMPUTED_VALUE"""),44218.6666666666)</f>
        <v>44218.666666666599</v>
      </c>
      <c r="P521" s="2">
        <f ca="1">IFERROR(__xludf.DUMMYFUNCTION("""COMPUTED_VALUE"""),137.13)</f>
        <v>137.13</v>
      </c>
      <c r="Q521" s="3">
        <f ca="1">IFERROR(__xludf.DUMMYFUNCTION("""COMPUTED_VALUE"""),44218.6666666666)</f>
        <v>44218.666666666599</v>
      </c>
      <c r="R521" s="2">
        <f ca="1">IFERROR(__xludf.DUMMYFUNCTION("""COMPUTED_VALUE"""),232.92)</f>
        <v>232.92</v>
      </c>
      <c r="S521" s="3">
        <f ca="1">IFERROR(__xludf.DUMMYFUNCTION("""COMPUTED_VALUE"""),44218.6666666666)</f>
        <v>44218.666666666599</v>
      </c>
      <c r="T521" s="2">
        <f ca="1">IFERROR(__xludf.DUMMYFUNCTION("""COMPUTED_VALUE"""),163.55)</f>
        <v>163.55000000000001</v>
      </c>
    </row>
    <row r="522" spans="1:20">
      <c r="A522" s="3">
        <f ca="1">IFERROR(__xludf.DUMMYFUNCTION("""COMPUTED_VALUE"""),44221.6666666666)</f>
        <v>44221.666666666599</v>
      </c>
      <c r="B522" s="2">
        <f ca="1">IFERROR(__xludf.DUMMYFUNCTION("""COMPUTED_VALUE"""),142.92)</f>
        <v>142.91999999999999</v>
      </c>
      <c r="C522" s="3">
        <f ca="1">IFERROR(__xludf.DUMMYFUNCTION("""COMPUTED_VALUE"""),44221.6666666666)</f>
        <v>44221.666666666599</v>
      </c>
      <c r="D522" s="2">
        <f ca="1">IFERROR(__xludf.DUMMYFUNCTION("""COMPUTED_VALUE"""),229.53)</f>
        <v>229.53</v>
      </c>
      <c r="E522" s="3">
        <f ca="1">IFERROR(__xludf.DUMMYFUNCTION("""COMPUTED_VALUE"""),44221.6666666666)</f>
        <v>44221.666666666599</v>
      </c>
      <c r="F522" s="2">
        <f ca="1">IFERROR(__xludf.DUMMYFUNCTION("""COMPUTED_VALUE"""),3294)</f>
        <v>3294</v>
      </c>
      <c r="G522" s="3">
        <f ca="1">IFERROR(__xludf.DUMMYFUNCTION("""COMPUTED_VALUE"""),44221.6666666666)</f>
        <v>44221.666666666599</v>
      </c>
      <c r="H522" s="2">
        <f ca="1">IFERROR(__xludf.DUMMYFUNCTION("""COMPUTED_VALUE"""),1894.28)</f>
        <v>1894.28</v>
      </c>
      <c r="I522" s="3">
        <f ca="1">IFERROR(__xludf.DUMMYFUNCTION("""COMPUTED_VALUE"""),44221.6666666666)</f>
        <v>44221.666666666599</v>
      </c>
      <c r="J522" s="2">
        <f ca="1">IFERROR(__xludf.DUMMYFUNCTION("""COMPUTED_VALUE"""),1899.4)</f>
        <v>1899.4</v>
      </c>
      <c r="K522" s="3">
        <f ca="1">IFERROR(__xludf.DUMMYFUNCTION("""COMPUTED_VALUE"""),44221.6666666666)</f>
        <v>44221.666666666599</v>
      </c>
      <c r="L522" s="2">
        <f ca="1">IFERROR(__xludf.DUMMYFUNCTION("""COMPUTED_VALUE"""),278.01)</f>
        <v>278.01</v>
      </c>
      <c r="M522" s="3">
        <f ca="1">IFERROR(__xludf.DUMMYFUNCTION("""COMPUTED_VALUE"""),44221.6666666666)</f>
        <v>44221.666666666599</v>
      </c>
      <c r="N522" s="2">
        <f ca="1">IFERROR(__xludf.DUMMYFUNCTION("""COMPUTED_VALUE"""),880.8)</f>
        <v>880.8</v>
      </c>
      <c r="O522" s="3">
        <f ca="1">IFERROR(__xludf.DUMMYFUNCTION("""COMPUTED_VALUE"""),44221.6666666666)</f>
        <v>44221.666666666599</v>
      </c>
      <c r="P522" s="2">
        <f ca="1">IFERROR(__xludf.DUMMYFUNCTION("""COMPUTED_VALUE"""),136.53)</f>
        <v>136.53</v>
      </c>
      <c r="Q522" s="3">
        <f ca="1">IFERROR(__xludf.DUMMYFUNCTION("""COMPUTED_VALUE"""),44221.6666666666)</f>
        <v>44221.666666666599</v>
      </c>
      <c r="R522" s="2">
        <f ca="1">IFERROR(__xludf.DUMMYFUNCTION("""COMPUTED_VALUE"""),233.01)</f>
        <v>233.01</v>
      </c>
      <c r="S522" s="3">
        <f ca="1">IFERROR(__xludf.DUMMYFUNCTION("""COMPUTED_VALUE"""),44221.6666666666)</f>
        <v>44221.666666666599</v>
      </c>
      <c r="T522" s="2">
        <f ca="1">IFERROR(__xludf.DUMMYFUNCTION("""COMPUTED_VALUE"""),165.98)</f>
        <v>165.98</v>
      </c>
    </row>
    <row r="523" spans="1:20">
      <c r="A523" s="3">
        <f ca="1">IFERROR(__xludf.DUMMYFUNCTION("""COMPUTED_VALUE"""),44222.6666666666)</f>
        <v>44222.666666666599</v>
      </c>
      <c r="B523" s="2">
        <f ca="1">IFERROR(__xludf.DUMMYFUNCTION("""COMPUTED_VALUE"""),143.16)</f>
        <v>143.16</v>
      </c>
      <c r="C523" s="3">
        <f ca="1">IFERROR(__xludf.DUMMYFUNCTION("""COMPUTED_VALUE"""),44222.6666666666)</f>
        <v>44222.666666666599</v>
      </c>
      <c r="D523" s="2">
        <f ca="1">IFERROR(__xludf.DUMMYFUNCTION("""COMPUTED_VALUE"""),232.33)</f>
        <v>232.33</v>
      </c>
      <c r="E523" s="3">
        <f ca="1">IFERROR(__xludf.DUMMYFUNCTION("""COMPUTED_VALUE"""),44222.6666666666)</f>
        <v>44222.666666666599</v>
      </c>
      <c r="F523" s="2">
        <f ca="1">IFERROR(__xludf.DUMMYFUNCTION("""COMPUTED_VALUE"""),3326.13)</f>
        <v>3326.13</v>
      </c>
      <c r="G523" s="3">
        <f ca="1">IFERROR(__xludf.DUMMYFUNCTION("""COMPUTED_VALUE"""),44222.6666666666)</f>
        <v>44222.666666666599</v>
      </c>
      <c r="H523" s="2">
        <f ca="1">IFERROR(__xludf.DUMMYFUNCTION("""COMPUTED_VALUE"""),1907.95)</f>
        <v>1907.95</v>
      </c>
      <c r="I523" s="3">
        <f ca="1">IFERROR(__xludf.DUMMYFUNCTION("""COMPUTED_VALUE"""),44222.6666666666)</f>
        <v>44222.666666666599</v>
      </c>
      <c r="J523" s="2">
        <f ca="1">IFERROR(__xludf.DUMMYFUNCTION("""COMPUTED_VALUE"""),1917.24)</f>
        <v>1917.24</v>
      </c>
      <c r="K523" s="3">
        <f ca="1">IFERROR(__xludf.DUMMYFUNCTION("""COMPUTED_VALUE"""),44222.6666666666)</f>
        <v>44222.666666666599</v>
      </c>
      <c r="L523" s="2">
        <f ca="1">IFERROR(__xludf.DUMMYFUNCTION("""COMPUTED_VALUE"""),282.05)</f>
        <v>282.05</v>
      </c>
      <c r="M523" s="3">
        <f ca="1">IFERROR(__xludf.DUMMYFUNCTION("""COMPUTED_VALUE"""),44222.6666666666)</f>
        <v>44222.666666666599</v>
      </c>
      <c r="N523" s="2">
        <f ca="1">IFERROR(__xludf.DUMMYFUNCTION("""COMPUTED_VALUE"""),883.09)</f>
        <v>883.09</v>
      </c>
      <c r="O523" s="3">
        <f ca="1">IFERROR(__xludf.DUMMYFUNCTION("""COMPUTED_VALUE"""),44222.6666666666)</f>
        <v>44222.666666666599</v>
      </c>
      <c r="P523" s="2">
        <f ca="1">IFERROR(__xludf.DUMMYFUNCTION("""COMPUTED_VALUE"""),134.35)</f>
        <v>134.35</v>
      </c>
      <c r="Q523" s="3">
        <f ca="1">IFERROR(__xludf.DUMMYFUNCTION("""COMPUTED_VALUE"""),44222.6666666666)</f>
        <v>44222.666666666599</v>
      </c>
      <c r="R523" s="2">
        <f ca="1">IFERROR(__xludf.DUMMYFUNCTION("""COMPUTED_VALUE"""),231.57)</f>
        <v>231.57</v>
      </c>
      <c r="S523" s="3">
        <f ca="1">IFERROR(__xludf.DUMMYFUNCTION("""COMPUTED_VALUE"""),44222.6666666666)</f>
        <v>44222.666666666599</v>
      </c>
      <c r="T523" s="2">
        <f ca="1">IFERROR(__xludf.DUMMYFUNCTION("""COMPUTED_VALUE"""),170.48)</f>
        <v>170.48</v>
      </c>
    </row>
    <row r="524" spans="1:20">
      <c r="A524" s="3">
        <f ca="1">IFERROR(__xludf.DUMMYFUNCTION("""COMPUTED_VALUE"""),44223.6666666666)</f>
        <v>44223.666666666599</v>
      </c>
      <c r="B524" s="2">
        <f ca="1">IFERROR(__xludf.DUMMYFUNCTION("""COMPUTED_VALUE"""),142.06)</f>
        <v>142.06</v>
      </c>
      <c r="C524" s="3">
        <f ca="1">IFERROR(__xludf.DUMMYFUNCTION("""COMPUTED_VALUE"""),44223.6666666666)</f>
        <v>44223.666666666599</v>
      </c>
      <c r="D524" s="2">
        <f ca="1">IFERROR(__xludf.DUMMYFUNCTION("""COMPUTED_VALUE"""),232.9)</f>
        <v>232.9</v>
      </c>
      <c r="E524" s="3">
        <f ca="1">IFERROR(__xludf.DUMMYFUNCTION("""COMPUTED_VALUE"""),44223.6666666666)</f>
        <v>44223.666666666599</v>
      </c>
      <c r="F524" s="2">
        <f ca="1">IFERROR(__xludf.DUMMYFUNCTION("""COMPUTED_VALUE"""),3232.58)</f>
        <v>3232.58</v>
      </c>
      <c r="G524" s="3">
        <f ca="1">IFERROR(__xludf.DUMMYFUNCTION("""COMPUTED_VALUE"""),44223.6666666666)</f>
        <v>44223.666666666599</v>
      </c>
      <c r="H524" s="2">
        <f ca="1">IFERROR(__xludf.DUMMYFUNCTION("""COMPUTED_VALUE"""),1818.94)</f>
        <v>1818.94</v>
      </c>
      <c r="I524" s="3">
        <f ca="1">IFERROR(__xludf.DUMMYFUNCTION("""COMPUTED_VALUE"""),44223.6666666666)</f>
        <v>44223.666666666599</v>
      </c>
      <c r="J524" s="2">
        <f ca="1">IFERROR(__xludf.DUMMYFUNCTION("""COMPUTED_VALUE"""),1830.79)</f>
        <v>1830.79</v>
      </c>
      <c r="K524" s="3">
        <f ca="1">IFERROR(__xludf.DUMMYFUNCTION("""COMPUTED_VALUE"""),44223.6666666666)</f>
        <v>44223.666666666599</v>
      </c>
      <c r="L524" s="2">
        <f ca="1">IFERROR(__xludf.DUMMYFUNCTION("""COMPUTED_VALUE"""),272.14)</f>
        <v>272.14</v>
      </c>
      <c r="M524" s="3">
        <f ca="1">IFERROR(__xludf.DUMMYFUNCTION("""COMPUTED_VALUE"""),44223.6666666666)</f>
        <v>44223.666666666599</v>
      </c>
      <c r="N524" s="2">
        <f ca="1">IFERROR(__xludf.DUMMYFUNCTION("""COMPUTED_VALUE"""),864.16)</f>
        <v>864.16</v>
      </c>
      <c r="O524" s="3">
        <f ca="1">IFERROR(__xludf.DUMMYFUNCTION("""COMPUTED_VALUE"""),44223.6666666666)</f>
        <v>44223.666666666599</v>
      </c>
      <c r="P524" s="2">
        <f ca="1">IFERROR(__xludf.DUMMYFUNCTION("""COMPUTED_VALUE"""),129.18)</f>
        <v>129.18</v>
      </c>
      <c r="Q524" s="3">
        <f ca="1">IFERROR(__xludf.DUMMYFUNCTION("""COMPUTED_VALUE"""),44223.6666666666)</f>
        <v>44223.666666666599</v>
      </c>
      <c r="R524" s="2">
        <f ca="1">IFERROR(__xludf.DUMMYFUNCTION("""COMPUTED_VALUE"""),227.36)</f>
        <v>227.36</v>
      </c>
      <c r="S524" s="3">
        <f ca="1">IFERROR(__xludf.DUMMYFUNCTION("""COMPUTED_VALUE"""),44223.6666666666)</f>
        <v>44223.666666666599</v>
      </c>
      <c r="T524" s="2">
        <f ca="1">IFERROR(__xludf.DUMMYFUNCTION("""COMPUTED_VALUE"""),167.88)</f>
        <v>167.88</v>
      </c>
    </row>
    <row r="525" spans="1:20">
      <c r="A525" s="3">
        <f ca="1">IFERROR(__xludf.DUMMYFUNCTION("""COMPUTED_VALUE"""),44224.6666666666)</f>
        <v>44224.666666666599</v>
      </c>
      <c r="B525" s="2">
        <f ca="1">IFERROR(__xludf.DUMMYFUNCTION("""COMPUTED_VALUE"""),137.09)</f>
        <v>137.09</v>
      </c>
      <c r="C525" s="3">
        <f ca="1">IFERROR(__xludf.DUMMYFUNCTION("""COMPUTED_VALUE"""),44224.6666666666)</f>
        <v>44224.666666666599</v>
      </c>
      <c r="D525" s="2">
        <f ca="1">IFERROR(__xludf.DUMMYFUNCTION("""COMPUTED_VALUE"""),238.93)</f>
        <v>238.93</v>
      </c>
      <c r="E525" s="3">
        <f ca="1">IFERROR(__xludf.DUMMYFUNCTION("""COMPUTED_VALUE"""),44224.6666666666)</f>
        <v>44224.666666666599</v>
      </c>
      <c r="F525" s="2">
        <f ca="1">IFERROR(__xludf.DUMMYFUNCTION("""COMPUTED_VALUE"""),3237.62)</f>
        <v>3237.62</v>
      </c>
      <c r="G525" s="3">
        <f ca="1">IFERROR(__xludf.DUMMYFUNCTION("""COMPUTED_VALUE"""),44224.6666666666)</f>
        <v>44224.666666666599</v>
      </c>
      <c r="H525" s="2">
        <f ca="1">IFERROR(__xludf.DUMMYFUNCTION("""COMPUTED_VALUE"""),1853.2)</f>
        <v>1853.2</v>
      </c>
      <c r="I525" s="3">
        <f ca="1">IFERROR(__xludf.DUMMYFUNCTION("""COMPUTED_VALUE"""),44224.6666666666)</f>
        <v>44224.666666666599</v>
      </c>
      <c r="J525" s="2">
        <f ca="1">IFERROR(__xludf.DUMMYFUNCTION("""COMPUTED_VALUE"""),1863.11)</f>
        <v>1863.11</v>
      </c>
      <c r="K525" s="3">
        <f ca="1">IFERROR(__xludf.DUMMYFUNCTION("""COMPUTED_VALUE"""),44224.6666666666)</f>
        <v>44224.666666666599</v>
      </c>
      <c r="L525" s="2">
        <f ca="1">IFERROR(__xludf.DUMMYFUNCTION("""COMPUTED_VALUE"""),265)</f>
        <v>265</v>
      </c>
      <c r="M525" s="3">
        <f ca="1">IFERROR(__xludf.DUMMYFUNCTION("""COMPUTED_VALUE"""),44224.6666666666)</f>
        <v>44224.666666666599</v>
      </c>
      <c r="N525" s="2">
        <f ca="1">IFERROR(__xludf.DUMMYFUNCTION("""COMPUTED_VALUE"""),835.43)</f>
        <v>835.43</v>
      </c>
      <c r="O525" s="3">
        <f ca="1">IFERROR(__xludf.DUMMYFUNCTION("""COMPUTED_VALUE"""),44224.6666666666)</f>
        <v>44224.666666666599</v>
      </c>
      <c r="P525" s="2">
        <f ca="1">IFERROR(__xludf.DUMMYFUNCTION("""COMPUTED_VALUE"""),130.51)</f>
        <v>130.51</v>
      </c>
      <c r="Q525" s="3">
        <f ca="1">IFERROR(__xludf.DUMMYFUNCTION("""COMPUTED_VALUE"""),44224.6666666666)</f>
        <v>44224.666666666599</v>
      </c>
      <c r="R525" s="2">
        <f ca="1">IFERROR(__xludf.DUMMYFUNCTION("""COMPUTED_VALUE"""),230.95)</f>
        <v>230.95</v>
      </c>
      <c r="S525" s="3">
        <f ca="1">IFERROR(__xludf.DUMMYFUNCTION("""COMPUTED_VALUE"""),44224.6666666666)</f>
        <v>44224.666666666599</v>
      </c>
      <c r="T525" s="2">
        <f ca="1">IFERROR(__xludf.DUMMYFUNCTION("""COMPUTED_VALUE"""),169.16)</f>
        <v>169.16</v>
      </c>
    </row>
    <row r="526" spans="1:20">
      <c r="A526" s="3">
        <f ca="1">IFERROR(__xludf.DUMMYFUNCTION("""COMPUTED_VALUE"""),44225.6666666666)</f>
        <v>44225.666666666599</v>
      </c>
      <c r="B526" s="2">
        <f ca="1">IFERROR(__xludf.DUMMYFUNCTION("""COMPUTED_VALUE"""),131.96)</f>
        <v>131.96</v>
      </c>
      <c r="C526" s="3">
        <f ca="1">IFERROR(__xludf.DUMMYFUNCTION("""COMPUTED_VALUE"""),44225.6666666666)</f>
        <v>44225.666666666599</v>
      </c>
      <c r="D526" s="2">
        <f ca="1">IFERROR(__xludf.DUMMYFUNCTION("""COMPUTED_VALUE"""),231.96)</f>
        <v>231.96</v>
      </c>
      <c r="E526" s="3">
        <f ca="1">IFERROR(__xludf.DUMMYFUNCTION("""COMPUTED_VALUE"""),44225.6666666666)</f>
        <v>44225.666666666599</v>
      </c>
      <c r="F526" s="2">
        <f ca="1">IFERROR(__xludf.DUMMYFUNCTION("""COMPUTED_VALUE"""),3206.2)</f>
        <v>3206.2</v>
      </c>
      <c r="G526" s="3">
        <f ca="1">IFERROR(__xludf.DUMMYFUNCTION("""COMPUTED_VALUE"""),44225.6666666666)</f>
        <v>44225.666666666599</v>
      </c>
      <c r="H526" s="2">
        <f ca="1">IFERROR(__xludf.DUMMYFUNCTION("""COMPUTED_VALUE"""),1827.36)</f>
        <v>1827.36</v>
      </c>
      <c r="I526" s="3">
        <f ca="1">IFERROR(__xludf.DUMMYFUNCTION("""COMPUTED_VALUE"""),44225.6666666666)</f>
        <v>44225.666666666599</v>
      </c>
      <c r="J526" s="2">
        <f ca="1">IFERROR(__xludf.DUMMYFUNCTION("""COMPUTED_VALUE"""),1835.74)</f>
        <v>1835.74</v>
      </c>
      <c r="K526" s="3">
        <f ca="1">IFERROR(__xludf.DUMMYFUNCTION("""COMPUTED_VALUE"""),44225.6666666666)</f>
        <v>44225.666666666599</v>
      </c>
      <c r="L526" s="2">
        <f ca="1">IFERROR(__xludf.DUMMYFUNCTION("""COMPUTED_VALUE"""),258.33)</f>
        <v>258.33</v>
      </c>
      <c r="M526" s="3">
        <f ca="1">IFERROR(__xludf.DUMMYFUNCTION("""COMPUTED_VALUE"""),44225.6666666666)</f>
        <v>44225.666666666599</v>
      </c>
      <c r="N526" s="2">
        <f ca="1">IFERROR(__xludf.DUMMYFUNCTION("""COMPUTED_VALUE"""),793.53)</f>
        <v>793.53</v>
      </c>
      <c r="O526" s="3">
        <f ca="1">IFERROR(__xludf.DUMMYFUNCTION("""COMPUTED_VALUE"""),44225.6666666666)</f>
        <v>44225.666666666599</v>
      </c>
      <c r="P526" s="2">
        <f ca="1">IFERROR(__xludf.DUMMYFUNCTION("""COMPUTED_VALUE"""),129.9)</f>
        <v>129.9</v>
      </c>
      <c r="Q526" s="3">
        <f ca="1">IFERROR(__xludf.DUMMYFUNCTION("""COMPUTED_VALUE"""),44225.6666666666)</f>
        <v>44225.666666666599</v>
      </c>
      <c r="R526" s="2">
        <f ca="1">IFERROR(__xludf.DUMMYFUNCTION("""COMPUTED_VALUE"""),227.87)</f>
        <v>227.87</v>
      </c>
      <c r="S526" s="3">
        <f ca="1">IFERROR(__xludf.DUMMYFUNCTION("""COMPUTED_VALUE"""),44225.6666666666)</f>
        <v>44225.666666666599</v>
      </c>
      <c r="T526" s="2">
        <f ca="1">IFERROR(__xludf.DUMMYFUNCTION("""COMPUTED_VALUE"""),163.13)</f>
        <v>163.13</v>
      </c>
    </row>
    <row r="527" spans="1:20">
      <c r="A527" s="3">
        <f ca="1">IFERROR(__xludf.DUMMYFUNCTION("""COMPUTED_VALUE"""),44228.6666666666)</f>
        <v>44228.666666666599</v>
      </c>
      <c r="B527" s="2">
        <f ca="1">IFERROR(__xludf.DUMMYFUNCTION("""COMPUTED_VALUE"""),134.14)</f>
        <v>134.13999999999999</v>
      </c>
      <c r="C527" s="3">
        <f ca="1">IFERROR(__xludf.DUMMYFUNCTION("""COMPUTED_VALUE"""),44228.6666666666)</f>
        <v>44228.666666666599</v>
      </c>
      <c r="D527" s="2">
        <f ca="1">IFERROR(__xludf.DUMMYFUNCTION("""COMPUTED_VALUE"""),239.65)</f>
        <v>239.65</v>
      </c>
      <c r="E527" s="3">
        <f ca="1">IFERROR(__xludf.DUMMYFUNCTION("""COMPUTED_VALUE"""),44228.6666666666)</f>
        <v>44228.666666666599</v>
      </c>
      <c r="F527" s="2">
        <f ca="1">IFERROR(__xludf.DUMMYFUNCTION("""COMPUTED_VALUE"""),3342.88)</f>
        <v>3342.88</v>
      </c>
      <c r="G527" s="3">
        <f ca="1">IFERROR(__xludf.DUMMYFUNCTION("""COMPUTED_VALUE"""),44228.6666666666)</f>
        <v>44228.666666666599</v>
      </c>
      <c r="H527" s="2">
        <f ca="1">IFERROR(__xludf.DUMMYFUNCTION("""COMPUTED_VALUE"""),1893.07)</f>
        <v>1893.07</v>
      </c>
      <c r="I527" s="3">
        <f ca="1">IFERROR(__xludf.DUMMYFUNCTION("""COMPUTED_VALUE"""),44228.6666666666)</f>
        <v>44228.666666666599</v>
      </c>
      <c r="J527" s="2">
        <f ca="1">IFERROR(__xludf.DUMMYFUNCTION("""COMPUTED_VALUE"""),1901.35)</f>
        <v>1901.35</v>
      </c>
      <c r="K527" s="3">
        <f ca="1">IFERROR(__xludf.DUMMYFUNCTION("""COMPUTED_VALUE"""),44228.6666666666)</f>
        <v>44228.666666666599</v>
      </c>
      <c r="L527" s="2">
        <f ca="1">IFERROR(__xludf.DUMMYFUNCTION("""COMPUTED_VALUE"""),262.01)</f>
        <v>262.01</v>
      </c>
      <c r="M527" s="3">
        <f ca="1">IFERROR(__xludf.DUMMYFUNCTION("""COMPUTED_VALUE"""),44228.6666666666)</f>
        <v>44228.666666666599</v>
      </c>
      <c r="N527" s="2">
        <f ca="1">IFERROR(__xludf.DUMMYFUNCTION("""COMPUTED_VALUE"""),839.81)</f>
        <v>839.81</v>
      </c>
      <c r="O527" s="3">
        <f ca="1">IFERROR(__xludf.DUMMYFUNCTION("""COMPUTED_VALUE"""),44228.6666666666)</f>
        <v>44228.666666666599</v>
      </c>
      <c r="P527" s="2">
        <f ca="1">IFERROR(__xludf.DUMMYFUNCTION("""COMPUTED_VALUE"""),132.37)</f>
        <v>132.37</v>
      </c>
      <c r="Q527" s="3">
        <f ca="1">IFERROR(__xludf.DUMMYFUNCTION("""COMPUTED_VALUE"""),44228.6666666666)</f>
        <v>44228.666666666599</v>
      </c>
      <c r="R527" s="2">
        <f ca="1">IFERROR(__xludf.DUMMYFUNCTION("""COMPUTED_VALUE"""),229.32)</f>
        <v>229.32</v>
      </c>
      <c r="S527" s="3">
        <f ca="1">IFERROR(__xludf.DUMMYFUNCTION("""COMPUTED_VALUE"""),44228.6666666666)</f>
        <v>44228.666666666599</v>
      </c>
      <c r="T527" s="2">
        <f ca="1">IFERROR(__xludf.DUMMYFUNCTION("""COMPUTED_VALUE"""),162.71)</f>
        <v>162.71</v>
      </c>
    </row>
    <row r="528" spans="1:20">
      <c r="A528" s="3">
        <f ca="1">IFERROR(__xludf.DUMMYFUNCTION("""COMPUTED_VALUE"""),44229.6666666666)</f>
        <v>44229.666666666599</v>
      </c>
      <c r="B528" s="2">
        <f ca="1">IFERROR(__xludf.DUMMYFUNCTION("""COMPUTED_VALUE"""),134.99)</f>
        <v>134.99</v>
      </c>
      <c r="C528" s="3">
        <f ca="1">IFERROR(__xludf.DUMMYFUNCTION("""COMPUTED_VALUE"""),44229.6666666666)</f>
        <v>44229.666666666599</v>
      </c>
      <c r="D528" s="2">
        <f ca="1">IFERROR(__xludf.DUMMYFUNCTION("""COMPUTED_VALUE"""),239.51)</f>
        <v>239.51</v>
      </c>
      <c r="E528" s="3">
        <f ca="1">IFERROR(__xludf.DUMMYFUNCTION("""COMPUTED_VALUE"""),44229.6666666666)</f>
        <v>44229.666666666599</v>
      </c>
      <c r="F528" s="2">
        <f ca="1">IFERROR(__xludf.DUMMYFUNCTION("""COMPUTED_VALUE"""),3380)</f>
        <v>3380</v>
      </c>
      <c r="G528" s="3">
        <f ca="1">IFERROR(__xludf.DUMMYFUNCTION("""COMPUTED_VALUE"""),44229.6666666666)</f>
        <v>44229.666666666599</v>
      </c>
      <c r="H528" s="2">
        <f ca="1">IFERROR(__xludf.DUMMYFUNCTION("""COMPUTED_VALUE"""),1919.12)</f>
        <v>1919.12</v>
      </c>
      <c r="I528" s="3">
        <f ca="1">IFERROR(__xludf.DUMMYFUNCTION("""COMPUTED_VALUE"""),44229.6666666666)</f>
        <v>44229.666666666599</v>
      </c>
      <c r="J528" s="2">
        <f ca="1">IFERROR(__xludf.DUMMYFUNCTION("""COMPUTED_VALUE"""),1927.51)</f>
        <v>1927.51</v>
      </c>
      <c r="K528" s="3">
        <f ca="1">IFERROR(__xludf.DUMMYFUNCTION("""COMPUTED_VALUE"""),44229.6666666666)</f>
        <v>44229.666666666599</v>
      </c>
      <c r="L528" s="2">
        <f ca="1">IFERROR(__xludf.DUMMYFUNCTION("""COMPUTED_VALUE"""),267.08)</f>
        <v>267.08</v>
      </c>
      <c r="M528" s="3">
        <f ca="1">IFERROR(__xludf.DUMMYFUNCTION("""COMPUTED_VALUE"""),44229.6666666666)</f>
        <v>44229.666666666599</v>
      </c>
      <c r="N528" s="2">
        <f ca="1">IFERROR(__xludf.DUMMYFUNCTION("""COMPUTED_VALUE"""),872.79)</f>
        <v>872.79</v>
      </c>
      <c r="O528" s="3">
        <f ca="1">IFERROR(__xludf.DUMMYFUNCTION("""COMPUTED_VALUE"""),44229.6666666666)</f>
        <v>44229.666666666599</v>
      </c>
      <c r="P528" s="2">
        <f ca="1">IFERROR(__xludf.DUMMYFUNCTION("""COMPUTED_VALUE"""),135.57)</f>
        <v>135.57</v>
      </c>
      <c r="Q528" s="3">
        <f ca="1">IFERROR(__xludf.DUMMYFUNCTION("""COMPUTED_VALUE"""),44229.6666666666)</f>
        <v>44229.666666666599</v>
      </c>
      <c r="R528" s="2">
        <f ca="1">IFERROR(__xludf.DUMMYFUNCTION("""COMPUTED_VALUE"""),232.24)</f>
        <v>232.24</v>
      </c>
      <c r="S528" s="3">
        <f ca="1">IFERROR(__xludf.DUMMYFUNCTION("""COMPUTED_VALUE"""),44229.6666666666)</f>
        <v>44229.666666666599</v>
      </c>
      <c r="T528" s="2">
        <f ca="1">IFERROR(__xludf.DUMMYFUNCTION("""COMPUTED_VALUE"""),161.25)</f>
        <v>161.25</v>
      </c>
    </row>
    <row r="529" spans="1:20">
      <c r="A529" s="3">
        <f ca="1">IFERROR(__xludf.DUMMYFUNCTION("""COMPUTED_VALUE"""),44230.6666666666)</f>
        <v>44230.666666666599</v>
      </c>
      <c r="B529" s="2">
        <f ca="1">IFERROR(__xludf.DUMMYFUNCTION("""COMPUTED_VALUE"""),133.94)</f>
        <v>133.94</v>
      </c>
      <c r="C529" s="3">
        <f ca="1">IFERROR(__xludf.DUMMYFUNCTION("""COMPUTED_VALUE"""),44230.6666666666)</f>
        <v>44230.666666666599</v>
      </c>
      <c r="D529" s="2">
        <f ca="1">IFERROR(__xludf.DUMMYFUNCTION("""COMPUTED_VALUE"""),243)</f>
        <v>243</v>
      </c>
      <c r="E529" s="3">
        <f ca="1">IFERROR(__xludf.DUMMYFUNCTION("""COMPUTED_VALUE"""),44230.6666666666)</f>
        <v>44230.666666666599</v>
      </c>
      <c r="F529" s="2">
        <f ca="1">IFERROR(__xludf.DUMMYFUNCTION("""COMPUTED_VALUE"""),3312.53)</f>
        <v>3312.53</v>
      </c>
      <c r="G529" s="3">
        <f ca="1">IFERROR(__xludf.DUMMYFUNCTION("""COMPUTED_VALUE"""),44230.6666666666)</f>
        <v>44230.666666666599</v>
      </c>
      <c r="H529" s="2">
        <f ca="1">IFERROR(__xludf.DUMMYFUNCTION("""COMPUTED_VALUE"""),2058.88)</f>
        <v>2058.88</v>
      </c>
      <c r="I529" s="3">
        <f ca="1">IFERROR(__xludf.DUMMYFUNCTION("""COMPUTED_VALUE"""),44230.6666666666)</f>
        <v>44230.666666666599</v>
      </c>
      <c r="J529" s="2">
        <f ca="1">IFERROR(__xludf.DUMMYFUNCTION("""COMPUTED_VALUE"""),2070.07)</f>
        <v>2070.0700000000002</v>
      </c>
      <c r="K529" s="3">
        <f ca="1">IFERROR(__xludf.DUMMYFUNCTION("""COMPUTED_VALUE"""),44230.6666666666)</f>
        <v>44230.666666666599</v>
      </c>
      <c r="L529" s="2">
        <f ca="1">IFERROR(__xludf.DUMMYFUNCTION("""COMPUTED_VALUE"""),266.65)</f>
        <v>266.64999999999998</v>
      </c>
      <c r="M529" s="3">
        <f ca="1">IFERROR(__xludf.DUMMYFUNCTION("""COMPUTED_VALUE"""),44230.6666666666)</f>
        <v>44230.666666666599</v>
      </c>
      <c r="N529" s="2">
        <f ca="1">IFERROR(__xludf.DUMMYFUNCTION("""COMPUTED_VALUE"""),854.69)</f>
        <v>854.69</v>
      </c>
      <c r="O529" s="3">
        <f ca="1">IFERROR(__xludf.DUMMYFUNCTION("""COMPUTED_VALUE"""),44230.6666666666)</f>
        <v>44230.666666666599</v>
      </c>
      <c r="P529" s="2">
        <f ca="1">IFERROR(__xludf.DUMMYFUNCTION("""COMPUTED_VALUE"""),135.31)</f>
        <v>135.31</v>
      </c>
      <c r="Q529" s="3">
        <f ca="1">IFERROR(__xludf.DUMMYFUNCTION("""COMPUTED_VALUE"""),44230.6666666666)</f>
        <v>44230.666666666599</v>
      </c>
      <c r="R529" s="2">
        <f ca="1">IFERROR(__xludf.DUMMYFUNCTION("""COMPUTED_VALUE"""),232.68)</f>
        <v>232.68</v>
      </c>
      <c r="S529" s="3">
        <f ca="1">IFERROR(__xludf.DUMMYFUNCTION("""COMPUTED_VALUE"""),44230.6666666666)</f>
        <v>44230.666666666599</v>
      </c>
      <c r="T529" s="2">
        <f ca="1">IFERROR(__xludf.DUMMYFUNCTION("""COMPUTED_VALUE"""),160.5)</f>
        <v>160.5</v>
      </c>
    </row>
    <row r="530" spans="1:20">
      <c r="A530" s="3">
        <f ca="1">IFERROR(__xludf.DUMMYFUNCTION("""COMPUTED_VALUE"""),44231.6666666666)</f>
        <v>44231.666666666599</v>
      </c>
      <c r="B530" s="2">
        <f ca="1">IFERROR(__xludf.DUMMYFUNCTION("""COMPUTED_VALUE"""),137.39)</f>
        <v>137.38999999999999</v>
      </c>
      <c r="C530" s="3">
        <f ca="1">IFERROR(__xludf.DUMMYFUNCTION("""COMPUTED_VALUE"""),44231.6666666666)</f>
        <v>44231.666666666599</v>
      </c>
      <c r="D530" s="2">
        <f ca="1">IFERROR(__xludf.DUMMYFUNCTION("""COMPUTED_VALUE"""),242.01)</f>
        <v>242.01</v>
      </c>
      <c r="E530" s="3">
        <f ca="1">IFERROR(__xludf.DUMMYFUNCTION("""COMPUTED_VALUE"""),44231.6666666666)</f>
        <v>44231.666666666599</v>
      </c>
      <c r="F530" s="2">
        <f ca="1">IFERROR(__xludf.DUMMYFUNCTION("""COMPUTED_VALUE"""),3331)</f>
        <v>3331</v>
      </c>
      <c r="G530" s="3">
        <f ca="1">IFERROR(__xludf.DUMMYFUNCTION("""COMPUTED_VALUE"""),44231.6666666666)</f>
        <v>44231.666666666599</v>
      </c>
      <c r="H530" s="2">
        <f ca="1">IFERROR(__xludf.DUMMYFUNCTION("""COMPUTED_VALUE"""),2053.63)</f>
        <v>2053.63</v>
      </c>
      <c r="I530" s="3">
        <f ca="1">IFERROR(__xludf.DUMMYFUNCTION("""COMPUTED_VALUE"""),44231.6666666666)</f>
        <v>44231.666666666599</v>
      </c>
      <c r="J530" s="2">
        <f ca="1">IFERROR(__xludf.DUMMYFUNCTION("""COMPUTED_VALUE"""),2062.37)</f>
        <v>2062.37</v>
      </c>
      <c r="K530" s="3">
        <f ca="1">IFERROR(__xludf.DUMMYFUNCTION("""COMPUTED_VALUE"""),44231.6666666666)</f>
        <v>44231.666666666599</v>
      </c>
      <c r="L530" s="2">
        <f ca="1">IFERROR(__xludf.DUMMYFUNCTION("""COMPUTED_VALUE"""),266.49)</f>
        <v>266.49</v>
      </c>
      <c r="M530" s="3">
        <f ca="1">IFERROR(__xludf.DUMMYFUNCTION("""COMPUTED_VALUE"""),44231.6666666666)</f>
        <v>44231.666666666599</v>
      </c>
      <c r="N530" s="2">
        <f ca="1">IFERROR(__xludf.DUMMYFUNCTION("""COMPUTED_VALUE"""),849.99)</f>
        <v>849.99</v>
      </c>
      <c r="O530" s="3">
        <f ca="1">IFERROR(__xludf.DUMMYFUNCTION("""COMPUTED_VALUE"""),44231.6666666666)</f>
        <v>44231.666666666599</v>
      </c>
      <c r="P530" s="2">
        <f ca="1">IFERROR(__xludf.DUMMYFUNCTION("""COMPUTED_VALUE"""),136.64)</f>
        <v>136.63999999999999</v>
      </c>
      <c r="Q530" s="3">
        <f ca="1">IFERROR(__xludf.DUMMYFUNCTION("""COMPUTED_VALUE"""),44231.6666666666)</f>
        <v>44231.666666666599</v>
      </c>
      <c r="R530" s="2">
        <f ca="1">IFERROR(__xludf.DUMMYFUNCTION("""COMPUTED_VALUE"""),235.77)</f>
        <v>235.77</v>
      </c>
      <c r="S530" s="3">
        <f ca="1">IFERROR(__xludf.DUMMYFUNCTION("""COMPUTED_VALUE"""),44231.6666666666)</f>
        <v>44231.666666666599</v>
      </c>
      <c r="T530" s="2">
        <f ca="1">IFERROR(__xludf.DUMMYFUNCTION("""COMPUTED_VALUE"""),161.99)</f>
        <v>161.99</v>
      </c>
    </row>
    <row r="531" spans="1:20">
      <c r="A531" s="3">
        <f ca="1">IFERROR(__xludf.DUMMYFUNCTION("""COMPUTED_VALUE"""),44232.6666666666)</f>
        <v>44232.666666666599</v>
      </c>
      <c r="B531" s="2">
        <f ca="1">IFERROR(__xludf.DUMMYFUNCTION("""COMPUTED_VALUE"""),136.76)</f>
        <v>136.76</v>
      </c>
      <c r="C531" s="3">
        <f ca="1">IFERROR(__xludf.DUMMYFUNCTION("""COMPUTED_VALUE"""),44232.6666666666)</f>
        <v>44232.666666666599</v>
      </c>
      <c r="D531" s="2">
        <f ca="1">IFERROR(__xludf.DUMMYFUNCTION("""COMPUTED_VALUE"""),242.2)</f>
        <v>242.2</v>
      </c>
      <c r="E531" s="3">
        <f ca="1">IFERROR(__xludf.DUMMYFUNCTION("""COMPUTED_VALUE"""),44232.6666666666)</f>
        <v>44232.666666666599</v>
      </c>
      <c r="F531" s="2">
        <f ca="1">IFERROR(__xludf.DUMMYFUNCTION("""COMPUTED_VALUE"""),3352.15)</f>
        <v>3352.15</v>
      </c>
      <c r="G531" s="3">
        <f ca="1">IFERROR(__xludf.DUMMYFUNCTION("""COMPUTED_VALUE"""),44232.6666666666)</f>
        <v>44232.666666666599</v>
      </c>
      <c r="H531" s="2">
        <f ca="1">IFERROR(__xludf.DUMMYFUNCTION("""COMPUTED_VALUE"""),2088.83)</f>
        <v>2088.83</v>
      </c>
      <c r="I531" s="3">
        <f ca="1">IFERROR(__xludf.DUMMYFUNCTION("""COMPUTED_VALUE"""),44232.6666666666)</f>
        <v>44232.666666666599</v>
      </c>
      <c r="J531" s="2">
        <f ca="1">IFERROR(__xludf.DUMMYFUNCTION("""COMPUTED_VALUE"""),2098)</f>
        <v>2098</v>
      </c>
      <c r="K531" s="3">
        <f ca="1">IFERROR(__xludf.DUMMYFUNCTION("""COMPUTED_VALUE"""),44232.6666666666)</f>
        <v>44232.666666666599</v>
      </c>
      <c r="L531" s="2">
        <f ca="1">IFERROR(__xludf.DUMMYFUNCTION("""COMPUTED_VALUE"""),268.1)</f>
        <v>268.10000000000002</v>
      </c>
      <c r="M531" s="3">
        <f ca="1">IFERROR(__xludf.DUMMYFUNCTION("""COMPUTED_VALUE"""),44232.6666666666)</f>
        <v>44232.666666666599</v>
      </c>
      <c r="N531" s="2">
        <f ca="1">IFERROR(__xludf.DUMMYFUNCTION("""COMPUTED_VALUE"""),852.23)</f>
        <v>852.23</v>
      </c>
      <c r="O531" s="3">
        <f ca="1">IFERROR(__xludf.DUMMYFUNCTION("""COMPUTED_VALUE"""),44232.6666666666)</f>
        <v>44232.666666666599</v>
      </c>
      <c r="P531" s="2">
        <f ca="1">IFERROR(__xludf.DUMMYFUNCTION("""COMPUTED_VALUE"""),135.91)</f>
        <v>135.91</v>
      </c>
      <c r="Q531" s="3">
        <f ca="1">IFERROR(__xludf.DUMMYFUNCTION("""COMPUTED_VALUE"""),44232.6666666666)</f>
        <v>44232.666666666599</v>
      </c>
      <c r="R531" s="2">
        <f ca="1">IFERROR(__xludf.DUMMYFUNCTION("""COMPUTED_VALUE"""),235.16)</f>
        <v>235.16</v>
      </c>
      <c r="S531" s="3">
        <f ca="1">IFERROR(__xludf.DUMMYFUNCTION("""COMPUTED_VALUE"""),44232.6666666666)</f>
        <v>44232.666666666599</v>
      </c>
      <c r="T531" s="2">
        <f ca="1">IFERROR(__xludf.DUMMYFUNCTION("""COMPUTED_VALUE"""),164.45)</f>
        <v>164.45</v>
      </c>
    </row>
    <row r="532" spans="1:20">
      <c r="A532" s="3">
        <f ca="1">IFERROR(__xludf.DUMMYFUNCTION("""COMPUTED_VALUE"""),44235.6666666666)</f>
        <v>44235.666666666599</v>
      </c>
      <c r="B532" s="2">
        <f ca="1">IFERROR(__xludf.DUMMYFUNCTION("""COMPUTED_VALUE"""),136.91)</f>
        <v>136.91</v>
      </c>
      <c r="C532" s="3">
        <f ca="1">IFERROR(__xludf.DUMMYFUNCTION("""COMPUTED_VALUE"""),44235.6666666666)</f>
        <v>44235.666666666599</v>
      </c>
      <c r="D532" s="2">
        <f ca="1">IFERROR(__xludf.DUMMYFUNCTION("""COMPUTED_VALUE"""),242.47)</f>
        <v>242.47</v>
      </c>
      <c r="E532" s="3">
        <f ca="1">IFERROR(__xludf.DUMMYFUNCTION("""COMPUTED_VALUE"""),44235.6666666666)</f>
        <v>44235.666666666599</v>
      </c>
      <c r="F532" s="2">
        <f ca="1">IFERROR(__xludf.DUMMYFUNCTION("""COMPUTED_VALUE"""),3322.94)</f>
        <v>3322.94</v>
      </c>
      <c r="G532" s="3">
        <f ca="1">IFERROR(__xludf.DUMMYFUNCTION("""COMPUTED_VALUE"""),44235.6666666666)</f>
        <v>44235.666666666599</v>
      </c>
      <c r="H532" s="2">
        <f ca="1">IFERROR(__xludf.DUMMYFUNCTION("""COMPUTED_VALUE"""),2084.52)</f>
        <v>2084.52</v>
      </c>
      <c r="I532" s="3">
        <f ca="1">IFERROR(__xludf.DUMMYFUNCTION("""COMPUTED_VALUE"""),44235.6666666666)</f>
        <v>44235.666666666599</v>
      </c>
      <c r="J532" s="2">
        <f ca="1">IFERROR(__xludf.DUMMYFUNCTION("""COMPUTED_VALUE"""),2092.91)</f>
        <v>2092.91</v>
      </c>
      <c r="K532" s="3">
        <f ca="1">IFERROR(__xludf.DUMMYFUNCTION("""COMPUTED_VALUE"""),44235.6666666666)</f>
        <v>44235.666666666599</v>
      </c>
      <c r="L532" s="2">
        <f ca="1">IFERROR(__xludf.DUMMYFUNCTION("""COMPUTED_VALUE"""),266.58)</f>
        <v>266.58</v>
      </c>
      <c r="M532" s="3">
        <f ca="1">IFERROR(__xludf.DUMMYFUNCTION("""COMPUTED_VALUE"""),44235.6666666666)</f>
        <v>44235.666666666599</v>
      </c>
      <c r="N532" s="2">
        <f ca="1">IFERROR(__xludf.DUMMYFUNCTION("""COMPUTED_VALUE"""),863.42)</f>
        <v>863.42</v>
      </c>
      <c r="O532" s="3">
        <f ca="1">IFERROR(__xludf.DUMMYFUNCTION("""COMPUTED_VALUE"""),44235.6666666666)</f>
        <v>44235.666666666599</v>
      </c>
      <c r="P532" s="2">
        <f ca="1">IFERROR(__xludf.DUMMYFUNCTION("""COMPUTED_VALUE"""),144.39)</f>
        <v>144.38999999999999</v>
      </c>
      <c r="Q532" s="3">
        <f ca="1">IFERROR(__xludf.DUMMYFUNCTION("""COMPUTED_VALUE"""),44235.6666666666)</f>
        <v>44235.666666666599</v>
      </c>
      <c r="R532" s="2">
        <f ca="1">IFERROR(__xludf.DUMMYFUNCTION("""COMPUTED_VALUE"""),237.42)</f>
        <v>237.42</v>
      </c>
      <c r="S532" s="3">
        <f ca="1">IFERROR(__xludf.DUMMYFUNCTION("""COMPUTED_VALUE"""),44235.6666666666)</f>
        <v>44235.666666666599</v>
      </c>
      <c r="T532" s="2">
        <f ca="1">IFERROR(__xludf.DUMMYFUNCTION("""COMPUTED_VALUE"""),164.92)</f>
        <v>164.92</v>
      </c>
    </row>
    <row r="533" spans="1:20">
      <c r="A533" s="3">
        <f ca="1">IFERROR(__xludf.DUMMYFUNCTION("""COMPUTED_VALUE"""),44236.6666666666)</f>
        <v>44236.666666666599</v>
      </c>
      <c r="B533" s="2">
        <f ca="1">IFERROR(__xludf.DUMMYFUNCTION("""COMPUTED_VALUE"""),136.01)</f>
        <v>136.01</v>
      </c>
      <c r="C533" s="3">
        <f ca="1">IFERROR(__xludf.DUMMYFUNCTION("""COMPUTED_VALUE"""),44236.6666666666)</f>
        <v>44236.666666666599</v>
      </c>
      <c r="D533" s="2">
        <f ca="1">IFERROR(__xludf.DUMMYFUNCTION("""COMPUTED_VALUE"""),243.77)</f>
        <v>243.77</v>
      </c>
      <c r="E533" s="3">
        <f ca="1">IFERROR(__xludf.DUMMYFUNCTION("""COMPUTED_VALUE"""),44236.6666666666)</f>
        <v>44236.666666666599</v>
      </c>
      <c r="F533" s="2">
        <f ca="1">IFERROR(__xludf.DUMMYFUNCTION("""COMPUTED_VALUE"""),3305)</f>
        <v>3305</v>
      </c>
      <c r="G533" s="3">
        <f ca="1">IFERROR(__xludf.DUMMYFUNCTION("""COMPUTED_VALUE"""),44236.6666666666)</f>
        <v>44236.666666666599</v>
      </c>
      <c r="H533" s="2">
        <f ca="1">IFERROR(__xludf.DUMMYFUNCTION("""COMPUTED_VALUE"""),2075.39)</f>
        <v>2075.39</v>
      </c>
      <c r="I533" s="3">
        <f ca="1">IFERROR(__xludf.DUMMYFUNCTION("""COMPUTED_VALUE"""),44236.6666666666)</f>
        <v>44236.666666666599</v>
      </c>
      <c r="J533" s="2">
        <f ca="1">IFERROR(__xludf.DUMMYFUNCTION("""COMPUTED_VALUE"""),2083.51)</f>
        <v>2083.5100000000002</v>
      </c>
      <c r="K533" s="3">
        <f ca="1">IFERROR(__xludf.DUMMYFUNCTION("""COMPUTED_VALUE"""),44236.6666666666)</f>
        <v>44236.666666666599</v>
      </c>
      <c r="L533" s="2">
        <f ca="1">IFERROR(__xludf.DUMMYFUNCTION("""COMPUTED_VALUE"""),269.45)</f>
        <v>269.45</v>
      </c>
      <c r="M533" s="3">
        <f ca="1">IFERROR(__xludf.DUMMYFUNCTION("""COMPUTED_VALUE"""),44236.6666666666)</f>
        <v>44236.666666666599</v>
      </c>
      <c r="N533" s="2">
        <f ca="1">IFERROR(__xludf.DUMMYFUNCTION("""COMPUTED_VALUE"""),849.46)</f>
        <v>849.46</v>
      </c>
      <c r="O533" s="3">
        <f ca="1">IFERROR(__xludf.DUMMYFUNCTION("""COMPUTED_VALUE"""),44236.6666666666)</f>
        <v>44236.666666666599</v>
      </c>
      <c r="P533" s="2">
        <f ca="1">IFERROR(__xludf.DUMMYFUNCTION("""COMPUTED_VALUE"""),142.63)</f>
        <v>142.63</v>
      </c>
      <c r="Q533" s="3">
        <f ca="1">IFERROR(__xludf.DUMMYFUNCTION("""COMPUTED_VALUE"""),44236.6666666666)</f>
        <v>44236.666666666599</v>
      </c>
      <c r="R533" s="2">
        <f ca="1">IFERROR(__xludf.DUMMYFUNCTION("""COMPUTED_VALUE"""),239.91)</f>
        <v>239.91</v>
      </c>
      <c r="S533" s="3">
        <f ca="1">IFERROR(__xludf.DUMMYFUNCTION("""COMPUTED_VALUE"""),44236.6666666666)</f>
        <v>44236.666666666599</v>
      </c>
      <c r="T533" s="2">
        <f ca="1">IFERROR(__xludf.DUMMYFUNCTION("""COMPUTED_VALUE"""),166.27)</f>
        <v>166.27</v>
      </c>
    </row>
    <row r="534" spans="1:20">
      <c r="A534" s="3">
        <f ca="1">IFERROR(__xludf.DUMMYFUNCTION("""COMPUTED_VALUE"""),44237.6666666666)</f>
        <v>44237.666666666599</v>
      </c>
      <c r="B534" s="2">
        <f ca="1">IFERROR(__xludf.DUMMYFUNCTION("""COMPUTED_VALUE"""),135.39)</f>
        <v>135.38999999999999</v>
      </c>
      <c r="C534" s="3">
        <f ca="1">IFERROR(__xludf.DUMMYFUNCTION("""COMPUTED_VALUE"""),44237.6666666666)</f>
        <v>44237.666666666599</v>
      </c>
      <c r="D534" s="2">
        <f ca="1">IFERROR(__xludf.DUMMYFUNCTION("""COMPUTED_VALUE"""),242.82)</f>
        <v>242.82</v>
      </c>
      <c r="E534" s="3">
        <f ca="1">IFERROR(__xludf.DUMMYFUNCTION("""COMPUTED_VALUE"""),44237.6666666666)</f>
        <v>44237.666666666599</v>
      </c>
      <c r="F534" s="2">
        <f ca="1">IFERROR(__xludf.DUMMYFUNCTION("""COMPUTED_VALUE"""),3286.58)</f>
        <v>3286.58</v>
      </c>
      <c r="G534" s="3">
        <f ca="1">IFERROR(__xludf.DUMMYFUNCTION("""COMPUTED_VALUE"""),44237.6666666666)</f>
        <v>44237.666666666599</v>
      </c>
      <c r="H534" s="2">
        <f ca="1">IFERROR(__xludf.DUMMYFUNCTION("""COMPUTED_VALUE"""),2086.48)</f>
        <v>2086.48</v>
      </c>
      <c r="I534" s="3">
        <f ca="1">IFERROR(__xludf.DUMMYFUNCTION("""COMPUTED_VALUE"""),44237.6666666666)</f>
        <v>44237.666666666599</v>
      </c>
      <c r="J534" s="2">
        <f ca="1">IFERROR(__xludf.DUMMYFUNCTION("""COMPUTED_VALUE"""),2095.38)</f>
        <v>2095.38</v>
      </c>
      <c r="K534" s="3">
        <f ca="1">IFERROR(__xludf.DUMMYFUNCTION("""COMPUTED_VALUE"""),44237.6666666666)</f>
        <v>44237.666666666599</v>
      </c>
      <c r="L534" s="2">
        <f ca="1">IFERROR(__xludf.DUMMYFUNCTION("""COMPUTED_VALUE"""),271.87)</f>
        <v>271.87</v>
      </c>
      <c r="M534" s="3">
        <f ca="1">IFERROR(__xludf.DUMMYFUNCTION("""COMPUTED_VALUE"""),44237.6666666666)</f>
        <v>44237.666666666599</v>
      </c>
      <c r="N534" s="2">
        <f ca="1">IFERROR(__xludf.DUMMYFUNCTION("""COMPUTED_VALUE"""),804.82)</f>
        <v>804.82</v>
      </c>
      <c r="O534" s="3">
        <f ca="1">IFERROR(__xludf.DUMMYFUNCTION("""COMPUTED_VALUE"""),44237.6666666666)</f>
        <v>44237.666666666599</v>
      </c>
      <c r="P534" s="2">
        <f ca="1">IFERROR(__xludf.DUMMYFUNCTION("""COMPUTED_VALUE"""),147.64)</f>
        <v>147.63999999999999</v>
      </c>
      <c r="Q534" s="3">
        <f ca="1">IFERROR(__xludf.DUMMYFUNCTION("""COMPUTED_VALUE"""),44237.6666666666)</f>
        <v>44237.666666666599</v>
      </c>
      <c r="R534" s="2">
        <f ca="1">IFERROR(__xludf.DUMMYFUNCTION("""COMPUTED_VALUE"""),239.92)</f>
        <v>239.92</v>
      </c>
      <c r="S534" s="3">
        <f ca="1">IFERROR(__xludf.DUMMYFUNCTION("""COMPUTED_VALUE"""),44237.6666666666)</f>
        <v>44237.666666666599</v>
      </c>
      <c r="T534" s="2">
        <f ca="1">IFERROR(__xludf.DUMMYFUNCTION("""COMPUTED_VALUE"""),166.81)</f>
        <v>166.81</v>
      </c>
    </row>
    <row r="535" spans="1:20">
      <c r="A535" s="3">
        <f ca="1">IFERROR(__xludf.DUMMYFUNCTION("""COMPUTED_VALUE"""),44238.6666666666)</f>
        <v>44238.666666666599</v>
      </c>
      <c r="B535" s="2">
        <f ca="1">IFERROR(__xludf.DUMMYFUNCTION("""COMPUTED_VALUE"""),135.13)</f>
        <v>135.13</v>
      </c>
      <c r="C535" s="3">
        <f ca="1">IFERROR(__xludf.DUMMYFUNCTION("""COMPUTED_VALUE"""),44238.6666666666)</f>
        <v>44238.666666666599</v>
      </c>
      <c r="D535" s="2">
        <f ca="1">IFERROR(__xludf.DUMMYFUNCTION("""COMPUTED_VALUE"""),244.49)</f>
        <v>244.49</v>
      </c>
      <c r="E535" s="3">
        <f ca="1">IFERROR(__xludf.DUMMYFUNCTION("""COMPUTED_VALUE"""),44238.6666666666)</f>
        <v>44238.666666666599</v>
      </c>
      <c r="F535" s="2">
        <f ca="1">IFERROR(__xludf.DUMMYFUNCTION("""COMPUTED_VALUE"""),3262.13)</f>
        <v>3262.13</v>
      </c>
      <c r="G535" s="3">
        <f ca="1">IFERROR(__xludf.DUMMYFUNCTION("""COMPUTED_VALUE"""),44238.6666666666)</f>
        <v>44238.666666666599</v>
      </c>
      <c r="H535" s="2">
        <f ca="1">IFERROR(__xludf.DUMMYFUNCTION("""COMPUTED_VALUE"""),2088.75)</f>
        <v>2088.75</v>
      </c>
      <c r="I535" s="3">
        <f ca="1">IFERROR(__xludf.DUMMYFUNCTION("""COMPUTED_VALUE"""),44238.6666666666)</f>
        <v>44238.666666666599</v>
      </c>
      <c r="J535" s="2">
        <f ca="1">IFERROR(__xludf.DUMMYFUNCTION("""COMPUTED_VALUE"""),2095.89)</f>
        <v>2095.89</v>
      </c>
      <c r="K535" s="3">
        <f ca="1">IFERROR(__xludf.DUMMYFUNCTION("""COMPUTED_VALUE"""),44238.6666666666)</f>
        <v>44238.666666666599</v>
      </c>
      <c r="L535" s="2">
        <f ca="1">IFERROR(__xludf.DUMMYFUNCTION("""COMPUTED_VALUE"""),270.39)</f>
        <v>270.39</v>
      </c>
      <c r="M535" s="3">
        <f ca="1">IFERROR(__xludf.DUMMYFUNCTION("""COMPUTED_VALUE"""),44238.6666666666)</f>
        <v>44238.666666666599</v>
      </c>
      <c r="N535" s="2">
        <f ca="1">IFERROR(__xludf.DUMMYFUNCTION("""COMPUTED_VALUE"""),811.66)</f>
        <v>811.66</v>
      </c>
      <c r="O535" s="3">
        <f ca="1">IFERROR(__xludf.DUMMYFUNCTION("""COMPUTED_VALUE"""),44238.6666666666)</f>
        <v>44238.666666666599</v>
      </c>
      <c r="P535" s="2">
        <f ca="1">IFERROR(__xludf.DUMMYFUNCTION("""COMPUTED_VALUE"""),152.51)</f>
        <v>152.51</v>
      </c>
      <c r="Q535" s="3">
        <f ca="1">IFERROR(__xludf.DUMMYFUNCTION("""COMPUTED_VALUE"""),44238.6666666666)</f>
        <v>44238.666666666599</v>
      </c>
      <c r="R535" s="2">
        <f ca="1">IFERROR(__xludf.DUMMYFUNCTION("""COMPUTED_VALUE"""),239.76)</f>
        <v>239.76</v>
      </c>
      <c r="S535" s="3">
        <f ca="1">IFERROR(__xludf.DUMMYFUNCTION("""COMPUTED_VALUE"""),44238.6666666666)</f>
        <v>44238.666666666599</v>
      </c>
      <c r="T535" s="2">
        <f ca="1">IFERROR(__xludf.DUMMYFUNCTION("""COMPUTED_VALUE"""),166.06)</f>
        <v>166.06</v>
      </c>
    </row>
    <row r="536" spans="1:20">
      <c r="A536" s="3">
        <f ca="1">IFERROR(__xludf.DUMMYFUNCTION("""COMPUTED_VALUE"""),44239.6666666666)</f>
        <v>44239.666666666599</v>
      </c>
      <c r="B536" s="2">
        <f ca="1">IFERROR(__xludf.DUMMYFUNCTION("""COMPUTED_VALUE"""),135.37)</f>
        <v>135.37</v>
      </c>
      <c r="C536" s="3">
        <f ca="1">IFERROR(__xludf.DUMMYFUNCTION("""COMPUTED_VALUE"""),44239.6666666666)</f>
        <v>44239.666666666599</v>
      </c>
      <c r="D536" s="2">
        <f ca="1">IFERROR(__xludf.DUMMYFUNCTION("""COMPUTED_VALUE"""),244.99)</f>
        <v>244.99</v>
      </c>
      <c r="E536" s="3">
        <f ca="1">IFERROR(__xludf.DUMMYFUNCTION("""COMPUTED_VALUE"""),44239.6666666666)</f>
        <v>44239.666666666599</v>
      </c>
      <c r="F536" s="2">
        <f ca="1">IFERROR(__xludf.DUMMYFUNCTION("""COMPUTED_VALUE"""),3277.71)</f>
        <v>3277.71</v>
      </c>
      <c r="G536" s="3">
        <f ca="1">IFERROR(__xludf.DUMMYFUNCTION("""COMPUTED_VALUE"""),44239.6666666666)</f>
        <v>44239.666666666599</v>
      </c>
      <c r="H536" s="2">
        <f ca="1">IFERROR(__xludf.DUMMYFUNCTION("""COMPUTED_VALUE"""),2095.03)</f>
        <v>2095.0300000000002</v>
      </c>
      <c r="I536" s="3">
        <f ca="1">IFERROR(__xludf.DUMMYFUNCTION("""COMPUTED_VALUE"""),44239.6666666666)</f>
        <v>44239.666666666599</v>
      </c>
      <c r="J536" s="2">
        <f ca="1">IFERROR(__xludf.DUMMYFUNCTION("""COMPUTED_VALUE"""),2104.11)</f>
        <v>2104.11</v>
      </c>
      <c r="K536" s="3">
        <f ca="1">IFERROR(__xludf.DUMMYFUNCTION("""COMPUTED_VALUE"""),44239.6666666666)</f>
        <v>44239.666666666599</v>
      </c>
      <c r="L536" s="2">
        <f ca="1">IFERROR(__xludf.DUMMYFUNCTION("""COMPUTED_VALUE"""),270.5)</f>
        <v>270.5</v>
      </c>
      <c r="M536" s="3">
        <f ca="1">IFERROR(__xludf.DUMMYFUNCTION("""COMPUTED_VALUE"""),44239.6666666666)</f>
        <v>44239.666666666599</v>
      </c>
      <c r="N536" s="2">
        <f ca="1">IFERROR(__xludf.DUMMYFUNCTION("""COMPUTED_VALUE"""),816.12)</f>
        <v>816.12</v>
      </c>
      <c r="O536" s="3">
        <f ca="1">IFERROR(__xludf.DUMMYFUNCTION("""COMPUTED_VALUE"""),44239.6666666666)</f>
        <v>44239.666666666599</v>
      </c>
      <c r="P536" s="2">
        <f ca="1">IFERROR(__xludf.DUMMYFUNCTION("""COMPUTED_VALUE"""),149.61)</f>
        <v>149.61000000000001</v>
      </c>
      <c r="Q536" s="3">
        <f ca="1">IFERROR(__xludf.DUMMYFUNCTION("""COMPUTED_VALUE"""),44239.6666666666)</f>
        <v>44239.666666666599</v>
      </c>
      <c r="R536" s="2">
        <f ca="1">IFERROR(__xludf.DUMMYFUNCTION("""COMPUTED_VALUE"""),242.46)</f>
        <v>242.46</v>
      </c>
      <c r="S536" s="3">
        <f ca="1">IFERROR(__xludf.DUMMYFUNCTION("""COMPUTED_VALUE"""),44239.6666666666)</f>
        <v>44239.666666666599</v>
      </c>
      <c r="T536" s="2">
        <f ca="1">IFERROR(__xludf.DUMMYFUNCTION("""COMPUTED_VALUE"""),166.58)</f>
        <v>166.58</v>
      </c>
    </row>
    <row r="537" spans="1:20">
      <c r="A537" s="3">
        <f ca="1">IFERROR(__xludf.DUMMYFUNCTION("""COMPUTED_VALUE"""),44243.6666666666)</f>
        <v>44243.666666666599</v>
      </c>
      <c r="B537" s="2">
        <f ca="1">IFERROR(__xludf.DUMMYFUNCTION("""COMPUTED_VALUE"""),133.19)</f>
        <v>133.19</v>
      </c>
      <c r="C537" s="3">
        <f ca="1">IFERROR(__xludf.DUMMYFUNCTION("""COMPUTED_VALUE"""),44243.6666666666)</f>
        <v>44243.666666666599</v>
      </c>
      <c r="D537" s="2">
        <f ca="1">IFERROR(__xludf.DUMMYFUNCTION("""COMPUTED_VALUE"""),243.7)</f>
        <v>243.7</v>
      </c>
      <c r="E537" s="3">
        <f ca="1">IFERROR(__xludf.DUMMYFUNCTION("""COMPUTED_VALUE"""),44243.6666666666)</f>
        <v>44243.666666666599</v>
      </c>
      <c r="F537" s="2">
        <f ca="1">IFERROR(__xludf.DUMMYFUNCTION("""COMPUTED_VALUE"""),3268.95)</f>
        <v>3268.95</v>
      </c>
      <c r="G537" s="3">
        <f ca="1">IFERROR(__xludf.DUMMYFUNCTION("""COMPUTED_VALUE"""),44243.6666666666)</f>
        <v>44243.666666666599</v>
      </c>
      <c r="H537" s="2">
        <f ca="1">IFERROR(__xludf.DUMMYFUNCTION("""COMPUTED_VALUE"""),2110.7)</f>
        <v>2110.6999999999998</v>
      </c>
      <c r="I537" s="3">
        <f ca="1">IFERROR(__xludf.DUMMYFUNCTION("""COMPUTED_VALUE"""),44243.6666666666)</f>
        <v>44243.666666666599</v>
      </c>
      <c r="J537" s="2">
        <f ca="1">IFERROR(__xludf.DUMMYFUNCTION("""COMPUTED_VALUE"""),2121.9)</f>
        <v>2121.9</v>
      </c>
      <c r="K537" s="3">
        <f ca="1">IFERROR(__xludf.DUMMYFUNCTION("""COMPUTED_VALUE"""),44243.6666666666)</f>
        <v>44243.666666666599</v>
      </c>
      <c r="L537" s="2">
        <f ca="1">IFERROR(__xludf.DUMMYFUNCTION("""COMPUTED_VALUE"""),273.97)</f>
        <v>273.97000000000003</v>
      </c>
      <c r="M537" s="3">
        <f ca="1">IFERROR(__xludf.DUMMYFUNCTION("""COMPUTED_VALUE"""),44243.6666666666)</f>
        <v>44243.666666666599</v>
      </c>
      <c r="N537" s="2">
        <f ca="1">IFERROR(__xludf.DUMMYFUNCTION("""COMPUTED_VALUE"""),796.22)</f>
        <v>796.22</v>
      </c>
      <c r="O537" s="3">
        <f ca="1">IFERROR(__xludf.DUMMYFUNCTION("""COMPUTED_VALUE"""),44243.6666666666)</f>
        <v>44243.666666666599</v>
      </c>
      <c r="P537" s="2">
        <f ca="1">IFERROR(__xludf.DUMMYFUNCTION("""COMPUTED_VALUE"""),153.3)</f>
        <v>153.30000000000001</v>
      </c>
      <c r="Q537" s="3">
        <f ca="1">IFERROR(__xludf.DUMMYFUNCTION("""COMPUTED_VALUE"""),44243.6666666666)</f>
        <v>44243.666666666599</v>
      </c>
      <c r="R537" s="2">
        <f ca="1">IFERROR(__xludf.DUMMYFUNCTION("""COMPUTED_VALUE"""),245.28)</f>
        <v>245.28</v>
      </c>
      <c r="S537" s="3">
        <f ca="1">IFERROR(__xludf.DUMMYFUNCTION("""COMPUTED_VALUE"""),44243.6666666666)</f>
        <v>44243.666666666599</v>
      </c>
      <c r="T537" s="2">
        <f ca="1">IFERROR(__xludf.DUMMYFUNCTION("""COMPUTED_VALUE"""),165.07)</f>
        <v>165.07</v>
      </c>
    </row>
    <row r="538" spans="1:20">
      <c r="A538" s="3">
        <f ca="1">IFERROR(__xludf.DUMMYFUNCTION("""COMPUTED_VALUE"""),44244.6666666666)</f>
        <v>44244.666666666599</v>
      </c>
      <c r="B538" s="2">
        <f ca="1">IFERROR(__xludf.DUMMYFUNCTION("""COMPUTED_VALUE"""),130.84)</f>
        <v>130.84</v>
      </c>
      <c r="C538" s="3">
        <f ca="1">IFERROR(__xludf.DUMMYFUNCTION("""COMPUTED_VALUE"""),44244.6666666666)</f>
        <v>44244.666666666599</v>
      </c>
      <c r="D538" s="2">
        <f ca="1">IFERROR(__xludf.DUMMYFUNCTION("""COMPUTED_VALUE"""),244.2)</f>
        <v>244.2</v>
      </c>
      <c r="E538" s="3">
        <f ca="1">IFERROR(__xludf.DUMMYFUNCTION("""COMPUTED_VALUE"""),44244.6666666666)</f>
        <v>44244.666666666599</v>
      </c>
      <c r="F538" s="2">
        <f ca="1">IFERROR(__xludf.DUMMYFUNCTION("""COMPUTED_VALUE"""),3308.64)</f>
        <v>3308.64</v>
      </c>
      <c r="G538" s="3">
        <f ca="1">IFERROR(__xludf.DUMMYFUNCTION("""COMPUTED_VALUE"""),44244.6666666666)</f>
        <v>44244.666666666599</v>
      </c>
      <c r="H538" s="2">
        <f ca="1">IFERROR(__xludf.DUMMYFUNCTION("""COMPUTED_VALUE"""),2118.62)</f>
        <v>2118.62</v>
      </c>
      <c r="I538" s="3">
        <f ca="1">IFERROR(__xludf.DUMMYFUNCTION("""COMPUTED_VALUE"""),44244.6666666666)</f>
        <v>44244.666666666599</v>
      </c>
      <c r="J538" s="2">
        <f ca="1">IFERROR(__xludf.DUMMYFUNCTION("""COMPUTED_VALUE"""),2128.31)</f>
        <v>2128.31</v>
      </c>
      <c r="K538" s="3">
        <f ca="1">IFERROR(__xludf.DUMMYFUNCTION("""COMPUTED_VALUE"""),44244.6666666666)</f>
        <v>44244.666666666599</v>
      </c>
      <c r="L538" s="2">
        <f ca="1">IFERROR(__xludf.DUMMYFUNCTION("""COMPUTED_VALUE"""),273.57)</f>
        <v>273.57</v>
      </c>
      <c r="M538" s="3">
        <f ca="1">IFERROR(__xludf.DUMMYFUNCTION("""COMPUTED_VALUE"""),44244.6666666666)</f>
        <v>44244.666666666599</v>
      </c>
      <c r="N538" s="2">
        <f ca="1">IFERROR(__xludf.DUMMYFUNCTION("""COMPUTED_VALUE"""),798.15)</f>
        <v>798.15</v>
      </c>
      <c r="O538" s="3">
        <f ca="1">IFERROR(__xludf.DUMMYFUNCTION("""COMPUTED_VALUE"""),44244.6666666666)</f>
        <v>44244.666666666599</v>
      </c>
      <c r="P538" s="2">
        <f ca="1">IFERROR(__xludf.DUMMYFUNCTION("""COMPUTED_VALUE"""),149.06)</f>
        <v>149.06</v>
      </c>
      <c r="Q538" s="3">
        <f ca="1">IFERROR(__xludf.DUMMYFUNCTION("""COMPUTED_VALUE"""),44244.6666666666)</f>
        <v>44244.666666666599</v>
      </c>
      <c r="R538" s="2">
        <f ca="1">IFERROR(__xludf.DUMMYFUNCTION("""COMPUTED_VALUE"""),245.25)</f>
        <v>245.25</v>
      </c>
      <c r="S538" s="3">
        <f ca="1">IFERROR(__xludf.DUMMYFUNCTION("""COMPUTED_VALUE"""),44244.6666666666)</f>
        <v>44244.666666666599</v>
      </c>
      <c r="T538" s="2">
        <f ca="1">IFERROR(__xludf.DUMMYFUNCTION("""COMPUTED_VALUE"""),165.66)</f>
        <v>165.66</v>
      </c>
    </row>
    <row r="539" spans="1:20">
      <c r="A539" s="3">
        <f ca="1">IFERROR(__xludf.DUMMYFUNCTION("""COMPUTED_VALUE"""),44245.6666666666)</f>
        <v>44245.666666666599</v>
      </c>
      <c r="B539" s="2">
        <f ca="1">IFERROR(__xludf.DUMMYFUNCTION("""COMPUTED_VALUE"""),129.71)</f>
        <v>129.71</v>
      </c>
      <c r="C539" s="3">
        <f ca="1">IFERROR(__xludf.DUMMYFUNCTION("""COMPUTED_VALUE"""),44245.6666666666)</f>
        <v>44245.666666666599</v>
      </c>
      <c r="D539" s="2">
        <f ca="1">IFERROR(__xludf.DUMMYFUNCTION("""COMPUTED_VALUE"""),243.79)</f>
        <v>243.79</v>
      </c>
      <c r="E539" s="3">
        <f ca="1">IFERROR(__xludf.DUMMYFUNCTION("""COMPUTED_VALUE"""),44245.6666666666)</f>
        <v>44245.666666666599</v>
      </c>
      <c r="F539" s="2">
        <f ca="1">IFERROR(__xludf.DUMMYFUNCTION("""COMPUTED_VALUE"""),3328.23)</f>
        <v>3328.23</v>
      </c>
      <c r="G539" s="3">
        <f ca="1">IFERROR(__xludf.DUMMYFUNCTION("""COMPUTED_VALUE"""),44245.6666666666)</f>
        <v>44245.666666666599</v>
      </c>
      <c r="H539" s="2">
        <f ca="1">IFERROR(__xludf.DUMMYFUNCTION("""COMPUTED_VALUE"""),2105.81)</f>
        <v>2105.81</v>
      </c>
      <c r="I539" s="3">
        <f ca="1">IFERROR(__xludf.DUMMYFUNCTION("""COMPUTED_VALUE"""),44245.6666666666)</f>
        <v>44245.666666666599</v>
      </c>
      <c r="J539" s="2">
        <f ca="1">IFERROR(__xludf.DUMMYFUNCTION("""COMPUTED_VALUE"""),2117.2)</f>
        <v>2117.1999999999998</v>
      </c>
      <c r="K539" s="3">
        <f ca="1">IFERROR(__xludf.DUMMYFUNCTION("""COMPUTED_VALUE"""),44245.6666666666)</f>
        <v>44245.666666666599</v>
      </c>
      <c r="L539" s="2">
        <f ca="1">IFERROR(__xludf.DUMMYFUNCTION("""COMPUTED_VALUE"""),269.39)</f>
        <v>269.39</v>
      </c>
      <c r="M539" s="3">
        <f ca="1">IFERROR(__xludf.DUMMYFUNCTION("""COMPUTED_VALUE"""),44245.6666666666)</f>
        <v>44245.666666666599</v>
      </c>
      <c r="N539" s="2">
        <f ca="1">IFERROR(__xludf.DUMMYFUNCTION("""COMPUTED_VALUE"""),787.38)</f>
        <v>787.38</v>
      </c>
      <c r="O539" s="3">
        <f ca="1">IFERROR(__xludf.DUMMYFUNCTION("""COMPUTED_VALUE"""),44245.6666666666)</f>
        <v>44245.666666666599</v>
      </c>
      <c r="P539" s="2">
        <f ca="1">IFERROR(__xludf.DUMMYFUNCTION("""COMPUTED_VALUE"""),148.29)</f>
        <v>148.29</v>
      </c>
      <c r="Q539" s="3">
        <f ca="1">IFERROR(__xludf.DUMMYFUNCTION("""COMPUTED_VALUE"""),44245.6666666666)</f>
        <v>44245.666666666599</v>
      </c>
      <c r="R539" s="2">
        <f ca="1">IFERROR(__xludf.DUMMYFUNCTION("""COMPUTED_VALUE"""),243.5)</f>
        <v>243.5</v>
      </c>
      <c r="S539" s="3">
        <f ca="1">IFERROR(__xludf.DUMMYFUNCTION("""COMPUTED_VALUE"""),44245.6666666666)</f>
        <v>44245.666666666599</v>
      </c>
      <c r="T539" s="2">
        <f ca="1">IFERROR(__xludf.DUMMYFUNCTION("""COMPUTED_VALUE"""),165.74)</f>
        <v>165.74</v>
      </c>
    </row>
    <row r="540" spans="1:20">
      <c r="A540" s="3">
        <f ca="1">IFERROR(__xludf.DUMMYFUNCTION("""COMPUTED_VALUE"""),44246.6666666666)</f>
        <v>44246.666666666599</v>
      </c>
      <c r="B540" s="2">
        <f ca="1">IFERROR(__xludf.DUMMYFUNCTION("""COMPUTED_VALUE"""),129.87)</f>
        <v>129.87</v>
      </c>
      <c r="C540" s="3">
        <f ca="1">IFERROR(__xludf.DUMMYFUNCTION("""COMPUTED_VALUE"""),44246.6666666666)</f>
        <v>44246.666666666599</v>
      </c>
      <c r="D540" s="2">
        <f ca="1">IFERROR(__xludf.DUMMYFUNCTION("""COMPUTED_VALUE"""),240.97)</f>
        <v>240.97</v>
      </c>
      <c r="E540" s="3">
        <f ca="1">IFERROR(__xludf.DUMMYFUNCTION("""COMPUTED_VALUE"""),44246.6666666666)</f>
        <v>44246.666666666599</v>
      </c>
      <c r="F540" s="2">
        <f ca="1">IFERROR(__xludf.DUMMYFUNCTION("""COMPUTED_VALUE"""),3249.9)</f>
        <v>3249.9</v>
      </c>
      <c r="G540" s="3">
        <f ca="1">IFERROR(__xludf.DUMMYFUNCTION("""COMPUTED_VALUE"""),44246.6666666666)</f>
        <v>44246.666666666599</v>
      </c>
      <c r="H540" s="2">
        <f ca="1">IFERROR(__xludf.DUMMYFUNCTION("""COMPUTED_VALUE"""),2088.81)</f>
        <v>2088.81</v>
      </c>
      <c r="I540" s="3">
        <f ca="1">IFERROR(__xludf.DUMMYFUNCTION("""COMPUTED_VALUE"""),44246.6666666666)</f>
        <v>44246.666666666599</v>
      </c>
      <c r="J540" s="2">
        <f ca="1">IFERROR(__xludf.DUMMYFUNCTION("""COMPUTED_VALUE"""),2101.14)</f>
        <v>2101.14</v>
      </c>
      <c r="K540" s="3">
        <f ca="1">IFERROR(__xludf.DUMMYFUNCTION("""COMPUTED_VALUE"""),44246.6666666666)</f>
        <v>44246.666666666599</v>
      </c>
      <c r="L540" s="2">
        <f ca="1">IFERROR(__xludf.DUMMYFUNCTION("""COMPUTED_VALUE"""),261.56)</f>
        <v>261.56</v>
      </c>
      <c r="M540" s="3">
        <f ca="1">IFERROR(__xludf.DUMMYFUNCTION("""COMPUTED_VALUE"""),44246.6666666666)</f>
        <v>44246.666666666599</v>
      </c>
      <c r="N540" s="2">
        <f ca="1">IFERROR(__xludf.DUMMYFUNCTION("""COMPUTED_VALUE"""),781.3)</f>
        <v>781.3</v>
      </c>
      <c r="O540" s="3">
        <f ca="1">IFERROR(__xludf.DUMMYFUNCTION("""COMPUTED_VALUE"""),44246.6666666666)</f>
        <v>44246.666666666599</v>
      </c>
      <c r="P540" s="2">
        <f ca="1">IFERROR(__xludf.DUMMYFUNCTION("""COMPUTED_VALUE"""),149.26)</f>
        <v>149.26</v>
      </c>
      <c r="Q540" s="3">
        <f ca="1">IFERROR(__xludf.DUMMYFUNCTION("""COMPUTED_VALUE"""),44246.6666666666)</f>
        <v>44246.666666666599</v>
      </c>
      <c r="R540" s="2">
        <f ca="1">IFERROR(__xludf.DUMMYFUNCTION("""COMPUTED_VALUE"""),241.85)</f>
        <v>241.85</v>
      </c>
      <c r="S540" s="3">
        <f ca="1">IFERROR(__xludf.DUMMYFUNCTION("""COMPUTED_VALUE"""),44246.6666666666)</f>
        <v>44246.666666666599</v>
      </c>
      <c r="T540" s="2">
        <f ca="1">IFERROR(__xludf.DUMMYFUNCTION("""COMPUTED_VALUE"""),162.98)</f>
        <v>162.97999999999999</v>
      </c>
    </row>
    <row r="541" spans="1:20">
      <c r="A541" s="3">
        <f ca="1">IFERROR(__xludf.DUMMYFUNCTION("""COMPUTED_VALUE"""),44249.6666666666)</f>
        <v>44249.666666666599</v>
      </c>
      <c r="B541" s="2">
        <f ca="1">IFERROR(__xludf.DUMMYFUNCTION("""COMPUTED_VALUE"""),126)</f>
        <v>126</v>
      </c>
      <c r="C541" s="3">
        <f ca="1">IFERROR(__xludf.DUMMYFUNCTION("""COMPUTED_VALUE"""),44249.6666666666)</f>
        <v>44249.666666666599</v>
      </c>
      <c r="D541" s="2">
        <f ca="1">IFERROR(__xludf.DUMMYFUNCTION("""COMPUTED_VALUE"""),234.51)</f>
        <v>234.51</v>
      </c>
      <c r="E541" s="3">
        <f ca="1">IFERROR(__xludf.DUMMYFUNCTION("""COMPUTED_VALUE"""),44249.6666666666)</f>
        <v>44249.666666666599</v>
      </c>
      <c r="F541" s="2">
        <f ca="1">IFERROR(__xludf.DUMMYFUNCTION("""COMPUTED_VALUE"""),3180.74)</f>
        <v>3180.74</v>
      </c>
      <c r="G541" s="3">
        <f ca="1">IFERROR(__xludf.DUMMYFUNCTION("""COMPUTED_VALUE"""),44249.6666666666)</f>
        <v>44249.666666666599</v>
      </c>
      <c r="H541" s="2">
        <f ca="1">IFERROR(__xludf.DUMMYFUNCTION("""COMPUTED_VALUE"""),2054.26)</f>
        <v>2054.2600000000002</v>
      </c>
      <c r="I541" s="3">
        <f ca="1">IFERROR(__xludf.DUMMYFUNCTION("""COMPUTED_VALUE"""),44249.6666666666)</f>
        <v>44249.666666666599</v>
      </c>
      <c r="J541" s="2">
        <f ca="1">IFERROR(__xludf.DUMMYFUNCTION("""COMPUTED_VALUE"""),2064.88)</f>
        <v>2064.88</v>
      </c>
      <c r="K541" s="3">
        <f ca="1">IFERROR(__xludf.DUMMYFUNCTION("""COMPUTED_VALUE"""),44249.6666666666)</f>
        <v>44249.666666666599</v>
      </c>
      <c r="L541" s="2">
        <f ca="1">IFERROR(__xludf.DUMMYFUNCTION("""COMPUTED_VALUE"""),260.33)</f>
        <v>260.33</v>
      </c>
      <c r="M541" s="3">
        <f ca="1">IFERROR(__xludf.DUMMYFUNCTION("""COMPUTED_VALUE"""),44249.6666666666)</f>
        <v>44249.666666666599</v>
      </c>
      <c r="N541" s="2">
        <f ca="1">IFERROR(__xludf.DUMMYFUNCTION("""COMPUTED_VALUE"""),714.5)</f>
        <v>714.5</v>
      </c>
      <c r="O541" s="3">
        <f ca="1">IFERROR(__xludf.DUMMYFUNCTION("""COMPUTED_VALUE"""),44249.6666666666)</f>
        <v>44249.666666666599</v>
      </c>
      <c r="P541" s="2">
        <f ca="1">IFERROR(__xludf.DUMMYFUNCTION("""COMPUTED_VALUE"""),143.56)</f>
        <v>143.56</v>
      </c>
      <c r="Q541" s="3">
        <f ca="1">IFERROR(__xludf.DUMMYFUNCTION("""COMPUTED_VALUE"""),44249.6666666666)</f>
        <v>44249.666666666599</v>
      </c>
      <c r="R541" s="2">
        <f ca="1">IFERROR(__xludf.DUMMYFUNCTION("""COMPUTED_VALUE"""),244.97)</f>
        <v>244.97</v>
      </c>
      <c r="S541" s="3">
        <f ca="1">IFERROR(__xludf.DUMMYFUNCTION("""COMPUTED_VALUE"""),44249.6666666666)</f>
        <v>44249.666666666599</v>
      </c>
      <c r="T541" s="2">
        <f ca="1">IFERROR(__xludf.DUMMYFUNCTION("""COMPUTED_VALUE"""),161.87)</f>
        <v>161.87</v>
      </c>
    </row>
    <row r="542" spans="1:20">
      <c r="A542" s="3">
        <f ca="1">IFERROR(__xludf.DUMMYFUNCTION("""COMPUTED_VALUE"""),44250.6666666666)</f>
        <v>44250.666666666599</v>
      </c>
      <c r="B542" s="2">
        <f ca="1">IFERROR(__xludf.DUMMYFUNCTION("""COMPUTED_VALUE"""),125.86)</f>
        <v>125.86</v>
      </c>
      <c r="C542" s="3">
        <f ca="1">IFERROR(__xludf.DUMMYFUNCTION("""COMPUTED_VALUE"""),44250.6666666666)</f>
        <v>44250.666666666599</v>
      </c>
      <c r="D542" s="2">
        <f ca="1">IFERROR(__xludf.DUMMYFUNCTION("""COMPUTED_VALUE"""),233.27)</f>
        <v>233.27</v>
      </c>
      <c r="E542" s="3">
        <f ca="1">IFERROR(__xludf.DUMMYFUNCTION("""COMPUTED_VALUE"""),44250.6666666666)</f>
        <v>44250.666666666599</v>
      </c>
      <c r="F542" s="2">
        <f ca="1">IFERROR(__xludf.DUMMYFUNCTION("""COMPUTED_VALUE"""),3194.5)</f>
        <v>3194.5</v>
      </c>
      <c r="G542" s="3">
        <f ca="1">IFERROR(__xludf.DUMMYFUNCTION("""COMPUTED_VALUE"""),44250.6666666666)</f>
        <v>44250.666666666599</v>
      </c>
      <c r="H542" s="2">
        <f ca="1">IFERROR(__xludf.DUMMYFUNCTION("""COMPUTED_VALUE"""),2060.12)</f>
        <v>2060.12</v>
      </c>
      <c r="I542" s="3">
        <f ca="1">IFERROR(__xludf.DUMMYFUNCTION("""COMPUTED_VALUE"""),44250.6666666666)</f>
        <v>44250.666666666599</v>
      </c>
      <c r="J542" s="2">
        <f ca="1">IFERROR(__xludf.DUMMYFUNCTION("""COMPUTED_VALUE"""),2070.86)</f>
        <v>2070.86</v>
      </c>
      <c r="K542" s="3">
        <f ca="1">IFERROR(__xludf.DUMMYFUNCTION("""COMPUTED_VALUE"""),44250.6666666666)</f>
        <v>44250.666666666599</v>
      </c>
      <c r="L542" s="2">
        <f ca="1">IFERROR(__xludf.DUMMYFUNCTION("""COMPUTED_VALUE"""),265.86)</f>
        <v>265.86</v>
      </c>
      <c r="M542" s="3">
        <f ca="1">IFERROR(__xludf.DUMMYFUNCTION("""COMPUTED_VALUE"""),44250.6666666666)</f>
        <v>44250.666666666599</v>
      </c>
      <c r="N542" s="2">
        <f ca="1">IFERROR(__xludf.DUMMYFUNCTION("""COMPUTED_VALUE"""),698.84)</f>
        <v>698.84</v>
      </c>
      <c r="O542" s="3">
        <f ca="1">IFERROR(__xludf.DUMMYFUNCTION("""COMPUTED_VALUE"""),44250.6666666666)</f>
        <v>44250.666666666599</v>
      </c>
      <c r="P542" s="2">
        <f ca="1">IFERROR(__xludf.DUMMYFUNCTION("""COMPUTED_VALUE"""),141.42)</f>
        <v>141.41999999999999</v>
      </c>
      <c r="Q542" s="3">
        <f ca="1">IFERROR(__xludf.DUMMYFUNCTION("""COMPUTED_VALUE"""),44250.6666666666)</f>
        <v>44250.666666666599</v>
      </c>
      <c r="R542" s="2">
        <f ca="1">IFERROR(__xludf.DUMMYFUNCTION("""COMPUTED_VALUE"""),245.53)</f>
        <v>245.53</v>
      </c>
      <c r="S542" s="3">
        <f ca="1">IFERROR(__xludf.DUMMYFUNCTION("""COMPUTED_VALUE"""),44250.6666666666)</f>
        <v>44250.666666666599</v>
      </c>
      <c r="T542" s="2">
        <f ca="1">IFERROR(__xludf.DUMMYFUNCTION("""COMPUTED_VALUE"""),160.44)</f>
        <v>160.44</v>
      </c>
    </row>
    <row r="543" spans="1:20">
      <c r="A543" s="3">
        <f ca="1">IFERROR(__xludf.DUMMYFUNCTION("""COMPUTED_VALUE"""),44251.6666666666)</f>
        <v>44251.666666666599</v>
      </c>
      <c r="B543" s="2">
        <f ca="1">IFERROR(__xludf.DUMMYFUNCTION("""COMPUTED_VALUE"""),125.35)</f>
        <v>125.35</v>
      </c>
      <c r="C543" s="3">
        <f ca="1">IFERROR(__xludf.DUMMYFUNCTION("""COMPUTED_VALUE"""),44251.6666666666)</f>
        <v>44251.666666666599</v>
      </c>
      <c r="D543" s="2">
        <f ca="1">IFERROR(__xludf.DUMMYFUNCTION("""COMPUTED_VALUE"""),234.55)</f>
        <v>234.55</v>
      </c>
      <c r="E543" s="3">
        <f ca="1">IFERROR(__xludf.DUMMYFUNCTION("""COMPUTED_VALUE"""),44251.6666666666)</f>
        <v>44251.666666666599</v>
      </c>
      <c r="F543" s="2">
        <f ca="1">IFERROR(__xludf.DUMMYFUNCTION("""COMPUTED_VALUE"""),3159.53)</f>
        <v>3159.53</v>
      </c>
      <c r="G543" s="3">
        <f ca="1">IFERROR(__xludf.DUMMYFUNCTION("""COMPUTED_VALUE"""),44251.6666666666)</f>
        <v>44251.666666666599</v>
      </c>
      <c r="H543" s="2">
        <f ca="1">IFERROR(__xludf.DUMMYFUNCTION("""COMPUTED_VALUE"""),2083.81)</f>
        <v>2083.81</v>
      </c>
      <c r="I543" s="3">
        <f ca="1">IFERROR(__xludf.DUMMYFUNCTION("""COMPUTED_VALUE"""),44251.6666666666)</f>
        <v>44251.666666666599</v>
      </c>
      <c r="J543" s="2">
        <f ca="1">IFERROR(__xludf.DUMMYFUNCTION("""COMPUTED_VALUE"""),2095.17)</f>
        <v>2095.17</v>
      </c>
      <c r="K543" s="3">
        <f ca="1">IFERROR(__xludf.DUMMYFUNCTION("""COMPUTED_VALUE"""),44251.6666666666)</f>
        <v>44251.666666666599</v>
      </c>
      <c r="L543" s="2">
        <f ca="1">IFERROR(__xludf.DUMMYFUNCTION("""COMPUTED_VALUE"""),264.31)</f>
        <v>264.31</v>
      </c>
      <c r="M543" s="3">
        <f ca="1">IFERROR(__xludf.DUMMYFUNCTION("""COMPUTED_VALUE"""),44251.6666666666)</f>
        <v>44251.666666666599</v>
      </c>
      <c r="N543" s="2">
        <f ca="1">IFERROR(__xludf.DUMMYFUNCTION("""COMPUTED_VALUE"""),742.02)</f>
        <v>742.02</v>
      </c>
      <c r="O543" s="3">
        <f ca="1">IFERROR(__xludf.DUMMYFUNCTION("""COMPUTED_VALUE"""),44251.6666666666)</f>
        <v>44251.666666666599</v>
      </c>
      <c r="P543" s="2">
        <f ca="1">IFERROR(__xludf.DUMMYFUNCTION("""COMPUTED_VALUE"""),144.99)</f>
        <v>144.99</v>
      </c>
      <c r="Q543" s="3">
        <f ca="1">IFERROR(__xludf.DUMMYFUNCTION("""COMPUTED_VALUE"""),44251.6666666666)</f>
        <v>44251.666666666599</v>
      </c>
      <c r="R543" s="2">
        <f ca="1">IFERROR(__xludf.DUMMYFUNCTION("""COMPUTED_VALUE"""),248.45)</f>
        <v>248.45</v>
      </c>
      <c r="S543" s="3">
        <f ca="1">IFERROR(__xludf.DUMMYFUNCTION("""COMPUTED_VALUE"""),44251.6666666666)</f>
        <v>44251.666666666599</v>
      </c>
      <c r="T543" s="2">
        <f ca="1">IFERROR(__xludf.DUMMYFUNCTION("""COMPUTED_VALUE"""),162.59)</f>
        <v>162.59</v>
      </c>
    </row>
    <row r="544" spans="1:20">
      <c r="A544" s="3">
        <f ca="1">IFERROR(__xludf.DUMMYFUNCTION("""COMPUTED_VALUE"""),44252.6666666666)</f>
        <v>44252.666666666599</v>
      </c>
      <c r="B544" s="2">
        <f ca="1">IFERROR(__xludf.DUMMYFUNCTION("""COMPUTED_VALUE"""),120.99)</f>
        <v>120.99</v>
      </c>
      <c r="C544" s="3">
        <f ca="1">IFERROR(__xludf.DUMMYFUNCTION("""COMPUTED_VALUE"""),44252.6666666666)</f>
        <v>44252.666666666599</v>
      </c>
      <c r="D544" s="2">
        <f ca="1">IFERROR(__xludf.DUMMYFUNCTION("""COMPUTED_VALUE"""),228.99)</f>
        <v>228.99</v>
      </c>
      <c r="E544" s="3">
        <f ca="1">IFERROR(__xludf.DUMMYFUNCTION("""COMPUTED_VALUE"""),44252.6666666666)</f>
        <v>44252.666666666599</v>
      </c>
      <c r="F544" s="2">
        <f ca="1">IFERROR(__xludf.DUMMYFUNCTION("""COMPUTED_VALUE"""),3057.16)</f>
        <v>3057.16</v>
      </c>
      <c r="G544" s="3">
        <f ca="1">IFERROR(__xludf.DUMMYFUNCTION("""COMPUTED_VALUE"""),44252.6666666666)</f>
        <v>44252.666666666599</v>
      </c>
      <c r="H544" s="2">
        <f ca="1">IFERROR(__xludf.DUMMYFUNCTION("""COMPUTED_VALUE"""),2015.95)</f>
        <v>2015.95</v>
      </c>
      <c r="I544" s="3">
        <f ca="1">IFERROR(__xludf.DUMMYFUNCTION("""COMPUTED_VALUE"""),44252.6666666666)</f>
        <v>44252.666666666599</v>
      </c>
      <c r="J544" s="2">
        <f ca="1">IFERROR(__xludf.DUMMYFUNCTION("""COMPUTED_VALUE"""),2031.36)</f>
        <v>2031.36</v>
      </c>
      <c r="K544" s="3">
        <f ca="1">IFERROR(__xludf.DUMMYFUNCTION("""COMPUTED_VALUE"""),44252.6666666666)</f>
        <v>44252.666666666599</v>
      </c>
      <c r="L544" s="2">
        <f ca="1">IFERROR(__xludf.DUMMYFUNCTION("""COMPUTED_VALUE"""),254.69)</f>
        <v>254.69</v>
      </c>
      <c r="M544" s="3">
        <f ca="1">IFERROR(__xludf.DUMMYFUNCTION("""COMPUTED_VALUE"""),44252.6666666666)</f>
        <v>44252.666666666599</v>
      </c>
      <c r="N544" s="2">
        <f ca="1">IFERROR(__xludf.DUMMYFUNCTION("""COMPUTED_VALUE"""),682.22)</f>
        <v>682.22</v>
      </c>
      <c r="O544" s="3">
        <f ca="1">IFERROR(__xludf.DUMMYFUNCTION("""COMPUTED_VALUE"""),44252.6666666666)</f>
        <v>44252.666666666599</v>
      </c>
      <c r="P544" s="2">
        <f ca="1">IFERROR(__xludf.DUMMYFUNCTION("""COMPUTED_VALUE"""),133.07)</f>
        <v>133.07</v>
      </c>
      <c r="Q544" s="3">
        <f ca="1">IFERROR(__xludf.DUMMYFUNCTION("""COMPUTED_VALUE"""),44252.6666666666)</f>
        <v>44252.666666666599</v>
      </c>
      <c r="R544" s="2">
        <f ca="1">IFERROR(__xludf.DUMMYFUNCTION("""COMPUTED_VALUE"""),243.69)</f>
        <v>243.69</v>
      </c>
      <c r="S544" s="3">
        <f ca="1">IFERROR(__xludf.DUMMYFUNCTION("""COMPUTED_VALUE"""),44252.6666666666)</f>
        <v>44252.666666666599</v>
      </c>
      <c r="T544" s="2">
        <f ca="1">IFERROR(__xludf.DUMMYFUNCTION("""COMPUTED_VALUE"""),162.76)</f>
        <v>162.76</v>
      </c>
    </row>
    <row r="545" spans="1:20">
      <c r="A545" s="3">
        <f ca="1">IFERROR(__xludf.DUMMYFUNCTION("""COMPUTED_VALUE"""),44253.6666666666)</f>
        <v>44253.666666666599</v>
      </c>
      <c r="B545" s="2">
        <f ca="1">IFERROR(__xludf.DUMMYFUNCTION("""COMPUTED_VALUE"""),121.26)</f>
        <v>121.26</v>
      </c>
      <c r="C545" s="3">
        <f ca="1">IFERROR(__xludf.DUMMYFUNCTION("""COMPUTED_VALUE"""),44253.6666666666)</f>
        <v>44253.666666666599</v>
      </c>
      <c r="D545" s="2">
        <f ca="1">IFERROR(__xludf.DUMMYFUNCTION("""COMPUTED_VALUE"""),232.38)</f>
        <v>232.38</v>
      </c>
      <c r="E545" s="3">
        <f ca="1">IFERROR(__xludf.DUMMYFUNCTION("""COMPUTED_VALUE"""),44253.6666666666)</f>
        <v>44253.666666666599</v>
      </c>
      <c r="F545" s="2">
        <f ca="1">IFERROR(__xludf.DUMMYFUNCTION("""COMPUTED_VALUE"""),3092.93)</f>
        <v>3092.93</v>
      </c>
      <c r="G545" s="3">
        <f ca="1">IFERROR(__xludf.DUMMYFUNCTION("""COMPUTED_VALUE"""),44253.6666666666)</f>
        <v>44253.666666666599</v>
      </c>
      <c r="H545" s="2">
        <f ca="1">IFERROR(__xludf.DUMMYFUNCTION("""COMPUTED_VALUE"""),2021.91)</f>
        <v>2021.91</v>
      </c>
      <c r="I545" s="3">
        <f ca="1">IFERROR(__xludf.DUMMYFUNCTION("""COMPUTED_VALUE"""),44253.6666666666)</f>
        <v>44253.666666666599</v>
      </c>
      <c r="J545" s="2">
        <f ca="1">IFERROR(__xludf.DUMMYFUNCTION("""COMPUTED_VALUE"""),2036.86)</f>
        <v>2036.86</v>
      </c>
      <c r="K545" s="3">
        <f ca="1">IFERROR(__xludf.DUMMYFUNCTION("""COMPUTED_VALUE"""),44253.6666666666)</f>
        <v>44253.666666666599</v>
      </c>
      <c r="L545" s="2">
        <f ca="1">IFERROR(__xludf.DUMMYFUNCTION("""COMPUTED_VALUE"""),257.62)</f>
        <v>257.62</v>
      </c>
      <c r="M545" s="3">
        <f ca="1">IFERROR(__xludf.DUMMYFUNCTION("""COMPUTED_VALUE"""),44253.6666666666)</f>
        <v>44253.666666666599</v>
      </c>
      <c r="N545" s="2">
        <f ca="1">IFERROR(__xludf.DUMMYFUNCTION("""COMPUTED_VALUE"""),675.5)</f>
        <v>675.5</v>
      </c>
      <c r="O545" s="3">
        <f ca="1">IFERROR(__xludf.DUMMYFUNCTION("""COMPUTED_VALUE"""),44253.6666666666)</f>
        <v>44253.666666666599</v>
      </c>
      <c r="P545" s="2">
        <f ca="1">IFERROR(__xludf.DUMMYFUNCTION("""COMPUTED_VALUE"""),137.15)</f>
        <v>137.15</v>
      </c>
      <c r="Q545" s="3">
        <f ca="1">IFERROR(__xludf.DUMMYFUNCTION("""COMPUTED_VALUE"""),44253.6666666666)</f>
        <v>44253.666666666599</v>
      </c>
      <c r="R545" s="2">
        <f ca="1">IFERROR(__xludf.DUMMYFUNCTION("""COMPUTED_VALUE"""),240.51)</f>
        <v>240.51</v>
      </c>
      <c r="S545" s="3">
        <f ca="1">IFERROR(__xludf.DUMMYFUNCTION("""COMPUTED_VALUE"""),44253.6666666666)</f>
        <v>44253.666666666599</v>
      </c>
      <c r="T545" s="2">
        <f ca="1">IFERROR(__xludf.DUMMYFUNCTION("""COMPUTED_VALUE"""),158.46)</f>
        <v>158.46</v>
      </c>
    </row>
    <row r="546" spans="1:20">
      <c r="A546" s="3">
        <f ca="1">IFERROR(__xludf.DUMMYFUNCTION("""COMPUTED_VALUE"""),44256.6666666666)</f>
        <v>44256.666666666599</v>
      </c>
      <c r="B546" s="2">
        <f ca="1">IFERROR(__xludf.DUMMYFUNCTION("""COMPUTED_VALUE"""),127.79)</f>
        <v>127.79</v>
      </c>
      <c r="C546" s="3">
        <f ca="1">IFERROR(__xludf.DUMMYFUNCTION("""COMPUTED_VALUE"""),44256.6666666666)</f>
        <v>44256.666666666599</v>
      </c>
      <c r="D546" s="2">
        <f ca="1">IFERROR(__xludf.DUMMYFUNCTION("""COMPUTED_VALUE"""),236.94)</f>
        <v>236.94</v>
      </c>
      <c r="E546" s="3">
        <f ca="1">IFERROR(__xludf.DUMMYFUNCTION("""COMPUTED_VALUE"""),44256.6666666666)</f>
        <v>44256.666666666599</v>
      </c>
      <c r="F546" s="2">
        <f ca="1">IFERROR(__xludf.DUMMYFUNCTION("""COMPUTED_VALUE"""),3146.14)</f>
        <v>3146.14</v>
      </c>
      <c r="G546" s="3">
        <f ca="1">IFERROR(__xludf.DUMMYFUNCTION("""COMPUTED_VALUE"""),44256.6666666666)</f>
        <v>44256.666666666599</v>
      </c>
      <c r="H546" s="2">
        <f ca="1">IFERROR(__xludf.DUMMYFUNCTION("""COMPUTED_VALUE"""),2069.66)</f>
        <v>2069.66</v>
      </c>
      <c r="I546" s="3">
        <f ca="1">IFERROR(__xludf.DUMMYFUNCTION("""COMPUTED_VALUE"""),44256.6666666666)</f>
        <v>44256.666666666599</v>
      </c>
      <c r="J546" s="2">
        <f ca="1">IFERROR(__xludf.DUMMYFUNCTION("""COMPUTED_VALUE"""),2081.51)</f>
        <v>2081.5100000000002</v>
      </c>
      <c r="K546" s="3">
        <f ca="1">IFERROR(__xludf.DUMMYFUNCTION("""COMPUTED_VALUE"""),44256.6666666666)</f>
        <v>44256.666666666599</v>
      </c>
      <c r="L546" s="2">
        <f ca="1">IFERROR(__xludf.DUMMYFUNCTION("""COMPUTED_VALUE"""),264.91)</f>
        <v>264.91000000000003</v>
      </c>
      <c r="M546" s="3">
        <f ca="1">IFERROR(__xludf.DUMMYFUNCTION("""COMPUTED_VALUE"""),44256.6666666666)</f>
        <v>44256.666666666599</v>
      </c>
      <c r="N546" s="2">
        <f ca="1">IFERROR(__xludf.DUMMYFUNCTION("""COMPUTED_VALUE"""),718.43)</f>
        <v>718.43</v>
      </c>
      <c r="O546" s="3">
        <f ca="1">IFERROR(__xludf.DUMMYFUNCTION("""COMPUTED_VALUE"""),44256.6666666666)</f>
        <v>44256.666666666599</v>
      </c>
      <c r="P546" s="2">
        <f ca="1">IFERROR(__xludf.DUMMYFUNCTION("""COMPUTED_VALUE"""),138.42)</f>
        <v>138.41999999999999</v>
      </c>
      <c r="Q546" s="3">
        <f ca="1">IFERROR(__xludf.DUMMYFUNCTION("""COMPUTED_VALUE"""),44256.6666666666)</f>
        <v>44256.666666666599</v>
      </c>
      <c r="R546" s="2">
        <f ca="1">IFERROR(__xludf.DUMMYFUNCTION("""COMPUTED_VALUE"""),249.21)</f>
        <v>249.21</v>
      </c>
      <c r="S546" s="3">
        <f ca="1">IFERROR(__xludf.DUMMYFUNCTION("""COMPUTED_VALUE"""),44256.6666666666)</f>
        <v>44256.666666666599</v>
      </c>
      <c r="T546" s="2">
        <f ca="1">IFERROR(__xludf.DUMMYFUNCTION("""COMPUTED_VALUE"""),159.32)</f>
        <v>159.32</v>
      </c>
    </row>
    <row r="547" spans="1:20">
      <c r="A547" s="3">
        <f ca="1">IFERROR(__xludf.DUMMYFUNCTION("""COMPUTED_VALUE"""),44257.6666666666)</f>
        <v>44257.666666666599</v>
      </c>
      <c r="B547" s="2">
        <f ca="1">IFERROR(__xludf.DUMMYFUNCTION("""COMPUTED_VALUE"""),125.12)</f>
        <v>125.12</v>
      </c>
      <c r="C547" s="3">
        <f ca="1">IFERROR(__xludf.DUMMYFUNCTION("""COMPUTED_VALUE"""),44257.6666666666)</f>
        <v>44257.666666666599</v>
      </c>
      <c r="D547" s="2">
        <f ca="1">IFERROR(__xludf.DUMMYFUNCTION("""COMPUTED_VALUE"""),233.87)</f>
        <v>233.87</v>
      </c>
      <c r="E547" s="3">
        <f ca="1">IFERROR(__xludf.DUMMYFUNCTION("""COMPUTED_VALUE"""),44257.6666666666)</f>
        <v>44257.666666666599</v>
      </c>
      <c r="F547" s="2">
        <f ca="1">IFERROR(__xludf.DUMMYFUNCTION("""COMPUTED_VALUE"""),3094.53)</f>
        <v>3094.53</v>
      </c>
      <c r="G547" s="3">
        <f ca="1">IFERROR(__xludf.DUMMYFUNCTION("""COMPUTED_VALUE"""),44257.6666666666)</f>
        <v>44257.666666666599</v>
      </c>
      <c r="H547" s="2">
        <f ca="1">IFERROR(__xludf.DUMMYFUNCTION("""COMPUTED_VALUE"""),2064.48)</f>
        <v>2064.48</v>
      </c>
      <c r="I547" s="3">
        <f ca="1">IFERROR(__xludf.DUMMYFUNCTION("""COMPUTED_VALUE"""),44257.6666666666)</f>
        <v>44257.666666666599</v>
      </c>
      <c r="J547" s="2">
        <f ca="1">IFERROR(__xludf.DUMMYFUNCTION("""COMPUTED_VALUE"""),2075.84)</f>
        <v>2075.84</v>
      </c>
      <c r="K547" s="3">
        <f ca="1">IFERROR(__xludf.DUMMYFUNCTION("""COMPUTED_VALUE"""),44257.6666666666)</f>
        <v>44257.666666666599</v>
      </c>
      <c r="L547" s="2">
        <f ca="1">IFERROR(__xludf.DUMMYFUNCTION("""COMPUTED_VALUE"""),259)</f>
        <v>259</v>
      </c>
      <c r="M547" s="3">
        <f ca="1">IFERROR(__xludf.DUMMYFUNCTION("""COMPUTED_VALUE"""),44257.6666666666)</f>
        <v>44257.666666666599</v>
      </c>
      <c r="N547" s="2">
        <f ca="1">IFERROR(__xludf.DUMMYFUNCTION("""COMPUTED_VALUE"""),686.44)</f>
        <v>686.44</v>
      </c>
      <c r="O547" s="3">
        <f ca="1">IFERROR(__xludf.DUMMYFUNCTION("""COMPUTED_VALUE"""),44257.6666666666)</f>
        <v>44257.666666666599</v>
      </c>
      <c r="P547" s="2">
        <f ca="1">IFERROR(__xludf.DUMMYFUNCTION("""COMPUTED_VALUE"""),134.06)</f>
        <v>134.06</v>
      </c>
      <c r="Q547" s="3">
        <f ca="1">IFERROR(__xludf.DUMMYFUNCTION("""COMPUTED_VALUE"""),44257.6666666666)</f>
        <v>44257.666666666599</v>
      </c>
      <c r="R547" s="2">
        <f ca="1">IFERROR(__xludf.DUMMYFUNCTION("""COMPUTED_VALUE"""),249.22)</f>
        <v>249.22</v>
      </c>
      <c r="S547" s="3">
        <f ca="1">IFERROR(__xludf.DUMMYFUNCTION("""COMPUTED_VALUE"""),44257.6666666666)</f>
        <v>44257.666666666599</v>
      </c>
      <c r="T547" s="2">
        <f ca="1">IFERROR(__xludf.DUMMYFUNCTION("""COMPUTED_VALUE"""),159.02)</f>
        <v>159.02000000000001</v>
      </c>
    </row>
    <row r="548" spans="1:20">
      <c r="A548" s="3">
        <f ca="1">IFERROR(__xludf.DUMMYFUNCTION("""COMPUTED_VALUE"""),44258.6666666666)</f>
        <v>44258.666666666599</v>
      </c>
      <c r="B548" s="2">
        <f ca="1">IFERROR(__xludf.DUMMYFUNCTION("""COMPUTED_VALUE"""),122.06)</f>
        <v>122.06</v>
      </c>
      <c r="C548" s="3">
        <f ca="1">IFERROR(__xludf.DUMMYFUNCTION("""COMPUTED_VALUE"""),44258.6666666666)</f>
        <v>44258.666666666599</v>
      </c>
      <c r="D548" s="2">
        <f ca="1">IFERROR(__xludf.DUMMYFUNCTION("""COMPUTED_VALUE"""),227.56)</f>
        <v>227.56</v>
      </c>
      <c r="E548" s="3">
        <f ca="1">IFERROR(__xludf.DUMMYFUNCTION("""COMPUTED_VALUE"""),44258.6666666666)</f>
        <v>44258.666666666599</v>
      </c>
      <c r="F548" s="2">
        <f ca="1">IFERROR(__xludf.DUMMYFUNCTION("""COMPUTED_VALUE"""),3005)</f>
        <v>3005</v>
      </c>
      <c r="G548" s="3">
        <f ca="1">IFERROR(__xludf.DUMMYFUNCTION("""COMPUTED_VALUE"""),44258.6666666666)</f>
        <v>44258.666666666599</v>
      </c>
      <c r="H548" s="2">
        <f ca="1">IFERROR(__xludf.DUMMYFUNCTION("""COMPUTED_VALUE"""),2011.41)</f>
        <v>2011.41</v>
      </c>
      <c r="I548" s="3">
        <f ca="1">IFERROR(__xludf.DUMMYFUNCTION("""COMPUTED_VALUE"""),44258.6666666666)</f>
        <v>44258.666666666599</v>
      </c>
      <c r="J548" s="2">
        <f ca="1">IFERROR(__xludf.DUMMYFUNCTION("""COMPUTED_VALUE"""),2026.71)</f>
        <v>2026.71</v>
      </c>
      <c r="K548" s="3">
        <f ca="1">IFERROR(__xludf.DUMMYFUNCTION("""COMPUTED_VALUE"""),44258.6666666666)</f>
        <v>44258.666666666599</v>
      </c>
      <c r="L548" s="2">
        <f ca="1">IFERROR(__xludf.DUMMYFUNCTION("""COMPUTED_VALUE"""),255.41)</f>
        <v>255.41</v>
      </c>
      <c r="M548" s="3">
        <f ca="1">IFERROR(__xludf.DUMMYFUNCTION("""COMPUTED_VALUE"""),44258.6666666666)</f>
        <v>44258.666666666599</v>
      </c>
      <c r="N548" s="2">
        <f ca="1">IFERROR(__xludf.DUMMYFUNCTION("""COMPUTED_VALUE"""),653.2)</f>
        <v>653.20000000000005</v>
      </c>
      <c r="O548" s="3">
        <f ca="1">IFERROR(__xludf.DUMMYFUNCTION("""COMPUTED_VALUE"""),44258.6666666666)</f>
        <v>44258.666666666599</v>
      </c>
      <c r="P548" s="2">
        <f ca="1">IFERROR(__xludf.DUMMYFUNCTION("""COMPUTED_VALUE"""),128.05)</f>
        <v>128.05000000000001</v>
      </c>
      <c r="Q548" s="3">
        <f ca="1">IFERROR(__xludf.DUMMYFUNCTION("""COMPUTED_VALUE"""),44258.6666666666)</f>
        <v>44258.666666666599</v>
      </c>
      <c r="R548" s="2">
        <f ca="1">IFERROR(__xludf.DUMMYFUNCTION("""COMPUTED_VALUE"""),251.55)</f>
        <v>251.55</v>
      </c>
      <c r="S548" s="3">
        <f ca="1">IFERROR(__xludf.DUMMYFUNCTION("""COMPUTED_VALUE"""),44258.6666666666)</f>
        <v>44258.666666666599</v>
      </c>
      <c r="T548" s="2">
        <f ca="1">IFERROR(__xludf.DUMMYFUNCTION("""COMPUTED_VALUE"""),156.22)</f>
        <v>156.22</v>
      </c>
    </row>
    <row r="549" spans="1:20">
      <c r="A549" s="3">
        <f ca="1">IFERROR(__xludf.DUMMYFUNCTION("""COMPUTED_VALUE"""),44259.6666666666)</f>
        <v>44259.666666666599</v>
      </c>
      <c r="B549" s="2">
        <f ca="1">IFERROR(__xludf.DUMMYFUNCTION("""COMPUTED_VALUE"""),120.13)</f>
        <v>120.13</v>
      </c>
      <c r="C549" s="3">
        <f ca="1">IFERROR(__xludf.DUMMYFUNCTION("""COMPUTED_VALUE"""),44259.6666666666)</f>
        <v>44259.666666666599</v>
      </c>
      <c r="D549" s="2">
        <f ca="1">IFERROR(__xludf.DUMMYFUNCTION("""COMPUTED_VALUE"""),226.73)</f>
        <v>226.73</v>
      </c>
      <c r="E549" s="3">
        <f ca="1">IFERROR(__xludf.DUMMYFUNCTION("""COMPUTED_VALUE"""),44259.6666666666)</f>
        <v>44259.666666666599</v>
      </c>
      <c r="F549" s="2">
        <f ca="1">IFERROR(__xludf.DUMMYFUNCTION("""COMPUTED_VALUE"""),2977.57)</f>
        <v>2977.57</v>
      </c>
      <c r="G549" s="3">
        <f ca="1">IFERROR(__xludf.DUMMYFUNCTION("""COMPUTED_VALUE"""),44259.6666666666)</f>
        <v>44259.666666666599</v>
      </c>
      <c r="H549" s="2">
        <f ca="1">IFERROR(__xludf.DUMMYFUNCTION("""COMPUTED_VALUE"""),2033.93)</f>
        <v>2033.93</v>
      </c>
      <c r="I549" s="3">
        <f ca="1">IFERROR(__xludf.DUMMYFUNCTION("""COMPUTED_VALUE"""),44259.6666666666)</f>
        <v>44259.666666666599</v>
      </c>
      <c r="J549" s="2">
        <f ca="1">IFERROR(__xludf.DUMMYFUNCTION("""COMPUTED_VALUE"""),2049.09)</f>
        <v>2049.09</v>
      </c>
      <c r="K549" s="3">
        <f ca="1">IFERROR(__xludf.DUMMYFUNCTION("""COMPUTED_VALUE"""),44259.6666666666)</f>
        <v>44259.666666666599</v>
      </c>
      <c r="L549" s="2">
        <f ca="1">IFERROR(__xludf.DUMMYFUNCTION("""COMPUTED_VALUE"""),257.64)</f>
        <v>257.64</v>
      </c>
      <c r="M549" s="3">
        <f ca="1">IFERROR(__xludf.DUMMYFUNCTION("""COMPUTED_VALUE"""),44259.6666666666)</f>
        <v>44259.666666666599</v>
      </c>
      <c r="N549" s="2">
        <f ca="1">IFERROR(__xludf.DUMMYFUNCTION("""COMPUTED_VALUE"""),621.44)</f>
        <v>621.44000000000005</v>
      </c>
      <c r="O549" s="3">
        <f ca="1">IFERROR(__xludf.DUMMYFUNCTION("""COMPUTED_VALUE"""),44259.6666666666)</f>
        <v>44259.666666666599</v>
      </c>
      <c r="P549" s="2">
        <f ca="1">IFERROR(__xludf.DUMMYFUNCTION("""COMPUTED_VALUE"""),123.7)</f>
        <v>123.7</v>
      </c>
      <c r="Q549" s="3">
        <f ca="1">IFERROR(__xludf.DUMMYFUNCTION("""COMPUTED_VALUE"""),44259.6666666666)</f>
        <v>44259.666666666599</v>
      </c>
      <c r="R549" s="2">
        <f ca="1">IFERROR(__xludf.DUMMYFUNCTION("""COMPUTED_VALUE"""),245.48)</f>
        <v>245.48</v>
      </c>
      <c r="S549" s="3">
        <f ca="1">IFERROR(__xludf.DUMMYFUNCTION("""COMPUTED_VALUE"""),44259.6666666666)</f>
        <v>44259.666666666599</v>
      </c>
      <c r="T549" s="2">
        <f ca="1">IFERROR(__xludf.DUMMYFUNCTION("""COMPUTED_VALUE"""),153.07)</f>
        <v>153.07</v>
      </c>
    </row>
    <row r="550" spans="1:20">
      <c r="A550" s="3">
        <f ca="1">IFERROR(__xludf.DUMMYFUNCTION("""COMPUTED_VALUE"""),44260.6666666666)</f>
        <v>44260.666666666599</v>
      </c>
      <c r="B550" s="2">
        <f ca="1">IFERROR(__xludf.DUMMYFUNCTION("""COMPUTED_VALUE"""),121.42)</f>
        <v>121.42</v>
      </c>
      <c r="C550" s="3">
        <f ca="1">IFERROR(__xludf.DUMMYFUNCTION("""COMPUTED_VALUE"""),44260.6666666666)</f>
        <v>44260.666666666599</v>
      </c>
      <c r="D550" s="2">
        <f ca="1">IFERROR(__xludf.DUMMYFUNCTION("""COMPUTED_VALUE"""),231.6)</f>
        <v>231.6</v>
      </c>
      <c r="E550" s="3">
        <f ca="1">IFERROR(__xludf.DUMMYFUNCTION("""COMPUTED_VALUE"""),44260.6666666666)</f>
        <v>44260.666666666599</v>
      </c>
      <c r="F550" s="2">
        <f ca="1">IFERROR(__xludf.DUMMYFUNCTION("""COMPUTED_VALUE"""),3000.46)</f>
        <v>3000.46</v>
      </c>
      <c r="G550" s="3">
        <f ca="1">IFERROR(__xludf.DUMMYFUNCTION("""COMPUTED_VALUE"""),44260.6666666666)</f>
        <v>44260.666666666599</v>
      </c>
      <c r="H550" s="2">
        <f ca="1">IFERROR(__xludf.DUMMYFUNCTION("""COMPUTED_VALUE"""),2097.07)</f>
        <v>2097.0700000000002</v>
      </c>
      <c r="I550" s="3">
        <f ca="1">IFERROR(__xludf.DUMMYFUNCTION("""COMPUTED_VALUE"""),44260.6666666666)</f>
        <v>44260.666666666599</v>
      </c>
      <c r="J550" s="2">
        <f ca="1">IFERROR(__xludf.DUMMYFUNCTION("""COMPUTED_VALUE"""),2108.54)</f>
        <v>2108.54</v>
      </c>
      <c r="K550" s="3">
        <f ca="1">IFERROR(__xludf.DUMMYFUNCTION("""COMPUTED_VALUE"""),44260.6666666666)</f>
        <v>44260.666666666599</v>
      </c>
      <c r="L550" s="2">
        <f ca="1">IFERROR(__xludf.DUMMYFUNCTION("""COMPUTED_VALUE"""),264.28)</f>
        <v>264.27999999999997</v>
      </c>
      <c r="M550" s="3">
        <f ca="1">IFERROR(__xludf.DUMMYFUNCTION("""COMPUTED_VALUE"""),44260.6666666666)</f>
        <v>44260.666666666599</v>
      </c>
      <c r="N550" s="2">
        <f ca="1">IFERROR(__xludf.DUMMYFUNCTION("""COMPUTED_VALUE"""),597.95)</f>
        <v>597.95000000000005</v>
      </c>
      <c r="O550" s="3">
        <f ca="1">IFERROR(__xludf.DUMMYFUNCTION("""COMPUTED_VALUE"""),44260.6666666666)</f>
        <v>44260.666666666599</v>
      </c>
      <c r="P550" s="2">
        <f ca="1">IFERROR(__xludf.DUMMYFUNCTION("""COMPUTED_VALUE"""),124.62)</f>
        <v>124.62</v>
      </c>
      <c r="Q550" s="3">
        <f ca="1">IFERROR(__xludf.DUMMYFUNCTION("""COMPUTED_VALUE"""),44260.6666666666)</f>
        <v>44260.666666666599</v>
      </c>
      <c r="R550" s="2">
        <f ca="1">IFERROR(__xludf.DUMMYFUNCTION("""COMPUTED_VALUE"""),253.15)</f>
        <v>253.15</v>
      </c>
      <c r="S550" s="3">
        <f ca="1">IFERROR(__xludf.DUMMYFUNCTION("""COMPUTED_VALUE"""),44260.6666666666)</f>
        <v>44260.666666666599</v>
      </c>
      <c r="T550" s="2">
        <f ca="1">IFERROR(__xludf.DUMMYFUNCTION("""COMPUTED_VALUE"""),156.1)</f>
        <v>156.1</v>
      </c>
    </row>
    <row r="551" spans="1:20">
      <c r="A551" s="3">
        <f ca="1">IFERROR(__xludf.DUMMYFUNCTION("""COMPUTED_VALUE"""),44263.6666666666)</f>
        <v>44263.666666666599</v>
      </c>
      <c r="B551" s="2">
        <f ca="1">IFERROR(__xludf.DUMMYFUNCTION("""COMPUTED_VALUE"""),116.36)</f>
        <v>116.36</v>
      </c>
      <c r="C551" s="3">
        <f ca="1">IFERROR(__xludf.DUMMYFUNCTION("""COMPUTED_VALUE"""),44263.6666666666)</f>
        <v>44263.666666666599</v>
      </c>
      <c r="D551" s="2">
        <f ca="1">IFERROR(__xludf.DUMMYFUNCTION("""COMPUTED_VALUE"""),227.39)</f>
        <v>227.39</v>
      </c>
      <c r="E551" s="3">
        <f ca="1">IFERROR(__xludf.DUMMYFUNCTION("""COMPUTED_VALUE"""),44263.6666666666)</f>
        <v>44263.666666666599</v>
      </c>
      <c r="F551" s="2">
        <f ca="1">IFERROR(__xludf.DUMMYFUNCTION("""COMPUTED_VALUE"""),2951.95)</f>
        <v>2951.95</v>
      </c>
      <c r="G551" s="3">
        <f ca="1">IFERROR(__xludf.DUMMYFUNCTION("""COMPUTED_VALUE"""),44263.6666666666)</f>
        <v>44263.666666666599</v>
      </c>
      <c r="H551" s="2">
        <f ca="1">IFERROR(__xludf.DUMMYFUNCTION("""COMPUTED_VALUE"""),2007.5)</f>
        <v>2007.5</v>
      </c>
      <c r="I551" s="3">
        <f ca="1">IFERROR(__xludf.DUMMYFUNCTION("""COMPUTED_VALUE"""),44263.6666666666)</f>
        <v>44263.666666666599</v>
      </c>
      <c r="J551" s="2">
        <f ca="1">IFERROR(__xludf.DUMMYFUNCTION("""COMPUTED_VALUE"""),2024.17)</f>
        <v>2024.17</v>
      </c>
      <c r="K551" s="3">
        <f ca="1">IFERROR(__xludf.DUMMYFUNCTION("""COMPUTED_VALUE"""),44263.6666666666)</f>
        <v>44263.666666666599</v>
      </c>
      <c r="L551" s="2">
        <f ca="1">IFERROR(__xludf.DUMMYFUNCTION("""COMPUTED_VALUE"""),255.31)</f>
        <v>255.31</v>
      </c>
      <c r="M551" s="3">
        <f ca="1">IFERROR(__xludf.DUMMYFUNCTION("""COMPUTED_VALUE"""),44263.6666666666)</f>
        <v>44263.666666666599</v>
      </c>
      <c r="N551" s="2">
        <f ca="1">IFERROR(__xludf.DUMMYFUNCTION("""COMPUTED_VALUE"""),563)</f>
        <v>563</v>
      </c>
      <c r="O551" s="3">
        <f ca="1">IFERROR(__xludf.DUMMYFUNCTION("""COMPUTED_VALUE"""),44263.6666666666)</f>
        <v>44263.666666666599</v>
      </c>
      <c r="P551" s="2">
        <f ca="1">IFERROR(__xludf.DUMMYFUNCTION("""COMPUTED_VALUE"""),115.93)</f>
        <v>115.93</v>
      </c>
      <c r="Q551" s="3">
        <f ca="1">IFERROR(__xludf.DUMMYFUNCTION("""COMPUTED_VALUE"""),44263.6666666666)</f>
        <v>44263.666666666599</v>
      </c>
      <c r="R551" s="2">
        <f ca="1">IFERROR(__xludf.DUMMYFUNCTION("""COMPUTED_VALUE"""),257.61)</f>
        <v>257.61</v>
      </c>
      <c r="S551" s="3">
        <f ca="1">IFERROR(__xludf.DUMMYFUNCTION("""COMPUTED_VALUE"""),44263.6666666666)</f>
        <v>44263.666666666599</v>
      </c>
      <c r="T551" s="2">
        <f ca="1">IFERROR(__xludf.DUMMYFUNCTION("""COMPUTED_VALUE"""),157.4)</f>
        <v>157.4</v>
      </c>
    </row>
    <row r="552" spans="1:20">
      <c r="A552" s="3">
        <f ca="1">IFERROR(__xludf.DUMMYFUNCTION("""COMPUTED_VALUE"""),44264.6666666666)</f>
        <v>44264.666666666599</v>
      </c>
      <c r="B552" s="2">
        <f ca="1">IFERROR(__xludf.DUMMYFUNCTION("""COMPUTED_VALUE"""),121.09)</f>
        <v>121.09</v>
      </c>
      <c r="C552" s="3">
        <f ca="1">IFERROR(__xludf.DUMMYFUNCTION("""COMPUTED_VALUE"""),44264.6666666666)</f>
        <v>44264.666666666599</v>
      </c>
      <c r="D552" s="2">
        <f ca="1">IFERROR(__xludf.DUMMYFUNCTION("""COMPUTED_VALUE"""),233.78)</f>
        <v>233.78</v>
      </c>
      <c r="E552" s="3">
        <f ca="1">IFERROR(__xludf.DUMMYFUNCTION("""COMPUTED_VALUE"""),44264.6666666666)</f>
        <v>44264.666666666599</v>
      </c>
      <c r="F552" s="2">
        <f ca="1">IFERROR(__xludf.DUMMYFUNCTION("""COMPUTED_VALUE"""),3062.85)</f>
        <v>3062.85</v>
      </c>
      <c r="G552" s="3">
        <f ca="1">IFERROR(__xludf.DUMMYFUNCTION("""COMPUTED_VALUE"""),44264.6666666666)</f>
        <v>44264.666666666599</v>
      </c>
      <c r="H552" s="2">
        <f ca="1">IFERROR(__xludf.DUMMYFUNCTION("""COMPUTED_VALUE"""),2040.36)</f>
        <v>2040.36</v>
      </c>
      <c r="I552" s="3">
        <f ca="1">IFERROR(__xludf.DUMMYFUNCTION("""COMPUTED_VALUE"""),44264.6666666666)</f>
        <v>44264.666666666599</v>
      </c>
      <c r="J552" s="2">
        <f ca="1">IFERROR(__xludf.DUMMYFUNCTION("""COMPUTED_VALUE"""),2052.7)</f>
        <v>2052.6999999999998</v>
      </c>
      <c r="K552" s="3">
        <f ca="1">IFERROR(__xludf.DUMMYFUNCTION("""COMPUTED_VALUE"""),44264.6666666666)</f>
        <v>44264.666666666599</v>
      </c>
      <c r="L552" s="2">
        <f ca="1">IFERROR(__xludf.DUMMYFUNCTION("""COMPUTED_VALUE"""),265.74)</f>
        <v>265.74</v>
      </c>
      <c r="M552" s="3">
        <f ca="1">IFERROR(__xludf.DUMMYFUNCTION("""COMPUTED_VALUE"""),44264.6666666666)</f>
        <v>44264.666666666599</v>
      </c>
      <c r="N552" s="2">
        <f ca="1">IFERROR(__xludf.DUMMYFUNCTION("""COMPUTED_VALUE"""),673.58)</f>
        <v>673.58</v>
      </c>
      <c r="O552" s="3">
        <f ca="1">IFERROR(__xludf.DUMMYFUNCTION("""COMPUTED_VALUE"""),44264.6666666666)</f>
        <v>44264.666666666599</v>
      </c>
      <c r="P552" s="2">
        <f ca="1">IFERROR(__xludf.DUMMYFUNCTION("""COMPUTED_VALUE"""),125.2)</f>
        <v>125.2</v>
      </c>
      <c r="Q552" s="3">
        <f ca="1">IFERROR(__xludf.DUMMYFUNCTION("""COMPUTED_VALUE"""),44264.6666666666)</f>
        <v>44264.666666666599</v>
      </c>
      <c r="R552" s="2">
        <f ca="1">IFERROR(__xludf.DUMMYFUNCTION("""COMPUTED_VALUE"""),259.02)</f>
        <v>259.02</v>
      </c>
      <c r="S552" s="3">
        <f ca="1">IFERROR(__xludf.DUMMYFUNCTION("""COMPUTED_VALUE"""),44264.6666666666)</f>
        <v>44264.666666666599</v>
      </c>
      <c r="T552" s="2">
        <f ca="1">IFERROR(__xludf.DUMMYFUNCTION("""COMPUTED_VALUE"""),157.7)</f>
        <v>157.69999999999999</v>
      </c>
    </row>
    <row r="553" spans="1:20">
      <c r="A553" s="3">
        <f ca="1">IFERROR(__xludf.DUMMYFUNCTION("""COMPUTED_VALUE"""),44265.6666666666)</f>
        <v>44265.666666666599</v>
      </c>
      <c r="B553" s="2">
        <f ca="1">IFERROR(__xludf.DUMMYFUNCTION("""COMPUTED_VALUE"""),119.98)</f>
        <v>119.98</v>
      </c>
      <c r="C553" s="3">
        <f ca="1">IFERROR(__xludf.DUMMYFUNCTION("""COMPUTED_VALUE"""),44265.6666666666)</f>
        <v>44265.666666666599</v>
      </c>
      <c r="D553" s="2">
        <f ca="1">IFERROR(__xludf.DUMMYFUNCTION("""COMPUTED_VALUE"""),232.42)</f>
        <v>232.42</v>
      </c>
      <c r="E553" s="3">
        <f ca="1">IFERROR(__xludf.DUMMYFUNCTION("""COMPUTED_VALUE"""),44265.6666666666)</f>
        <v>44265.666666666599</v>
      </c>
      <c r="F553" s="2">
        <f ca="1">IFERROR(__xludf.DUMMYFUNCTION("""COMPUTED_VALUE"""),3057.64)</f>
        <v>3057.64</v>
      </c>
      <c r="G553" s="3">
        <f ca="1">IFERROR(__xludf.DUMMYFUNCTION("""COMPUTED_VALUE"""),44265.6666666666)</f>
        <v>44265.666666666599</v>
      </c>
      <c r="H553" s="2">
        <f ca="1">IFERROR(__xludf.DUMMYFUNCTION("""COMPUTED_VALUE"""),2036.19)</f>
        <v>2036.19</v>
      </c>
      <c r="I553" s="3">
        <f ca="1">IFERROR(__xludf.DUMMYFUNCTION("""COMPUTED_VALUE"""),44265.6666666666)</f>
        <v>44265.666666666599</v>
      </c>
      <c r="J553" s="2">
        <f ca="1">IFERROR(__xludf.DUMMYFUNCTION("""COMPUTED_VALUE"""),2055.03)</f>
        <v>2055.0300000000002</v>
      </c>
      <c r="K553" s="3">
        <f ca="1">IFERROR(__xludf.DUMMYFUNCTION("""COMPUTED_VALUE"""),44265.6666666666)</f>
        <v>44265.666666666599</v>
      </c>
      <c r="L553" s="2">
        <f ca="1">IFERROR(__xludf.DUMMYFUNCTION("""COMPUTED_VALUE"""),264.9)</f>
        <v>264.89999999999998</v>
      </c>
      <c r="M553" s="3">
        <f ca="1">IFERROR(__xludf.DUMMYFUNCTION("""COMPUTED_VALUE"""),44265.6666666666)</f>
        <v>44265.666666666599</v>
      </c>
      <c r="N553" s="2">
        <f ca="1">IFERROR(__xludf.DUMMYFUNCTION("""COMPUTED_VALUE"""),668.06)</f>
        <v>668.06</v>
      </c>
      <c r="O553" s="3">
        <f ca="1">IFERROR(__xludf.DUMMYFUNCTION("""COMPUTED_VALUE"""),44265.6666666666)</f>
        <v>44265.666666666599</v>
      </c>
      <c r="P553" s="2">
        <f ca="1">IFERROR(__xludf.DUMMYFUNCTION("""COMPUTED_VALUE"""),124.68)</f>
        <v>124.68</v>
      </c>
      <c r="Q553" s="3">
        <f ca="1">IFERROR(__xludf.DUMMYFUNCTION("""COMPUTED_VALUE"""),44265.6666666666)</f>
        <v>44265.666666666599</v>
      </c>
      <c r="R553" s="2">
        <f ca="1">IFERROR(__xludf.DUMMYFUNCTION("""COMPUTED_VALUE"""),263.99)</f>
        <v>263.99</v>
      </c>
      <c r="S553" s="3">
        <f ca="1">IFERROR(__xludf.DUMMYFUNCTION("""COMPUTED_VALUE"""),44265.6666666666)</f>
        <v>44265.666666666599</v>
      </c>
      <c r="T553" s="2">
        <f ca="1">IFERROR(__xludf.DUMMYFUNCTION("""COMPUTED_VALUE"""),159.15)</f>
        <v>159.15</v>
      </c>
    </row>
    <row r="554" spans="1:20">
      <c r="A554" s="3">
        <f ca="1">IFERROR(__xludf.DUMMYFUNCTION("""COMPUTED_VALUE"""),44266.6666666666)</f>
        <v>44266.666666666599</v>
      </c>
      <c r="B554" s="2">
        <f ca="1">IFERROR(__xludf.DUMMYFUNCTION("""COMPUTED_VALUE"""),121.96)</f>
        <v>121.96</v>
      </c>
      <c r="C554" s="3">
        <f ca="1">IFERROR(__xludf.DUMMYFUNCTION("""COMPUTED_VALUE"""),44266.6666666666)</f>
        <v>44266.666666666599</v>
      </c>
      <c r="D554" s="2">
        <f ca="1">IFERROR(__xludf.DUMMYFUNCTION("""COMPUTED_VALUE"""),237.13)</f>
        <v>237.13</v>
      </c>
      <c r="E554" s="3">
        <f ca="1">IFERROR(__xludf.DUMMYFUNCTION("""COMPUTED_VALUE"""),44266.6666666666)</f>
        <v>44266.666666666599</v>
      </c>
      <c r="F554" s="2">
        <f ca="1">IFERROR(__xludf.DUMMYFUNCTION("""COMPUTED_VALUE"""),3113.59)</f>
        <v>3113.59</v>
      </c>
      <c r="G554" s="3">
        <f ca="1">IFERROR(__xludf.DUMMYFUNCTION("""COMPUTED_VALUE"""),44266.6666666666)</f>
        <v>44266.666666666599</v>
      </c>
      <c r="H554" s="2">
        <f ca="1">IFERROR(__xludf.DUMMYFUNCTION("""COMPUTED_VALUE"""),2100.54)</f>
        <v>2100.54</v>
      </c>
      <c r="I554" s="3">
        <f ca="1">IFERROR(__xludf.DUMMYFUNCTION("""COMPUTED_VALUE"""),44266.6666666666)</f>
        <v>44266.666666666599</v>
      </c>
      <c r="J554" s="2">
        <f ca="1">IFERROR(__xludf.DUMMYFUNCTION("""COMPUTED_VALUE"""),2114.77)</f>
        <v>2114.77</v>
      </c>
      <c r="K554" s="3">
        <f ca="1">IFERROR(__xludf.DUMMYFUNCTION("""COMPUTED_VALUE"""),44266.6666666666)</f>
        <v>44266.666666666599</v>
      </c>
      <c r="L554" s="2">
        <f ca="1">IFERROR(__xludf.DUMMYFUNCTION("""COMPUTED_VALUE"""),273.88)</f>
        <v>273.88</v>
      </c>
      <c r="M554" s="3">
        <f ca="1">IFERROR(__xludf.DUMMYFUNCTION("""COMPUTED_VALUE"""),44266.6666666666)</f>
        <v>44266.666666666599</v>
      </c>
      <c r="N554" s="2">
        <f ca="1">IFERROR(__xludf.DUMMYFUNCTION("""COMPUTED_VALUE"""),699.6)</f>
        <v>699.6</v>
      </c>
      <c r="O554" s="3">
        <f ca="1">IFERROR(__xludf.DUMMYFUNCTION("""COMPUTED_VALUE"""),44266.6666666666)</f>
        <v>44266.666666666599</v>
      </c>
      <c r="P554" s="2">
        <f ca="1">IFERROR(__xludf.DUMMYFUNCTION("""COMPUTED_VALUE"""),129.94)</f>
        <v>129.94</v>
      </c>
      <c r="Q554" s="3">
        <f ca="1">IFERROR(__xludf.DUMMYFUNCTION("""COMPUTED_VALUE"""),44266.6666666666)</f>
        <v>44266.666666666599</v>
      </c>
      <c r="R554" s="2">
        <f ca="1">IFERROR(__xludf.DUMMYFUNCTION("""COMPUTED_VALUE"""),260.91)</f>
        <v>260.91000000000003</v>
      </c>
      <c r="S554" s="3">
        <f ca="1">IFERROR(__xludf.DUMMYFUNCTION("""COMPUTED_VALUE"""),44266.6666666666)</f>
        <v>44266.666666666599</v>
      </c>
      <c r="T554" s="2">
        <f ca="1">IFERROR(__xludf.DUMMYFUNCTION("""COMPUTED_VALUE"""),159.14)</f>
        <v>159.13999999999999</v>
      </c>
    </row>
    <row r="555" spans="1:20">
      <c r="A555" s="3">
        <f ca="1">IFERROR(__xludf.DUMMYFUNCTION("""COMPUTED_VALUE"""),44267.6666666666)</f>
        <v>44267.666666666599</v>
      </c>
      <c r="B555" s="2">
        <f ca="1">IFERROR(__xludf.DUMMYFUNCTION("""COMPUTED_VALUE"""),121.03)</f>
        <v>121.03</v>
      </c>
      <c r="C555" s="3">
        <f ca="1">IFERROR(__xludf.DUMMYFUNCTION("""COMPUTED_VALUE"""),44267.6666666666)</f>
        <v>44267.666666666599</v>
      </c>
      <c r="D555" s="2">
        <f ca="1">IFERROR(__xludf.DUMMYFUNCTION("""COMPUTED_VALUE"""),235.75)</f>
        <v>235.75</v>
      </c>
      <c r="E555" s="3">
        <f ca="1">IFERROR(__xludf.DUMMYFUNCTION("""COMPUTED_VALUE"""),44267.6666666666)</f>
        <v>44267.666666666599</v>
      </c>
      <c r="F555" s="2">
        <f ca="1">IFERROR(__xludf.DUMMYFUNCTION("""COMPUTED_VALUE"""),3089.49)</f>
        <v>3089.49</v>
      </c>
      <c r="G555" s="3">
        <f ca="1">IFERROR(__xludf.DUMMYFUNCTION("""COMPUTED_VALUE"""),44267.6666666666)</f>
        <v>44267.666666666599</v>
      </c>
      <c r="H555" s="2">
        <f ca="1">IFERROR(__xludf.DUMMYFUNCTION("""COMPUTED_VALUE"""),2050)</f>
        <v>2050</v>
      </c>
      <c r="I555" s="3">
        <f ca="1">IFERROR(__xludf.DUMMYFUNCTION("""COMPUTED_VALUE"""),44267.6666666666)</f>
        <v>44267.666666666599</v>
      </c>
      <c r="J555" s="2">
        <f ca="1">IFERROR(__xludf.DUMMYFUNCTION("""COMPUTED_VALUE"""),2061.92)</f>
        <v>2061.92</v>
      </c>
      <c r="K555" s="3">
        <f ca="1">IFERROR(__xludf.DUMMYFUNCTION("""COMPUTED_VALUE"""),44267.6666666666)</f>
        <v>44267.666666666599</v>
      </c>
      <c r="L555" s="2">
        <f ca="1">IFERROR(__xludf.DUMMYFUNCTION("""COMPUTED_VALUE"""),268.4)</f>
        <v>268.39999999999998</v>
      </c>
      <c r="M555" s="3">
        <f ca="1">IFERROR(__xludf.DUMMYFUNCTION("""COMPUTED_VALUE"""),44267.6666666666)</f>
        <v>44267.666666666599</v>
      </c>
      <c r="N555" s="2">
        <f ca="1">IFERROR(__xludf.DUMMYFUNCTION("""COMPUTED_VALUE"""),693.73)</f>
        <v>693.73</v>
      </c>
      <c r="O555" s="3">
        <f ca="1">IFERROR(__xludf.DUMMYFUNCTION("""COMPUTED_VALUE"""),44267.6666666666)</f>
        <v>44267.666666666599</v>
      </c>
      <c r="P555" s="2">
        <f ca="1">IFERROR(__xludf.DUMMYFUNCTION("""COMPUTED_VALUE"""),128.56)</f>
        <v>128.56</v>
      </c>
      <c r="Q555" s="3">
        <f ca="1">IFERROR(__xludf.DUMMYFUNCTION("""COMPUTED_VALUE"""),44267.6666666666)</f>
        <v>44267.666666666599</v>
      </c>
      <c r="R555" s="2">
        <f ca="1">IFERROR(__xludf.DUMMYFUNCTION("""COMPUTED_VALUE"""),260.02)</f>
        <v>260.02</v>
      </c>
      <c r="S555" s="3">
        <f ca="1">IFERROR(__xludf.DUMMYFUNCTION("""COMPUTED_VALUE"""),44267.6666666666)</f>
        <v>44267.666666666599</v>
      </c>
      <c r="T555" s="2">
        <f ca="1">IFERROR(__xludf.DUMMYFUNCTION("""COMPUTED_VALUE"""),159.6)</f>
        <v>159.6</v>
      </c>
    </row>
    <row r="556" spans="1:20">
      <c r="A556" s="3">
        <f ca="1">IFERROR(__xludf.DUMMYFUNCTION("""COMPUTED_VALUE"""),44270.6666666666)</f>
        <v>44270.666666666599</v>
      </c>
      <c r="B556" s="2">
        <f ca="1">IFERROR(__xludf.DUMMYFUNCTION("""COMPUTED_VALUE"""),123.99)</f>
        <v>123.99</v>
      </c>
      <c r="C556" s="3">
        <f ca="1">IFERROR(__xludf.DUMMYFUNCTION("""COMPUTED_VALUE"""),44270.6666666666)</f>
        <v>44270.666666666599</v>
      </c>
      <c r="D556" s="2">
        <f ca="1">IFERROR(__xludf.DUMMYFUNCTION("""COMPUTED_VALUE"""),234.81)</f>
        <v>234.81</v>
      </c>
      <c r="E556" s="3">
        <f ca="1">IFERROR(__xludf.DUMMYFUNCTION("""COMPUTED_VALUE"""),44270.6666666666)</f>
        <v>44270.666666666599</v>
      </c>
      <c r="F556" s="2">
        <f ca="1">IFERROR(__xludf.DUMMYFUNCTION("""COMPUTED_VALUE"""),3081.68)</f>
        <v>3081.68</v>
      </c>
      <c r="G556" s="3">
        <f ca="1">IFERROR(__xludf.DUMMYFUNCTION("""COMPUTED_VALUE"""),44270.6666666666)</f>
        <v>44270.666666666599</v>
      </c>
      <c r="H556" s="2">
        <f ca="1">IFERROR(__xludf.DUMMYFUNCTION("""COMPUTED_VALUE"""),2054.44)</f>
        <v>2054.44</v>
      </c>
      <c r="I556" s="3">
        <f ca="1">IFERROR(__xludf.DUMMYFUNCTION("""COMPUTED_VALUE"""),44270.6666666666)</f>
        <v>44270.666666666599</v>
      </c>
      <c r="J556" s="2">
        <f ca="1">IFERROR(__xludf.DUMMYFUNCTION("""COMPUTED_VALUE"""),2066.49)</f>
        <v>2066.4899999999998</v>
      </c>
      <c r="K556" s="3">
        <f ca="1">IFERROR(__xludf.DUMMYFUNCTION("""COMPUTED_VALUE"""),44270.6666666666)</f>
        <v>44270.666666666599</v>
      </c>
      <c r="L556" s="2">
        <f ca="1">IFERROR(__xludf.DUMMYFUNCTION("""COMPUTED_VALUE"""),273.75)</f>
        <v>273.75</v>
      </c>
      <c r="M556" s="3">
        <f ca="1">IFERROR(__xludf.DUMMYFUNCTION("""COMPUTED_VALUE"""),44270.6666666666)</f>
        <v>44270.666666666599</v>
      </c>
      <c r="N556" s="2">
        <f ca="1">IFERROR(__xludf.DUMMYFUNCTION("""COMPUTED_VALUE"""),707.94)</f>
        <v>707.94</v>
      </c>
      <c r="O556" s="3">
        <f ca="1">IFERROR(__xludf.DUMMYFUNCTION("""COMPUTED_VALUE"""),44270.6666666666)</f>
        <v>44270.666666666599</v>
      </c>
      <c r="P556" s="2">
        <f ca="1">IFERROR(__xludf.DUMMYFUNCTION("""COMPUTED_VALUE"""),131.91)</f>
        <v>131.91</v>
      </c>
      <c r="Q556" s="3">
        <f ca="1">IFERROR(__xludf.DUMMYFUNCTION("""COMPUTED_VALUE"""),44270.6666666666)</f>
        <v>44270.666666666599</v>
      </c>
      <c r="R556" s="2">
        <f ca="1">IFERROR(__xludf.DUMMYFUNCTION("""COMPUTED_VALUE"""),254.61)</f>
        <v>254.61</v>
      </c>
      <c r="S556" s="3">
        <f ca="1">IFERROR(__xludf.DUMMYFUNCTION("""COMPUTED_VALUE"""),44270.6666666666)</f>
        <v>44270.666666666599</v>
      </c>
      <c r="T556" s="2">
        <f ca="1">IFERROR(__xludf.DUMMYFUNCTION("""COMPUTED_VALUE"""),160.42)</f>
        <v>160.41999999999999</v>
      </c>
    </row>
    <row r="557" spans="1:20">
      <c r="A557" s="3">
        <f ca="1">IFERROR(__xludf.DUMMYFUNCTION("""COMPUTED_VALUE"""),44271.6666666666)</f>
        <v>44271.666666666599</v>
      </c>
      <c r="B557" s="2">
        <f ca="1">IFERROR(__xludf.DUMMYFUNCTION("""COMPUTED_VALUE"""),125.57)</f>
        <v>125.57</v>
      </c>
      <c r="C557" s="3">
        <f ca="1">IFERROR(__xludf.DUMMYFUNCTION("""COMPUTED_VALUE"""),44271.6666666666)</f>
        <v>44271.666666666599</v>
      </c>
      <c r="D557" s="2">
        <f ca="1">IFERROR(__xludf.DUMMYFUNCTION("""COMPUTED_VALUE"""),237.71)</f>
        <v>237.71</v>
      </c>
      <c r="E557" s="3">
        <f ca="1">IFERROR(__xludf.DUMMYFUNCTION("""COMPUTED_VALUE"""),44271.6666666666)</f>
        <v>44271.666666666599</v>
      </c>
      <c r="F557" s="2">
        <f ca="1">IFERROR(__xludf.DUMMYFUNCTION("""COMPUTED_VALUE"""),3091.86)</f>
        <v>3091.86</v>
      </c>
      <c r="G557" s="3">
        <f ca="1">IFERROR(__xludf.DUMMYFUNCTION("""COMPUTED_VALUE"""),44271.6666666666)</f>
        <v>44271.666666666599</v>
      </c>
      <c r="H557" s="2">
        <f ca="1">IFERROR(__xludf.DUMMYFUNCTION("""COMPUTED_VALUE"""),2083.89)</f>
        <v>2083.89</v>
      </c>
      <c r="I557" s="3">
        <f ca="1">IFERROR(__xludf.DUMMYFUNCTION("""COMPUTED_VALUE"""),44271.6666666666)</f>
        <v>44271.666666666599</v>
      </c>
      <c r="J557" s="2">
        <f ca="1">IFERROR(__xludf.DUMMYFUNCTION("""COMPUTED_VALUE"""),2092.52)</f>
        <v>2092.52</v>
      </c>
      <c r="K557" s="3">
        <f ca="1">IFERROR(__xludf.DUMMYFUNCTION("""COMPUTED_VALUE"""),44271.6666666666)</f>
        <v>44271.666666666599</v>
      </c>
      <c r="L557" s="2">
        <f ca="1">IFERROR(__xludf.DUMMYFUNCTION("""COMPUTED_VALUE"""),279.28)</f>
        <v>279.27999999999997</v>
      </c>
      <c r="M557" s="3">
        <f ca="1">IFERROR(__xludf.DUMMYFUNCTION("""COMPUTED_VALUE"""),44271.6666666666)</f>
        <v>44271.666666666599</v>
      </c>
      <c r="N557" s="2">
        <f ca="1">IFERROR(__xludf.DUMMYFUNCTION("""COMPUTED_VALUE"""),676.88)</f>
        <v>676.88</v>
      </c>
      <c r="O557" s="3">
        <f ca="1">IFERROR(__xludf.DUMMYFUNCTION("""COMPUTED_VALUE"""),44271.6666666666)</f>
        <v>44271.666666666599</v>
      </c>
      <c r="P557" s="2">
        <f ca="1">IFERROR(__xludf.DUMMYFUNCTION("""COMPUTED_VALUE"""),132.91)</f>
        <v>132.91</v>
      </c>
      <c r="Q557" s="3">
        <f ca="1">IFERROR(__xludf.DUMMYFUNCTION("""COMPUTED_VALUE"""),44271.6666666666)</f>
        <v>44271.666666666599</v>
      </c>
      <c r="R557" s="2">
        <f ca="1">IFERROR(__xludf.DUMMYFUNCTION("""COMPUTED_VALUE"""),251.5)</f>
        <v>251.5</v>
      </c>
      <c r="S557" s="3">
        <f ca="1">IFERROR(__xludf.DUMMYFUNCTION("""COMPUTED_VALUE"""),44271.6666666666)</f>
        <v>44271.666666666599</v>
      </c>
      <c r="T557" s="2">
        <f ca="1">IFERROR(__xludf.DUMMYFUNCTION("""COMPUTED_VALUE"""),161.37)</f>
        <v>161.37</v>
      </c>
    </row>
    <row r="558" spans="1:20">
      <c r="A558" s="3">
        <f ca="1">IFERROR(__xludf.DUMMYFUNCTION("""COMPUTED_VALUE"""),44272.6666666666)</f>
        <v>44272.666666666599</v>
      </c>
      <c r="B558" s="2">
        <f ca="1">IFERROR(__xludf.DUMMYFUNCTION("""COMPUTED_VALUE"""),124.76)</f>
        <v>124.76</v>
      </c>
      <c r="C558" s="3">
        <f ca="1">IFERROR(__xludf.DUMMYFUNCTION("""COMPUTED_VALUE"""),44272.6666666666)</f>
        <v>44272.666666666599</v>
      </c>
      <c r="D558" s="2">
        <f ca="1">IFERROR(__xludf.DUMMYFUNCTION("""COMPUTED_VALUE"""),237.04)</f>
        <v>237.04</v>
      </c>
      <c r="E558" s="3">
        <f ca="1">IFERROR(__xludf.DUMMYFUNCTION("""COMPUTED_VALUE"""),44272.6666666666)</f>
        <v>44272.666666666599</v>
      </c>
      <c r="F558" s="2">
        <f ca="1">IFERROR(__xludf.DUMMYFUNCTION("""COMPUTED_VALUE"""),3135.73)</f>
        <v>3135.73</v>
      </c>
      <c r="G558" s="3">
        <f ca="1">IFERROR(__xludf.DUMMYFUNCTION("""COMPUTED_VALUE"""),44272.6666666666)</f>
        <v>44272.666666666599</v>
      </c>
      <c r="H558" s="2">
        <f ca="1">IFERROR(__xludf.DUMMYFUNCTION("""COMPUTED_VALUE"""),2082.22)</f>
        <v>2082.2199999999998</v>
      </c>
      <c r="I558" s="3">
        <f ca="1">IFERROR(__xludf.DUMMYFUNCTION("""COMPUTED_VALUE"""),44272.6666666666)</f>
        <v>44272.666666666599</v>
      </c>
      <c r="J558" s="2">
        <f ca="1">IFERROR(__xludf.DUMMYFUNCTION("""COMPUTED_VALUE"""),2091.08)</f>
        <v>2091.08</v>
      </c>
      <c r="K558" s="3">
        <f ca="1">IFERROR(__xludf.DUMMYFUNCTION("""COMPUTED_VALUE"""),44272.6666666666)</f>
        <v>44272.666666666599</v>
      </c>
      <c r="L558" s="2">
        <f ca="1">IFERROR(__xludf.DUMMYFUNCTION("""COMPUTED_VALUE"""),284.01)</f>
        <v>284.01</v>
      </c>
      <c r="M558" s="3">
        <f ca="1">IFERROR(__xludf.DUMMYFUNCTION("""COMPUTED_VALUE"""),44272.6666666666)</f>
        <v>44272.666666666599</v>
      </c>
      <c r="N558" s="2">
        <f ca="1">IFERROR(__xludf.DUMMYFUNCTION("""COMPUTED_VALUE"""),701.81)</f>
        <v>701.81</v>
      </c>
      <c r="O558" s="3">
        <f ca="1">IFERROR(__xludf.DUMMYFUNCTION("""COMPUTED_VALUE"""),44272.6666666666)</f>
        <v>44272.666666666599</v>
      </c>
      <c r="P558" s="2">
        <f ca="1">IFERROR(__xludf.DUMMYFUNCTION("""COMPUTED_VALUE"""),133.41)</f>
        <v>133.41</v>
      </c>
      <c r="Q558" s="3">
        <f ca="1">IFERROR(__xludf.DUMMYFUNCTION("""COMPUTED_VALUE"""),44272.6666666666)</f>
        <v>44272.666666666599</v>
      </c>
      <c r="R558" s="2">
        <f ca="1">IFERROR(__xludf.DUMMYFUNCTION("""COMPUTED_VALUE"""),252)</f>
        <v>252</v>
      </c>
      <c r="S558" s="3">
        <f ca="1">IFERROR(__xludf.DUMMYFUNCTION("""COMPUTED_VALUE"""),44272.6666666666)</f>
        <v>44272.666666666599</v>
      </c>
      <c r="T558" s="2">
        <f ca="1">IFERROR(__xludf.DUMMYFUNCTION("""COMPUTED_VALUE"""),160.77)</f>
        <v>160.77000000000001</v>
      </c>
    </row>
    <row r="559" spans="1:20">
      <c r="A559" s="3">
        <f ca="1">IFERROR(__xludf.DUMMYFUNCTION("""COMPUTED_VALUE"""),44273.6666666666)</f>
        <v>44273.666666666599</v>
      </c>
      <c r="B559" s="2">
        <f ca="1">IFERROR(__xludf.DUMMYFUNCTION("""COMPUTED_VALUE"""),120.53)</f>
        <v>120.53</v>
      </c>
      <c r="C559" s="3">
        <f ca="1">IFERROR(__xludf.DUMMYFUNCTION("""COMPUTED_VALUE"""),44273.6666666666)</f>
        <v>44273.666666666599</v>
      </c>
      <c r="D559" s="2">
        <f ca="1">IFERROR(__xludf.DUMMYFUNCTION("""COMPUTED_VALUE"""),230.72)</f>
        <v>230.72</v>
      </c>
      <c r="E559" s="3">
        <f ca="1">IFERROR(__xludf.DUMMYFUNCTION("""COMPUTED_VALUE"""),44273.6666666666)</f>
        <v>44273.666666666599</v>
      </c>
      <c r="F559" s="2">
        <f ca="1">IFERROR(__xludf.DUMMYFUNCTION("""COMPUTED_VALUE"""),3027.99)</f>
        <v>3027.99</v>
      </c>
      <c r="G559" s="3">
        <f ca="1">IFERROR(__xludf.DUMMYFUNCTION("""COMPUTED_VALUE"""),44273.6666666666)</f>
        <v>44273.666666666599</v>
      </c>
      <c r="H559" s="2">
        <f ca="1">IFERROR(__xludf.DUMMYFUNCTION("""COMPUTED_VALUE"""),2021.34)</f>
        <v>2021.34</v>
      </c>
      <c r="I559" s="3">
        <f ca="1">IFERROR(__xludf.DUMMYFUNCTION("""COMPUTED_VALUE"""),44273.6666666666)</f>
        <v>44273.666666666599</v>
      </c>
      <c r="J559" s="2">
        <f ca="1">IFERROR(__xludf.DUMMYFUNCTION("""COMPUTED_VALUE"""),2036.22)</f>
        <v>2036.22</v>
      </c>
      <c r="K559" s="3">
        <f ca="1">IFERROR(__xludf.DUMMYFUNCTION("""COMPUTED_VALUE"""),44273.6666666666)</f>
        <v>44273.666666666599</v>
      </c>
      <c r="L559" s="2">
        <f ca="1">IFERROR(__xludf.DUMMYFUNCTION("""COMPUTED_VALUE"""),278.62)</f>
        <v>278.62</v>
      </c>
      <c r="M559" s="3">
        <f ca="1">IFERROR(__xludf.DUMMYFUNCTION("""COMPUTED_VALUE"""),44273.6666666666)</f>
        <v>44273.666666666599</v>
      </c>
      <c r="N559" s="2">
        <f ca="1">IFERROR(__xludf.DUMMYFUNCTION("""COMPUTED_VALUE"""),653.16)</f>
        <v>653.16</v>
      </c>
      <c r="O559" s="3">
        <f ca="1">IFERROR(__xludf.DUMMYFUNCTION("""COMPUTED_VALUE"""),44273.6666666666)</f>
        <v>44273.666666666599</v>
      </c>
      <c r="P559" s="2">
        <f ca="1">IFERROR(__xludf.DUMMYFUNCTION("""COMPUTED_VALUE"""),127.23)</f>
        <v>127.23</v>
      </c>
      <c r="Q559" s="3">
        <f ca="1">IFERROR(__xludf.DUMMYFUNCTION("""COMPUTED_VALUE"""),44273.6666666666)</f>
        <v>44273.666666666599</v>
      </c>
      <c r="R559" s="2">
        <f ca="1">IFERROR(__xludf.DUMMYFUNCTION("""COMPUTED_VALUE"""),252.46)</f>
        <v>252.46</v>
      </c>
      <c r="S559" s="3">
        <f ca="1">IFERROR(__xludf.DUMMYFUNCTION("""COMPUTED_VALUE"""),44273.6666666666)</f>
        <v>44273.666666666599</v>
      </c>
      <c r="T559" s="2">
        <f ca="1">IFERROR(__xludf.DUMMYFUNCTION("""COMPUTED_VALUE"""),160.47)</f>
        <v>160.47</v>
      </c>
    </row>
    <row r="560" spans="1:20">
      <c r="A560" s="3">
        <f ca="1">IFERROR(__xludf.DUMMYFUNCTION("""COMPUTED_VALUE"""),44274.6666666666)</f>
        <v>44274.666666666599</v>
      </c>
      <c r="B560" s="2">
        <f ca="1">IFERROR(__xludf.DUMMYFUNCTION("""COMPUTED_VALUE"""),119.99)</f>
        <v>119.99</v>
      </c>
      <c r="C560" s="3">
        <f ca="1">IFERROR(__xludf.DUMMYFUNCTION("""COMPUTED_VALUE"""),44274.6666666666)</f>
        <v>44274.666666666599</v>
      </c>
      <c r="D560" s="2">
        <f ca="1">IFERROR(__xludf.DUMMYFUNCTION("""COMPUTED_VALUE"""),230.35)</f>
        <v>230.35</v>
      </c>
      <c r="E560" s="3">
        <f ca="1">IFERROR(__xludf.DUMMYFUNCTION("""COMPUTED_VALUE"""),44274.6666666666)</f>
        <v>44274.666666666599</v>
      </c>
      <c r="F560" s="2">
        <f ca="1">IFERROR(__xludf.DUMMYFUNCTION("""COMPUTED_VALUE"""),3074.96)</f>
        <v>3074.96</v>
      </c>
      <c r="G560" s="3">
        <f ca="1">IFERROR(__xludf.DUMMYFUNCTION("""COMPUTED_VALUE"""),44274.6666666666)</f>
        <v>44274.666666666599</v>
      </c>
      <c r="H560" s="2">
        <f ca="1">IFERROR(__xludf.DUMMYFUNCTION("""COMPUTED_VALUE"""),2026.96)</f>
        <v>2026.96</v>
      </c>
      <c r="I560" s="3">
        <f ca="1">IFERROR(__xludf.DUMMYFUNCTION("""COMPUTED_VALUE"""),44274.6666666666)</f>
        <v>44274.666666666599</v>
      </c>
      <c r="J560" s="2">
        <f ca="1">IFERROR(__xludf.DUMMYFUNCTION("""COMPUTED_VALUE"""),2043.2)</f>
        <v>2043.2</v>
      </c>
      <c r="K560" s="3">
        <f ca="1">IFERROR(__xludf.DUMMYFUNCTION("""COMPUTED_VALUE"""),44274.6666666666)</f>
        <v>44274.666666666599</v>
      </c>
      <c r="L560" s="2">
        <f ca="1">IFERROR(__xludf.DUMMYFUNCTION("""COMPUTED_VALUE"""),290.11)</f>
        <v>290.11</v>
      </c>
      <c r="M560" s="3">
        <f ca="1">IFERROR(__xludf.DUMMYFUNCTION("""COMPUTED_VALUE"""),44274.6666666666)</f>
        <v>44274.666666666599</v>
      </c>
      <c r="N560" s="2">
        <f ca="1">IFERROR(__xludf.DUMMYFUNCTION("""COMPUTED_VALUE"""),654.87)</f>
        <v>654.87</v>
      </c>
      <c r="O560" s="3">
        <f ca="1">IFERROR(__xludf.DUMMYFUNCTION("""COMPUTED_VALUE"""),44274.6666666666)</f>
        <v>44274.666666666599</v>
      </c>
      <c r="P560" s="2">
        <f ca="1">IFERROR(__xludf.DUMMYFUNCTION("""COMPUTED_VALUE"""),128.46)</f>
        <v>128.46</v>
      </c>
      <c r="Q560" s="3">
        <f ca="1">IFERROR(__xludf.DUMMYFUNCTION("""COMPUTED_VALUE"""),44274.6666666666)</f>
        <v>44274.666666666599</v>
      </c>
      <c r="R560" s="2">
        <f ca="1">IFERROR(__xludf.DUMMYFUNCTION("""COMPUTED_VALUE"""),250.99)</f>
        <v>250.99</v>
      </c>
      <c r="S560" s="3">
        <f ca="1">IFERROR(__xludf.DUMMYFUNCTION("""COMPUTED_VALUE"""),44274.6666666666)</f>
        <v>44274.666666666599</v>
      </c>
      <c r="T560" s="2">
        <f ca="1">IFERROR(__xludf.DUMMYFUNCTION("""COMPUTED_VALUE"""),160.04)</f>
        <v>160.04</v>
      </c>
    </row>
    <row r="561" spans="1:20">
      <c r="A561" s="3">
        <f ca="1">IFERROR(__xludf.DUMMYFUNCTION("""COMPUTED_VALUE"""),44277.6666666666)</f>
        <v>44277.666666666599</v>
      </c>
      <c r="B561" s="2">
        <f ca="1">IFERROR(__xludf.DUMMYFUNCTION("""COMPUTED_VALUE"""),123.39)</f>
        <v>123.39</v>
      </c>
      <c r="C561" s="3">
        <f ca="1">IFERROR(__xludf.DUMMYFUNCTION("""COMPUTED_VALUE"""),44277.6666666666)</f>
        <v>44277.666666666599</v>
      </c>
      <c r="D561" s="2">
        <f ca="1">IFERROR(__xludf.DUMMYFUNCTION("""COMPUTED_VALUE"""),235.99)</f>
        <v>235.99</v>
      </c>
      <c r="E561" s="3">
        <f ca="1">IFERROR(__xludf.DUMMYFUNCTION("""COMPUTED_VALUE"""),44277.6666666666)</f>
        <v>44277.666666666599</v>
      </c>
      <c r="F561" s="2">
        <f ca="1">IFERROR(__xludf.DUMMYFUNCTION("""COMPUTED_VALUE"""),3110.87)</f>
        <v>3110.87</v>
      </c>
      <c r="G561" s="3">
        <f ca="1">IFERROR(__xludf.DUMMYFUNCTION("""COMPUTED_VALUE"""),44277.6666666666)</f>
        <v>44277.666666666599</v>
      </c>
      <c r="H561" s="2">
        <f ca="1">IFERROR(__xludf.DUMMYFUNCTION("""COMPUTED_VALUE"""),2030.69)</f>
        <v>2030.69</v>
      </c>
      <c r="I561" s="3">
        <f ca="1">IFERROR(__xludf.DUMMYFUNCTION("""COMPUTED_VALUE"""),44277.6666666666)</f>
        <v>44277.666666666599</v>
      </c>
      <c r="J561" s="2">
        <f ca="1">IFERROR(__xludf.DUMMYFUNCTION("""COMPUTED_VALUE"""),2038.59)</f>
        <v>2038.59</v>
      </c>
      <c r="K561" s="3">
        <f ca="1">IFERROR(__xludf.DUMMYFUNCTION("""COMPUTED_VALUE"""),44277.6666666666)</f>
        <v>44277.666666666599</v>
      </c>
      <c r="L561" s="2">
        <f ca="1">IFERROR(__xludf.DUMMYFUNCTION("""COMPUTED_VALUE"""),293.54)</f>
        <v>293.54000000000002</v>
      </c>
      <c r="M561" s="3">
        <f ca="1">IFERROR(__xludf.DUMMYFUNCTION("""COMPUTED_VALUE"""),44277.6666666666)</f>
        <v>44277.666666666599</v>
      </c>
      <c r="N561" s="2">
        <f ca="1">IFERROR(__xludf.DUMMYFUNCTION("""COMPUTED_VALUE"""),670)</f>
        <v>670</v>
      </c>
      <c r="O561" s="3">
        <f ca="1">IFERROR(__xludf.DUMMYFUNCTION("""COMPUTED_VALUE"""),44277.6666666666)</f>
        <v>44277.666666666599</v>
      </c>
      <c r="P561" s="2">
        <f ca="1">IFERROR(__xludf.DUMMYFUNCTION("""COMPUTED_VALUE"""),131.86)</f>
        <v>131.86000000000001</v>
      </c>
      <c r="Q561" s="3">
        <f ca="1">IFERROR(__xludf.DUMMYFUNCTION("""COMPUTED_VALUE"""),44277.6666666666)</f>
        <v>44277.666666666599</v>
      </c>
      <c r="R561" s="2">
        <f ca="1">IFERROR(__xludf.DUMMYFUNCTION("""COMPUTED_VALUE"""),250.36)</f>
        <v>250.36</v>
      </c>
      <c r="S561" s="3">
        <f ca="1">IFERROR(__xludf.DUMMYFUNCTION("""COMPUTED_VALUE"""),44277.6666666666)</f>
        <v>44277.666666666599</v>
      </c>
      <c r="T561" s="2">
        <f ca="1">IFERROR(__xludf.DUMMYFUNCTION("""COMPUTED_VALUE"""),160.5)</f>
        <v>160.5</v>
      </c>
    </row>
    <row r="562" spans="1:20">
      <c r="A562" s="3">
        <f ca="1">IFERROR(__xludf.DUMMYFUNCTION("""COMPUTED_VALUE"""),44278.6666666666)</f>
        <v>44278.666666666599</v>
      </c>
      <c r="B562" s="2">
        <f ca="1">IFERROR(__xludf.DUMMYFUNCTION("""COMPUTED_VALUE"""),122.54)</f>
        <v>122.54</v>
      </c>
      <c r="C562" s="3">
        <f ca="1">IFERROR(__xludf.DUMMYFUNCTION("""COMPUTED_VALUE"""),44278.6666666666)</f>
        <v>44278.666666666599</v>
      </c>
      <c r="D562" s="2">
        <f ca="1">IFERROR(__xludf.DUMMYFUNCTION("""COMPUTED_VALUE"""),237.58)</f>
        <v>237.58</v>
      </c>
      <c r="E562" s="3">
        <f ca="1">IFERROR(__xludf.DUMMYFUNCTION("""COMPUTED_VALUE"""),44278.6666666666)</f>
        <v>44278.666666666599</v>
      </c>
      <c r="F562" s="2">
        <f ca="1">IFERROR(__xludf.DUMMYFUNCTION("""COMPUTED_VALUE"""),3137.5)</f>
        <v>3137.5</v>
      </c>
      <c r="G562" s="3">
        <f ca="1">IFERROR(__xludf.DUMMYFUNCTION("""COMPUTED_VALUE"""),44278.6666666666)</f>
        <v>44278.666666666599</v>
      </c>
      <c r="H562" s="2">
        <f ca="1">IFERROR(__xludf.DUMMYFUNCTION("""COMPUTED_VALUE"""),2041.33)</f>
        <v>2041.33</v>
      </c>
      <c r="I562" s="3">
        <f ca="1">IFERROR(__xludf.DUMMYFUNCTION("""COMPUTED_VALUE"""),44278.6666666666)</f>
        <v>44278.666666666599</v>
      </c>
      <c r="J562" s="2">
        <f ca="1">IFERROR(__xludf.DUMMYFUNCTION("""COMPUTED_VALUE"""),2052.96)</f>
        <v>2052.96</v>
      </c>
      <c r="K562" s="3">
        <f ca="1">IFERROR(__xludf.DUMMYFUNCTION("""COMPUTED_VALUE"""),44278.6666666666)</f>
        <v>44278.666666666599</v>
      </c>
      <c r="L562" s="2">
        <f ca="1">IFERROR(__xludf.DUMMYFUNCTION("""COMPUTED_VALUE"""),290.63)</f>
        <v>290.63</v>
      </c>
      <c r="M562" s="3">
        <f ca="1">IFERROR(__xludf.DUMMYFUNCTION("""COMPUTED_VALUE"""),44278.6666666666)</f>
        <v>44278.666666666599</v>
      </c>
      <c r="N562" s="2">
        <f ca="1">IFERROR(__xludf.DUMMYFUNCTION("""COMPUTED_VALUE"""),662.16)</f>
        <v>662.16</v>
      </c>
      <c r="O562" s="3">
        <f ca="1">IFERROR(__xludf.DUMMYFUNCTION("""COMPUTED_VALUE"""),44278.6666666666)</f>
        <v>44278.666666666599</v>
      </c>
      <c r="P562" s="2">
        <f ca="1">IFERROR(__xludf.DUMMYFUNCTION("""COMPUTED_VALUE"""),130.71)</f>
        <v>130.71</v>
      </c>
      <c r="Q562" s="3">
        <f ca="1">IFERROR(__xludf.DUMMYFUNCTION("""COMPUTED_VALUE"""),44278.6666666666)</f>
        <v>44278.666666666599</v>
      </c>
      <c r="R562" s="2">
        <f ca="1">IFERROR(__xludf.DUMMYFUNCTION("""COMPUTED_VALUE"""),248.31)</f>
        <v>248.31</v>
      </c>
      <c r="S562" s="3">
        <f ca="1">IFERROR(__xludf.DUMMYFUNCTION("""COMPUTED_VALUE"""),44278.6666666666)</f>
        <v>44278.666666666599</v>
      </c>
      <c r="T562" s="2">
        <f ca="1">IFERROR(__xludf.DUMMYFUNCTION("""COMPUTED_VALUE"""),160.35)</f>
        <v>160.35</v>
      </c>
    </row>
    <row r="563" spans="1:20">
      <c r="A563" s="3">
        <f ca="1">IFERROR(__xludf.DUMMYFUNCTION("""COMPUTED_VALUE"""),44279.6666666666)</f>
        <v>44279.666666666599</v>
      </c>
      <c r="B563" s="2">
        <f ca="1">IFERROR(__xludf.DUMMYFUNCTION("""COMPUTED_VALUE"""),120.09)</f>
        <v>120.09</v>
      </c>
      <c r="C563" s="3">
        <f ca="1">IFERROR(__xludf.DUMMYFUNCTION("""COMPUTED_VALUE"""),44279.6666666666)</f>
        <v>44279.666666666599</v>
      </c>
      <c r="D563" s="2">
        <f ca="1">IFERROR(__xludf.DUMMYFUNCTION("""COMPUTED_VALUE"""),235.46)</f>
        <v>235.46</v>
      </c>
      <c r="E563" s="3">
        <f ca="1">IFERROR(__xludf.DUMMYFUNCTION("""COMPUTED_VALUE"""),44279.6666666666)</f>
        <v>44279.666666666599</v>
      </c>
      <c r="F563" s="2">
        <f ca="1">IFERROR(__xludf.DUMMYFUNCTION("""COMPUTED_VALUE"""),3087.07)</f>
        <v>3087.07</v>
      </c>
      <c r="G563" s="3">
        <f ca="1">IFERROR(__xludf.DUMMYFUNCTION("""COMPUTED_VALUE"""),44279.6666666666)</f>
        <v>44279.666666666599</v>
      </c>
      <c r="H563" s="2">
        <f ca="1">IFERROR(__xludf.DUMMYFUNCTION("""COMPUTED_VALUE"""),2032.53)</f>
        <v>2032.53</v>
      </c>
      <c r="I563" s="3">
        <f ca="1">IFERROR(__xludf.DUMMYFUNCTION("""COMPUTED_VALUE"""),44279.6666666666)</f>
        <v>44279.666666666599</v>
      </c>
      <c r="J563" s="2">
        <f ca="1">IFERROR(__xludf.DUMMYFUNCTION("""COMPUTED_VALUE"""),2045.06)</f>
        <v>2045.06</v>
      </c>
      <c r="K563" s="3">
        <f ca="1">IFERROR(__xludf.DUMMYFUNCTION("""COMPUTED_VALUE"""),44279.6666666666)</f>
        <v>44279.666666666599</v>
      </c>
      <c r="L563" s="2">
        <f ca="1">IFERROR(__xludf.DUMMYFUNCTION("""COMPUTED_VALUE"""),282.14)</f>
        <v>282.14</v>
      </c>
      <c r="M563" s="3">
        <f ca="1">IFERROR(__xludf.DUMMYFUNCTION("""COMPUTED_VALUE"""),44279.6666666666)</f>
        <v>44279.666666666599</v>
      </c>
      <c r="N563" s="2">
        <f ca="1">IFERROR(__xludf.DUMMYFUNCTION("""COMPUTED_VALUE"""),630.27)</f>
        <v>630.27</v>
      </c>
      <c r="O563" s="3">
        <f ca="1">IFERROR(__xludf.DUMMYFUNCTION("""COMPUTED_VALUE"""),44279.6666666666)</f>
        <v>44279.666666666599</v>
      </c>
      <c r="P563" s="2">
        <f ca="1">IFERROR(__xludf.DUMMYFUNCTION("""COMPUTED_VALUE"""),126.43)</f>
        <v>126.43</v>
      </c>
      <c r="Q563" s="3">
        <f ca="1">IFERROR(__xludf.DUMMYFUNCTION("""COMPUTED_VALUE"""),44279.6666666666)</f>
        <v>44279.666666666599</v>
      </c>
      <c r="R563" s="2">
        <f ca="1">IFERROR(__xludf.DUMMYFUNCTION("""COMPUTED_VALUE"""),249.63)</f>
        <v>249.63</v>
      </c>
      <c r="S563" s="3">
        <f ca="1">IFERROR(__xludf.DUMMYFUNCTION("""COMPUTED_VALUE"""),44279.6666666666)</f>
        <v>44279.666666666599</v>
      </c>
      <c r="T563" s="2">
        <f ca="1">IFERROR(__xludf.DUMMYFUNCTION("""COMPUTED_VALUE"""),161.91)</f>
        <v>161.91</v>
      </c>
    </row>
    <row r="564" spans="1:20">
      <c r="A564" s="3">
        <f ca="1">IFERROR(__xludf.DUMMYFUNCTION("""COMPUTED_VALUE"""),44280.6666666666)</f>
        <v>44280.666666666599</v>
      </c>
      <c r="B564" s="2">
        <f ca="1">IFERROR(__xludf.DUMMYFUNCTION("""COMPUTED_VALUE"""),120.59)</f>
        <v>120.59</v>
      </c>
      <c r="C564" s="3">
        <f ca="1">IFERROR(__xludf.DUMMYFUNCTION("""COMPUTED_VALUE"""),44280.6666666666)</f>
        <v>44280.666666666599</v>
      </c>
      <c r="D564" s="2">
        <f ca="1">IFERROR(__xludf.DUMMYFUNCTION("""COMPUTED_VALUE"""),232.34)</f>
        <v>232.34</v>
      </c>
      <c r="E564" s="3">
        <f ca="1">IFERROR(__xludf.DUMMYFUNCTION("""COMPUTED_VALUE"""),44280.6666666666)</f>
        <v>44280.666666666599</v>
      </c>
      <c r="F564" s="2">
        <f ca="1">IFERROR(__xludf.DUMMYFUNCTION("""COMPUTED_VALUE"""),3046.26)</f>
        <v>3046.26</v>
      </c>
      <c r="G564" s="3">
        <f ca="1">IFERROR(__xludf.DUMMYFUNCTION("""COMPUTED_VALUE"""),44280.6666666666)</f>
        <v>44280.666666666599</v>
      </c>
      <c r="H564" s="2">
        <f ca="1">IFERROR(__xludf.DUMMYFUNCTION("""COMPUTED_VALUE"""),2032.46)</f>
        <v>2032.46</v>
      </c>
      <c r="I564" s="3">
        <f ca="1">IFERROR(__xludf.DUMMYFUNCTION("""COMPUTED_VALUE"""),44280.6666666666)</f>
        <v>44280.666666666599</v>
      </c>
      <c r="J564" s="2">
        <f ca="1">IFERROR(__xludf.DUMMYFUNCTION("""COMPUTED_VALUE"""),2044.36)</f>
        <v>2044.36</v>
      </c>
      <c r="K564" s="3">
        <f ca="1">IFERROR(__xludf.DUMMYFUNCTION("""COMPUTED_VALUE"""),44280.6666666666)</f>
        <v>44280.666666666599</v>
      </c>
      <c r="L564" s="2">
        <f ca="1">IFERROR(__xludf.DUMMYFUNCTION("""COMPUTED_VALUE"""),278.74)</f>
        <v>278.74</v>
      </c>
      <c r="M564" s="3">
        <f ca="1">IFERROR(__xludf.DUMMYFUNCTION("""COMPUTED_VALUE"""),44280.6666666666)</f>
        <v>44280.666666666599</v>
      </c>
      <c r="N564" s="2">
        <f ca="1">IFERROR(__xludf.DUMMYFUNCTION("""COMPUTED_VALUE"""),640.39)</f>
        <v>640.39</v>
      </c>
      <c r="O564" s="3">
        <f ca="1">IFERROR(__xludf.DUMMYFUNCTION("""COMPUTED_VALUE"""),44280.6666666666)</f>
        <v>44280.666666666599</v>
      </c>
      <c r="P564" s="2">
        <f ca="1">IFERROR(__xludf.DUMMYFUNCTION("""COMPUTED_VALUE"""),125.35)</f>
        <v>125.35</v>
      </c>
      <c r="Q564" s="3">
        <f ca="1">IFERROR(__xludf.DUMMYFUNCTION("""COMPUTED_VALUE"""),44280.6666666666)</f>
        <v>44280.666666666599</v>
      </c>
      <c r="R564" s="2">
        <f ca="1">IFERROR(__xludf.DUMMYFUNCTION("""COMPUTED_VALUE"""),250.75)</f>
        <v>250.75</v>
      </c>
      <c r="S564" s="3">
        <f ca="1">IFERROR(__xludf.DUMMYFUNCTION("""COMPUTED_VALUE"""),44280.6666666666)</f>
        <v>44280.666666666599</v>
      </c>
      <c r="T564" s="2">
        <f ca="1">IFERROR(__xludf.DUMMYFUNCTION("""COMPUTED_VALUE"""),161.97)</f>
        <v>161.97</v>
      </c>
    </row>
    <row r="565" spans="1:20">
      <c r="A565" s="3">
        <f ca="1">IFERROR(__xludf.DUMMYFUNCTION("""COMPUTED_VALUE"""),44281.6666666666)</f>
        <v>44281.666666666599</v>
      </c>
      <c r="B565" s="2">
        <f ca="1">IFERROR(__xludf.DUMMYFUNCTION("""COMPUTED_VALUE"""),121.21)</f>
        <v>121.21</v>
      </c>
      <c r="C565" s="3">
        <f ca="1">IFERROR(__xludf.DUMMYFUNCTION("""COMPUTED_VALUE"""),44281.6666666666)</f>
        <v>44281.666666666599</v>
      </c>
      <c r="D565" s="2">
        <f ca="1">IFERROR(__xludf.DUMMYFUNCTION("""COMPUTED_VALUE"""),236.48)</f>
        <v>236.48</v>
      </c>
      <c r="E565" s="3">
        <f ca="1">IFERROR(__xludf.DUMMYFUNCTION("""COMPUTED_VALUE"""),44281.6666666666)</f>
        <v>44281.666666666599</v>
      </c>
      <c r="F565" s="2">
        <f ca="1">IFERROR(__xludf.DUMMYFUNCTION("""COMPUTED_VALUE"""),3052.03)</f>
        <v>3052.03</v>
      </c>
      <c r="G565" s="3">
        <f ca="1">IFERROR(__xludf.DUMMYFUNCTION("""COMPUTED_VALUE"""),44281.6666666666)</f>
        <v>44281.666666666599</v>
      </c>
      <c r="H565" s="2">
        <f ca="1">IFERROR(__xludf.DUMMYFUNCTION("""COMPUTED_VALUE"""),2024.73)</f>
        <v>2024.73</v>
      </c>
      <c r="I565" s="3">
        <f ca="1">IFERROR(__xludf.DUMMYFUNCTION("""COMPUTED_VALUE"""),44281.6666666666)</f>
        <v>44281.666666666599</v>
      </c>
      <c r="J565" s="2">
        <f ca="1">IFERROR(__xludf.DUMMYFUNCTION("""COMPUTED_VALUE"""),2035.55)</f>
        <v>2035.55</v>
      </c>
      <c r="K565" s="3">
        <f ca="1">IFERROR(__xludf.DUMMYFUNCTION("""COMPUTED_VALUE"""),44281.6666666666)</f>
        <v>44281.666666666599</v>
      </c>
      <c r="L565" s="2">
        <f ca="1">IFERROR(__xludf.DUMMYFUNCTION("""COMPUTED_VALUE"""),283.02)</f>
        <v>283.02</v>
      </c>
      <c r="M565" s="3">
        <f ca="1">IFERROR(__xludf.DUMMYFUNCTION("""COMPUTED_VALUE"""),44281.6666666666)</f>
        <v>44281.666666666599</v>
      </c>
      <c r="N565" s="2">
        <f ca="1">IFERROR(__xludf.DUMMYFUNCTION("""COMPUTED_VALUE"""),618.71)</f>
        <v>618.71</v>
      </c>
      <c r="O565" s="3">
        <f ca="1">IFERROR(__xludf.DUMMYFUNCTION("""COMPUTED_VALUE"""),44281.6666666666)</f>
        <v>44281.666666666599</v>
      </c>
      <c r="P565" s="2">
        <f ca="1">IFERROR(__xludf.DUMMYFUNCTION("""COMPUTED_VALUE"""),128.39)</f>
        <v>128.38999999999999</v>
      </c>
      <c r="Q565" s="3">
        <f ca="1">IFERROR(__xludf.DUMMYFUNCTION("""COMPUTED_VALUE"""),44281.6666666666)</f>
        <v>44281.666666666599</v>
      </c>
      <c r="R565" s="2">
        <f ca="1">IFERROR(__xludf.DUMMYFUNCTION("""COMPUTED_VALUE"""),256.77)</f>
        <v>256.77</v>
      </c>
      <c r="S565" s="3">
        <f ca="1">IFERROR(__xludf.DUMMYFUNCTION("""COMPUTED_VALUE"""),44281.6666666666)</f>
        <v>44281.666666666599</v>
      </c>
      <c r="T565" s="2">
        <f ca="1">IFERROR(__xludf.DUMMYFUNCTION("""COMPUTED_VALUE"""),164.93)</f>
        <v>164.93</v>
      </c>
    </row>
    <row r="566" spans="1:20">
      <c r="A566" s="3">
        <f ca="1">IFERROR(__xludf.DUMMYFUNCTION("""COMPUTED_VALUE"""),44284.6666666666)</f>
        <v>44284.666666666599</v>
      </c>
      <c r="B566" s="2">
        <f ca="1">IFERROR(__xludf.DUMMYFUNCTION("""COMPUTED_VALUE"""),121.39)</f>
        <v>121.39</v>
      </c>
      <c r="C566" s="3">
        <f ca="1">IFERROR(__xludf.DUMMYFUNCTION("""COMPUTED_VALUE"""),44284.6666666666)</f>
        <v>44284.666666666599</v>
      </c>
      <c r="D566" s="2">
        <f ca="1">IFERROR(__xludf.DUMMYFUNCTION("""COMPUTED_VALUE"""),235.24)</f>
        <v>235.24</v>
      </c>
      <c r="E566" s="3">
        <f ca="1">IFERROR(__xludf.DUMMYFUNCTION("""COMPUTED_VALUE"""),44284.6666666666)</f>
        <v>44284.666666666599</v>
      </c>
      <c r="F566" s="2">
        <f ca="1">IFERROR(__xludf.DUMMYFUNCTION("""COMPUTED_VALUE"""),3075.73)</f>
        <v>3075.73</v>
      </c>
      <c r="G566" s="3">
        <f ca="1">IFERROR(__xludf.DUMMYFUNCTION("""COMPUTED_VALUE"""),44284.6666666666)</f>
        <v>44284.666666666599</v>
      </c>
      <c r="H566" s="2">
        <f ca="1">IFERROR(__xludf.DUMMYFUNCTION("""COMPUTED_VALUE"""),2045.79)</f>
        <v>2045.79</v>
      </c>
      <c r="I566" s="3">
        <f ca="1">IFERROR(__xludf.DUMMYFUNCTION("""COMPUTED_VALUE"""),44284.6666666666)</f>
        <v>44284.666666666599</v>
      </c>
      <c r="J566" s="2">
        <f ca="1">IFERROR(__xludf.DUMMYFUNCTION("""COMPUTED_VALUE"""),2055.95)</f>
        <v>2055.9499999999998</v>
      </c>
      <c r="K566" s="3">
        <f ca="1">IFERROR(__xludf.DUMMYFUNCTION("""COMPUTED_VALUE"""),44284.6666666666)</f>
        <v>44284.666666666599</v>
      </c>
      <c r="L566" s="2">
        <f ca="1">IFERROR(__xludf.DUMMYFUNCTION("""COMPUTED_VALUE"""),290.82)</f>
        <v>290.82</v>
      </c>
      <c r="M566" s="3">
        <f ca="1">IFERROR(__xludf.DUMMYFUNCTION("""COMPUTED_VALUE"""),44284.6666666666)</f>
        <v>44284.666666666599</v>
      </c>
      <c r="N566" s="2">
        <f ca="1">IFERROR(__xludf.DUMMYFUNCTION("""COMPUTED_VALUE"""),611.29)</f>
        <v>611.29</v>
      </c>
      <c r="O566" s="3">
        <f ca="1">IFERROR(__xludf.DUMMYFUNCTION("""COMPUTED_VALUE"""),44284.6666666666)</f>
        <v>44284.666666666599</v>
      </c>
      <c r="P566" s="2">
        <f ca="1">IFERROR(__xludf.DUMMYFUNCTION("""COMPUTED_VALUE"""),129.48)</f>
        <v>129.47999999999999</v>
      </c>
      <c r="Q566" s="3">
        <f ca="1">IFERROR(__xludf.DUMMYFUNCTION("""COMPUTED_VALUE"""),44284.6666666666)</f>
        <v>44284.666666666599</v>
      </c>
      <c r="R566" s="2">
        <f ca="1">IFERROR(__xludf.DUMMYFUNCTION("""COMPUTED_VALUE"""),258.82)</f>
        <v>258.82</v>
      </c>
      <c r="S566" s="3">
        <f ca="1">IFERROR(__xludf.DUMMYFUNCTION("""COMPUTED_VALUE"""),44284.6666666666)</f>
        <v>44284.666666666599</v>
      </c>
      <c r="T566" s="2">
        <f ca="1">IFERROR(__xludf.DUMMYFUNCTION("""COMPUTED_VALUE"""),166.04)</f>
        <v>166.04</v>
      </c>
    </row>
    <row r="567" spans="1:20">
      <c r="A567" s="3">
        <f ca="1">IFERROR(__xludf.DUMMYFUNCTION("""COMPUTED_VALUE"""),44285.6666666666)</f>
        <v>44285.666666666599</v>
      </c>
      <c r="B567" s="2">
        <f ca="1">IFERROR(__xludf.DUMMYFUNCTION("""COMPUTED_VALUE"""),119.9)</f>
        <v>119.9</v>
      </c>
      <c r="C567" s="3">
        <f ca="1">IFERROR(__xludf.DUMMYFUNCTION("""COMPUTED_VALUE"""),44285.6666666666)</f>
        <v>44285.666666666599</v>
      </c>
      <c r="D567" s="2">
        <f ca="1">IFERROR(__xludf.DUMMYFUNCTION("""COMPUTED_VALUE"""),231.85)</f>
        <v>231.85</v>
      </c>
      <c r="E567" s="3">
        <f ca="1">IFERROR(__xludf.DUMMYFUNCTION("""COMPUTED_VALUE"""),44285.6666666666)</f>
        <v>44285.666666666599</v>
      </c>
      <c r="F567" s="2">
        <f ca="1">IFERROR(__xludf.DUMMYFUNCTION("""COMPUTED_VALUE"""),3055.29)</f>
        <v>3055.29</v>
      </c>
      <c r="G567" s="3">
        <f ca="1">IFERROR(__xludf.DUMMYFUNCTION("""COMPUTED_VALUE"""),44285.6666666666)</f>
        <v>44285.666666666599</v>
      </c>
      <c r="H567" s="2">
        <f ca="1">IFERROR(__xludf.DUMMYFUNCTION("""COMPUTED_VALUE"""),2046.47)</f>
        <v>2046.47</v>
      </c>
      <c r="I567" s="3">
        <f ca="1">IFERROR(__xludf.DUMMYFUNCTION("""COMPUTED_VALUE"""),44285.6666666666)</f>
        <v>44285.666666666599</v>
      </c>
      <c r="J567" s="2">
        <f ca="1">IFERROR(__xludf.DUMMYFUNCTION("""COMPUTED_VALUE"""),2055.54)</f>
        <v>2055.54</v>
      </c>
      <c r="K567" s="3">
        <f ca="1">IFERROR(__xludf.DUMMYFUNCTION("""COMPUTED_VALUE"""),44285.6666666666)</f>
        <v>44285.666666666599</v>
      </c>
      <c r="L567" s="2">
        <f ca="1">IFERROR(__xludf.DUMMYFUNCTION("""COMPUTED_VALUE"""),288)</f>
        <v>288</v>
      </c>
      <c r="M567" s="3">
        <f ca="1">IFERROR(__xludf.DUMMYFUNCTION("""COMPUTED_VALUE"""),44285.6666666666)</f>
        <v>44285.666666666599</v>
      </c>
      <c r="N567" s="2">
        <f ca="1">IFERROR(__xludf.DUMMYFUNCTION("""COMPUTED_VALUE"""),635.62)</f>
        <v>635.62</v>
      </c>
      <c r="O567" s="3">
        <f ca="1">IFERROR(__xludf.DUMMYFUNCTION("""COMPUTED_VALUE"""),44285.6666666666)</f>
        <v>44285.666666666599</v>
      </c>
      <c r="P567" s="2">
        <f ca="1">IFERROR(__xludf.DUMMYFUNCTION("""COMPUTED_VALUE"""),128.72)</f>
        <v>128.72</v>
      </c>
      <c r="Q567" s="3">
        <f ca="1">IFERROR(__xludf.DUMMYFUNCTION("""COMPUTED_VALUE"""),44285.6666666666)</f>
        <v>44285.666666666599</v>
      </c>
      <c r="R567" s="2">
        <f ca="1">IFERROR(__xludf.DUMMYFUNCTION("""COMPUTED_VALUE"""),258.19)</f>
        <v>258.19</v>
      </c>
      <c r="S567" s="3">
        <f ca="1">IFERROR(__xludf.DUMMYFUNCTION("""COMPUTED_VALUE"""),44285.6666666666)</f>
        <v>44285.666666666599</v>
      </c>
      <c r="T567" s="2">
        <f ca="1">IFERROR(__xludf.DUMMYFUNCTION("""COMPUTED_VALUE"""),165.01)</f>
        <v>165.01</v>
      </c>
    </row>
    <row r="568" spans="1:20">
      <c r="A568" s="3">
        <f ca="1">IFERROR(__xludf.DUMMYFUNCTION("""COMPUTED_VALUE"""),44286.6666666666)</f>
        <v>44286.666666666599</v>
      </c>
      <c r="B568" s="2">
        <f ca="1">IFERROR(__xludf.DUMMYFUNCTION("""COMPUTED_VALUE"""),122.15)</f>
        <v>122.15</v>
      </c>
      <c r="C568" s="3">
        <f ca="1">IFERROR(__xludf.DUMMYFUNCTION("""COMPUTED_VALUE"""),44286.6666666666)</f>
        <v>44286.666666666599</v>
      </c>
      <c r="D568" s="2">
        <f ca="1">IFERROR(__xludf.DUMMYFUNCTION("""COMPUTED_VALUE"""),235.77)</f>
        <v>235.77</v>
      </c>
      <c r="E568" s="3">
        <f ca="1">IFERROR(__xludf.DUMMYFUNCTION("""COMPUTED_VALUE"""),44286.6666666666)</f>
        <v>44286.666666666599</v>
      </c>
      <c r="F568" s="2">
        <f ca="1">IFERROR(__xludf.DUMMYFUNCTION("""COMPUTED_VALUE"""),3094.08)</f>
        <v>3094.08</v>
      </c>
      <c r="G568" s="3">
        <f ca="1">IFERROR(__xludf.DUMMYFUNCTION("""COMPUTED_VALUE"""),44286.6666666666)</f>
        <v>44286.666666666599</v>
      </c>
      <c r="H568" s="2">
        <f ca="1">IFERROR(__xludf.DUMMYFUNCTION("""COMPUTED_VALUE"""),2062.52)</f>
        <v>2062.52</v>
      </c>
      <c r="I568" s="3">
        <f ca="1">IFERROR(__xludf.DUMMYFUNCTION("""COMPUTED_VALUE"""),44286.6666666666)</f>
        <v>44286.666666666599</v>
      </c>
      <c r="J568" s="2">
        <f ca="1">IFERROR(__xludf.DUMMYFUNCTION("""COMPUTED_VALUE"""),2068.63)</f>
        <v>2068.63</v>
      </c>
      <c r="K568" s="3">
        <f ca="1">IFERROR(__xludf.DUMMYFUNCTION("""COMPUTED_VALUE"""),44286.6666666666)</f>
        <v>44286.666666666599</v>
      </c>
      <c r="L568" s="2">
        <f ca="1">IFERROR(__xludf.DUMMYFUNCTION("""COMPUTED_VALUE"""),294.53)</f>
        <v>294.52999999999997</v>
      </c>
      <c r="M568" s="3">
        <f ca="1">IFERROR(__xludf.DUMMYFUNCTION("""COMPUTED_VALUE"""),44286.6666666666)</f>
        <v>44286.666666666599</v>
      </c>
      <c r="N568" s="2">
        <f ca="1">IFERROR(__xludf.DUMMYFUNCTION("""COMPUTED_VALUE"""),667.93)</f>
        <v>667.93</v>
      </c>
      <c r="O568" s="3">
        <f ca="1">IFERROR(__xludf.DUMMYFUNCTION("""COMPUTED_VALUE"""),44286.6666666666)</f>
        <v>44286.666666666599</v>
      </c>
      <c r="P568" s="2">
        <f ca="1">IFERROR(__xludf.DUMMYFUNCTION("""COMPUTED_VALUE"""),133.48)</f>
        <v>133.47999999999999</v>
      </c>
      <c r="Q568" s="3">
        <f ca="1">IFERROR(__xludf.DUMMYFUNCTION("""COMPUTED_VALUE"""),44286.6666666666)</f>
        <v>44286.666666666599</v>
      </c>
      <c r="R568" s="2">
        <f ca="1">IFERROR(__xludf.DUMMYFUNCTION("""COMPUTED_VALUE"""),255.47)</f>
        <v>255.47</v>
      </c>
      <c r="S568" s="3">
        <f ca="1">IFERROR(__xludf.DUMMYFUNCTION("""COMPUTED_VALUE"""),44286.6666666666)</f>
        <v>44286.666666666599</v>
      </c>
      <c r="T568" s="2">
        <f ca="1">IFERROR(__xludf.DUMMYFUNCTION("""COMPUTED_VALUE"""),164.35)</f>
        <v>164.35</v>
      </c>
    </row>
    <row r="569" spans="1:20">
      <c r="A569" s="3">
        <f ca="1">IFERROR(__xludf.DUMMYFUNCTION("""COMPUTED_VALUE"""),44287.6666666666)</f>
        <v>44287.666666666599</v>
      </c>
      <c r="B569" s="2">
        <f ca="1">IFERROR(__xludf.DUMMYFUNCTION("""COMPUTED_VALUE"""),123)</f>
        <v>123</v>
      </c>
      <c r="C569" s="3">
        <f ca="1">IFERROR(__xludf.DUMMYFUNCTION("""COMPUTED_VALUE"""),44287.6666666666)</f>
        <v>44287.666666666599</v>
      </c>
      <c r="D569" s="2">
        <f ca="1">IFERROR(__xludf.DUMMYFUNCTION("""COMPUTED_VALUE"""),242.35)</f>
        <v>242.35</v>
      </c>
      <c r="E569" s="3">
        <f ca="1">IFERROR(__xludf.DUMMYFUNCTION("""COMPUTED_VALUE"""),44287.6666666666)</f>
        <v>44287.666666666599</v>
      </c>
      <c r="F569" s="2">
        <f ca="1">IFERROR(__xludf.DUMMYFUNCTION("""COMPUTED_VALUE"""),3161)</f>
        <v>3161</v>
      </c>
      <c r="G569" s="3">
        <f ca="1">IFERROR(__xludf.DUMMYFUNCTION("""COMPUTED_VALUE"""),44287.6666666666)</f>
        <v>44287.666666666599</v>
      </c>
      <c r="H569" s="2">
        <f ca="1">IFERROR(__xludf.DUMMYFUNCTION("""COMPUTED_VALUE"""),2129.78)</f>
        <v>2129.7800000000002</v>
      </c>
      <c r="I569" s="3">
        <f ca="1">IFERROR(__xludf.DUMMYFUNCTION("""COMPUTED_VALUE"""),44287.6666666666)</f>
        <v>44287.666666666599</v>
      </c>
      <c r="J569" s="2">
        <f ca="1">IFERROR(__xludf.DUMMYFUNCTION("""COMPUTED_VALUE"""),2137.75)</f>
        <v>2137.75</v>
      </c>
      <c r="K569" s="3">
        <f ca="1">IFERROR(__xludf.DUMMYFUNCTION("""COMPUTED_VALUE"""),44287.6666666666)</f>
        <v>44287.666666666599</v>
      </c>
      <c r="L569" s="2">
        <f ca="1">IFERROR(__xludf.DUMMYFUNCTION("""COMPUTED_VALUE"""),298.66)</f>
        <v>298.66000000000003</v>
      </c>
      <c r="M569" s="3">
        <f ca="1">IFERROR(__xludf.DUMMYFUNCTION("""COMPUTED_VALUE"""),44287.6666666666)</f>
        <v>44287.666666666599</v>
      </c>
      <c r="N569" s="2">
        <f ca="1">IFERROR(__xludf.DUMMYFUNCTION("""COMPUTED_VALUE"""),661.75)</f>
        <v>661.75</v>
      </c>
      <c r="O569" s="3">
        <f ca="1">IFERROR(__xludf.DUMMYFUNCTION("""COMPUTED_VALUE"""),44287.6666666666)</f>
        <v>44287.666666666599</v>
      </c>
      <c r="P569" s="2">
        <f ca="1">IFERROR(__xludf.DUMMYFUNCTION("""COMPUTED_VALUE"""),138.12)</f>
        <v>138.12</v>
      </c>
      <c r="Q569" s="3">
        <f ca="1">IFERROR(__xludf.DUMMYFUNCTION("""COMPUTED_VALUE"""),44287.6666666666)</f>
        <v>44287.666666666599</v>
      </c>
      <c r="R569" s="2">
        <f ca="1">IFERROR(__xludf.DUMMYFUNCTION("""COMPUTED_VALUE"""),258.2)</f>
        <v>258.2</v>
      </c>
      <c r="S569" s="3">
        <f ca="1">IFERROR(__xludf.DUMMYFUNCTION("""COMPUTED_VALUE"""),44287.6666666666)</f>
        <v>44287.666666666599</v>
      </c>
      <c r="T569" s="2">
        <f ca="1">IFERROR(__xludf.DUMMYFUNCTION("""COMPUTED_VALUE"""),162.83)</f>
        <v>162.83000000000001</v>
      </c>
    </row>
    <row r="570" spans="1:20">
      <c r="A570" s="3">
        <f ca="1">IFERROR(__xludf.DUMMYFUNCTION("""COMPUTED_VALUE"""),44291.6666666666)</f>
        <v>44291.666666666599</v>
      </c>
      <c r="B570" s="2">
        <f ca="1">IFERROR(__xludf.DUMMYFUNCTION("""COMPUTED_VALUE"""),125.9)</f>
        <v>125.9</v>
      </c>
      <c r="C570" s="3">
        <f ca="1">IFERROR(__xludf.DUMMYFUNCTION("""COMPUTED_VALUE"""),44291.6666666666)</f>
        <v>44291.666666666599</v>
      </c>
      <c r="D570" s="2">
        <f ca="1">IFERROR(__xludf.DUMMYFUNCTION("""COMPUTED_VALUE"""),249.07)</f>
        <v>249.07</v>
      </c>
      <c r="E570" s="3">
        <f ca="1">IFERROR(__xludf.DUMMYFUNCTION("""COMPUTED_VALUE"""),44291.6666666666)</f>
        <v>44291.666666666599</v>
      </c>
      <c r="F570" s="2">
        <f ca="1">IFERROR(__xludf.DUMMYFUNCTION("""COMPUTED_VALUE"""),3226.73)</f>
        <v>3226.73</v>
      </c>
      <c r="G570" s="3">
        <f ca="1">IFERROR(__xludf.DUMMYFUNCTION("""COMPUTED_VALUE"""),44291.6666666666)</f>
        <v>44291.666666666599</v>
      </c>
      <c r="H570" s="2">
        <f ca="1">IFERROR(__xludf.DUMMYFUNCTION("""COMPUTED_VALUE"""),2218.96)</f>
        <v>2218.96</v>
      </c>
      <c r="I570" s="3">
        <f ca="1">IFERROR(__xludf.DUMMYFUNCTION("""COMPUTED_VALUE"""),44291.6666666666)</f>
        <v>44291.666666666599</v>
      </c>
      <c r="J570" s="2">
        <f ca="1">IFERROR(__xludf.DUMMYFUNCTION("""COMPUTED_VALUE"""),2225.55)</f>
        <v>2225.5500000000002</v>
      </c>
      <c r="K570" s="3">
        <f ca="1">IFERROR(__xludf.DUMMYFUNCTION("""COMPUTED_VALUE"""),44291.6666666666)</f>
        <v>44291.666666666599</v>
      </c>
      <c r="L570" s="2">
        <f ca="1">IFERROR(__xludf.DUMMYFUNCTION("""COMPUTED_VALUE"""),308.91)</f>
        <v>308.91000000000003</v>
      </c>
      <c r="M570" s="3">
        <f ca="1">IFERROR(__xludf.DUMMYFUNCTION("""COMPUTED_VALUE"""),44291.6666666666)</f>
        <v>44291.666666666599</v>
      </c>
      <c r="N570" s="2">
        <f ca="1">IFERROR(__xludf.DUMMYFUNCTION("""COMPUTED_VALUE"""),691.05)</f>
        <v>691.05</v>
      </c>
      <c r="O570" s="3">
        <f ca="1">IFERROR(__xludf.DUMMYFUNCTION("""COMPUTED_VALUE"""),44291.6666666666)</f>
        <v>44291.666666666599</v>
      </c>
      <c r="P570" s="2">
        <f ca="1">IFERROR(__xludf.DUMMYFUNCTION("""COMPUTED_VALUE"""),139.88)</f>
        <v>139.88</v>
      </c>
      <c r="Q570" s="3">
        <f ca="1">IFERROR(__xludf.DUMMYFUNCTION("""COMPUTED_VALUE"""),44291.6666666666)</f>
        <v>44291.666666666599</v>
      </c>
      <c r="R570" s="2">
        <f ca="1">IFERROR(__xludf.DUMMYFUNCTION("""COMPUTED_VALUE"""),262.66)</f>
        <v>262.66000000000003</v>
      </c>
      <c r="S570" s="3">
        <f ca="1">IFERROR(__xludf.DUMMYFUNCTION("""COMPUTED_VALUE"""),44291.6666666666)</f>
        <v>44291.666666666599</v>
      </c>
      <c r="T570" s="2">
        <f ca="1">IFERROR(__xludf.DUMMYFUNCTION("""COMPUTED_VALUE"""),163.43)</f>
        <v>163.43</v>
      </c>
    </row>
    <row r="571" spans="1:20">
      <c r="A571" s="3">
        <f ca="1">IFERROR(__xludf.DUMMYFUNCTION("""COMPUTED_VALUE"""),44292.6666666666)</f>
        <v>44292.666666666599</v>
      </c>
      <c r="B571" s="2">
        <f ca="1">IFERROR(__xludf.DUMMYFUNCTION("""COMPUTED_VALUE"""),126.21)</f>
        <v>126.21</v>
      </c>
      <c r="C571" s="3">
        <f ca="1">IFERROR(__xludf.DUMMYFUNCTION("""COMPUTED_VALUE"""),44292.6666666666)</f>
        <v>44292.666666666599</v>
      </c>
      <c r="D571" s="2">
        <f ca="1">IFERROR(__xludf.DUMMYFUNCTION("""COMPUTED_VALUE"""),247.86)</f>
        <v>247.86</v>
      </c>
      <c r="E571" s="3">
        <f ca="1">IFERROR(__xludf.DUMMYFUNCTION("""COMPUTED_VALUE"""),44292.6666666666)</f>
        <v>44292.666666666599</v>
      </c>
      <c r="F571" s="2">
        <f ca="1">IFERROR(__xludf.DUMMYFUNCTION("""COMPUTED_VALUE"""),3223.82)</f>
        <v>3223.82</v>
      </c>
      <c r="G571" s="3">
        <f ca="1">IFERROR(__xludf.DUMMYFUNCTION("""COMPUTED_VALUE"""),44292.6666666666)</f>
        <v>44292.666666666599</v>
      </c>
      <c r="H571" s="2">
        <f ca="1">IFERROR(__xludf.DUMMYFUNCTION("""COMPUTED_VALUE"""),2209.26)</f>
        <v>2209.2600000000002</v>
      </c>
      <c r="I571" s="3">
        <f ca="1">IFERROR(__xludf.DUMMYFUNCTION("""COMPUTED_VALUE"""),44292.6666666666)</f>
        <v>44292.666666666599</v>
      </c>
      <c r="J571" s="2">
        <f ca="1">IFERROR(__xludf.DUMMYFUNCTION("""COMPUTED_VALUE"""),2224.75)</f>
        <v>2224.75</v>
      </c>
      <c r="K571" s="3">
        <f ca="1">IFERROR(__xludf.DUMMYFUNCTION("""COMPUTED_VALUE"""),44292.6666666666)</f>
        <v>44292.666666666599</v>
      </c>
      <c r="L571" s="2">
        <f ca="1">IFERROR(__xludf.DUMMYFUNCTION("""COMPUTED_VALUE"""),306.26)</f>
        <v>306.26</v>
      </c>
      <c r="M571" s="3">
        <f ca="1">IFERROR(__xludf.DUMMYFUNCTION("""COMPUTED_VALUE"""),44292.6666666666)</f>
        <v>44292.666666666599</v>
      </c>
      <c r="N571" s="2">
        <f ca="1">IFERROR(__xludf.DUMMYFUNCTION("""COMPUTED_VALUE"""),691.62)</f>
        <v>691.62</v>
      </c>
      <c r="O571" s="3">
        <f ca="1">IFERROR(__xludf.DUMMYFUNCTION("""COMPUTED_VALUE"""),44292.6666666666)</f>
        <v>44292.666666666599</v>
      </c>
      <c r="P571" s="2">
        <f ca="1">IFERROR(__xludf.DUMMYFUNCTION("""COMPUTED_VALUE"""),138.62)</f>
        <v>138.62</v>
      </c>
      <c r="Q571" s="3">
        <f ca="1">IFERROR(__xludf.DUMMYFUNCTION("""COMPUTED_VALUE"""),44292.6666666666)</f>
        <v>44292.666666666599</v>
      </c>
      <c r="R571" s="2">
        <f ca="1">IFERROR(__xludf.DUMMYFUNCTION("""COMPUTED_VALUE"""),263.06)</f>
        <v>263.06</v>
      </c>
      <c r="S571" s="3">
        <f ca="1">IFERROR(__xludf.DUMMYFUNCTION("""COMPUTED_VALUE"""),44292.6666666666)</f>
        <v>44292.666666666599</v>
      </c>
      <c r="T571" s="2">
        <f ca="1">IFERROR(__xludf.DUMMYFUNCTION("""COMPUTED_VALUE"""),163.39)</f>
        <v>163.38999999999999</v>
      </c>
    </row>
    <row r="572" spans="1:20">
      <c r="A572" s="3">
        <f ca="1">IFERROR(__xludf.DUMMYFUNCTION("""COMPUTED_VALUE"""),44293.6666666666)</f>
        <v>44293.666666666599</v>
      </c>
      <c r="B572" s="2">
        <f ca="1">IFERROR(__xludf.DUMMYFUNCTION("""COMPUTED_VALUE"""),127.9)</f>
        <v>127.9</v>
      </c>
      <c r="C572" s="3">
        <f ca="1">IFERROR(__xludf.DUMMYFUNCTION("""COMPUTED_VALUE"""),44293.6666666666)</f>
        <v>44293.666666666599</v>
      </c>
      <c r="D572" s="2">
        <f ca="1">IFERROR(__xludf.DUMMYFUNCTION("""COMPUTED_VALUE"""),249.9)</f>
        <v>249.9</v>
      </c>
      <c r="E572" s="3">
        <f ca="1">IFERROR(__xludf.DUMMYFUNCTION("""COMPUTED_VALUE"""),44293.6666666666)</f>
        <v>44293.666666666599</v>
      </c>
      <c r="F572" s="2">
        <f ca="1">IFERROR(__xludf.DUMMYFUNCTION("""COMPUTED_VALUE"""),3279.39)</f>
        <v>3279.39</v>
      </c>
      <c r="G572" s="3">
        <f ca="1">IFERROR(__xludf.DUMMYFUNCTION("""COMPUTED_VALUE"""),44293.6666666666)</f>
        <v>44293.666666666599</v>
      </c>
      <c r="H572" s="2">
        <f ca="1">IFERROR(__xludf.DUMMYFUNCTION("""COMPUTED_VALUE"""),2239.03)</f>
        <v>2239.0300000000002</v>
      </c>
      <c r="I572" s="3">
        <f ca="1">IFERROR(__xludf.DUMMYFUNCTION("""COMPUTED_VALUE"""),44293.6666666666)</f>
        <v>44293.666666666599</v>
      </c>
      <c r="J572" s="2">
        <f ca="1">IFERROR(__xludf.DUMMYFUNCTION("""COMPUTED_VALUE"""),2249.68)</f>
        <v>2249.6799999999998</v>
      </c>
      <c r="K572" s="3">
        <f ca="1">IFERROR(__xludf.DUMMYFUNCTION("""COMPUTED_VALUE"""),44293.6666666666)</f>
        <v>44293.666666666599</v>
      </c>
      <c r="L572" s="2">
        <f ca="1">IFERROR(__xludf.DUMMYFUNCTION("""COMPUTED_VALUE"""),313.09)</f>
        <v>313.08999999999997</v>
      </c>
      <c r="M572" s="3">
        <f ca="1">IFERROR(__xludf.DUMMYFUNCTION("""COMPUTED_VALUE"""),44293.6666666666)</f>
        <v>44293.666666666599</v>
      </c>
      <c r="N572" s="2">
        <f ca="1">IFERROR(__xludf.DUMMYFUNCTION("""COMPUTED_VALUE"""),670.97)</f>
        <v>670.97</v>
      </c>
      <c r="O572" s="3">
        <f ca="1">IFERROR(__xludf.DUMMYFUNCTION("""COMPUTED_VALUE"""),44293.6666666666)</f>
        <v>44293.666666666599</v>
      </c>
      <c r="P572" s="2">
        <f ca="1">IFERROR(__xludf.DUMMYFUNCTION("""COMPUTED_VALUE"""),141.44)</f>
        <v>141.44</v>
      </c>
      <c r="Q572" s="3">
        <f ca="1">IFERROR(__xludf.DUMMYFUNCTION("""COMPUTED_VALUE"""),44293.6666666666)</f>
        <v>44293.666666666599</v>
      </c>
      <c r="R572" s="2">
        <f ca="1">IFERROR(__xludf.DUMMYFUNCTION("""COMPUTED_VALUE"""),263.62)</f>
        <v>263.62</v>
      </c>
      <c r="S572" s="3">
        <f ca="1">IFERROR(__xludf.DUMMYFUNCTION("""COMPUTED_VALUE"""),44293.6666666666)</f>
        <v>44293.666666666599</v>
      </c>
      <c r="T572" s="2">
        <f ca="1">IFERROR(__xludf.DUMMYFUNCTION("""COMPUTED_VALUE"""),163.61)</f>
        <v>163.61000000000001</v>
      </c>
    </row>
    <row r="573" spans="1:20">
      <c r="A573" s="3">
        <f ca="1">IFERROR(__xludf.DUMMYFUNCTION("""COMPUTED_VALUE"""),44294.6666666666)</f>
        <v>44294.666666666599</v>
      </c>
      <c r="B573" s="2">
        <f ca="1">IFERROR(__xludf.DUMMYFUNCTION("""COMPUTED_VALUE"""),130.36)</f>
        <v>130.36000000000001</v>
      </c>
      <c r="C573" s="3">
        <f ca="1">IFERROR(__xludf.DUMMYFUNCTION("""COMPUTED_VALUE"""),44294.6666666666)</f>
        <v>44294.666666666599</v>
      </c>
      <c r="D573" s="2">
        <f ca="1">IFERROR(__xludf.DUMMYFUNCTION("""COMPUTED_VALUE"""),253.25)</f>
        <v>253.25</v>
      </c>
      <c r="E573" s="3">
        <f ca="1">IFERROR(__xludf.DUMMYFUNCTION("""COMPUTED_VALUE"""),44294.6666666666)</f>
        <v>44294.666666666599</v>
      </c>
      <c r="F573" s="2">
        <f ca="1">IFERROR(__xludf.DUMMYFUNCTION("""COMPUTED_VALUE"""),3299.3)</f>
        <v>3299.3</v>
      </c>
      <c r="G573" s="3">
        <f ca="1">IFERROR(__xludf.DUMMYFUNCTION("""COMPUTED_VALUE"""),44294.6666666666)</f>
        <v>44294.666666666599</v>
      </c>
      <c r="H573" s="2">
        <f ca="1">IFERROR(__xludf.DUMMYFUNCTION("""COMPUTED_VALUE"""),2250.43)</f>
        <v>2250.4299999999998</v>
      </c>
      <c r="I573" s="3">
        <f ca="1">IFERROR(__xludf.DUMMYFUNCTION("""COMPUTED_VALUE"""),44294.6666666666)</f>
        <v>44294.666666666599</v>
      </c>
      <c r="J573" s="2">
        <f ca="1">IFERROR(__xludf.DUMMYFUNCTION("""COMPUTED_VALUE"""),2265.44)</f>
        <v>2265.44</v>
      </c>
      <c r="K573" s="3">
        <f ca="1">IFERROR(__xludf.DUMMYFUNCTION("""COMPUTED_VALUE"""),44294.6666666666)</f>
        <v>44294.666666666599</v>
      </c>
      <c r="L573" s="2">
        <f ca="1">IFERROR(__xludf.DUMMYFUNCTION("""COMPUTED_VALUE"""),313.02)</f>
        <v>313.02</v>
      </c>
      <c r="M573" s="3">
        <f ca="1">IFERROR(__xludf.DUMMYFUNCTION("""COMPUTED_VALUE"""),44294.6666666666)</f>
        <v>44294.666666666599</v>
      </c>
      <c r="N573" s="2">
        <f ca="1">IFERROR(__xludf.DUMMYFUNCTION("""COMPUTED_VALUE"""),683.8)</f>
        <v>683.8</v>
      </c>
      <c r="O573" s="3">
        <f ca="1">IFERROR(__xludf.DUMMYFUNCTION("""COMPUTED_VALUE"""),44294.6666666666)</f>
        <v>44294.666666666599</v>
      </c>
      <c r="P573" s="2">
        <f ca="1">IFERROR(__xludf.DUMMYFUNCTION("""COMPUTED_VALUE"""),143.17)</f>
        <v>143.16999999999999</v>
      </c>
      <c r="Q573" s="3">
        <f ca="1">IFERROR(__xludf.DUMMYFUNCTION("""COMPUTED_VALUE"""),44294.6666666666)</f>
        <v>44294.666666666599</v>
      </c>
      <c r="R573" s="2">
        <f ca="1">IFERROR(__xludf.DUMMYFUNCTION("""COMPUTED_VALUE"""),263.51)</f>
        <v>263.51</v>
      </c>
      <c r="S573" s="3">
        <f ca="1">IFERROR(__xludf.DUMMYFUNCTION("""COMPUTED_VALUE"""),44294.6666666666)</f>
        <v>44294.666666666599</v>
      </c>
      <c r="T573" s="2">
        <f ca="1">IFERROR(__xludf.DUMMYFUNCTION("""COMPUTED_VALUE"""),162.97)</f>
        <v>162.97</v>
      </c>
    </row>
    <row r="574" spans="1:20">
      <c r="A574" s="3">
        <f ca="1">IFERROR(__xludf.DUMMYFUNCTION("""COMPUTED_VALUE"""),44295.6666666666)</f>
        <v>44295.666666666599</v>
      </c>
      <c r="B574" s="2">
        <f ca="1">IFERROR(__xludf.DUMMYFUNCTION("""COMPUTED_VALUE"""),133)</f>
        <v>133</v>
      </c>
      <c r="C574" s="3">
        <f ca="1">IFERROR(__xludf.DUMMYFUNCTION("""COMPUTED_VALUE"""),44295.6666666666)</f>
        <v>44295.666666666599</v>
      </c>
      <c r="D574" s="2">
        <f ca="1">IFERROR(__xludf.DUMMYFUNCTION("""COMPUTED_VALUE"""),255.85)</f>
        <v>255.85</v>
      </c>
      <c r="E574" s="3">
        <f ca="1">IFERROR(__xludf.DUMMYFUNCTION("""COMPUTED_VALUE"""),44295.6666666666)</f>
        <v>44295.666666666599</v>
      </c>
      <c r="F574" s="2">
        <f ca="1">IFERROR(__xludf.DUMMYFUNCTION("""COMPUTED_VALUE"""),3372.2)</f>
        <v>3372.2</v>
      </c>
      <c r="G574" s="3">
        <f ca="1">IFERROR(__xludf.DUMMYFUNCTION("""COMPUTED_VALUE"""),44295.6666666666)</f>
        <v>44295.666666666599</v>
      </c>
      <c r="H574" s="2">
        <f ca="1">IFERROR(__xludf.DUMMYFUNCTION("""COMPUTED_VALUE"""),2270.67)</f>
        <v>2270.67</v>
      </c>
      <c r="I574" s="3">
        <f ca="1">IFERROR(__xludf.DUMMYFUNCTION("""COMPUTED_VALUE"""),44295.6666666666)</f>
        <v>44295.666666666599</v>
      </c>
      <c r="J574" s="2">
        <f ca="1">IFERROR(__xludf.DUMMYFUNCTION("""COMPUTED_VALUE"""),2285.88)</f>
        <v>2285.88</v>
      </c>
      <c r="K574" s="3">
        <f ca="1">IFERROR(__xludf.DUMMYFUNCTION("""COMPUTED_VALUE"""),44295.6666666666)</f>
        <v>44295.666666666599</v>
      </c>
      <c r="L574" s="2">
        <f ca="1">IFERROR(__xludf.DUMMYFUNCTION("""COMPUTED_VALUE"""),312.46)</f>
        <v>312.45999999999998</v>
      </c>
      <c r="M574" s="3">
        <f ca="1">IFERROR(__xludf.DUMMYFUNCTION("""COMPUTED_VALUE"""),44295.6666666666)</f>
        <v>44295.666666666599</v>
      </c>
      <c r="N574" s="2">
        <f ca="1">IFERROR(__xludf.DUMMYFUNCTION("""COMPUTED_VALUE"""),677.02)</f>
        <v>677.02</v>
      </c>
      <c r="O574" s="3">
        <f ca="1">IFERROR(__xludf.DUMMYFUNCTION("""COMPUTED_VALUE"""),44295.6666666666)</f>
        <v>44295.666666666599</v>
      </c>
      <c r="P574" s="2">
        <f ca="1">IFERROR(__xludf.DUMMYFUNCTION("""COMPUTED_VALUE"""),144)</f>
        <v>144</v>
      </c>
      <c r="Q574" s="3">
        <f ca="1">IFERROR(__xludf.DUMMYFUNCTION("""COMPUTED_VALUE"""),44295.6666666666)</f>
        <v>44295.666666666599</v>
      </c>
      <c r="R574" s="2">
        <f ca="1">IFERROR(__xludf.DUMMYFUNCTION("""COMPUTED_VALUE"""),266.01)</f>
        <v>266.01</v>
      </c>
      <c r="S574" s="3">
        <f ca="1">IFERROR(__xludf.DUMMYFUNCTION("""COMPUTED_VALUE"""),44295.6666666666)</f>
        <v>44295.666666666599</v>
      </c>
      <c r="T574" s="2">
        <f ca="1">IFERROR(__xludf.DUMMYFUNCTION("""COMPUTED_VALUE"""),161.25)</f>
        <v>161.25</v>
      </c>
    </row>
    <row r="575" spans="1:20">
      <c r="A575" s="3">
        <f ca="1">IFERROR(__xludf.DUMMYFUNCTION("""COMPUTED_VALUE"""),44298.6666666666)</f>
        <v>44298.666666666599</v>
      </c>
      <c r="B575" s="2">
        <f ca="1">IFERROR(__xludf.DUMMYFUNCTION("""COMPUTED_VALUE"""),131.24)</f>
        <v>131.24</v>
      </c>
      <c r="C575" s="3">
        <f ca="1">IFERROR(__xludf.DUMMYFUNCTION("""COMPUTED_VALUE"""),44298.6666666666)</f>
        <v>44298.666666666599</v>
      </c>
      <c r="D575" s="2">
        <f ca="1">IFERROR(__xludf.DUMMYFUNCTION("""COMPUTED_VALUE"""),255.91)</f>
        <v>255.91</v>
      </c>
      <c r="E575" s="3">
        <f ca="1">IFERROR(__xludf.DUMMYFUNCTION("""COMPUTED_VALUE"""),44298.6666666666)</f>
        <v>44298.666666666599</v>
      </c>
      <c r="F575" s="2">
        <f ca="1">IFERROR(__xludf.DUMMYFUNCTION("""COMPUTED_VALUE"""),3379.39)</f>
        <v>3379.39</v>
      </c>
      <c r="G575" s="3">
        <f ca="1">IFERROR(__xludf.DUMMYFUNCTION("""COMPUTED_VALUE"""),44298.6666666666)</f>
        <v>44298.666666666599</v>
      </c>
      <c r="H575" s="2">
        <f ca="1">IFERROR(__xludf.DUMMYFUNCTION("""COMPUTED_VALUE"""),2244.62)</f>
        <v>2244.62</v>
      </c>
      <c r="I575" s="3">
        <f ca="1">IFERROR(__xludf.DUMMYFUNCTION("""COMPUTED_VALUE"""),44298.6666666666)</f>
        <v>44298.666666666599</v>
      </c>
      <c r="J575" s="2">
        <f ca="1">IFERROR(__xludf.DUMMYFUNCTION("""COMPUTED_VALUE"""),2254.79)</f>
        <v>2254.79</v>
      </c>
      <c r="K575" s="3">
        <f ca="1">IFERROR(__xludf.DUMMYFUNCTION("""COMPUTED_VALUE"""),44298.6666666666)</f>
        <v>44298.666666666599</v>
      </c>
      <c r="L575" s="2">
        <f ca="1">IFERROR(__xludf.DUMMYFUNCTION("""COMPUTED_VALUE"""),311.54)</f>
        <v>311.54000000000002</v>
      </c>
      <c r="M575" s="3">
        <f ca="1">IFERROR(__xludf.DUMMYFUNCTION("""COMPUTED_VALUE"""),44298.6666666666)</f>
        <v>44298.666666666599</v>
      </c>
      <c r="N575" s="2">
        <f ca="1">IFERROR(__xludf.DUMMYFUNCTION("""COMPUTED_VALUE"""),701.98)</f>
        <v>701.98</v>
      </c>
      <c r="O575" s="3">
        <f ca="1">IFERROR(__xludf.DUMMYFUNCTION("""COMPUTED_VALUE"""),44298.6666666666)</f>
        <v>44298.666666666599</v>
      </c>
      <c r="P575" s="2">
        <f ca="1">IFERROR(__xludf.DUMMYFUNCTION("""COMPUTED_VALUE"""),152.09)</f>
        <v>152.09</v>
      </c>
      <c r="Q575" s="3">
        <f ca="1">IFERROR(__xludf.DUMMYFUNCTION("""COMPUTED_VALUE"""),44298.6666666666)</f>
        <v>44298.666666666599</v>
      </c>
      <c r="R575" s="2">
        <f ca="1">IFERROR(__xludf.DUMMYFUNCTION("""COMPUTED_VALUE"""),267.93)</f>
        <v>267.93</v>
      </c>
      <c r="S575" s="3">
        <f ca="1">IFERROR(__xludf.DUMMYFUNCTION("""COMPUTED_VALUE"""),44298.6666666666)</f>
        <v>44298.666666666599</v>
      </c>
      <c r="T575" s="2">
        <f ca="1">IFERROR(__xludf.DUMMYFUNCTION("""COMPUTED_VALUE"""),161.64)</f>
        <v>161.63999999999999</v>
      </c>
    </row>
    <row r="576" spans="1:20">
      <c r="A576" s="3">
        <f ca="1">IFERROR(__xludf.DUMMYFUNCTION("""COMPUTED_VALUE"""),44299.6666666666)</f>
        <v>44299.666666666599</v>
      </c>
      <c r="B576" s="2">
        <f ca="1">IFERROR(__xludf.DUMMYFUNCTION("""COMPUTED_VALUE"""),134.43)</f>
        <v>134.43</v>
      </c>
      <c r="C576" s="3">
        <f ca="1">IFERROR(__xludf.DUMMYFUNCTION("""COMPUTED_VALUE"""),44299.6666666666)</f>
        <v>44299.666666666599</v>
      </c>
      <c r="D576" s="2">
        <f ca="1">IFERROR(__xludf.DUMMYFUNCTION("""COMPUTED_VALUE"""),258.49)</f>
        <v>258.49</v>
      </c>
      <c r="E576" s="3">
        <f ca="1">IFERROR(__xludf.DUMMYFUNCTION("""COMPUTED_VALUE"""),44299.6666666666)</f>
        <v>44299.666666666599</v>
      </c>
      <c r="F576" s="2">
        <f ca="1">IFERROR(__xludf.DUMMYFUNCTION("""COMPUTED_VALUE"""),3400)</f>
        <v>3400</v>
      </c>
      <c r="G576" s="3">
        <f ca="1">IFERROR(__xludf.DUMMYFUNCTION("""COMPUTED_VALUE"""),44299.6666666666)</f>
        <v>44299.666666666599</v>
      </c>
      <c r="H576" s="2">
        <f ca="1">IFERROR(__xludf.DUMMYFUNCTION("""COMPUTED_VALUE"""),2254.43)</f>
        <v>2254.4299999999998</v>
      </c>
      <c r="I576" s="3">
        <f ca="1">IFERROR(__xludf.DUMMYFUNCTION("""COMPUTED_VALUE"""),44299.6666666666)</f>
        <v>44299.666666666599</v>
      </c>
      <c r="J576" s="2">
        <f ca="1">IFERROR(__xludf.DUMMYFUNCTION("""COMPUTED_VALUE"""),2267.27)</f>
        <v>2267.27</v>
      </c>
      <c r="K576" s="3">
        <f ca="1">IFERROR(__xludf.DUMMYFUNCTION("""COMPUTED_VALUE"""),44299.6666666666)</f>
        <v>44299.666666666599</v>
      </c>
      <c r="L576" s="2">
        <f ca="1">IFERROR(__xludf.DUMMYFUNCTION("""COMPUTED_VALUE"""),309.76)</f>
        <v>309.76</v>
      </c>
      <c r="M576" s="3">
        <f ca="1">IFERROR(__xludf.DUMMYFUNCTION("""COMPUTED_VALUE"""),44299.6666666666)</f>
        <v>44299.666666666599</v>
      </c>
      <c r="N576" s="2">
        <f ca="1">IFERROR(__xludf.DUMMYFUNCTION("""COMPUTED_VALUE"""),762.32)</f>
        <v>762.32</v>
      </c>
      <c r="O576" s="3">
        <f ca="1">IFERROR(__xludf.DUMMYFUNCTION("""COMPUTED_VALUE"""),44299.6666666666)</f>
        <v>44299.666666666599</v>
      </c>
      <c r="P576" s="2">
        <f ca="1">IFERROR(__xludf.DUMMYFUNCTION("""COMPUTED_VALUE"""),156.79)</f>
        <v>156.79</v>
      </c>
      <c r="Q576" s="3">
        <f ca="1">IFERROR(__xludf.DUMMYFUNCTION("""COMPUTED_VALUE"""),44299.6666666666)</f>
        <v>44299.666666666599</v>
      </c>
      <c r="R576" s="2">
        <f ca="1">IFERROR(__xludf.DUMMYFUNCTION("""COMPUTED_VALUE"""),267.1)</f>
        <v>267.10000000000002</v>
      </c>
      <c r="S576" s="3">
        <f ca="1">IFERROR(__xludf.DUMMYFUNCTION("""COMPUTED_VALUE"""),44299.6666666666)</f>
        <v>44299.666666666599</v>
      </c>
      <c r="T576" s="2">
        <f ca="1">IFERROR(__xludf.DUMMYFUNCTION("""COMPUTED_VALUE"""),159.48)</f>
        <v>159.47999999999999</v>
      </c>
    </row>
    <row r="577" spans="1:20">
      <c r="A577" s="3">
        <f ca="1">IFERROR(__xludf.DUMMYFUNCTION("""COMPUTED_VALUE"""),44300.6666666666)</f>
        <v>44300.666666666599</v>
      </c>
      <c r="B577" s="2">
        <f ca="1">IFERROR(__xludf.DUMMYFUNCTION("""COMPUTED_VALUE"""),132.03)</f>
        <v>132.03</v>
      </c>
      <c r="C577" s="3">
        <f ca="1">IFERROR(__xludf.DUMMYFUNCTION("""COMPUTED_VALUE"""),44300.6666666666)</f>
        <v>44300.666666666599</v>
      </c>
      <c r="D577" s="2">
        <f ca="1">IFERROR(__xludf.DUMMYFUNCTION("""COMPUTED_VALUE"""),255.59)</f>
        <v>255.59</v>
      </c>
      <c r="E577" s="3">
        <f ca="1">IFERROR(__xludf.DUMMYFUNCTION("""COMPUTED_VALUE"""),44300.6666666666)</f>
        <v>44300.666666666599</v>
      </c>
      <c r="F577" s="2">
        <f ca="1">IFERROR(__xludf.DUMMYFUNCTION("""COMPUTED_VALUE"""),3333)</f>
        <v>3333</v>
      </c>
      <c r="G577" s="3">
        <f ca="1">IFERROR(__xludf.DUMMYFUNCTION("""COMPUTED_VALUE"""),44300.6666666666)</f>
        <v>44300.666666666599</v>
      </c>
      <c r="H577" s="2">
        <f ca="1">IFERROR(__xludf.DUMMYFUNCTION("""COMPUTED_VALUE"""),2241.91)</f>
        <v>2241.91</v>
      </c>
      <c r="I577" s="3">
        <f ca="1">IFERROR(__xludf.DUMMYFUNCTION("""COMPUTED_VALUE"""),44300.6666666666)</f>
        <v>44300.666666666599</v>
      </c>
      <c r="J577" s="2">
        <f ca="1">IFERROR(__xludf.DUMMYFUNCTION("""COMPUTED_VALUE"""),2254.84)</f>
        <v>2254.84</v>
      </c>
      <c r="K577" s="3">
        <f ca="1">IFERROR(__xludf.DUMMYFUNCTION("""COMPUTED_VALUE"""),44300.6666666666)</f>
        <v>44300.666666666599</v>
      </c>
      <c r="L577" s="2">
        <f ca="1">IFERROR(__xludf.DUMMYFUNCTION("""COMPUTED_VALUE"""),302.82)</f>
        <v>302.82</v>
      </c>
      <c r="M577" s="3">
        <f ca="1">IFERROR(__xludf.DUMMYFUNCTION("""COMPUTED_VALUE"""),44300.6666666666)</f>
        <v>44300.666666666599</v>
      </c>
      <c r="N577" s="2">
        <f ca="1">IFERROR(__xludf.DUMMYFUNCTION("""COMPUTED_VALUE"""),732.23)</f>
        <v>732.23</v>
      </c>
      <c r="O577" s="3">
        <f ca="1">IFERROR(__xludf.DUMMYFUNCTION("""COMPUTED_VALUE"""),44300.6666666666)</f>
        <v>44300.666666666599</v>
      </c>
      <c r="P577" s="2">
        <f ca="1">IFERROR(__xludf.DUMMYFUNCTION("""COMPUTED_VALUE"""),152.77)</f>
        <v>152.77000000000001</v>
      </c>
      <c r="Q577" s="3">
        <f ca="1">IFERROR(__xludf.DUMMYFUNCTION("""COMPUTED_VALUE"""),44300.6666666666)</f>
        <v>44300.666666666599</v>
      </c>
      <c r="R577" s="2">
        <f ca="1">IFERROR(__xludf.DUMMYFUNCTION("""COMPUTED_VALUE"""),267.53)</f>
        <v>267.52999999999997</v>
      </c>
      <c r="S577" s="3">
        <f ca="1">IFERROR(__xludf.DUMMYFUNCTION("""COMPUTED_VALUE"""),44300.6666666666)</f>
        <v>44300.666666666599</v>
      </c>
      <c r="T577" s="2">
        <f ca="1">IFERROR(__xludf.DUMMYFUNCTION("""COMPUTED_VALUE"""),159.92)</f>
        <v>159.91999999999999</v>
      </c>
    </row>
    <row r="578" spans="1:20">
      <c r="A578" s="3">
        <f ca="1">IFERROR(__xludf.DUMMYFUNCTION("""COMPUTED_VALUE"""),44301.6666666666)</f>
        <v>44301.666666666599</v>
      </c>
      <c r="B578" s="2">
        <f ca="1">IFERROR(__xludf.DUMMYFUNCTION("""COMPUTED_VALUE"""),134.5)</f>
        <v>134.5</v>
      </c>
      <c r="C578" s="3">
        <f ca="1">IFERROR(__xludf.DUMMYFUNCTION("""COMPUTED_VALUE"""),44301.6666666666)</f>
        <v>44301.666666666599</v>
      </c>
      <c r="D578" s="2">
        <f ca="1">IFERROR(__xludf.DUMMYFUNCTION("""COMPUTED_VALUE"""),259.5)</f>
        <v>259.5</v>
      </c>
      <c r="E578" s="3">
        <f ca="1">IFERROR(__xludf.DUMMYFUNCTION("""COMPUTED_VALUE"""),44301.6666666666)</f>
        <v>44301.666666666599</v>
      </c>
      <c r="F578" s="2">
        <f ca="1">IFERROR(__xludf.DUMMYFUNCTION("""COMPUTED_VALUE"""),3379.09)</f>
        <v>3379.09</v>
      </c>
      <c r="G578" s="3">
        <f ca="1">IFERROR(__xludf.DUMMYFUNCTION("""COMPUTED_VALUE"""),44301.6666666666)</f>
        <v>44301.666666666599</v>
      </c>
      <c r="H578" s="2">
        <f ca="1">IFERROR(__xludf.DUMMYFUNCTION("""COMPUTED_VALUE"""),2285.25)</f>
        <v>2285.25</v>
      </c>
      <c r="I578" s="3">
        <f ca="1">IFERROR(__xludf.DUMMYFUNCTION("""COMPUTED_VALUE"""),44301.6666666666)</f>
        <v>44301.666666666599</v>
      </c>
      <c r="J578" s="2">
        <f ca="1">IFERROR(__xludf.DUMMYFUNCTION("""COMPUTED_VALUE"""),2296.66)</f>
        <v>2296.66</v>
      </c>
      <c r="K578" s="3">
        <f ca="1">IFERROR(__xludf.DUMMYFUNCTION("""COMPUTED_VALUE"""),44301.6666666666)</f>
        <v>44301.666666666599</v>
      </c>
      <c r="L578" s="2">
        <f ca="1">IFERROR(__xludf.DUMMYFUNCTION("""COMPUTED_VALUE"""),307.82)</f>
        <v>307.82</v>
      </c>
      <c r="M578" s="3">
        <f ca="1">IFERROR(__xludf.DUMMYFUNCTION("""COMPUTED_VALUE"""),44301.6666666666)</f>
        <v>44301.666666666599</v>
      </c>
      <c r="N578" s="2">
        <f ca="1">IFERROR(__xludf.DUMMYFUNCTION("""COMPUTED_VALUE"""),738.85)</f>
        <v>738.85</v>
      </c>
      <c r="O578" s="3">
        <f ca="1">IFERROR(__xludf.DUMMYFUNCTION("""COMPUTED_VALUE"""),44301.6666666666)</f>
        <v>44301.666666666599</v>
      </c>
      <c r="P578" s="2">
        <f ca="1">IFERROR(__xludf.DUMMYFUNCTION("""COMPUTED_VALUE"""),161.37)</f>
        <v>161.37</v>
      </c>
      <c r="Q578" s="3">
        <f ca="1">IFERROR(__xludf.DUMMYFUNCTION("""COMPUTED_VALUE"""),44301.6666666666)</f>
        <v>44301.666666666599</v>
      </c>
      <c r="R578" s="2">
        <f ca="1">IFERROR(__xludf.DUMMYFUNCTION("""COMPUTED_VALUE"""),269.14)</f>
        <v>269.14</v>
      </c>
      <c r="S578" s="3">
        <f ca="1">IFERROR(__xludf.DUMMYFUNCTION("""COMPUTED_VALUE"""),44301.6666666666)</f>
        <v>44301.666666666599</v>
      </c>
      <c r="T578" s="2">
        <f ca="1">IFERROR(__xludf.DUMMYFUNCTION("""COMPUTED_VALUE"""),160.39)</f>
        <v>160.38999999999999</v>
      </c>
    </row>
    <row r="579" spans="1:20">
      <c r="A579" s="3">
        <f ca="1">IFERROR(__xludf.DUMMYFUNCTION("""COMPUTED_VALUE"""),44302.6666666666)</f>
        <v>44302.666666666599</v>
      </c>
      <c r="B579" s="2">
        <f ca="1">IFERROR(__xludf.DUMMYFUNCTION("""COMPUTED_VALUE"""),134.16)</f>
        <v>134.16</v>
      </c>
      <c r="C579" s="3">
        <f ca="1">IFERROR(__xludf.DUMMYFUNCTION("""COMPUTED_VALUE"""),44302.6666666666)</f>
        <v>44302.666666666599</v>
      </c>
      <c r="D579" s="2">
        <f ca="1">IFERROR(__xludf.DUMMYFUNCTION("""COMPUTED_VALUE"""),260.74)</f>
        <v>260.74</v>
      </c>
      <c r="E579" s="3">
        <f ca="1">IFERROR(__xludf.DUMMYFUNCTION("""COMPUTED_VALUE"""),44302.6666666666)</f>
        <v>44302.666666666599</v>
      </c>
      <c r="F579" s="2">
        <f ca="1">IFERROR(__xludf.DUMMYFUNCTION("""COMPUTED_VALUE"""),3399.44)</f>
        <v>3399.44</v>
      </c>
      <c r="G579" s="3">
        <f ca="1">IFERROR(__xludf.DUMMYFUNCTION("""COMPUTED_VALUE"""),44302.6666666666)</f>
        <v>44302.666666666599</v>
      </c>
      <c r="H579" s="2">
        <f ca="1">IFERROR(__xludf.DUMMYFUNCTION("""COMPUTED_VALUE"""),2282.75)</f>
        <v>2282.75</v>
      </c>
      <c r="I579" s="3">
        <f ca="1">IFERROR(__xludf.DUMMYFUNCTION("""COMPUTED_VALUE"""),44302.6666666666)</f>
        <v>44302.666666666599</v>
      </c>
      <c r="J579" s="2">
        <f ca="1">IFERROR(__xludf.DUMMYFUNCTION("""COMPUTED_VALUE"""),2297.76)</f>
        <v>2297.7600000000002</v>
      </c>
      <c r="K579" s="3">
        <f ca="1">IFERROR(__xludf.DUMMYFUNCTION("""COMPUTED_VALUE"""),44302.6666666666)</f>
        <v>44302.666666666599</v>
      </c>
      <c r="L579" s="2">
        <f ca="1">IFERROR(__xludf.DUMMYFUNCTION("""COMPUTED_VALUE"""),306.18)</f>
        <v>306.18</v>
      </c>
      <c r="M579" s="3">
        <f ca="1">IFERROR(__xludf.DUMMYFUNCTION("""COMPUTED_VALUE"""),44302.6666666666)</f>
        <v>44302.666666666599</v>
      </c>
      <c r="N579" s="2">
        <f ca="1">IFERROR(__xludf.DUMMYFUNCTION("""COMPUTED_VALUE"""),739.78)</f>
        <v>739.78</v>
      </c>
      <c r="O579" s="3">
        <f ca="1">IFERROR(__xludf.DUMMYFUNCTION("""COMPUTED_VALUE"""),44302.6666666666)</f>
        <v>44302.666666666599</v>
      </c>
      <c r="P579" s="2">
        <f ca="1">IFERROR(__xludf.DUMMYFUNCTION("""COMPUTED_VALUE"""),159.13)</f>
        <v>159.13</v>
      </c>
      <c r="Q579" s="3">
        <f ca="1">IFERROR(__xludf.DUMMYFUNCTION("""COMPUTED_VALUE"""),44302.6666666666)</f>
        <v>44302.666666666599</v>
      </c>
      <c r="R579" s="2">
        <f ca="1">IFERROR(__xludf.DUMMYFUNCTION("""COMPUTED_VALUE"""),272.11)</f>
        <v>272.11</v>
      </c>
      <c r="S579" s="3">
        <f ca="1">IFERROR(__xludf.DUMMYFUNCTION("""COMPUTED_VALUE"""),44302.6666666666)</f>
        <v>44302.666666666599</v>
      </c>
      <c r="T579" s="2">
        <f ca="1">IFERROR(__xludf.DUMMYFUNCTION("""COMPUTED_VALUE"""),162.24)</f>
        <v>162.24</v>
      </c>
    </row>
    <row r="580" spans="1:20">
      <c r="A580" s="3">
        <f ca="1">IFERROR(__xludf.DUMMYFUNCTION("""COMPUTED_VALUE"""),44305.6666666666)</f>
        <v>44305.666666666599</v>
      </c>
      <c r="B580" s="2">
        <f ca="1">IFERROR(__xludf.DUMMYFUNCTION("""COMPUTED_VALUE"""),134.84)</f>
        <v>134.84</v>
      </c>
      <c r="C580" s="3">
        <f ca="1">IFERROR(__xludf.DUMMYFUNCTION("""COMPUTED_VALUE"""),44305.6666666666)</f>
        <v>44305.666666666599</v>
      </c>
      <c r="D580" s="2">
        <f ca="1">IFERROR(__xludf.DUMMYFUNCTION("""COMPUTED_VALUE"""),258.74)</f>
        <v>258.74</v>
      </c>
      <c r="E580" s="3">
        <f ca="1">IFERROR(__xludf.DUMMYFUNCTION("""COMPUTED_VALUE"""),44305.6666666666)</f>
        <v>44305.666666666599</v>
      </c>
      <c r="F580" s="2">
        <f ca="1">IFERROR(__xludf.DUMMYFUNCTION("""COMPUTED_VALUE"""),3372.01)</f>
        <v>3372.01</v>
      </c>
      <c r="G580" s="3">
        <f ca="1">IFERROR(__xludf.DUMMYFUNCTION("""COMPUTED_VALUE"""),44305.6666666666)</f>
        <v>44305.666666666599</v>
      </c>
      <c r="H580" s="2">
        <f ca="1">IFERROR(__xludf.DUMMYFUNCTION("""COMPUTED_VALUE"""),2289.76)</f>
        <v>2289.7600000000002</v>
      </c>
      <c r="I580" s="3">
        <f ca="1">IFERROR(__xludf.DUMMYFUNCTION("""COMPUTED_VALUE"""),44305.6666666666)</f>
        <v>44305.666666666599</v>
      </c>
      <c r="J580" s="2">
        <f ca="1">IFERROR(__xludf.DUMMYFUNCTION("""COMPUTED_VALUE"""),2302.4)</f>
        <v>2302.4</v>
      </c>
      <c r="K580" s="3">
        <f ca="1">IFERROR(__xludf.DUMMYFUNCTION("""COMPUTED_VALUE"""),44305.6666666666)</f>
        <v>44305.666666666599</v>
      </c>
      <c r="L580" s="2">
        <f ca="1">IFERROR(__xludf.DUMMYFUNCTION("""COMPUTED_VALUE"""),302.24)</f>
        <v>302.24</v>
      </c>
      <c r="M580" s="3">
        <f ca="1">IFERROR(__xludf.DUMMYFUNCTION("""COMPUTED_VALUE"""),44305.6666666666)</f>
        <v>44305.666666666599</v>
      </c>
      <c r="N580" s="2">
        <f ca="1">IFERROR(__xludf.DUMMYFUNCTION("""COMPUTED_VALUE"""),714.63)</f>
        <v>714.63</v>
      </c>
      <c r="O580" s="3">
        <f ca="1">IFERROR(__xludf.DUMMYFUNCTION("""COMPUTED_VALUE"""),44305.6666666666)</f>
        <v>44305.666666666599</v>
      </c>
      <c r="P580" s="2">
        <f ca="1">IFERROR(__xludf.DUMMYFUNCTION("""COMPUTED_VALUE"""),153.62)</f>
        <v>153.62</v>
      </c>
      <c r="Q580" s="3">
        <f ca="1">IFERROR(__xludf.DUMMYFUNCTION("""COMPUTED_VALUE"""),44305.6666666666)</f>
        <v>44305.666666666599</v>
      </c>
      <c r="R580" s="2">
        <f ca="1">IFERROR(__xludf.DUMMYFUNCTION("""COMPUTED_VALUE"""),270.28)</f>
        <v>270.27999999999997</v>
      </c>
      <c r="S580" s="3">
        <f ca="1">IFERROR(__xludf.DUMMYFUNCTION("""COMPUTED_VALUE"""),44305.6666666666)</f>
        <v>44305.666666666599</v>
      </c>
      <c r="T580" s="2">
        <f ca="1">IFERROR(__xludf.DUMMYFUNCTION("""COMPUTED_VALUE"""),162.69)</f>
        <v>162.69</v>
      </c>
    </row>
    <row r="581" spans="1:20">
      <c r="A581" s="3">
        <f ca="1">IFERROR(__xludf.DUMMYFUNCTION("""COMPUTED_VALUE"""),44306.6666666666)</f>
        <v>44306.666666666599</v>
      </c>
      <c r="B581" s="2">
        <f ca="1">IFERROR(__xludf.DUMMYFUNCTION("""COMPUTED_VALUE"""),133.11)</f>
        <v>133.11000000000001</v>
      </c>
      <c r="C581" s="3">
        <f ca="1">IFERROR(__xludf.DUMMYFUNCTION("""COMPUTED_VALUE"""),44306.6666666666)</f>
        <v>44306.666666666599</v>
      </c>
      <c r="D581" s="2">
        <f ca="1">IFERROR(__xludf.DUMMYFUNCTION("""COMPUTED_VALUE"""),258.26)</f>
        <v>258.26</v>
      </c>
      <c r="E581" s="3">
        <f ca="1">IFERROR(__xludf.DUMMYFUNCTION("""COMPUTED_VALUE"""),44306.6666666666)</f>
        <v>44306.666666666599</v>
      </c>
      <c r="F581" s="2">
        <f ca="1">IFERROR(__xludf.DUMMYFUNCTION("""COMPUTED_VALUE"""),3334.69)</f>
        <v>3334.69</v>
      </c>
      <c r="G581" s="3">
        <f ca="1">IFERROR(__xludf.DUMMYFUNCTION("""COMPUTED_VALUE"""),44306.6666666666)</f>
        <v>44306.666666666599</v>
      </c>
      <c r="H581" s="2">
        <f ca="1">IFERROR(__xludf.DUMMYFUNCTION("""COMPUTED_VALUE"""),2279.01)</f>
        <v>2279.0100000000002</v>
      </c>
      <c r="I581" s="3">
        <f ca="1">IFERROR(__xludf.DUMMYFUNCTION("""COMPUTED_VALUE"""),44306.6666666666)</f>
        <v>44306.666666666599</v>
      </c>
      <c r="J581" s="2">
        <f ca="1">IFERROR(__xludf.DUMMYFUNCTION("""COMPUTED_VALUE"""),2293.63)</f>
        <v>2293.63</v>
      </c>
      <c r="K581" s="3">
        <f ca="1">IFERROR(__xludf.DUMMYFUNCTION("""COMPUTED_VALUE"""),44306.6666666666)</f>
        <v>44306.666666666599</v>
      </c>
      <c r="L581" s="2">
        <f ca="1">IFERROR(__xludf.DUMMYFUNCTION("""COMPUTED_VALUE"""),302.65)</f>
        <v>302.64999999999998</v>
      </c>
      <c r="M581" s="3">
        <f ca="1">IFERROR(__xludf.DUMMYFUNCTION("""COMPUTED_VALUE"""),44306.6666666666)</f>
        <v>44306.666666666599</v>
      </c>
      <c r="N581" s="2">
        <f ca="1">IFERROR(__xludf.DUMMYFUNCTION("""COMPUTED_VALUE"""),718.99)</f>
        <v>718.99</v>
      </c>
      <c r="O581" s="3">
        <f ca="1">IFERROR(__xludf.DUMMYFUNCTION("""COMPUTED_VALUE"""),44306.6666666666)</f>
        <v>44306.666666666599</v>
      </c>
      <c r="P581" s="2">
        <f ca="1">IFERROR(__xludf.DUMMYFUNCTION("""COMPUTED_VALUE"""),151.71)</f>
        <v>151.71</v>
      </c>
      <c r="Q581" s="3">
        <f ca="1">IFERROR(__xludf.DUMMYFUNCTION("""COMPUTED_VALUE"""),44306.6666666666)</f>
        <v>44306.666666666599</v>
      </c>
      <c r="R581" s="2">
        <f ca="1">IFERROR(__xludf.DUMMYFUNCTION("""COMPUTED_VALUE"""),267.89)</f>
        <v>267.89</v>
      </c>
      <c r="S581" s="3">
        <f ca="1">IFERROR(__xludf.DUMMYFUNCTION("""COMPUTED_VALUE"""),44306.6666666666)</f>
        <v>44306.666666666599</v>
      </c>
      <c r="T581" s="2">
        <f ca="1">IFERROR(__xludf.DUMMYFUNCTION("""COMPUTED_VALUE"""),166.48)</f>
        <v>166.48</v>
      </c>
    </row>
    <row r="582" spans="1:20">
      <c r="A582" s="3">
        <f ca="1">IFERROR(__xludf.DUMMYFUNCTION("""COMPUTED_VALUE"""),44307.6666666666)</f>
        <v>44307.666666666599</v>
      </c>
      <c r="B582" s="2">
        <f ca="1">IFERROR(__xludf.DUMMYFUNCTION("""COMPUTED_VALUE"""),133.5)</f>
        <v>133.5</v>
      </c>
      <c r="C582" s="3">
        <f ca="1">IFERROR(__xludf.DUMMYFUNCTION("""COMPUTED_VALUE"""),44307.6666666666)</f>
        <v>44307.666666666599</v>
      </c>
      <c r="D582" s="2">
        <f ca="1">IFERROR(__xludf.DUMMYFUNCTION("""COMPUTED_VALUE"""),260.58)</f>
        <v>260.58</v>
      </c>
      <c r="E582" s="3">
        <f ca="1">IFERROR(__xludf.DUMMYFUNCTION("""COMPUTED_VALUE"""),44307.6666666666)</f>
        <v>44307.666666666599</v>
      </c>
      <c r="F582" s="2">
        <f ca="1">IFERROR(__xludf.DUMMYFUNCTION("""COMPUTED_VALUE"""),3362.02)</f>
        <v>3362.02</v>
      </c>
      <c r="G582" s="3">
        <f ca="1">IFERROR(__xludf.DUMMYFUNCTION("""COMPUTED_VALUE"""),44307.6666666666)</f>
        <v>44307.666666666599</v>
      </c>
      <c r="H582" s="2">
        <f ca="1">IFERROR(__xludf.DUMMYFUNCTION("""COMPUTED_VALUE"""),2278.35)</f>
        <v>2278.35</v>
      </c>
      <c r="I582" s="3">
        <f ca="1">IFERROR(__xludf.DUMMYFUNCTION("""COMPUTED_VALUE"""),44307.6666666666)</f>
        <v>44307.666666666599</v>
      </c>
      <c r="J582" s="2">
        <f ca="1">IFERROR(__xludf.DUMMYFUNCTION("""COMPUTED_VALUE"""),2293.29)</f>
        <v>2293.29</v>
      </c>
      <c r="K582" s="3">
        <f ca="1">IFERROR(__xludf.DUMMYFUNCTION("""COMPUTED_VALUE"""),44307.6666666666)</f>
        <v>44307.666666666599</v>
      </c>
      <c r="L582" s="2">
        <f ca="1">IFERROR(__xludf.DUMMYFUNCTION("""COMPUTED_VALUE"""),301.47)</f>
        <v>301.47000000000003</v>
      </c>
      <c r="M582" s="3">
        <f ca="1">IFERROR(__xludf.DUMMYFUNCTION("""COMPUTED_VALUE"""),44307.6666666666)</f>
        <v>44307.666666666599</v>
      </c>
      <c r="N582" s="2">
        <f ca="1">IFERROR(__xludf.DUMMYFUNCTION("""COMPUTED_VALUE"""),744.12)</f>
        <v>744.12</v>
      </c>
      <c r="O582" s="3">
        <f ca="1">IFERROR(__xludf.DUMMYFUNCTION("""COMPUTED_VALUE"""),44307.6666666666)</f>
        <v>44307.666666666599</v>
      </c>
      <c r="P582" s="2">
        <f ca="1">IFERROR(__xludf.DUMMYFUNCTION("""COMPUTED_VALUE"""),153.6)</f>
        <v>153.6</v>
      </c>
      <c r="Q582" s="3">
        <f ca="1">IFERROR(__xludf.DUMMYFUNCTION("""COMPUTED_VALUE"""),44307.6666666666)</f>
        <v>44307.666666666599</v>
      </c>
      <c r="R582" s="2">
        <f ca="1">IFERROR(__xludf.DUMMYFUNCTION("""COMPUTED_VALUE"""),272.21)</f>
        <v>272.20999999999998</v>
      </c>
      <c r="S582" s="3">
        <f ca="1">IFERROR(__xludf.DUMMYFUNCTION("""COMPUTED_VALUE"""),44307.6666666666)</f>
        <v>44307.666666666599</v>
      </c>
      <c r="T582" s="2">
        <f ca="1">IFERROR(__xludf.DUMMYFUNCTION("""COMPUTED_VALUE"""),166.59)</f>
        <v>166.59</v>
      </c>
    </row>
    <row r="583" spans="1:20">
      <c r="A583" s="3">
        <f ca="1">IFERROR(__xludf.DUMMYFUNCTION("""COMPUTED_VALUE"""),44308.6666666666)</f>
        <v>44308.666666666599</v>
      </c>
      <c r="B583" s="2">
        <f ca="1">IFERROR(__xludf.DUMMYFUNCTION("""COMPUTED_VALUE"""),131.94)</f>
        <v>131.94</v>
      </c>
      <c r="C583" s="3">
        <f ca="1">IFERROR(__xludf.DUMMYFUNCTION("""COMPUTED_VALUE"""),44308.6666666666)</f>
        <v>44308.666666666599</v>
      </c>
      <c r="D583" s="2">
        <f ca="1">IFERROR(__xludf.DUMMYFUNCTION("""COMPUTED_VALUE"""),257.17)</f>
        <v>257.17</v>
      </c>
      <c r="E583" s="3">
        <f ca="1">IFERROR(__xludf.DUMMYFUNCTION("""COMPUTED_VALUE"""),44308.6666666666)</f>
        <v>44308.666666666599</v>
      </c>
      <c r="F583" s="2">
        <f ca="1">IFERROR(__xludf.DUMMYFUNCTION("""COMPUTED_VALUE"""),3309.04)</f>
        <v>3309.04</v>
      </c>
      <c r="G583" s="3">
        <f ca="1">IFERROR(__xludf.DUMMYFUNCTION("""COMPUTED_VALUE"""),44308.6666666666)</f>
        <v>44308.666666666599</v>
      </c>
      <c r="H583" s="2">
        <f ca="1">IFERROR(__xludf.DUMMYFUNCTION("""COMPUTED_VALUE"""),2252.52)</f>
        <v>2252.52</v>
      </c>
      <c r="I583" s="3">
        <f ca="1">IFERROR(__xludf.DUMMYFUNCTION("""COMPUTED_VALUE"""),44308.6666666666)</f>
        <v>44308.666666666599</v>
      </c>
      <c r="J583" s="2">
        <f ca="1">IFERROR(__xludf.DUMMYFUNCTION("""COMPUTED_VALUE"""),2267.92)</f>
        <v>2267.92</v>
      </c>
      <c r="K583" s="3">
        <f ca="1">IFERROR(__xludf.DUMMYFUNCTION("""COMPUTED_VALUE"""),44308.6666666666)</f>
        <v>44308.666666666599</v>
      </c>
      <c r="L583" s="2">
        <f ca="1">IFERROR(__xludf.DUMMYFUNCTION("""COMPUTED_VALUE"""),296.52)</f>
        <v>296.52</v>
      </c>
      <c r="M583" s="3">
        <f ca="1">IFERROR(__xludf.DUMMYFUNCTION("""COMPUTED_VALUE"""),44308.6666666666)</f>
        <v>44308.666666666599</v>
      </c>
      <c r="N583" s="2">
        <f ca="1">IFERROR(__xludf.DUMMYFUNCTION("""COMPUTED_VALUE"""),719.69)</f>
        <v>719.69</v>
      </c>
      <c r="O583" s="3">
        <f ca="1">IFERROR(__xludf.DUMMYFUNCTION("""COMPUTED_VALUE"""),44308.6666666666)</f>
        <v>44308.666666666599</v>
      </c>
      <c r="P583" s="2">
        <f ca="1">IFERROR(__xludf.DUMMYFUNCTION("""COMPUTED_VALUE"""),148.5)</f>
        <v>148.5</v>
      </c>
      <c r="Q583" s="3">
        <f ca="1">IFERROR(__xludf.DUMMYFUNCTION("""COMPUTED_VALUE"""),44308.6666666666)</f>
        <v>44308.666666666599</v>
      </c>
      <c r="R583" s="2">
        <f ca="1">IFERROR(__xludf.DUMMYFUNCTION("""COMPUTED_VALUE"""),269.51)</f>
        <v>269.51</v>
      </c>
      <c r="S583" s="3">
        <f ca="1">IFERROR(__xludf.DUMMYFUNCTION("""COMPUTED_VALUE"""),44308.6666666666)</f>
        <v>44308.666666666599</v>
      </c>
      <c r="T583" s="2">
        <f ca="1">IFERROR(__xludf.DUMMYFUNCTION("""COMPUTED_VALUE"""),165.18)</f>
        <v>165.18</v>
      </c>
    </row>
    <row r="584" spans="1:20">
      <c r="A584" s="3">
        <f ca="1">IFERROR(__xludf.DUMMYFUNCTION("""COMPUTED_VALUE"""),44309.6666666666)</f>
        <v>44309.666666666599</v>
      </c>
      <c r="B584" s="2">
        <f ca="1">IFERROR(__xludf.DUMMYFUNCTION("""COMPUTED_VALUE"""),134.32)</f>
        <v>134.32</v>
      </c>
      <c r="C584" s="3">
        <f ca="1">IFERROR(__xludf.DUMMYFUNCTION("""COMPUTED_VALUE"""),44309.6666666666)</f>
        <v>44309.666666666599</v>
      </c>
      <c r="D584" s="2">
        <f ca="1">IFERROR(__xludf.DUMMYFUNCTION("""COMPUTED_VALUE"""),261.15)</f>
        <v>261.14999999999998</v>
      </c>
      <c r="E584" s="3">
        <f ca="1">IFERROR(__xludf.DUMMYFUNCTION("""COMPUTED_VALUE"""),44309.6666666666)</f>
        <v>44309.666666666599</v>
      </c>
      <c r="F584" s="2">
        <f ca="1">IFERROR(__xludf.DUMMYFUNCTION("""COMPUTED_VALUE"""),3340.88)</f>
        <v>3340.88</v>
      </c>
      <c r="G584" s="3">
        <f ca="1">IFERROR(__xludf.DUMMYFUNCTION("""COMPUTED_VALUE"""),44309.6666666666)</f>
        <v>44309.666666666599</v>
      </c>
      <c r="H584" s="2">
        <f ca="1">IFERROR(__xludf.DUMMYFUNCTION("""COMPUTED_VALUE"""),2299.93)</f>
        <v>2299.9299999999998</v>
      </c>
      <c r="I584" s="3">
        <f ca="1">IFERROR(__xludf.DUMMYFUNCTION("""COMPUTED_VALUE"""),44309.6666666666)</f>
        <v>44309.666666666599</v>
      </c>
      <c r="J584" s="2">
        <f ca="1">IFERROR(__xludf.DUMMYFUNCTION("""COMPUTED_VALUE"""),2315.3)</f>
        <v>2315.3000000000002</v>
      </c>
      <c r="K584" s="3">
        <f ca="1">IFERROR(__xludf.DUMMYFUNCTION("""COMPUTED_VALUE"""),44309.6666666666)</f>
        <v>44309.666666666599</v>
      </c>
      <c r="L584" s="2">
        <f ca="1">IFERROR(__xludf.DUMMYFUNCTION("""COMPUTED_VALUE"""),301.13)</f>
        <v>301.13</v>
      </c>
      <c r="M584" s="3">
        <f ca="1">IFERROR(__xludf.DUMMYFUNCTION("""COMPUTED_VALUE"""),44309.6666666666)</f>
        <v>44309.666666666599</v>
      </c>
      <c r="N584" s="2">
        <f ca="1">IFERROR(__xludf.DUMMYFUNCTION("""COMPUTED_VALUE"""),729.4)</f>
        <v>729.4</v>
      </c>
      <c r="O584" s="3">
        <f ca="1">IFERROR(__xludf.DUMMYFUNCTION("""COMPUTED_VALUE"""),44309.6666666666)</f>
        <v>44309.666666666599</v>
      </c>
      <c r="P584" s="2">
        <f ca="1">IFERROR(__xludf.DUMMYFUNCTION("""COMPUTED_VALUE"""),152.65)</f>
        <v>152.65</v>
      </c>
      <c r="Q584" s="3">
        <f ca="1">IFERROR(__xludf.DUMMYFUNCTION("""COMPUTED_VALUE"""),44309.6666666666)</f>
        <v>44309.666666666599</v>
      </c>
      <c r="R584" s="2">
        <f ca="1">IFERROR(__xludf.DUMMYFUNCTION("""COMPUTED_VALUE"""),271.98)</f>
        <v>271.98</v>
      </c>
      <c r="S584" s="3">
        <f ca="1">IFERROR(__xludf.DUMMYFUNCTION("""COMPUTED_VALUE"""),44309.6666666666)</f>
        <v>44309.666666666599</v>
      </c>
      <c r="T584" s="2">
        <f ca="1">IFERROR(__xludf.DUMMYFUNCTION("""COMPUTED_VALUE"""),165.52)</f>
        <v>165.52</v>
      </c>
    </row>
    <row r="585" spans="1:20">
      <c r="A585" s="3">
        <f ca="1">IFERROR(__xludf.DUMMYFUNCTION("""COMPUTED_VALUE"""),44312.6666666666)</f>
        <v>44312.666666666599</v>
      </c>
      <c r="B585" s="2">
        <f ca="1">IFERROR(__xludf.DUMMYFUNCTION("""COMPUTED_VALUE"""),134.72)</f>
        <v>134.72</v>
      </c>
      <c r="C585" s="3">
        <f ca="1">IFERROR(__xludf.DUMMYFUNCTION("""COMPUTED_VALUE"""),44312.6666666666)</f>
        <v>44312.666666666599</v>
      </c>
      <c r="D585" s="2">
        <f ca="1">IFERROR(__xludf.DUMMYFUNCTION("""COMPUTED_VALUE"""),261.55)</f>
        <v>261.55</v>
      </c>
      <c r="E585" s="3">
        <f ca="1">IFERROR(__xludf.DUMMYFUNCTION("""COMPUTED_VALUE"""),44312.6666666666)</f>
        <v>44312.666666666599</v>
      </c>
      <c r="F585" s="2">
        <f ca="1">IFERROR(__xludf.DUMMYFUNCTION("""COMPUTED_VALUE"""),3409)</f>
        <v>3409</v>
      </c>
      <c r="G585" s="3">
        <f ca="1">IFERROR(__xludf.DUMMYFUNCTION("""COMPUTED_VALUE"""),44312.6666666666)</f>
        <v>44312.666666666599</v>
      </c>
      <c r="H585" s="2">
        <f ca="1">IFERROR(__xludf.DUMMYFUNCTION("""COMPUTED_VALUE"""),2309.93)</f>
        <v>2309.9299999999998</v>
      </c>
      <c r="I585" s="3">
        <f ca="1">IFERROR(__xludf.DUMMYFUNCTION("""COMPUTED_VALUE"""),44312.6666666666)</f>
        <v>44312.666666666599</v>
      </c>
      <c r="J585" s="2">
        <f ca="1">IFERROR(__xludf.DUMMYFUNCTION("""COMPUTED_VALUE"""),2326.74)</f>
        <v>2326.7399999999998</v>
      </c>
      <c r="K585" s="3">
        <f ca="1">IFERROR(__xludf.DUMMYFUNCTION("""COMPUTED_VALUE"""),44312.6666666666)</f>
        <v>44312.666666666599</v>
      </c>
      <c r="L585" s="2">
        <f ca="1">IFERROR(__xludf.DUMMYFUNCTION("""COMPUTED_VALUE"""),303.04)</f>
        <v>303.04000000000002</v>
      </c>
      <c r="M585" s="3">
        <f ca="1">IFERROR(__xludf.DUMMYFUNCTION("""COMPUTED_VALUE"""),44312.6666666666)</f>
        <v>44312.666666666599</v>
      </c>
      <c r="N585" s="2">
        <f ca="1">IFERROR(__xludf.DUMMYFUNCTION("""COMPUTED_VALUE"""),738.2)</f>
        <v>738.2</v>
      </c>
      <c r="O585" s="3">
        <f ca="1">IFERROR(__xludf.DUMMYFUNCTION("""COMPUTED_VALUE"""),44312.6666666666)</f>
        <v>44312.666666666599</v>
      </c>
      <c r="P585" s="2">
        <f ca="1">IFERROR(__xludf.DUMMYFUNCTION("""COMPUTED_VALUE"""),154.78)</f>
        <v>154.78</v>
      </c>
      <c r="Q585" s="3">
        <f ca="1">IFERROR(__xludf.DUMMYFUNCTION("""COMPUTED_VALUE"""),44312.6666666666)</f>
        <v>44312.666666666599</v>
      </c>
      <c r="R585" s="2">
        <f ca="1">IFERROR(__xludf.DUMMYFUNCTION("""COMPUTED_VALUE"""),270.86)</f>
        <v>270.86</v>
      </c>
      <c r="S585" s="3">
        <f ca="1">IFERROR(__xludf.DUMMYFUNCTION("""COMPUTED_VALUE"""),44312.6666666666)</f>
        <v>44312.666666666599</v>
      </c>
      <c r="T585" s="2">
        <f ca="1">IFERROR(__xludf.DUMMYFUNCTION("""COMPUTED_VALUE"""),164.12)</f>
        <v>164.12</v>
      </c>
    </row>
    <row r="586" spans="1:20">
      <c r="A586" s="3">
        <f ca="1">IFERROR(__xludf.DUMMYFUNCTION("""COMPUTED_VALUE"""),44313.6666666666)</f>
        <v>44313.666666666599</v>
      </c>
      <c r="B586" s="2">
        <f ca="1">IFERROR(__xludf.DUMMYFUNCTION("""COMPUTED_VALUE"""),134.39)</f>
        <v>134.38999999999999</v>
      </c>
      <c r="C586" s="3">
        <f ca="1">IFERROR(__xludf.DUMMYFUNCTION("""COMPUTED_VALUE"""),44313.6666666666)</f>
        <v>44313.666666666599</v>
      </c>
      <c r="D586" s="2">
        <f ca="1">IFERROR(__xludf.DUMMYFUNCTION("""COMPUTED_VALUE"""),261.97)</f>
        <v>261.97000000000003</v>
      </c>
      <c r="E586" s="3">
        <f ca="1">IFERROR(__xludf.DUMMYFUNCTION("""COMPUTED_VALUE"""),44313.6666666666)</f>
        <v>44313.666666666599</v>
      </c>
      <c r="F586" s="2">
        <f ca="1">IFERROR(__xludf.DUMMYFUNCTION("""COMPUTED_VALUE"""),3417.43)</f>
        <v>3417.43</v>
      </c>
      <c r="G586" s="3">
        <f ca="1">IFERROR(__xludf.DUMMYFUNCTION("""COMPUTED_VALUE"""),44313.6666666666)</f>
        <v>44313.666666666599</v>
      </c>
      <c r="H586" s="2">
        <f ca="1">IFERROR(__xludf.DUMMYFUNCTION("""COMPUTED_VALUE"""),2290.98)</f>
        <v>2290.98</v>
      </c>
      <c r="I586" s="3">
        <f ca="1">IFERROR(__xludf.DUMMYFUNCTION("""COMPUTED_VALUE"""),44313.6666666666)</f>
        <v>44313.666666666599</v>
      </c>
      <c r="J586" s="2">
        <f ca="1">IFERROR(__xludf.DUMMYFUNCTION("""COMPUTED_VALUE"""),2307.12)</f>
        <v>2307.12</v>
      </c>
      <c r="K586" s="3">
        <f ca="1">IFERROR(__xludf.DUMMYFUNCTION("""COMPUTED_VALUE"""),44313.6666666666)</f>
        <v>44313.666666666599</v>
      </c>
      <c r="L586" s="2">
        <f ca="1">IFERROR(__xludf.DUMMYFUNCTION("""COMPUTED_VALUE"""),303.57)</f>
        <v>303.57</v>
      </c>
      <c r="M586" s="3">
        <f ca="1">IFERROR(__xludf.DUMMYFUNCTION("""COMPUTED_VALUE"""),44313.6666666666)</f>
        <v>44313.666666666599</v>
      </c>
      <c r="N586" s="2">
        <f ca="1">IFERROR(__xludf.DUMMYFUNCTION("""COMPUTED_VALUE"""),704.74)</f>
        <v>704.74</v>
      </c>
      <c r="O586" s="3">
        <f ca="1">IFERROR(__xludf.DUMMYFUNCTION("""COMPUTED_VALUE"""),44313.6666666666)</f>
        <v>44313.666666666599</v>
      </c>
      <c r="P586" s="2">
        <f ca="1">IFERROR(__xludf.DUMMYFUNCTION("""COMPUTED_VALUE"""),153.82)</f>
        <v>153.82</v>
      </c>
      <c r="Q586" s="3">
        <f ca="1">IFERROR(__xludf.DUMMYFUNCTION("""COMPUTED_VALUE"""),44313.6666666666)</f>
        <v>44313.666666666599</v>
      </c>
      <c r="R586" s="2">
        <f ca="1">IFERROR(__xludf.DUMMYFUNCTION("""COMPUTED_VALUE"""),273.65)</f>
        <v>273.64999999999998</v>
      </c>
      <c r="S586" s="3">
        <f ca="1">IFERROR(__xludf.DUMMYFUNCTION("""COMPUTED_VALUE"""),44313.6666666666)</f>
        <v>44313.666666666599</v>
      </c>
      <c r="T586" s="2">
        <f ca="1">IFERROR(__xludf.DUMMYFUNCTION("""COMPUTED_VALUE"""),163.18)</f>
        <v>163.18</v>
      </c>
    </row>
    <row r="587" spans="1:20">
      <c r="A587" s="3">
        <f ca="1">IFERROR(__xludf.DUMMYFUNCTION("""COMPUTED_VALUE"""),44314.6666666666)</f>
        <v>44314.666666666599</v>
      </c>
      <c r="B587" s="2">
        <f ca="1">IFERROR(__xludf.DUMMYFUNCTION("""COMPUTED_VALUE"""),133.58)</f>
        <v>133.58000000000001</v>
      </c>
      <c r="C587" s="3">
        <f ca="1">IFERROR(__xludf.DUMMYFUNCTION("""COMPUTED_VALUE"""),44314.6666666666)</f>
        <v>44314.666666666599</v>
      </c>
      <c r="D587" s="2">
        <f ca="1">IFERROR(__xludf.DUMMYFUNCTION("""COMPUTED_VALUE"""),254.56)</f>
        <v>254.56</v>
      </c>
      <c r="E587" s="3">
        <f ca="1">IFERROR(__xludf.DUMMYFUNCTION("""COMPUTED_VALUE"""),44314.6666666666)</f>
        <v>44314.666666666599</v>
      </c>
      <c r="F587" s="2">
        <f ca="1">IFERROR(__xludf.DUMMYFUNCTION("""COMPUTED_VALUE"""),3458.5)</f>
        <v>3458.5</v>
      </c>
      <c r="G587" s="3">
        <f ca="1">IFERROR(__xludf.DUMMYFUNCTION("""COMPUTED_VALUE"""),44314.6666666666)</f>
        <v>44314.666666666599</v>
      </c>
      <c r="H587" s="2">
        <f ca="1">IFERROR(__xludf.DUMMYFUNCTION("""COMPUTED_VALUE"""),2359.04)</f>
        <v>2359.04</v>
      </c>
      <c r="I587" s="3">
        <f ca="1">IFERROR(__xludf.DUMMYFUNCTION("""COMPUTED_VALUE"""),44314.6666666666)</f>
        <v>44314.666666666599</v>
      </c>
      <c r="J587" s="2">
        <f ca="1">IFERROR(__xludf.DUMMYFUNCTION("""COMPUTED_VALUE"""),2379.91)</f>
        <v>2379.91</v>
      </c>
      <c r="K587" s="3">
        <f ca="1">IFERROR(__xludf.DUMMYFUNCTION("""COMPUTED_VALUE"""),44314.6666666666)</f>
        <v>44314.666666666599</v>
      </c>
      <c r="L587" s="2">
        <f ca="1">IFERROR(__xludf.DUMMYFUNCTION("""COMPUTED_VALUE"""),307.1)</f>
        <v>307.10000000000002</v>
      </c>
      <c r="M587" s="3">
        <f ca="1">IFERROR(__xludf.DUMMYFUNCTION("""COMPUTED_VALUE"""),44314.6666666666)</f>
        <v>44314.666666666599</v>
      </c>
      <c r="N587" s="2">
        <f ca="1">IFERROR(__xludf.DUMMYFUNCTION("""COMPUTED_VALUE"""),694.4)</f>
        <v>694.4</v>
      </c>
      <c r="O587" s="3">
        <f ca="1">IFERROR(__xludf.DUMMYFUNCTION("""COMPUTED_VALUE"""),44314.6666666666)</f>
        <v>44314.666666666599</v>
      </c>
      <c r="P587" s="2">
        <f ca="1">IFERROR(__xludf.DUMMYFUNCTION("""COMPUTED_VALUE"""),152.77)</f>
        <v>152.77000000000001</v>
      </c>
      <c r="Q587" s="3">
        <f ca="1">IFERROR(__xludf.DUMMYFUNCTION("""COMPUTED_VALUE"""),44314.6666666666)</f>
        <v>44314.666666666599</v>
      </c>
      <c r="R587" s="2">
        <f ca="1">IFERROR(__xludf.DUMMYFUNCTION("""COMPUTED_VALUE"""),272.95)</f>
        <v>272.95</v>
      </c>
      <c r="S587" s="3">
        <f ca="1">IFERROR(__xludf.DUMMYFUNCTION("""COMPUTED_VALUE"""),44314.6666666666)</f>
        <v>44314.666666666599</v>
      </c>
      <c r="T587" s="2">
        <f ca="1">IFERROR(__xludf.DUMMYFUNCTION("""COMPUTED_VALUE"""),161.98)</f>
        <v>161.97999999999999</v>
      </c>
    </row>
    <row r="588" spans="1:20">
      <c r="A588" s="3">
        <f ca="1">IFERROR(__xludf.DUMMYFUNCTION("""COMPUTED_VALUE"""),44315.6666666666)</f>
        <v>44315.666666666599</v>
      </c>
      <c r="B588" s="2">
        <f ca="1">IFERROR(__xludf.DUMMYFUNCTION("""COMPUTED_VALUE"""),133.48)</f>
        <v>133.47999999999999</v>
      </c>
      <c r="C588" s="3">
        <f ca="1">IFERROR(__xludf.DUMMYFUNCTION("""COMPUTED_VALUE"""),44315.6666666666)</f>
        <v>44315.666666666599</v>
      </c>
      <c r="D588" s="2">
        <f ca="1">IFERROR(__xludf.DUMMYFUNCTION("""COMPUTED_VALUE"""),252.51)</f>
        <v>252.51</v>
      </c>
      <c r="E588" s="3">
        <f ca="1">IFERROR(__xludf.DUMMYFUNCTION("""COMPUTED_VALUE"""),44315.6666666666)</f>
        <v>44315.666666666599</v>
      </c>
      <c r="F588" s="2">
        <f ca="1">IFERROR(__xludf.DUMMYFUNCTION("""COMPUTED_VALUE"""),3471.31)</f>
        <v>3471.31</v>
      </c>
      <c r="G588" s="3">
        <f ca="1">IFERROR(__xludf.DUMMYFUNCTION("""COMPUTED_VALUE"""),44315.6666666666)</f>
        <v>44315.666666666599</v>
      </c>
      <c r="H588" s="2">
        <f ca="1">IFERROR(__xludf.DUMMYFUNCTION("""COMPUTED_VALUE"""),2392.76)</f>
        <v>2392.7600000000002</v>
      </c>
      <c r="I588" s="3">
        <f ca="1">IFERROR(__xludf.DUMMYFUNCTION("""COMPUTED_VALUE"""),44315.6666666666)</f>
        <v>44315.666666666599</v>
      </c>
      <c r="J588" s="2">
        <f ca="1">IFERROR(__xludf.DUMMYFUNCTION("""COMPUTED_VALUE"""),2429.89)</f>
        <v>2429.89</v>
      </c>
      <c r="K588" s="3">
        <f ca="1">IFERROR(__xludf.DUMMYFUNCTION("""COMPUTED_VALUE"""),44315.6666666666)</f>
        <v>44315.666666666599</v>
      </c>
      <c r="L588" s="2">
        <f ca="1">IFERROR(__xludf.DUMMYFUNCTION("""COMPUTED_VALUE"""),329.51)</f>
        <v>329.51</v>
      </c>
      <c r="M588" s="3">
        <f ca="1">IFERROR(__xludf.DUMMYFUNCTION("""COMPUTED_VALUE"""),44315.6666666666)</f>
        <v>44315.666666666599</v>
      </c>
      <c r="N588" s="2">
        <f ca="1">IFERROR(__xludf.DUMMYFUNCTION("""COMPUTED_VALUE"""),677)</f>
        <v>677</v>
      </c>
      <c r="O588" s="3">
        <f ca="1">IFERROR(__xludf.DUMMYFUNCTION("""COMPUTED_VALUE"""),44315.6666666666)</f>
        <v>44315.666666666599</v>
      </c>
      <c r="P588" s="2">
        <f ca="1">IFERROR(__xludf.DUMMYFUNCTION("""COMPUTED_VALUE"""),153.25)</f>
        <v>153.25</v>
      </c>
      <c r="Q588" s="3">
        <f ca="1">IFERROR(__xludf.DUMMYFUNCTION("""COMPUTED_VALUE"""),44315.6666666666)</f>
        <v>44315.666666666599</v>
      </c>
      <c r="R588" s="2">
        <f ca="1">IFERROR(__xludf.DUMMYFUNCTION("""COMPUTED_VALUE"""),277.6)</f>
        <v>277.60000000000002</v>
      </c>
      <c r="S588" s="3">
        <f ca="1">IFERROR(__xludf.DUMMYFUNCTION("""COMPUTED_VALUE"""),44315.6666666666)</f>
        <v>44315.666666666599</v>
      </c>
      <c r="T588" s="2">
        <f ca="1">IFERROR(__xludf.DUMMYFUNCTION("""COMPUTED_VALUE"""),164.2)</f>
        <v>164.2</v>
      </c>
    </row>
    <row r="589" spans="1:20">
      <c r="A589" s="3">
        <f ca="1">IFERROR(__xludf.DUMMYFUNCTION("""COMPUTED_VALUE"""),44316.6666666666)</f>
        <v>44316.666666666599</v>
      </c>
      <c r="B589" s="2">
        <f ca="1">IFERROR(__xludf.DUMMYFUNCTION("""COMPUTED_VALUE"""),131.46)</f>
        <v>131.46</v>
      </c>
      <c r="C589" s="3">
        <f ca="1">IFERROR(__xludf.DUMMYFUNCTION("""COMPUTED_VALUE"""),44316.6666666666)</f>
        <v>44316.666666666599</v>
      </c>
      <c r="D589" s="2">
        <f ca="1">IFERROR(__xludf.DUMMYFUNCTION("""COMPUTED_VALUE"""),252.18)</f>
        <v>252.18</v>
      </c>
      <c r="E589" s="3">
        <f ca="1">IFERROR(__xludf.DUMMYFUNCTION("""COMPUTED_VALUE"""),44316.6666666666)</f>
        <v>44316.666666666599</v>
      </c>
      <c r="F589" s="2">
        <f ca="1">IFERROR(__xludf.DUMMYFUNCTION("""COMPUTED_VALUE"""),3467.42)</f>
        <v>3467.42</v>
      </c>
      <c r="G589" s="3">
        <f ca="1">IFERROR(__xludf.DUMMYFUNCTION("""COMPUTED_VALUE"""),44316.6666666666)</f>
        <v>44316.666666666599</v>
      </c>
      <c r="H589" s="2">
        <f ca="1">IFERROR(__xludf.DUMMYFUNCTION("""COMPUTED_VALUE"""),2353.5)</f>
        <v>2353.5</v>
      </c>
      <c r="I589" s="3">
        <f ca="1">IFERROR(__xludf.DUMMYFUNCTION("""COMPUTED_VALUE"""),44316.6666666666)</f>
        <v>44316.666666666599</v>
      </c>
      <c r="J589" s="2">
        <f ca="1">IFERROR(__xludf.DUMMYFUNCTION("""COMPUTED_VALUE"""),2410.12)</f>
        <v>2410.12</v>
      </c>
      <c r="K589" s="3">
        <f ca="1">IFERROR(__xludf.DUMMYFUNCTION("""COMPUTED_VALUE"""),44316.6666666666)</f>
        <v>44316.666666666599</v>
      </c>
      <c r="L589" s="2">
        <f ca="1">IFERROR(__xludf.DUMMYFUNCTION("""COMPUTED_VALUE"""),325.08)</f>
        <v>325.08</v>
      </c>
      <c r="M589" s="3">
        <f ca="1">IFERROR(__xludf.DUMMYFUNCTION("""COMPUTED_VALUE"""),44316.6666666666)</f>
        <v>44316.666666666599</v>
      </c>
      <c r="N589" s="2">
        <f ca="1">IFERROR(__xludf.DUMMYFUNCTION("""COMPUTED_VALUE"""),709.44)</f>
        <v>709.44</v>
      </c>
      <c r="O589" s="3">
        <f ca="1">IFERROR(__xludf.DUMMYFUNCTION("""COMPUTED_VALUE"""),44316.6666666666)</f>
        <v>44316.666666666599</v>
      </c>
      <c r="P589" s="2">
        <f ca="1">IFERROR(__xludf.DUMMYFUNCTION("""COMPUTED_VALUE"""),150.1)</f>
        <v>150.1</v>
      </c>
      <c r="Q589" s="3">
        <f ca="1">IFERROR(__xludf.DUMMYFUNCTION("""COMPUTED_VALUE"""),44316.6666666666)</f>
        <v>44316.666666666599</v>
      </c>
      <c r="R589" s="2">
        <f ca="1">IFERROR(__xludf.DUMMYFUNCTION("""COMPUTED_VALUE"""),274.95)</f>
        <v>274.95</v>
      </c>
      <c r="S589" s="3">
        <f ca="1">IFERROR(__xludf.DUMMYFUNCTION("""COMPUTED_VALUE"""),44316.6666666666)</f>
        <v>44316.666666666599</v>
      </c>
      <c r="T589" s="2">
        <f ca="1">IFERROR(__xludf.DUMMYFUNCTION("""COMPUTED_VALUE"""),162.73)</f>
        <v>162.72999999999999</v>
      </c>
    </row>
    <row r="590" spans="1:20">
      <c r="A590" s="3">
        <f ca="1">IFERROR(__xludf.DUMMYFUNCTION("""COMPUTED_VALUE"""),44319.6666666666)</f>
        <v>44319.666666666599</v>
      </c>
      <c r="B590" s="2">
        <f ca="1">IFERROR(__xludf.DUMMYFUNCTION("""COMPUTED_VALUE"""),132.54)</f>
        <v>132.54</v>
      </c>
      <c r="C590" s="3">
        <f ca="1">IFERROR(__xludf.DUMMYFUNCTION("""COMPUTED_VALUE"""),44319.6666666666)</f>
        <v>44319.666666666599</v>
      </c>
      <c r="D590" s="2">
        <f ca="1">IFERROR(__xludf.DUMMYFUNCTION("""COMPUTED_VALUE"""),251.86)</f>
        <v>251.86</v>
      </c>
      <c r="E590" s="3">
        <f ca="1">IFERROR(__xludf.DUMMYFUNCTION("""COMPUTED_VALUE"""),44319.6666666666)</f>
        <v>44319.666666666599</v>
      </c>
      <c r="F590" s="2">
        <f ca="1">IFERROR(__xludf.DUMMYFUNCTION("""COMPUTED_VALUE"""),3386.49)</f>
        <v>3386.49</v>
      </c>
      <c r="G590" s="3">
        <f ca="1">IFERROR(__xludf.DUMMYFUNCTION("""COMPUTED_VALUE"""),44319.6666666666)</f>
        <v>44319.666666666599</v>
      </c>
      <c r="H590" s="2">
        <f ca="1">IFERROR(__xludf.DUMMYFUNCTION("""COMPUTED_VALUE"""),2343.08)</f>
        <v>2343.08</v>
      </c>
      <c r="I590" s="3">
        <f ca="1">IFERROR(__xludf.DUMMYFUNCTION("""COMPUTED_VALUE"""),44319.6666666666)</f>
        <v>44319.666666666599</v>
      </c>
      <c r="J590" s="2">
        <f ca="1">IFERROR(__xludf.DUMMYFUNCTION("""COMPUTED_VALUE"""),2395.17)</f>
        <v>2395.17</v>
      </c>
      <c r="K590" s="3">
        <f ca="1">IFERROR(__xludf.DUMMYFUNCTION("""COMPUTED_VALUE"""),44319.6666666666)</f>
        <v>44319.666666666599</v>
      </c>
      <c r="L590" s="2">
        <f ca="1">IFERROR(__xludf.DUMMYFUNCTION("""COMPUTED_VALUE"""),322.58)</f>
        <v>322.58</v>
      </c>
      <c r="M590" s="3">
        <f ca="1">IFERROR(__xludf.DUMMYFUNCTION("""COMPUTED_VALUE"""),44319.6666666666)</f>
        <v>44319.666666666599</v>
      </c>
      <c r="N590" s="2">
        <f ca="1">IFERROR(__xludf.DUMMYFUNCTION("""COMPUTED_VALUE"""),684.9)</f>
        <v>684.9</v>
      </c>
      <c r="O590" s="3">
        <f ca="1">IFERROR(__xludf.DUMMYFUNCTION("""COMPUTED_VALUE"""),44319.6666666666)</f>
        <v>44319.666666666599</v>
      </c>
      <c r="P590" s="2">
        <f ca="1">IFERROR(__xludf.DUMMYFUNCTION("""COMPUTED_VALUE"""),148.37)</f>
        <v>148.37</v>
      </c>
      <c r="Q590" s="3">
        <f ca="1">IFERROR(__xludf.DUMMYFUNCTION("""COMPUTED_VALUE"""),44319.6666666666)</f>
        <v>44319.666666666599</v>
      </c>
      <c r="R590" s="2">
        <f ca="1">IFERROR(__xludf.DUMMYFUNCTION("""COMPUTED_VALUE"""),279.18)</f>
        <v>279.18</v>
      </c>
      <c r="S590" s="3">
        <f ca="1">IFERROR(__xludf.DUMMYFUNCTION("""COMPUTED_VALUE"""),44319.6666666666)</f>
        <v>44319.666666666599</v>
      </c>
      <c r="T590" s="2">
        <f ca="1">IFERROR(__xludf.DUMMYFUNCTION("""COMPUTED_VALUE"""),165.21)</f>
        <v>165.21</v>
      </c>
    </row>
    <row r="591" spans="1:20">
      <c r="A591" s="3">
        <f ca="1">IFERROR(__xludf.DUMMYFUNCTION("""COMPUTED_VALUE"""),44320.6666666666)</f>
        <v>44320.666666666599</v>
      </c>
      <c r="B591" s="2">
        <f ca="1">IFERROR(__xludf.DUMMYFUNCTION("""COMPUTED_VALUE"""),127.85)</f>
        <v>127.85</v>
      </c>
      <c r="C591" s="3">
        <f ca="1">IFERROR(__xludf.DUMMYFUNCTION("""COMPUTED_VALUE"""),44320.6666666666)</f>
        <v>44320.666666666599</v>
      </c>
      <c r="D591" s="2">
        <f ca="1">IFERROR(__xludf.DUMMYFUNCTION("""COMPUTED_VALUE"""),247.79)</f>
        <v>247.79</v>
      </c>
      <c r="E591" s="3">
        <f ca="1">IFERROR(__xludf.DUMMYFUNCTION("""COMPUTED_VALUE"""),44320.6666666666)</f>
        <v>44320.666666666599</v>
      </c>
      <c r="F591" s="2">
        <f ca="1">IFERROR(__xludf.DUMMYFUNCTION("""COMPUTED_VALUE"""),3311.87)</f>
        <v>3311.87</v>
      </c>
      <c r="G591" s="3">
        <f ca="1">IFERROR(__xludf.DUMMYFUNCTION("""COMPUTED_VALUE"""),44320.6666666666)</f>
        <v>44320.666666666599</v>
      </c>
      <c r="H591" s="2">
        <f ca="1">IFERROR(__xludf.DUMMYFUNCTION("""COMPUTED_VALUE"""),2306.83)</f>
        <v>2306.83</v>
      </c>
      <c r="I591" s="3">
        <f ca="1">IFERROR(__xludf.DUMMYFUNCTION("""COMPUTED_VALUE"""),44320.6666666666)</f>
        <v>44320.666666666599</v>
      </c>
      <c r="J591" s="2">
        <f ca="1">IFERROR(__xludf.DUMMYFUNCTION("""COMPUTED_VALUE"""),2354.25)</f>
        <v>2354.25</v>
      </c>
      <c r="K591" s="3">
        <f ca="1">IFERROR(__xludf.DUMMYFUNCTION("""COMPUTED_VALUE"""),44320.6666666666)</f>
        <v>44320.666666666599</v>
      </c>
      <c r="L591" s="2">
        <f ca="1">IFERROR(__xludf.DUMMYFUNCTION("""COMPUTED_VALUE"""),318.36)</f>
        <v>318.36</v>
      </c>
      <c r="M591" s="3">
        <f ca="1">IFERROR(__xludf.DUMMYFUNCTION("""COMPUTED_VALUE"""),44320.6666666666)</f>
        <v>44320.666666666599</v>
      </c>
      <c r="N591" s="2">
        <f ca="1">IFERROR(__xludf.DUMMYFUNCTION("""COMPUTED_VALUE"""),673.6)</f>
        <v>673.6</v>
      </c>
      <c r="O591" s="3">
        <f ca="1">IFERROR(__xludf.DUMMYFUNCTION("""COMPUTED_VALUE"""),44320.6666666666)</f>
        <v>44320.666666666599</v>
      </c>
      <c r="P591" s="2">
        <f ca="1">IFERROR(__xludf.DUMMYFUNCTION("""COMPUTED_VALUE"""),143.51)</f>
        <v>143.51</v>
      </c>
      <c r="Q591" s="3">
        <f ca="1">IFERROR(__xludf.DUMMYFUNCTION("""COMPUTED_VALUE"""),44320.6666666666)</f>
        <v>44320.666666666599</v>
      </c>
      <c r="R591" s="2">
        <f ca="1">IFERROR(__xludf.DUMMYFUNCTION("""COMPUTED_VALUE"""),280.26)</f>
        <v>280.26</v>
      </c>
      <c r="S591" s="3">
        <f ca="1">IFERROR(__xludf.DUMMYFUNCTION("""COMPUTED_VALUE"""),44320.6666666666)</f>
        <v>44320.666666666599</v>
      </c>
      <c r="T591" s="2">
        <f ca="1">IFERROR(__xludf.DUMMYFUNCTION("""COMPUTED_VALUE"""),167.77)</f>
        <v>167.77</v>
      </c>
    </row>
    <row r="592" spans="1:20">
      <c r="A592" s="3">
        <f ca="1">IFERROR(__xludf.DUMMYFUNCTION("""COMPUTED_VALUE"""),44321.6666666666)</f>
        <v>44321.666666666599</v>
      </c>
      <c r="B592" s="2">
        <f ca="1">IFERROR(__xludf.DUMMYFUNCTION("""COMPUTED_VALUE"""),128.1)</f>
        <v>128.1</v>
      </c>
      <c r="C592" s="3">
        <f ca="1">IFERROR(__xludf.DUMMYFUNCTION("""COMPUTED_VALUE"""),44321.6666666666)</f>
        <v>44321.666666666599</v>
      </c>
      <c r="D592" s="2">
        <f ca="1">IFERROR(__xludf.DUMMYFUNCTION("""COMPUTED_VALUE"""),246.47)</f>
        <v>246.47</v>
      </c>
      <c r="E592" s="3">
        <f ca="1">IFERROR(__xludf.DUMMYFUNCTION("""COMPUTED_VALUE"""),44321.6666666666)</f>
        <v>44321.666666666599</v>
      </c>
      <c r="F592" s="2">
        <f ca="1">IFERROR(__xludf.DUMMYFUNCTION("""COMPUTED_VALUE"""),3270.54)</f>
        <v>3270.54</v>
      </c>
      <c r="G592" s="3">
        <f ca="1">IFERROR(__xludf.DUMMYFUNCTION("""COMPUTED_VALUE"""),44321.6666666666)</f>
        <v>44321.666666666599</v>
      </c>
      <c r="H592" s="2">
        <f ca="1">IFERROR(__xludf.DUMMYFUNCTION("""COMPUTED_VALUE"""),2314.77)</f>
        <v>2314.77</v>
      </c>
      <c r="I592" s="3">
        <f ca="1">IFERROR(__xludf.DUMMYFUNCTION("""COMPUTED_VALUE"""),44321.6666666666)</f>
        <v>44321.666666666599</v>
      </c>
      <c r="J592" s="2">
        <f ca="1">IFERROR(__xludf.DUMMYFUNCTION("""COMPUTED_VALUE"""),2356.74)</f>
        <v>2356.7399999999998</v>
      </c>
      <c r="K592" s="3">
        <f ca="1">IFERROR(__xludf.DUMMYFUNCTION("""COMPUTED_VALUE"""),44321.6666666666)</f>
        <v>44321.666666666599</v>
      </c>
      <c r="L592" s="2">
        <f ca="1">IFERROR(__xludf.DUMMYFUNCTION("""COMPUTED_VALUE"""),315.02)</f>
        <v>315.02</v>
      </c>
      <c r="M592" s="3">
        <f ca="1">IFERROR(__xludf.DUMMYFUNCTION("""COMPUTED_VALUE"""),44321.6666666666)</f>
        <v>44321.666666666599</v>
      </c>
      <c r="N592" s="2">
        <f ca="1">IFERROR(__xludf.DUMMYFUNCTION("""COMPUTED_VALUE"""),670.94)</f>
        <v>670.94</v>
      </c>
      <c r="O592" s="3">
        <f ca="1">IFERROR(__xludf.DUMMYFUNCTION("""COMPUTED_VALUE"""),44321.6666666666)</f>
        <v>44321.666666666599</v>
      </c>
      <c r="P592" s="2">
        <f ca="1">IFERROR(__xludf.DUMMYFUNCTION("""COMPUTED_VALUE"""),144.59)</f>
        <v>144.59</v>
      </c>
      <c r="Q592" s="3">
        <f ca="1">IFERROR(__xludf.DUMMYFUNCTION("""COMPUTED_VALUE"""),44321.6666666666)</f>
        <v>44321.666666666599</v>
      </c>
      <c r="R592" s="2">
        <f ca="1">IFERROR(__xludf.DUMMYFUNCTION("""COMPUTED_VALUE"""),282.76)</f>
        <v>282.76</v>
      </c>
      <c r="S592" s="3">
        <f ca="1">IFERROR(__xludf.DUMMYFUNCTION("""COMPUTED_VALUE"""),44321.6666666666)</f>
        <v>44321.666666666599</v>
      </c>
      <c r="T592" s="2">
        <f ca="1">IFERROR(__xludf.DUMMYFUNCTION("""COMPUTED_VALUE"""),167.07)</f>
        <v>167.07</v>
      </c>
    </row>
    <row r="593" spans="1:20">
      <c r="A593" s="3">
        <f ca="1">IFERROR(__xludf.DUMMYFUNCTION("""COMPUTED_VALUE"""),44322.6666666666)</f>
        <v>44322.666666666599</v>
      </c>
      <c r="B593" s="2">
        <f ca="1">IFERROR(__xludf.DUMMYFUNCTION("""COMPUTED_VALUE"""),129.74)</f>
        <v>129.74</v>
      </c>
      <c r="C593" s="3">
        <f ca="1">IFERROR(__xludf.DUMMYFUNCTION("""COMPUTED_VALUE"""),44322.6666666666)</f>
        <v>44322.666666666599</v>
      </c>
      <c r="D593" s="2">
        <f ca="1">IFERROR(__xludf.DUMMYFUNCTION("""COMPUTED_VALUE"""),249.73)</f>
        <v>249.73</v>
      </c>
      <c r="E593" s="3">
        <f ca="1">IFERROR(__xludf.DUMMYFUNCTION("""COMPUTED_VALUE"""),44322.6666666666)</f>
        <v>44322.666666666599</v>
      </c>
      <c r="F593" s="2">
        <f ca="1">IFERROR(__xludf.DUMMYFUNCTION("""COMPUTED_VALUE"""),3306.37)</f>
        <v>3306.37</v>
      </c>
      <c r="G593" s="3">
        <f ca="1">IFERROR(__xludf.DUMMYFUNCTION("""COMPUTED_VALUE"""),44322.6666666666)</f>
        <v>44322.666666666599</v>
      </c>
      <c r="H593" s="2">
        <f ca="1">IFERROR(__xludf.DUMMYFUNCTION("""COMPUTED_VALUE"""),2337.35)</f>
        <v>2337.35</v>
      </c>
      <c r="I593" s="3">
        <f ca="1">IFERROR(__xludf.DUMMYFUNCTION("""COMPUTED_VALUE"""),44322.6666666666)</f>
        <v>44322.666666666599</v>
      </c>
      <c r="J593" s="2">
        <f ca="1">IFERROR(__xludf.DUMMYFUNCTION("""COMPUTED_VALUE"""),2381.35)</f>
        <v>2381.35</v>
      </c>
      <c r="K593" s="3">
        <f ca="1">IFERROR(__xludf.DUMMYFUNCTION("""COMPUTED_VALUE"""),44322.6666666666)</f>
        <v>44322.666666666599</v>
      </c>
      <c r="L593" s="2">
        <f ca="1">IFERROR(__xludf.DUMMYFUNCTION("""COMPUTED_VALUE"""),320.02)</f>
        <v>320.02</v>
      </c>
      <c r="M593" s="3">
        <f ca="1">IFERROR(__xludf.DUMMYFUNCTION("""COMPUTED_VALUE"""),44322.6666666666)</f>
        <v>44322.666666666599</v>
      </c>
      <c r="N593" s="2">
        <f ca="1">IFERROR(__xludf.DUMMYFUNCTION("""COMPUTED_VALUE"""),663.54)</f>
        <v>663.54</v>
      </c>
      <c r="O593" s="3">
        <f ca="1">IFERROR(__xludf.DUMMYFUNCTION("""COMPUTED_VALUE"""),44322.6666666666)</f>
        <v>44322.666666666599</v>
      </c>
      <c r="P593" s="2">
        <f ca="1">IFERROR(__xludf.DUMMYFUNCTION("""COMPUTED_VALUE"""),145.23)</f>
        <v>145.22999999999999</v>
      </c>
      <c r="Q593" s="3">
        <f ca="1">IFERROR(__xludf.DUMMYFUNCTION("""COMPUTED_VALUE"""),44322.6666666666)</f>
        <v>44322.666666666599</v>
      </c>
      <c r="R593" s="2">
        <f ca="1">IFERROR(__xludf.DUMMYFUNCTION("""COMPUTED_VALUE"""),289.71)</f>
        <v>289.70999999999998</v>
      </c>
      <c r="S593" s="3">
        <f ca="1">IFERROR(__xludf.DUMMYFUNCTION("""COMPUTED_VALUE"""),44322.6666666666)</f>
        <v>44322.666666666599</v>
      </c>
      <c r="T593" s="2">
        <f ca="1">IFERROR(__xludf.DUMMYFUNCTION("""COMPUTED_VALUE"""),167.74)</f>
        <v>167.74</v>
      </c>
    </row>
    <row r="594" spans="1:20">
      <c r="A594" s="3">
        <f ca="1">IFERROR(__xludf.DUMMYFUNCTION("""COMPUTED_VALUE"""),44323.6666666666)</f>
        <v>44323.666666666599</v>
      </c>
      <c r="B594" s="2">
        <f ca="1">IFERROR(__xludf.DUMMYFUNCTION("""COMPUTED_VALUE"""),130.21)</f>
        <v>130.21</v>
      </c>
      <c r="C594" s="3">
        <f ca="1">IFERROR(__xludf.DUMMYFUNCTION("""COMPUTED_VALUE"""),44323.6666666666)</f>
        <v>44323.666666666599</v>
      </c>
      <c r="D594" s="2">
        <f ca="1">IFERROR(__xludf.DUMMYFUNCTION("""COMPUTED_VALUE"""),252.46)</f>
        <v>252.46</v>
      </c>
      <c r="E594" s="3">
        <f ca="1">IFERROR(__xludf.DUMMYFUNCTION("""COMPUTED_VALUE"""),44323.6666666666)</f>
        <v>44323.666666666599</v>
      </c>
      <c r="F594" s="2">
        <f ca="1">IFERROR(__xludf.DUMMYFUNCTION("""COMPUTED_VALUE"""),3291.61)</f>
        <v>3291.61</v>
      </c>
      <c r="G594" s="3">
        <f ca="1">IFERROR(__xludf.DUMMYFUNCTION("""COMPUTED_VALUE"""),44323.6666666666)</f>
        <v>44323.666666666599</v>
      </c>
      <c r="H594" s="2">
        <f ca="1">IFERROR(__xludf.DUMMYFUNCTION("""COMPUTED_VALUE"""),2351.93)</f>
        <v>2351.9299999999998</v>
      </c>
      <c r="I594" s="3">
        <f ca="1">IFERROR(__xludf.DUMMYFUNCTION("""COMPUTED_VALUE"""),44323.6666666666)</f>
        <v>44323.666666666599</v>
      </c>
      <c r="J594" s="2">
        <f ca="1">IFERROR(__xludf.DUMMYFUNCTION("""COMPUTED_VALUE"""),2398.69)</f>
        <v>2398.69</v>
      </c>
      <c r="K594" s="3">
        <f ca="1">IFERROR(__xludf.DUMMYFUNCTION("""COMPUTED_VALUE"""),44323.6666666666)</f>
        <v>44323.666666666599</v>
      </c>
      <c r="L594" s="2">
        <f ca="1">IFERROR(__xludf.DUMMYFUNCTION("""COMPUTED_VALUE"""),319.08)</f>
        <v>319.08</v>
      </c>
      <c r="M594" s="3">
        <f ca="1">IFERROR(__xludf.DUMMYFUNCTION("""COMPUTED_VALUE"""),44323.6666666666)</f>
        <v>44323.666666666599</v>
      </c>
      <c r="N594" s="2">
        <f ca="1">IFERROR(__xludf.DUMMYFUNCTION("""COMPUTED_VALUE"""),672.37)</f>
        <v>672.37</v>
      </c>
      <c r="O594" s="3">
        <f ca="1">IFERROR(__xludf.DUMMYFUNCTION("""COMPUTED_VALUE"""),44323.6666666666)</f>
        <v>44323.666666666599</v>
      </c>
      <c r="P594" s="2">
        <f ca="1">IFERROR(__xludf.DUMMYFUNCTION("""COMPUTED_VALUE"""),148.12)</f>
        <v>148.12</v>
      </c>
      <c r="Q594" s="3">
        <f ca="1">IFERROR(__xludf.DUMMYFUNCTION("""COMPUTED_VALUE"""),44323.6666666666)</f>
        <v>44323.666666666599</v>
      </c>
      <c r="R594" s="2">
        <f ca="1">IFERROR(__xludf.DUMMYFUNCTION("""COMPUTED_VALUE"""),290.93)</f>
        <v>290.93</v>
      </c>
      <c r="S594" s="3">
        <f ca="1">IFERROR(__xludf.DUMMYFUNCTION("""COMPUTED_VALUE"""),44323.6666666666)</f>
        <v>44323.666666666599</v>
      </c>
      <c r="T594" s="2">
        <f ca="1">IFERROR(__xludf.DUMMYFUNCTION("""COMPUTED_VALUE"""),168.5)</f>
        <v>168.5</v>
      </c>
    </row>
    <row r="595" spans="1:20">
      <c r="A595" s="3">
        <f ca="1">IFERROR(__xludf.DUMMYFUNCTION("""COMPUTED_VALUE"""),44326.6666666666)</f>
        <v>44326.666666666599</v>
      </c>
      <c r="B595" s="2">
        <f ca="1">IFERROR(__xludf.DUMMYFUNCTION("""COMPUTED_VALUE"""),126.85)</f>
        <v>126.85</v>
      </c>
      <c r="C595" s="3">
        <f ca="1">IFERROR(__xludf.DUMMYFUNCTION("""COMPUTED_VALUE"""),44326.6666666666)</f>
        <v>44326.666666666599</v>
      </c>
      <c r="D595" s="2">
        <f ca="1">IFERROR(__xludf.DUMMYFUNCTION("""COMPUTED_VALUE"""),247.18)</f>
        <v>247.18</v>
      </c>
      <c r="E595" s="3">
        <f ca="1">IFERROR(__xludf.DUMMYFUNCTION("""COMPUTED_VALUE"""),44326.6666666666)</f>
        <v>44326.666666666599</v>
      </c>
      <c r="F595" s="2">
        <f ca="1">IFERROR(__xludf.DUMMYFUNCTION("""COMPUTED_VALUE"""),3190.49)</f>
        <v>3190.49</v>
      </c>
      <c r="G595" s="3">
        <f ca="1">IFERROR(__xludf.DUMMYFUNCTION("""COMPUTED_VALUE"""),44326.6666666666)</f>
        <v>44326.666666666599</v>
      </c>
      <c r="H595" s="2">
        <f ca="1">IFERROR(__xludf.DUMMYFUNCTION("""COMPUTED_VALUE"""),2291.75)</f>
        <v>2291.75</v>
      </c>
      <c r="I595" s="3">
        <f ca="1">IFERROR(__xludf.DUMMYFUNCTION("""COMPUTED_VALUE"""),44326.6666666666)</f>
        <v>44326.666666666599</v>
      </c>
      <c r="J595" s="2">
        <f ca="1">IFERROR(__xludf.DUMMYFUNCTION("""COMPUTED_VALUE"""),2341.66)</f>
        <v>2341.66</v>
      </c>
      <c r="K595" s="3">
        <f ca="1">IFERROR(__xludf.DUMMYFUNCTION("""COMPUTED_VALUE"""),44326.6666666666)</f>
        <v>44326.666666666599</v>
      </c>
      <c r="L595" s="2">
        <f ca="1">IFERROR(__xludf.DUMMYFUNCTION("""COMPUTED_VALUE"""),305.97)</f>
        <v>305.97000000000003</v>
      </c>
      <c r="M595" s="3">
        <f ca="1">IFERROR(__xludf.DUMMYFUNCTION("""COMPUTED_VALUE"""),44326.6666666666)</f>
        <v>44326.666666666599</v>
      </c>
      <c r="N595" s="2">
        <f ca="1">IFERROR(__xludf.DUMMYFUNCTION("""COMPUTED_VALUE"""),629.04)</f>
        <v>629.04</v>
      </c>
      <c r="O595" s="3">
        <f ca="1">IFERROR(__xludf.DUMMYFUNCTION("""COMPUTED_VALUE"""),44326.6666666666)</f>
        <v>44326.666666666599</v>
      </c>
      <c r="P595" s="2">
        <f ca="1">IFERROR(__xludf.DUMMYFUNCTION("""COMPUTED_VALUE"""),142.66)</f>
        <v>142.66</v>
      </c>
      <c r="Q595" s="3">
        <f ca="1">IFERROR(__xludf.DUMMYFUNCTION("""COMPUTED_VALUE"""),44326.6666666666)</f>
        <v>44326.666666666599</v>
      </c>
      <c r="R595" s="2">
        <f ca="1">IFERROR(__xludf.DUMMYFUNCTION("""COMPUTED_VALUE"""),292.33)</f>
        <v>292.33</v>
      </c>
      <c r="S595" s="3">
        <f ca="1">IFERROR(__xludf.DUMMYFUNCTION("""COMPUTED_VALUE"""),44326.6666666666)</f>
        <v>44326.666666666599</v>
      </c>
      <c r="T595" s="2">
        <f ca="1">IFERROR(__xludf.DUMMYFUNCTION("""COMPUTED_VALUE"""),170.27)</f>
        <v>170.27</v>
      </c>
    </row>
    <row r="596" spans="1:20">
      <c r="A596" s="3">
        <f ca="1">IFERROR(__xludf.DUMMYFUNCTION("""COMPUTED_VALUE"""),44327.6666666666)</f>
        <v>44327.666666666599</v>
      </c>
      <c r="B596" s="2">
        <f ca="1">IFERROR(__xludf.DUMMYFUNCTION("""COMPUTED_VALUE"""),125.91)</f>
        <v>125.91</v>
      </c>
      <c r="C596" s="3">
        <f ca="1">IFERROR(__xludf.DUMMYFUNCTION("""COMPUTED_VALUE"""),44327.6666666666)</f>
        <v>44327.666666666599</v>
      </c>
      <c r="D596" s="2">
        <f ca="1">IFERROR(__xludf.DUMMYFUNCTION("""COMPUTED_VALUE"""),246.23)</f>
        <v>246.23</v>
      </c>
      <c r="E596" s="3">
        <f ca="1">IFERROR(__xludf.DUMMYFUNCTION("""COMPUTED_VALUE"""),44327.6666666666)</f>
        <v>44327.666666666599</v>
      </c>
      <c r="F596" s="2">
        <f ca="1">IFERROR(__xludf.DUMMYFUNCTION("""COMPUTED_VALUE"""),3223.91)</f>
        <v>3223.91</v>
      </c>
      <c r="G596" s="3">
        <f ca="1">IFERROR(__xludf.DUMMYFUNCTION("""COMPUTED_VALUE"""),44327.6666666666)</f>
        <v>44327.666666666599</v>
      </c>
      <c r="H596" s="2">
        <f ca="1">IFERROR(__xludf.DUMMYFUNCTION("""COMPUTED_VALUE"""),2270.06)</f>
        <v>2270.06</v>
      </c>
      <c r="I596" s="3">
        <f ca="1">IFERROR(__xludf.DUMMYFUNCTION("""COMPUTED_VALUE"""),44327.6666666666)</f>
        <v>44327.666666666599</v>
      </c>
      <c r="J596" s="2">
        <f ca="1">IFERROR(__xludf.DUMMYFUNCTION("""COMPUTED_VALUE"""),2308.76)</f>
        <v>2308.7600000000002</v>
      </c>
      <c r="K596" s="3">
        <f ca="1">IFERROR(__xludf.DUMMYFUNCTION("""COMPUTED_VALUE"""),44327.6666666666)</f>
        <v>44327.666666666599</v>
      </c>
      <c r="L596" s="2">
        <f ca="1">IFERROR(__xludf.DUMMYFUNCTION("""COMPUTED_VALUE"""),306.53)</f>
        <v>306.52999999999997</v>
      </c>
      <c r="M596" s="3">
        <f ca="1">IFERROR(__xludf.DUMMYFUNCTION("""COMPUTED_VALUE"""),44327.6666666666)</f>
        <v>44327.666666666599</v>
      </c>
      <c r="N596" s="2">
        <f ca="1">IFERROR(__xludf.DUMMYFUNCTION("""COMPUTED_VALUE"""),617.2)</f>
        <v>617.20000000000005</v>
      </c>
      <c r="O596" s="3">
        <f ca="1">IFERROR(__xludf.DUMMYFUNCTION("""COMPUTED_VALUE"""),44327.6666666666)</f>
        <v>44327.666666666599</v>
      </c>
      <c r="P596" s="2">
        <f ca="1">IFERROR(__xludf.DUMMYFUNCTION("""COMPUTED_VALUE"""),143.06)</f>
        <v>143.06</v>
      </c>
      <c r="Q596" s="3">
        <f ca="1">IFERROR(__xludf.DUMMYFUNCTION("""COMPUTED_VALUE"""),44327.6666666666)</f>
        <v>44327.666666666599</v>
      </c>
      <c r="R596" s="2">
        <f ca="1">IFERROR(__xludf.DUMMYFUNCTION("""COMPUTED_VALUE"""),285.63)</f>
        <v>285.63</v>
      </c>
      <c r="S596" s="3">
        <f ca="1">IFERROR(__xludf.DUMMYFUNCTION("""COMPUTED_VALUE"""),44327.6666666666)</f>
        <v>44327.666666666599</v>
      </c>
      <c r="T596" s="2">
        <f ca="1">IFERROR(__xludf.DUMMYFUNCTION("""COMPUTED_VALUE"""),168.88)</f>
        <v>168.88</v>
      </c>
    </row>
    <row r="597" spans="1:20">
      <c r="A597" s="3">
        <f ca="1">IFERROR(__xludf.DUMMYFUNCTION("""COMPUTED_VALUE"""),44328.6666666666)</f>
        <v>44328.666666666599</v>
      </c>
      <c r="B597" s="2">
        <f ca="1">IFERROR(__xludf.DUMMYFUNCTION("""COMPUTED_VALUE"""),122.77)</f>
        <v>122.77</v>
      </c>
      <c r="C597" s="3">
        <f ca="1">IFERROR(__xludf.DUMMYFUNCTION("""COMPUTED_VALUE"""),44328.6666666666)</f>
        <v>44328.666666666599</v>
      </c>
      <c r="D597" s="2">
        <f ca="1">IFERROR(__xludf.DUMMYFUNCTION("""COMPUTED_VALUE"""),239)</f>
        <v>239</v>
      </c>
      <c r="E597" s="3">
        <f ca="1">IFERROR(__xludf.DUMMYFUNCTION("""COMPUTED_VALUE"""),44328.6666666666)</f>
        <v>44328.666666666599</v>
      </c>
      <c r="F597" s="2">
        <f ca="1">IFERROR(__xludf.DUMMYFUNCTION("""COMPUTED_VALUE"""),3151.94)</f>
        <v>3151.94</v>
      </c>
      <c r="G597" s="3">
        <f ca="1">IFERROR(__xludf.DUMMYFUNCTION("""COMPUTED_VALUE"""),44328.6666666666)</f>
        <v>44328.666666666599</v>
      </c>
      <c r="H597" s="2">
        <f ca="1">IFERROR(__xludf.DUMMYFUNCTION("""COMPUTED_VALUE"""),2200.25)</f>
        <v>2200.25</v>
      </c>
      <c r="I597" s="3">
        <f ca="1">IFERROR(__xludf.DUMMYFUNCTION("""COMPUTED_VALUE"""),44328.6666666666)</f>
        <v>44328.666666666599</v>
      </c>
      <c r="J597" s="2">
        <f ca="1">IFERROR(__xludf.DUMMYFUNCTION("""COMPUTED_VALUE"""),2239.08)</f>
        <v>2239.08</v>
      </c>
      <c r="K597" s="3">
        <f ca="1">IFERROR(__xludf.DUMMYFUNCTION("""COMPUTED_VALUE"""),44328.6666666666)</f>
        <v>44328.666666666599</v>
      </c>
      <c r="L597" s="2">
        <f ca="1">IFERROR(__xludf.DUMMYFUNCTION("""COMPUTED_VALUE"""),302.55)</f>
        <v>302.55</v>
      </c>
      <c r="M597" s="3">
        <f ca="1">IFERROR(__xludf.DUMMYFUNCTION("""COMPUTED_VALUE"""),44328.6666666666)</f>
        <v>44328.666666666599</v>
      </c>
      <c r="N597" s="2">
        <f ca="1">IFERROR(__xludf.DUMMYFUNCTION("""COMPUTED_VALUE"""),589.89)</f>
        <v>589.89</v>
      </c>
      <c r="O597" s="3">
        <f ca="1">IFERROR(__xludf.DUMMYFUNCTION("""COMPUTED_VALUE"""),44328.6666666666)</f>
        <v>44328.666666666599</v>
      </c>
      <c r="P597" s="2">
        <f ca="1">IFERROR(__xludf.DUMMYFUNCTION("""COMPUTED_VALUE"""),137.59)</f>
        <v>137.59</v>
      </c>
      <c r="Q597" s="3">
        <f ca="1">IFERROR(__xludf.DUMMYFUNCTION("""COMPUTED_VALUE"""),44328.6666666666)</f>
        <v>44328.666666666599</v>
      </c>
      <c r="R597" s="2">
        <f ca="1">IFERROR(__xludf.DUMMYFUNCTION("""COMPUTED_VALUE"""),282.91)</f>
        <v>282.91000000000003</v>
      </c>
      <c r="S597" s="3">
        <f ca="1">IFERROR(__xludf.DUMMYFUNCTION("""COMPUTED_VALUE"""),44328.6666666666)</f>
        <v>44328.666666666599</v>
      </c>
      <c r="T597" s="2">
        <f ca="1">IFERROR(__xludf.DUMMYFUNCTION("""COMPUTED_VALUE"""),168.2)</f>
        <v>168.2</v>
      </c>
    </row>
    <row r="598" spans="1:20">
      <c r="A598" s="3">
        <f ca="1">IFERROR(__xludf.DUMMYFUNCTION("""COMPUTED_VALUE"""),44329.6666666666)</f>
        <v>44329.666666666599</v>
      </c>
      <c r="B598" s="2">
        <f ca="1">IFERROR(__xludf.DUMMYFUNCTION("""COMPUTED_VALUE"""),124.97)</f>
        <v>124.97</v>
      </c>
      <c r="C598" s="3">
        <f ca="1">IFERROR(__xludf.DUMMYFUNCTION("""COMPUTED_VALUE"""),44329.6666666666)</f>
        <v>44329.666666666599</v>
      </c>
      <c r="D598" s="2">
        <f ca="1">IFERROR(__xludf.DUMMYFUNCTION("""COMPUTED_VALUE"""),243.03)</f>
        <v>243.03</v>
      </c>
      <c r="E598" s="3">
        <f ca="1">IFERROR(__xludf.DUMMYFUNCTION("""COMPUTED_VALUE"""),44329.6666666666)</f>
        <v>44329.666666666599</v>
      </c>
      <c r="F598" s="2">
        <f ca="1">IFERROR(__xludf.DUMMYFUNCTION("""COMPUTED_VALUE"""),3161.47)</f>
        <v>3161.47</v>
      </c>
      <c r="G598" s="3">
        <f ca="1">IFERROR(__xludf.DUMMYFUNCTION("""COMPUTED_VALUE"""),44329.6666666666)</f>
        <v>44329.666666666599</v>
      </c>
      <c r="H598" s="2">
        <f ca="1">IFERROR(__xludf.DUMMYFUNCTION("""COMPUTED_VALUE"""),2229.04)</f>
        <v>2229.04</v>
      </c>
      <c r="I598" s="3">
        <f ca="1">IFERROR(__xludf.DUMMYFUNCTION("""COMPUTED_VALUE"""),44329.6666666666)</f>
        <v>44329.666666666599</v>
      </c>
      <c r="J598" s="2">
        <f ca="1">IFERROR(__xludf.DUMMYFUNCTION("""COMPUTED_VALUE"""),2261.97)</f>
        <v>2261.9699999999998</v>
      </c>
      <c r="K598" s="3">
        <f ca="1">IFERROR(__xludf.DUMMYFUNCTION("""COMPUTED_VALUE"""),44329.6666666666)</f>
        <v>44329.666666666599</v>
      </c>
      <c r="L598" s="2">
        <f ca="1">IFERROR(__xludf.DUMMYFUNCTION("""COMPUTED_VALUE"""),305.26)</f>
        <v>305.26</v>
      </c>
      <c r="M598" s="3">
        <f ca="1">IFERROR(__xludf.DUMMYFUNCTION("""COMPUTED_VALUE"""),44329.6666666666)</f>
        <v>44329.666666666599</v>
      </c>
      <c r="N598" s="2">
        <f ca="1">IFERROR(__xludf.DUMMYFUNCTION("""COMPUTED_VALUE"""),571.69)</f>
        <v>571.69000000000005</v>
      </c>
      <c r="O598" s="3">
        <f ca="1">IFERROR(__xludf.DUMMYFUNCTION("""COMPUTED_VALUE"""),44329.6666666666)</f>
        <v>44329.666666666599</v>
      </c>
      <c r="P598" s="2">
        <f ca="1">IFERROR(__xludf.DUMMYFUNCTION("""COMPUTED_VALUE"""),136.65)</f>
        <v>136.65</v>
      </c>
      <c r="Q598" s="3">
        <f ca="1">IFERROR(__xludf.DUMMYFUNCTION("""COMPUTED_VALUE"""),44329.6666666666)</f>
        <v>44329.666666666599</v>
      </c>
      <c r="R598" s="2">
        <f ca="1">IFERROR(__xludf.DUMMYFUNCTION("""COMPUTED_VALUE"""),286.9)</f>
        <v>286.89999999999998</v>
      </c>
      <c r="S598" s="3">
        <f ca="1">IFERROR(__xludf.DUMMYFUNCTION("""COMPUTED_VALUE"""),44329.6666666666)</f>
        <v>44329.666666666599</v>
      </c>
      <c r="T598" s="2">
        <f ca="1">IFERROR(__xludf.DUMMYFUNCTION("""COMPUTED_VALUE"""),169.96)</f>
        <v>169.96</v>
      </c>
    </row>
    <row r="599" spans="1:20">
      <c r="A599" s="3">
        <f ca="1">IFERROR(__xludf.DUMMYFUNCTION("""COMPUTED_VALUE"""),44330.6666666666)</f>
        <v>44330.666666666599</v>
      </c>
      <c r="B599" s="2">
        <f ca="1">IFERROR(__xludf.DUMMYFUNCTION("""COMPUTED_VALUE"""),127.45)</f>
        <v>127.45</v>
      </c>
      <c r="C599" s="3">
        <f ca="1">IFERROR(__xludf.DUMMYFUNCTION("""COMPUTED_VALUE"""),44330.6666666666)</f>
        <v>44330.666666666599</v>
      </c>
      <c r="D599" s="2">
        <f ca="1">IFERROR(__xludf.DUMMYFUNCTION("""COMPUTED_VALUE"""),248.15)</f>
        <v>248.15</v>
      </c>
      <c r="E599" s="3">
        <f ca="1">IFERROR(__xludf.DUMMYFUNCTION("""COMPUTED_VALUE"""),44330.6666666666)</f>
        <v>44330.666666666599</v>
      </c>
      <c r="F599" s="2">
        <f ca="1">IFERROR(__xludf.DUMMYFUNCTION("""COMPUTED_VALUE"""),3222.9)</f>
        <v>3222.9</v>
      </c>
      <c r="G599" s="3">
        <f ca="1">IFERROR(__xludf.DUMMYFUNCTION("""COMPUTED_VALUE"""),44330.6666666666)</f>
        <v>44330.666666666599</v>
      </c>
      <c r="H599" s="2">
        <f ca="1">IFERROR(__xludf.DUMMYFUNCTION("""COMPUTED_VALUE"""),2278.38)</f>
        <v>2278.38</v>
      </c>
      <c r="I599" s="3">
        <f ca="1">IFERROR(__xludf.DUMMYFUNCTION("""COMPUTED_VALUE"""),44330.6666666666)</f>
        <v>44330.666666666599</v>
      </c>
      <c r="J599" s="2">
        <f ca="1">IFERROR(__xludf.DUMMYFUNCTION("""COMPUTED_VALUE"""),2316.16)</f>
        <v>2316.16</v>
      </c>
      <c r="K599" s="3">
        <f ca="1">IFERROR(__xludf.DUMMYFUNCTION("""COMPUTED_VALUE"""),44330.6666666666)</f>
        <v>44330.666666666599</v>
      </c>
      <c r="L599" s="2">
        <f ca="1">IFERROR(__xludf.DUMMYFUNCTION("""COMPUTED_VALUE"""),315.94)</f>
        <v>315.94</v>
      </c>
      <c r="M599" s="3">
        <f ca="1">IFERROR(__xludf.DUMMYFUNCTION("""COMPUTED_VALUE"""),44330.6666666666)</f>
        <v>44330.666666666599</v>
      </c>
      <c r="N599" s="2">
        <f ca="1">IFERROR(__xludf.DUMMYFUNCTION("""COMPUTED_VALUE"""),589.74)</f>
        <v>589.74</v>
      </c>
      <c r="O599" s="3">
        <f ca="1">IFERROR(__xludf.DUMMYFUNCTION("""COMPUTED_VALUE"""),44330.6666666666)</f>
        <v>44330.666666666599</v>
      </c>
      <c r="P599" s="2">
        <f ca="1">IFERROR(__xludf.DUMMYFUNCTION("""COMPUTED_VALUE"""),142.43)</f>
        <v>142.43</v>
      </c>
      <c r="Q599" s="3">
        <f ca="1">IFERROR(__xludf.DUMMYFUNCTION("""COMPUTED_VALUE"""),44330.6666666666)</f>
        <v>44330.666666666599</v>
      </c>
      <c r="R599" s="2">
        <f ca="1">IFERROR(__xludf.DUMMYFUNCTION("""COMPUTED_VALUE"""),290.68)</f>
        <v>290.68</v>
      </c>
      <c r="S599" s="3">
        <f ca="1">IFERROR(__xludf.DUMMYFUNCTION("""COMPUTED_VALUE"""),44330.6666666666)</f>
        <v>44330.666666666599</v>
      </c>
      <c r="T599" s="2">
        <f ca="1">IFERROR(__xludf.DUMMYFUNCTION("""COMPUTED_VALUE"""),170.22)</f>
        <v>170.22</v>
      </c>
    </row>
    <row r="600" spans="1:20">
      <c r="A600" s="3">
        <f ca="1">IFERROR(__xludf.DUMMYFUNCTION("""COMPUTED_VALUE"""),44333.6666666666)</f>
        <v>44333.666666666599</v>
      </c>
      <c r="B600" s="2">
        <f ca="1">IFERROR(__xludf.DUMMYFUNCTION("""COMPUTED_VALUE"""),126.27)</f>
        <v>126.27</v>
      </c>
      <c r="C600" s="3">
        <f ca="1">IFERROR(__xludf.DUMMYFUNCTION("""COMPUTED_VALUE"""),44333.6666666666)</f>
        <v>44333.666666666599</v>
      </c>
      <c r="D600" s="2">
        <f ca="1">IFERROR(__xludf.DUMMYFUNCTION("""COMPUTED_VALUE"""),245.18)</f>
        <v>245.18</v>
      </c>
      <c r="E600" s="3">
        <f ca="1">IFERROR(__xludf.DUMMYFUNCTION("""COMPUTED_VALUE"""),44333.6666666666)</f>
        <v>44333.666666666599</v>
      </c>
      <c r="F600" s="2">
        <f ca="1">IFERROR(__xludf.DUMMYFUNCTION("""COMPUTED_VALUE"""),3270.39)</f>
        <v>3270.39</v>
      </c>
      <c r="G600" s="3">
        <f ca="1">IFERROR(__xludf.DUMMYFUNCTION("""COMPUTED_VALUE"""),44333.6666666666)</f>
        <v>44333.666666666599</v>
      </c>
      <c r="H600" s="2">
        <f ca="1">IFERROR(__xludf.DUMMYFUNCTION("""COMPUTED_VALUE"""),2288.92)</f>
        <v>2288.92</v>
      </c>
      <c r="I600" s="3">
        <f ca="1">IFERROR(__xludf.DUMMYFUNCTION("""COMPUTED_VALUE"""),44333.6666666666)</f>
        <v>44333.666666666599</v>
      </c>
      <c r="J600" s="2">
        <f ca="1">IFERROR(__xludf.DUMMYFUNCTION("""COMPUTED_VALUE"""),2321.41)</f>
        <v>2321.41</v>
      </c>
      <c r="K600" s="3">
        <f ca="1">IFERROR(__xludf.DUMMYFUNCTION("""COMPUTED_VALUE"""),44333.6666666666)</f>
        <v>44333.666666666599</v>
      </c>
      <c r="L600" s="2">
        <f ca="1">IFERROR(__xludf.DUMMYFUNCTION("""COMPUTED_VALUE"""),315.46)</f>
        <v>315.45999999999998</v>
      </c>
      <c r="M600" s="3">
        <f ca="1">IFERROR(__xludf.DUMMYFUNCTION("""COMPUTED_VALUE"""),44333.6666666666)</f>
        <v>44333.666666666599</v>
      </c>
      <c r="N600" s="2">
        <f ca="1">IFERROR(__xludf.DUMMYFUNCTION("""COMPUTED_VALUE"""),576.83)</f>
        <v>576.83000000000004</v>
      </c>
      <c r="O600" s="3">
        <f ca="1">IFERROR(__xludf.DUMMYFUNCTION("""COMPUTED_VALUE"""),44333.6666666666)</f>
        <v>44333.666666666599</v>
      </c>
      <c r="P600" s="2">
        <f ca="1">IFERROR(__xludf.DUMMYFUNCTION("""COMPUTED_VALUE"""),141.66)</f>
        <v>141.66</v>
      </c>
      <c r="Q600" s="3">
        <f ca="1">IFERROR(__xludf.DUMMYFUNCTION("""COMPUTED_VALUE"""),44333.6666666666)</f>
        <v>44333.666666666599</v>
      </c>
      <c r="R600" s="2">
        <f ca="1">IFERROR(__xludf.DUMMYFUNCTION("""COMPUTED_VALUE"""),289.22)</f>
        <v>289.22000000000003</v>
      </c>
      <c r="S600" s="3">
        <f ca="1">IFERROR(__xludf.DUMMYFUNCTION("""COMPUTED_VALUE"""),44333.6666666666)</f>
        <v>44333.666666666599</v>
      </c>
      <c r="T600" s="2">
        <f ca="1">IFERROR(__xludf.DUMMYFUNCTION("""COMPUTED_VALUE"""),170.39)</f>
        <v>170.39</v>
      </c>
    </row>
    <row r="601" spans="1:20">
      <c r="A601" s="3">
        <f ca="1">IFERROR(__xludf.DUMMYFUNCTION("""COMPUTED_VALUE"""),44334.6666666666)</f>
        <v>44334.666666666599</v>
      </c>
      <c r="B601" s="2">
        <f ca="1">IFERROR(__xludf.DUMMYFUNCTION("""COMPUTED_VALUE"""),124.85)</f>
        <v>124.85</v>
      </c>
      <c r="C601" s="3">
        <f ca="1">IFERROR(__xludf.DUMMYFUNCTION("""COMPUTED_VALUE"""),44334.6666666666)</f>
        <v>44334.666666666599</v>
      </c>
      <c r="D601" s="2">
        <f ca="1">IFERROR(__xludf.DUMMYFUNCTION("""COMPUTED_VALUE"""),243.08)</f>
        <v>243.08</v>
      </c>
      <c r="E601" s="3">
        <f ca="1">IFERROR(__xludf.DUMMYFUNCTION("""COMPUTED_VALUE"""),44334.6666666666)</f>
        <v>44334.666666666599</v>
      </c>
      <c r="F601" s="2">
        <f ca="1">IFERROR(__xludf.DUMMYFUNCTION("""COMPUTED_VALUE"""),3232.28)</f>
        <v>3232.28</v>
      </c>
      <c r="G601" s="3">
        <f ca="1">IFERROR(__xludf.DUMMYFUNCTION("""COMPUTED_VALUE"""),44334.6666666666)</f>
        <v>44334.666666666599</v>
      </c>
      <c r="H601" s="2">
        <f ca="1">IFERROR(__xludf.DUMMYFUNCTION("""COMPUTED_VALUE"""),2262.47)</f>
        <v>2262.4699999999998</v>
      </c>
      <c r="I601" s="3">
        <f ca="1">IFERROR(__xludf.DUMMYFUNCTION("""COMPUTED_VALUE"""),44334.6666666666)</f>
        <v>44334.666666666599</v>
      </c>
      <c r="J601" s="2">
        <f ca="1">IFERROR(__xludf.DUMMYFUNCTION("""COMPUTED_VALUE"""),2303.43)</f>
        <v>2303.4299999999998</v>
      </c>
      <c r="K601" s="3">
        <f ca="1">IFERROR(__xludf.DUMMYFUNCTION("""COMPUTED_VALUE"""),44334.6666666666)</f>
        <v>44334.666666666599</v>
      </c>
      <c r="L601" s="2">
        <f ca="1">IFERROR(__xludf.DUMMYFUNCTION("""COMPUTED_VALUE"""),309.96)</f>
        <v>309.95999999999998</v>
      </c>
      <c r="M601" s="3">
        <f ca="1">IFERROR(__xludf.DUMMYFUNCTION("""COMPUTED_VALUE"""),44334.6666666666)</f>
        <v>44334.666666666599</v>
      </c>
      <c r="N601" s="2">
        <f ca="1">IFERROR(__xludf.DUMMYFUNCTION("""COMPUTED_VALUE"""),577.87)</f>
        <v>577.87</v>
      </c>
      <c r="O601" s="3">
        <f ca="1">IFERROR(__xludf.DUMMYFUNCTION("""COMPUTED_VALUE"""),44334.6666666666)</f>
        <v>44334.666666666599</v>
      </c>
      <c r="P601" s="2">
        <f ca="1">IFERROR(__xludf.DUMMYFUNCTION("""COMPUTED_VALUE"""),140.16)</f>
        <v>140.16</v>
      </c>
      <c r="Q601" s="3">
        <f ca="1">IFERROR(__xludf.DUMMYFUNCTION("""COMPUTED_VALUE"""),44334.6666666666)</f>
        <v>44334.666666666599</v>
      </c>
      <c r="R601" s="2">
        <f ca="1">IFERROR(__xludf.DUMMYFUNCTION("""COMPUTED_VALUE"""),287.59)</f>
        <v>287.58999999999997</v>
      </c>
      <c r="S601" s="3">
        <f ca="1">IFERROR(__xludf.DUMMYFUNCTION("""COMPUTED_VALUE"""),44334.6666666666)</f>
        <v>44334.666666666599</v>
      </c>
      <c r="T601" s="2">
        <f ca="1">IFERROR(__xludf.DUMMYFUNCTION("""COMPUTED_VALUE"""),170.45)</f>
        <v>170.45</v>
      </c>
    </row>
    <row r="602" spans="1:20">
      <c r="A602" s="3">
        <f ca="1">IFERROR(__xludf.DUMMYFUNCTION("""COMPUTED_VALUE"""),44335.6666666666)</f>
        <v>44335.666666666599</v>
      </c>
      <c r="B602" s="2">
        <f ca="1">IFERROR(__xludf.DUMMYFUNCTION("""COMPUTED_VALUE"""),124.69)</f>
        <v>124.69</v>
      </c>
      <c r="C602" s="3">
        <f ca="1">IFERROR(__xludf.DUMMYFUNCTION("""COMPUTED_VALUE"""),44335.6666666666)</f>
        <v>44335.666666666599</v>
      </c>
      <c r="D602" s="2">
        <f ca="1">IFERROR(__xludf.DUMMYFUNCTION("""COMPUTED_VALUE"""),243.12)</f>
        <v>243.12</v>
      </c>
      <c r="E602" s="3">
        <f ca="1">IFERROR(__xludf.DUMMYFUNCTION("""COMPUTED_VALUE"""),44335.6666666666)</f>
        <v>44335.666666666599</v>
      </c>
      <c r="F602" s="2">
        <f ca="1">IFERROR(__xludf.DUMMYFUNCTION("""COMPUTED_VALUE"""),3231.8)</f>
        <v>3231.8</v>
      </c>
      <c r="G602" s="3">
        <f ca="1">IFERROR(__xludf.DUMMYFUNCTION("""COMPUTED_VALUE"""),44335.6666666666)</f>
        <v>44335.666666666599</v>
      </c>
      <c r="H602" s="2">
        <f ca="1">IFERROR(__xludf.DUMMYFUNCTION("""COMPUTED_VALUE"""),2271.5)</f>
        <v>2271.5</v>
      </c>
      <c r="I602" s="3">
        <f ca="1">IFERROR(__xludf.DUMMYFUNCTION("""COMPUTED_VALUE"""),44335.6666666666)</f>
        <v>44335.666666666599</v>
      </c>
      <c r="J602" s="2">
        <f ca="1">IFERROR(__xludf.DUMMYFUNCTION("""COMPUTED_VALUE"""),2308.71)</f>
        <v>2308.71</v>
      </c>
      <c r="K602" s="3">
        <f ca="1">IFERROR(__xludf.DUMMYFUNCTION("""COMPUTED_VALUE"""),44335.6666666666)</f>
        <v>44335.666666666599</v>
      </c>
      <c r="L602" s="2">
        <f ca="1">IFERROR(__xludf.DUMMYFUNCTION("""COMPUTED_VALUE"""),313.59)</f>
        <v>313.58999999999997</v>
      </c>
      <c r="M602" s="3">
        <f ca="1">IFERROR(__xludf.DUMMYFUNCTION("""COMPUTED_VALUE"""),44335.6666666666)</f>
        <v>44335.666666666599</v>
      </c>
      <c r="N602" s="2">
        <f ca="1">IFERROR(__xludf.DUMMYFUNCTION("""COMPUTED_VALUE"""),563.46)</f>
        <v>563.46</v>
      </c>
      <c r="O602" s="3">
        <f ca="1">IFERROR(__xludf.DUMMYFUNCTION("""COMPUTED_VALUE"""),44335.6666666666)</f>
        <v>44335.666666666599</v>
      </c>
      <c r="P602" s="2">
        <f ca="1">IFERROR(__xludf.DUMMYFUNCTION("""COMPUTED_VALUE"""),140.66)</f>
        <v>140.66</v>
      </c>
      <c r="Q602" s="3">
        <f ca="1">IFERROR(__xludf.DUMMYFUNCTION("""COMPUTED_VALUE"""),44335.6666666666)</f>
        <v>44335.666666666599</v>
      </c>
      <c r="R602" s="2">
        <f ca="1">IFERROR(__xludf.DUMMYFUNCTION("""COMPUTED_VALUE"""),286.22)</f>
        <v>286.22000000000003</v>
      </c>
      <c r="S602" s="3">
        <f ca="1">IFERROR(__xludf.DUMMYFUNCTION("""COMPUTED_VALUE"""),44335.6666666666)</f>
        <v>44335.666666666599</v>
      </c>
      <c r="T602" s="2">
        <f ca="1">IFERROR(__xludf.DUMMYFUNCTION("""COMPUTED_VALUE"""),170.08)</f>
        <v>170.08</v>
      </c>
    </row>
    <row r="603" spans="1:20">
      <c r="A603" s="3">
        <f ca="1">IFERROR(__xludf.DUMMYFUNCTION("""COMPUTED_VALUE"""),44336.6666666666)</f>
        <v>44336.666666666599</v>
      </c>
      <c r="B603" s="2">
        <f ca="1">IFERROR(__xludf.DUMMYFUNCTION("""COMPUTED_VALUE"""),127.31)</f>
        <v>127.31</v>
      </c>
      <c r="C603" s="3">
        <f ca="1">IFERROR(__xludf.DUMMYFUNCTION("""COMPUTED_VALUE"""),44336.6666666666)</f>
        <v>44336.666666666599</v>
      </c>
      <c r="D603" s="2">
        <f ca="1">IFERROR(__xludf.DUMMYFUNCTION("""COMPUTED_VALUE"""),246.48)</f>
        <v>246.48</v>
      </c>
      <c r="E603" s="3">
        <f ca="1">IFERROR(__xludf.DUMMYFUNCTION("""COMPUTED_VALUE"""),44336.6666666666)</f>
        <v>44336.666666666599</v>
      </c>
      <c r="F603" s="2">
        <f ca="1">IFERROR(__xludf.DUMMYFUNCTION("""COMPUTED_VALUE"""),3247.68)</f>
        <v>3247.68</v>
      </c>
      <c r="G603" s="3">
        <f ca="1">IFERROR(__xludf.DUMMYFUNCTION("""COMPUTED_VALUE"""),44336.6666666666)</f>
        <v>44336.666666666599</v>
      </c>
      <c r="H603" s="2">
        <f ca="1">IFERROR(__xludf.DUMMYFUNCTION("""COMPUTED_VALUE"""),2306.95)</f>
        <v>2306.9499999999998</v>
      </c>
      <c r="I603" s="3">
        <f ca="1">IFERROR(__xludf.DUMMYFUNCTION("""COMPUTED_VALUE"""),44336.6666666666)</f>
        <v>44336.666666666599</v>
      </c>
      <c r="J603" s="2">
        <f ca="1">IFERROR(__xludf.DUMMYFUNCTION("""COMPUTED_VALUE"""),2356.09)</f>
        <v>2356.09</v>
      </c>
      <c r="K603" s="3">
        <f ca="1">IFERROR(__xludf.DUMMYFUNCTION("""COMPUTED_VALUE"""),44336.6666666666)</f>
        <v>44336.666666666599</v>
      </c>
      <c r="L603" s="2">
        <f ca="1">IFERROR(__xludf.DUMMYFUNCTION("""COMPUTED_VALUE"""),318.61)</f>
        <v>318.61</v>
      </c>
      <c r="M603" s="3">
        <f ca="1">IFERROR(__xludf.DUMMYFUNCTION("""COMPUTED_VALUE"""),44336.6666666666)</f>
        <v>44336.666666666599</v>
      </c>
      <c r="N603" s="2">
        <f ca="1">IFERROR(__xludf.DUMMYFUNCTION("""COMPUTED_VALUE"""),586.78)</f>
        <v>586.78</v>
      </c>
      <c r="O603" s="3">
        <f ca="1">IFERROR(__xludf.DUMMYFUNCTION("""COMPUTED_VALUE"""),44336.6666666666)</f>
        <v>44336.666666666599</v>
      </c>
      <c r="P603" s="2">
        <f ca="1">IFERROR(__xludf.DUMMYFUNCTION("""COMPUTED_VALUE"""),146.13)</f>
        <v>146.13</v>
      </c>
      <c r="Q603" s="3">
        <f ca="1">IFERROR(__xludf.DUMMYFUNCTION("""COMPUTED_VALUE"""),44336.6666666666)</f>
        <v>44336.666666666599</v>
      </c>
      <c r="R603" s="2">
        <f ca="1">IFERROR(__xludf.DUMMYFUNCTION("""COMPUTED_VALUE"""),286.73)</f>
        <v>286.73</v>
      </c>
      <c r="S603" s="3">
        <f ca="1">IFERROR(__xludf.DUMMYFUNCTION("""COMPUTED_VALUE"""),44336.6666666666)</f>
        <v>44336.666666666599</v>
      </c>
      <c r="T603" s="2">
        <f ca="1">IFERROR(__xludf.DUMMYFUNCTION("""COMPUTED_VALUE"""),171.07)</f>
        <v>171.07</v>
      </c>
    </row>
    <row r="604" spans="1:20">
      <c r="A604" s="3">
        <f ca="1">IFERROR(__xludf.DUMMYFUNCTION("""COMPUTED_VALUE"""),44337.6666666666)</f>
        <v>44337.666666666599</v>
      </c>
      <c r="B604" s="2">
        <f ca="1">IFERROR(__xludf.DUMMYFUNCTION("""COMPUTED_VALUE"""),125.43)</f>
        <v>125.43</v>
      </c>
      <c r="C604" s="3">
        <f ca="1">IFERROR(__xludf.DUMMYFUNCTION("""COMPUTED_VALUE"""),44337.6666666666)</f>
        <v>44337.666666666599</v>
      </c>
      <c r="D604" s="2">
        <f ca="1">IFERROR(__xludf.DUMMYFUNCTION("""COMPUTED_VALUE"""),245.17)</f>
        <v>245.17</v>
      </c>
      <c r="E604" s="3">
        <f ca="1">IFERROR(__xludf.DUMMYFUNCTION("""COMPUTED_VALUE"""),44337.6666666666)</f>
        <v>44337.666666666599</v>
      </c>
      <c r="F604" s="2">
        <f ca="1">IFERROR(__xludf.DUMMYFUNCTION("""COMPUTED_VALUE"""),3203.08)</f>
        <v>3203.08</v>
      </c>
      <c r="G604" s="3">
        <f ca="1">IFERROR(__xludf.DUMMYFUNCTION("""COMPUTED_VALUE"""),44337.6666666666)</f>
        <v>44337.666666666599</v>
      </c>
      <c r="H604" s="2">
        <f ca="1">IFERROR(__xludf.DUMMYFUNCTION("""COMPUTED_VALUE"""),2294.13)</f>
        <v>2294.13</v>
      </c>
      <c r="I604" s="3">
        <f ca="1">IFERROR(__xludf.DUMMYFUNCTION("""COMPUTED_VALUE"""),44337.6666666666)</f>
        <v>44337.666666666599</v>
      </c>
      <c r="J604" s="2">
        <f ca="1">IFERROR(__xludf.DUMMYFUNCTION("""COMPUTED_VALUE"""),2345.1)</f>
        <v>2345.1</v>
      </c>
      <c r="K604" s="3">
        <f ca="1">IFERROR(__xludf.DUMMYFUNCTION("""COMPUTED_VALUE"""),44337.6666666666)</f>
        <v>44337.666666666599</v>
      </c>
      <c r="L604" s="2">
        <f ca="1">IFERROR(__xludf.DUMMYFUNCTION("""COMPUTED_VALUE"""),316.23)</f>
        <v>316.23</v>
      </c>
      <c r="M604" s="3">
        <f ca="1">IFERROR(__xludf.DUMMYFUNCTION("""COMPUTED_VALUE"""),44337.6666666666)</f>
        <v>44337.666666666599</v>
      </c>
      <c r="N604" s="2">
        <f ca="1">IFERROR(__xludf.DUMMYFUNCTION("""COMPUTED_VALUE"""),580.88)</f>
        <v>580.88</v>
      </c>
      <c r="O604" s="3">
        <f ca="1">IFERROR(__xludf.DUMMYFUNCTION("""COMPUTED_VALUE"""),44337.6666666666)</f>
        <v>44337.666666666599</v>
      </c>
      <c r="P604" s="2">
        <f ca="1">IFERROR(__xludf.DUMMYFUNCTION("""COMPUTED_VALUE"""),149.92)</f>
        <v>149.91999999999999</v>
      </c>
      <c r="Q604" s="3">
        <f ca="1">IFERROR(__xludf.DUMMYFUNCTION("""COMPUTED_VALUE"""),44337.6666666666)</f>
        <v>44337.666666666599</v>
      </c>
      <c r="R604" s="2">
        <f ca="1">IFERROR(__xludf.DUMMYFUNCTION("""COMPUTED_VALUE"""),287.74)</f>
        <v>287.74</v>
      </c>
      <c r="S604" s="3">
        <f ca="1">IFERROR(__xludf.DUMMYFUNCTION("""COMPUTED_VALUE"""),44337.6666666666)</f>
        <v>44337.666666666599</v>
      </c>
      <c r="T604" s="2">
        <f ca="1">IFERROR(__xludf.DUMMYFUNCTION("""COMPUTED_VALUE"""),170.96)</f>
        <v>170.96</v>
      </c>
    </row>
    <row r="605" spans="1:20">
      <c r="A605" s="3">
        <f ca="1">IFERROR(__xludf.DUMMYFUNCTION("""COMPUTED_VALUE"""),44340.6666666666)</f>
        <v>44340.666666666599</v>
      </c>
      <c r="B605" s="2">
        <f ca="1">IFERROR(__xludf.DUMMYFUNCTION("""COMPUTED_VALUE"""),127.1)</f>
        <v>127.1</v>
      </c>
      <c r="C605" s="3">
        <f ca="1">IFERROR(__xludf.DUMMYFUNCTION("""COMPUTED_VALUE"""),44340.6666666666)</f>
        <v>44340.666666666599</v>
      </c>
      <c r="D605" s="2">
        <f ca="1">IFERROR(__xludf.DUMMYFUNCTION("""COMPUTED_VALUE"""),250.78)</f>
        <v>250.78</v>
      </c>
      <c r="E605" s="3">
        <f ca="1">IFERROR(__xludf.DUMMYFUNCTION("""COMPUTED_VALUE"""),44340.6666666666)</f>
        <v>44340.666666666599</v>
      </c>
      <c r="F605" s="2">
        <f ca="1">IFERROR(__xludf.DUMMYFUNCTION("""COMPUTED_VALUE"""),3244.99)</f>
        <v>3244.99</v>
      </c>
      <c r="G605" s="3">
        <f ca="1">IFERROR(__xludf.DUMMYFUNCTION("""COMPUTED_VALUE"""),44340.6666666666)</f>
        <v>44340.666666666599</v>
      </c>
      <c r="H605" s="2">
        <f ca="1">IFERROR(__xludf.DUMMYFUNCTION("""COMPUTED_VALUE"""),2361.04)</f>
        <v>2361.04</v>
      </c>
      <c r="I605" s="3">
        <f ca="1">IFERROR(__xludf.DUMMYFUNCTION("""COMPUTED_VALUE"""),44340.6666666666)</f>
        <v>44340.666666666599</v>
      </c>
      <c r="J605" s="2">
        <f ca="1">IFERROR(__xludf.DUMMYFUNCTION("""COMPUTED_VALUE"""),2406.67)</f>
        <v>2406.67</v>
      </c>
      <c r="K605" s="3">
        <f ca="1">IFERROR(__xludf.DUMMYFUNCTION("""COMPUTED_VALUE"""),44340.6666666666)</f>
        <v>44340.666666666599</v>
      </c>
      <c r="L605" s="2">
        <f ca="1">IFERROR(__xludf.DUMMYFUNCTION("""COMPUTED_VALUE"""),324.63)</f>
        <v>324.63</v>
      </c>
      <c r="M605" s="3">
        <f ca="1">IFERROR(__xludf.DUMMYFUNCTION("""COMPUTED_VALUE"""),44340.6666666666)</f>
        <v>44340.666666666599</v>
      </c>
      <c r="N605" s="2">
        <f ca="1">IFERROR(__xludf.DUMMYFUNCTION("""COMPUTED_VALUE"""),606.44)</f>
        <v>606.44000000000005</v>
      </c>
      <c r="O605" s="3">
        <f ca="1">IFERROR(__xludf.DUMMYFUNCTION("""COMPUTED_VALUE"""),44340.6666666666)</f>
        <v>44340.666666666599</v>
      </c>
      <c r="P605" s="2">
        <f ca="1">IFERROR(__xludf.DUMMYFUNCTION("""COMPUTED_VALUE"""),156.12)</f>
        <v>156.12</v>
      </c>
      <c r="Q605" s="3">
        <f ca="1">IFERROR(__xludf.DUMMYFUNCTION("""COMPUTED_VALUE"""),44340.6666666666)</f>
        <v>44340.666666666599</v>
      </c>
      <c r="R605" s="2">
        <f ca="1">IFERROR(__xludf.DUMMYFUNCTION("""COMPUTED_VALUE"""),289.73)</f>
        <v>289.73</v>
      </c>
      <c r="S605" s="3">
        <f ca="1">IFERROR(__xludf.DUMMYFUNCTION("""COMPUTED_VALUE"""),44340.6666666666)</f>
        <v>44340.666666666599</v>
      </c>
      <c r="T605" s="2">
        <f ca="1">IFERROR(__xludf.DUMMYFUNCTION("""COMPUTED_VALUE"""),170.55)</f>
        <v>170.55</v>
      </c>
    </row>
    <row r="606" spans="1:20">
      <c r="A606" s="3">
        <f ca="1">IFERROR(__xludf.DUMMYFUNCTION("""COMPUTED_VALUE"""),44341.6666666666)</f>
        <v>44341.666666666599</v>
      </c>
      <c r="B606" s="2">
        <f ca="1">IFERROR(__xludf.DUMMYFUNCTION("""COMPUTED_VALUE"""),126.9)</f>
        <v>126.9</v>
      </c>
      <c r="C606" s="3">
        <f ca="1">IFERROR(__xludf.DUMMYFUNCTION("""COMPUTED_VALUE"""),44341.6666666666)</f>
        <v>44341.666666666599</v>
      </c>
      <c r="D606" s="2">
        <f ca="1">IFERROR(__xludf.DUMMYFUNCTION("""COMPUTED_VALUE"""),251.72)</f>
        <v>251.72</v>
      </c>
      <c r="E606" s="3">
        <f ca="1">IFERROR(__xludf.DUMMYFUNCTION("""COMPUTED_VALUE"""),44341.6666666666)</f>
        <v>44341.666666666599</v>
      </c>
      <c r="F606" s="2">
        <f ca="1">IFERROR(__xludf.DUMMYFUNCTION("""COMPUTED_VALUE"""),3259.05)</f>
        <v>3259.05</v>
      </c>
      <c r="G606" s="3">
        <f ca="1">IFERROR(__xludf.DUMMYFUNCTION("""COMPUTED_VALUE"""),44341.6666666666)</f>
        <v>44341.666666666599</v>
      </c>
      <c r="H606" s="2">
        <f ca="1">IFERROR(__xludf.DUMMYFUNCTION("""COMPUTED_VALUE"""),2362.87)</f>
        <v>2362.87</v>
      </c>
      <c r="I606" s="3">
        <f ca="1">IFERROR(__xludf.DUMMYFUNCTION("""COMPUTED_VALUE"""),44341.6666666666)</f>
        <v>44341.666666666599</v>
      </c>
      <c r="J606" s="2">
        <f ca="1">IFERROR(__xludf.DUMMYFUNCTION("""COMPUTED_VALUE"""),2409.07)</f>
        <v>2409.0700000000002</v>
      </c>
      <c r="K606" s="3">
        <f ca="1">IFERROR(__xludf.DUMMYFUNCTION("""COMPUTED_VALUE"""),44341.6666666666)</f>
        <v>44341.666666666599</v>
      </c>
      <c r="L606" s="2">
        <f ca="1">IFERROR(__xludf.DUMMYFUNCTION("""COMPUTED_VALUE"""),327.79)</f>
        <v>327.79</v>
      </c>
      <c r="M606" s="3">
        <f ca="1">IFERROR(__xludf.DUMMYFUNCTION("""COMPUTED_VALUE"""),44341.6666666666)</f>
        <v>44341.666666666599</v>
      </c>
      <c r="N606" s="2">
        <f ca="1">IFERROR(__xludf.DUMMYFUNCTION("""COMPUTED_VALUE"""),604.69)</f>
        <v>604.69000000000005</v>
      </c>
      <c r="O606" s="3">
        <f ca="1">IFERROR(__xludf.DUMMYFUNCTION("""COMPUTED_VALUE"""),44341.6666666666)</f>
        <v>44341.666666666599</v>
      </c>
      <c r="P606" s="2">
        <f ca="1">IFERROR(__xludf.DUMMYFUNCTION("""COMPUTED_VALUE"""),156.48)</f>
        <v>156.47999999999999</v>
      </c>
      <c r="Q606" s="3">
        <f ca="1">IFERROR(__xludf.DUMMYFUNCTION("""COMPUTED_VALUE"""),44341.6666666666)</f>
        <v>44341.666666666599</v>
      </c>
      <c r="R606" s="2">
        <f ca="1">IFERROR(__xludf.DUMMYFUNCTION("""COMPUTED_VALUE"""),287.2)</f>
        <v>287.2</v>
      </c>
      <c r="S606" s="3">
        <f ca="1">IFERROR(__xludf.DUMMYFUNCTION("""COMPUTED_VALUE"""),44341.6666666666)</f>
        <v>44341.666666666599</v>
      </c>
      <c r="T606" s="2">
        <f ca="1">IFERROR(__xludf.DUMMYFUNCTION("""COMPUTED_VALUE"""),170.08)</f>
        <v>170.08</v>
      </c>
    </row>
    <row r="607" spans="1:20">
      <c r="A607" s="3">
        <f ca="1">IFERROR(__xludf.DUMMYFUNCTION("""COMPUTED_VALUE"""),44342.6666666666)</f>
        <v>44342.666666666599</v>
      </c>
      <c r="B607" s="2">
        <f ca="1">IFERROR(__xludf.DUMMYFUNCTION("""COMPUTED_VALUE"""),126.85)</f>
        <v>126.85</v>
      </c>
      <c r="C607" s="3">
        <f ca="1">IFERROR(__xludf.DUMMYFUNCTION("""COMPUTED_VALUE"""),44342.6666666666)</f>
        <v>44342.666666666599</v>
      </c>
      <c r="D607" s="2">
        <f ca="1">IFERROR(__xludf.DUMMYFUNCTION("""COMPUTED_VALUE"""),251.49)</f>
        <v>251.49</v>
      </c>
      <c r="E607" s="3">
        <f ca="1">IFERROR(__xludf.DUMMYFUNCTION("""COMPUTED_VALUE"""),44342.6666666666)</f>
        <v>44342.666666666599</v>
      </c>
      <c r="F607" s="2">
        <f ca="1">IFERROR(__xludf.DUMMYFUNCTION("""COMPUTED_VALUE"""),3265.16)</f>
        <v>3265.16</v>
      </c>
      <c r="G607" s="3">
        <f ca="1">IFERROR(__xludf.DUMMYFUNCTION("""COMPUTED_VALUE"""),44342.6666666666)</f>
        <v>44342.666666666599</v>
      </c>
      <c r="H607" s="2">
        <f ca="1">IFERROR(__xludf.DUMMYFUNCTION("""COMPUTED_VALUE"""),2380.31)</f>
        <v>2380.31</v>
      </c>
      <c r="I607" s="3">
        <f ca="1">IFERROR(__xludf.DUMMYFUNCTION("""COMPUTED_VALUE"""),44342.6666666666)</f>
        <v>44342.666666666599</v>
      </c>
      <c r="J607" s="2">
        <f ca="1">IFERROR(__xludf.DUMMYFUNCTION("""COMPUTED_VALUE"""),2433.53)</f>
        <v>2433.5300000000002</v>
      </c>
      <c r="K607" s="3">
        <f ca="1">IFERROR(__xludf.DUMMYFUNCTION("""COMPUTED_VALUE"""),44342.6666666666)</f>
        <v>44342.666666666599</v>
      </c>
      <c r="L607" s="2">
        <f ca="1">IFERROR(__xludf.DUMMYFUNCTION("""COMPUTED_VALUE"""),327.66)</f>
        <v>327.66000000000003</v>
      </c>
      <c r="M607" s="3">
        <f ca="1">IFERROR(__xludf.DUMMYFUNCTION("""COMPUTED_VALUE"""),44342.6666666666)</f>
        <v>44342.666666666599</v>
      </c>
      <c r="N607" s="2">
        <f ca="1">IFERROR(__xludf.DUMMYFUNCTION("""COMPUTED_VALUE"""),619.13)</f>
        <v>619.13</v>
      </c>
      <c r="O607" s="3">
        <f ca="1">IFERROR(__xludf.DUMMYFUNCTION("""COMPUTED_VALUE"""),44342.6666666666)</f>
        <v>44342.666666666599</v>
      </c>
      <c r="P607" s="2">
        <f ca="1">IFERROR(__xludf.DUMMYFUNCTION("""COMPUTED_VALUE"""),157)</f>
        <v>157</v>
      </c>
      <c r="Q607" s="3">
        <f ca="1">IFERROR(__xludf.DUMMYFUNCTION("""COMPUTED_VALUE"""),44342.6666666666)</f>
        <v>44342.666666666599</v>
      </c>
      <c r="R607" s="2">
        <f ca="1">IFERROR(__xludf.DUMMYFUNCTION("""COMPUTED_VALUE"""),287.33)</f>
        <v>287.33</v>
      </c>
      <c r="S607" s="3">
        <f ca="1">IFERROR(__xludf.DUMMYFUNCTION("""COMPUTED_VALUE"""),44342.6666666666)</f>
        <v>44342.666666666599</v>
      </c>
      <c r="T607" s="2">
        <f ca="1">IFERROR(__xludf.DUMMYFUNCTION("""COMPUTED_VALUE"""),169.07)</f>
        <v>169.07</v>
      </c>
    </row>
    <row r="608" spans="1:20">
      <c r="A608" s="3">
        <f ca="1">IFERROR(__xludf.DUMMYFUNCTION("""COMPUTED_VALUE"""),44343.6666666666)</f>
        <v>44343.666666666599</v>
      </c>
      <c r="B608" s="2">
        <f ca="1">IFERROR(__xludf.DUMMYFUNCTION("""COMPUTED_VALUE"""),125.28)</f>
        <v>125.28</v>
      </c>
      <c r="C608" s="3">
        <f ca="1">IFERROR(__xludf.DUMMYFUNCTION("""COMPUTED_VALUE"""),44343.6666666666)</f>
        <v>44343.666666666599</v>
      </c>
      <c r="D608" s="2">
        <f ca="1">IFERROR(__xludf.DUMMYFUNCTION("""COMPUTED_VALUE"""),249.31)</f>
        <v>249.31</v>
      </c>
      <c r="E608" s="3">
        <f ca="1">IFERROR(__xludf.DUMMYFUNCTION("""COMPUTED_VALUE"""),44343.6666666666)</f>
        <v>44343.666666666599</v>
      </c>
      <c r="F608" s="2">
        <f ca="1">IFERROR(__xludf.DUMMYFUNCTION("""COMPUTED_VALUE"""),3230.11)</f>
        <v>3230.11</v>
      </c>
      <c r="G608" s="3">
        <f ca="1">IFERROR(__xludf.DUMMYFUNCTION("""COMPUTED_VALUE"""),44343.6666666666)</f>
        <v>44343.666666666599</v>
      </c>
      <c r="H608" s="2">
        <f ca="1">IFERROR(__xludf.DUMMYFUNCTION("""COMPUTED_VALUE"""),2362.68)</f>
        <v>2362.6799999999998</v>
      </c>
      <c r="I608" s="3">
        <f ca="1">IFERROR(__xludf.DUMMYFUNCTION("""COMPUTED_VALUE"""),44343.6666666666)</f>
        <v>44343.666666666599</v>
      </c>
      <c r="J608" s="2">
        <f ca="1">IFERROR(__xludf.DUMMYFUNCTION("""COMPUTED_VALUE"""),2402.51)</f>
        <v>2402.5100000000002</v>
      </c>
      <c r="K608" s="3">
        <f ca="1">IFERROR(__xludf.DUMMYFUNCTION("""COMPUTED_VALUE"""),44343.6666666666)</f>
        <v>44343.666666666599</v>
      </c>
      <c r="L608" s="2">
        <f ca="1">IFERROR(__xludf.DUMMYFUNCTION("""COMPUTED_VALUE"""),332.75)</f>
        <v>332.75</v>
      </c>
      <c r="M608" s="3">
        <f ca="1">IFERROR(__xludf.DUMMYFUNCTION("""COMPUTED_VALUE"""),44343.6666666666)</f>
        <v>44343.666666666599</v>
      </c>
      <c r="N608" s="2">
        <f ca="1">IFERROR(__xludf.DUMMYFUNCTION("""COMPUTED_VALUE"""),630.85)</f>
        <v>630.85</v>
      </c>
      <c r="O608" s="3">
        <f ca="1">IFERROR(__xludf.DUMMYFUNCTION("""COMPUTED_VALUE"""),44343.6666666666)</f>
        <v>44343.666666666599</v>
      </c>
      <c r="P608" s="2">
        <f ca="1">IFERROR(__xludf.DUMMYFUNCTION("""COMPUTED_VALUE"""),154.88)</f>
        <v>154.88</v>
      </c>
      <c r="Q608" s="3">
        <f ca="1">IFERROR(__xludf.DUMMYFUNCTION("""COMPUTED_VALUE"""),44343.6666666666)</f>
        <v>44343.666666666599</v>
      </c>
      <c r="R608" s="2">
        <f ca="1">IFERROR(__xludf.DUMMYFUNCTION("""COMPUTED_VALUE"""),289.3)</f>
        <v>289.3</v>
      </c>
      <c r="S608" s="3">
        <f ca="1">IFERROR(__xludf.DUMMYFUNCTION("""COMPUTED_VALUE"""),44343.6666666666)</f>
        <v>44343.666666666599</v>
      </c>
      <c r="T608" s="2">
        <f ca="1">IFERROR(__xludf.DUMMYFUNCTION("""COMPUTED_VALUE"""),168.81)</f>
        <v>168.81</v>
      </c>
    </row>
    <row r="609" spans="1:20">
      <c r="A609" s="3">
        <f ca="1">IFERROR(__xludf.DUMMYFUNCTION("""COMPUTED_VALUE"""),44344.6666666666)</f>
        <v>44344.666666666599</v>
      </c>
      <c r="B609" s="2">
        <f ca="1">IFERROR(__xludf.DUMMYFUNCTION("""COMPUTED_VALUE"""),124.61)</f>
        <v>124.61</v>
      </c>
      <c r="C609" s="3">
        <f ca="1">IFERROR(__xludf.DUMMYFUNCTION("""COMPUTED_VALUE"""),44344.6666666666)</f>
        <v>44344.666666666599</v>
      </c>
      <c r="D609" s="2">
        <f ca="1">IFERROR(__xludf.DUMMYFUNCTION("""COMPUTED_VALUE"""),249.68)</f>
        <v>249.68</v>
      </c>
      <c r="E609" s="3">
        <f ca="1">IFERROR(__xludf.DUMMYFUNCTION("""COMPUTED_VALUE"""),44344.6666666666)</f>
        <v>44344.666666666599</v>
      </c>
      <c r="F609" s="2">
        <f ca="1">IFERROR(__xludf.DUMMYFUNCTION("""COMPUTED_VALUE"""),3223.07)</f>
        <v>3223.07</v>
      </c>
      <c r="G609" s="3">
        <f ca="1">IFERROR(__xludf.DUMMYFUNCTION("""COMPUTED_VALUE"""),44344.6666666666)</f>
        <v>44344.666666666599</v>
      </c>
      <c r="H609" s="2">
        <f ca="1">IFERROR(__xludf.DUMMYFUNCTION("""COMPUTED_VALUE"""),2356.85)</f>
        <v>2356.85</v>
      </c>
      <c r="I609" s="3">
        <f ca="1">IFERROR(__xludf.DUMMYFUNCTION("""COMPUTED_VALUE"""),44344.6666666666)</f>
        <v>44344.666666666599</v>
      </c>
      <c r="J609" s="2">
        <f ca="1">IFERROR(__xludf.DUMMYFUNCTION("""COMPUTED_VALUE"""),2411.56)</f>
        <v>2411.56</v>
      </c>
      <c r="K609" s="3">
        <f ca="1">IFERROR(__xludf.DUMMYFUNCTION("""COMPUTED_VALUE"""),44344.6666666666)</f>
        <v>44344.666666666599</v>
      </c>
      <c r="L609" s="2">
        <f ca="1">IFERROR(__xludf.DUMMYFUNCTION("""COMPUTED_VALUE"""),328.73)</f>
        <v>328.73</v>
      </c>
      <c r="M609" s="3">
        <f ca="1">IFERROR(__xludf.DUMMYFUNCTION("""COMPUTED_VALUE"""),44344.6666666666)</f>
        <v>44344.666666666599</v>
      </c>
      <c r="N609" s="2">
        <f ca="1">IFERROR(__xludf.DUMMYFUNCTION("""COMPUTED_VALUE"""),625.22)</f>
        <v>625.22</v>
      </c>
      <c r="O609" s="3">
        <f ca="1">IFERROR(__xludf.DUMMYFUNCTION("""COMPUTED_VALUE"""),44344.6666666666)</f>
        <v>44344.666666666599</v>
      </c>
      <c r="P609" s="2">
        <f ca="1">IFERROR(__xludf.DUMMYFUNCTION("""COMPUTED_VALUE"""),162.45)</f>
        <v>162.44999999999999</v>
      </c>
      <c r="Q609" s="3">
        <f ca="1">IFERROR(__xludf.DUMMYFUNCTION("""COMPUTED_VALUE"""),44344.6666666666)</f>
        <v>44344.666666666599</v>
      </c>
      <c r="R609" s="2">
        <f ca="1">IFERROR(__xludf.DUMMYFUNCTION("""COMPUTED_VALUE"""),289.44)</f>
        <v>289.44</v>
      </c>
      <c r="S609" s="3">
        <f ca="1">IFERROR(__xludf.DUMMYFUNCTION("""COMPUTED_VALUE"""),44344.6666666666)</f>
        <v>44344.666666666599</v>
      </c>
      <c r="T609" s="2">
        <f ca="1">IFERROR(__xludf.DUMMYFUNCTION("""COMPUTED_VALUE"""),169.25)</f>
        <v>169.25</v>
      </c>
    </row>
    <row r="610" spans="1:20">
      <c r="A610" s="3">
        <f ca="1">IFERROR(__xludf.DUMMYFUNCTION("""COMPUTED_VALUE"""),44348.6666666666)</f>
        <v>44348.666666666599</v>
      </c>
      <c r="B610" s="2">
        <f ca="1">IFERROR(__xludf.DUMMYFUNCTION("""COMPUTED_VALUE"""),124.28)</f>
        <v>124.28</v>
      </c>
      <c r="C610" s="3">
        <f ca="1">IFERROR(__xludf.DUMMYFUNCTION("""COMPUTED_VALUE"""),44348.6666666666)</f>
        <v>44348.666666666599</v>
      </c>
      <c r="D610" s="2">
        <f ca="1">IFERROR(__xludf.DUMMYFUNCTION("""COMPUTED_VALUE"""),247.4)</f>
        <v>247.4</v>
      </c>
      <c r="E610" s="3">
        <f ca="1">IFERROR(__xludf.DUMMYFUNCTION("""COMPUTED_VALUE"""),44348.6666666666)</f>
        <v>44348.666666666599</v>
      </c>
      <c r="F610" s="2">
        <f ca="1">IFERROR(__xludf.DUMMYFUNCTION("""COMPUTED_VALUE"""),3218.65)</f>
        <v>3218.65</v>
      </c>
      <c r="G610" s="3">
        <f ca="1">IFERROR(__xludf.DUMMYFUNCTION("""COMPUTED_VALUE"""),44348.6666666666)</f>
        <v>44348.666666666599</v>
      </c>
      <c r="H610" s="2">
        <f ca="1">IFERROR(__xludf.DUMMYFUNCTION("""COMPUTED_VALUE"""),2381.18)</f>
        <v>2381.1799999999998</v>
      </c>
      <c r="I610" s="3">
        <f ca="1">IFERROR(__xludf.DUMMYFUNCTION("""COMPUTED_VALUE"""),44348.6666666666)</f>
        <v>44348.666666666599</v>
      </c>
      <c r="J610" s="2">
        <f ca="1">IFERROR(__xludf.DUMMYFUNCTION("""COMPUTED_VALUE"""),2429.81)</f>
        <v>2429.81</v>
      </c>
      <c r="K610" s="3">
        <f ca="1">IFERROR(__xludf.DUMMYFUNCTION("""COMPUTED_VALUE"""),44348.6666666666)</f>
        <v>44348.666666666599</v>
      </c>
      <c r="L610" s="2">
        <f ca="1">IFERROR(__xludf.DUMMYFUNCTION("""COMPUTED_VALUE"""),329.13)</f>
        <v>329.13</v>
      </c>
      <c r="M610" s="3">
        <f ca="1">IFERROR(__xludf.DUMMYFUNCTION("""COMPUTED_VALUE"""),44348.6666666666)</f>
        <v>44348.666666666599</v>
      </c>
      <c r="N610" s="2">
        <f ca="1">IFERROR(__xludf.DUMMYFUNCTION("""COMPUTED_VALUE"""),623.9)</f>
        <v>623.9</v>
      </c>
      <c r="O610" s="3">
        <f ca="1">IFERROR(__xludf.DUMMYFUNCTION("""COMPUTED_VALUE"""),44348.6666666666)</f>
        <v>44348.666666666599</v>
      </c>
      <c r="P610" s="2">
        <f ca="1">IFERROR(__xludf.DUMMYFUNCTION("""COMPUTED_VALUE"""),162.65)</f>
        <v>162.65</v>
      </c>
      <c r="Q610" s="3">
        <f ca="1">IFERROR(__xludf.DUMMYFUNCTION("""COMPUTED_VALUE"""),44348.6666666666)</f>
        <v>44348.666666666599</v>
      </c>
      <c r="R610" s="2">
        <f ca="1">IFERROR(__xludf.DUMMYFUNCTION("""COMPUTED_VALUE"""),289.84)</f>
        <v>289.83999999999997</v>
      </c>
      <c r="S610" s="3">
        <f ca="1">IFERROR(__xludf.DUMMYFUNCTION("""COMPUTED_VALUE"""),44348.6666666666)</f>
        <v>44348.666666666599</v>
      </c>
      <c r="T610" s="2">
        <f ca="1">IFERROR(__xludf.DUMMYFUNCTION("""COMPUTED_VALUE"""),165.53)</f>
        <v>165.53</v>
      </c>
    </row>
    <row r="611" spans="1:20">
      <c r="A611" s="3">
        <f ca="1">IFERROR(__xludf.DUMMYFUNCTION("""COMPUTED_VALUE"""),44349.6666666666)</f>
        <v>44349.666666666599</v>
      </c>
      <c r="B611" s="2">
        <f ca="1">IFERROR(__xludf.DUMMYFUNCTION("""COMPUTED_VALUE"""),125.06)</f>
        <v>125.06</v>
      </c>
      <c r="C611" s="3">
        <f ca="1">IFERROR(__xludf.DUMMYFUNCTION("""COMPUTED_VALUE"""),44349.6666666666)</f>
        <v>44349.666666666599</v>
      </c>
      <c r="D611" s="2">
        <f ca="1">IFERROR(__xludf.DUMMYFUNCTION("""COMPUTED_VALUE"""),247.3)</f>
        <v>247.3</v>
      </c>
      <c r="E611" s="3">
        <f ca="1">IFERROR(__xludf.DUMMYFUNCTION("""COMPUTED_VALUE"""),44349.6666666666)</f>
        <v>44349.666666666599</v>
      </c>
      <c r="F611" s="2">
        <f ca="1">IFERROR(__xludf.DUMMYFUNCTION("""COMPUTED_VALUE"""),3233.99)</f>
        <v>3233.99</v>
      </c>
      <c r="G611" s="3">
        <f ca="1">IFERROR(__xludf.DUMMYFUNCTION("""COMPUTED_VALUE"""),44349.6666666666)</f>
        <v>44349.666666666599</v>
      </c>
      <c r="H611" s="2">
        <f ca="1">IFERROR(__xludf.DUMMYFUNCTION("""COMPUTED_VALUE"""),2370.59)</f>
        <v>2370.59</v>
      </c>
      <c r="I611" s="3">
        <f ca="1">IFERROR(__xludf.DUMMYFUNCTION("""COMPUTED_VALUE"""),44349.6666666666)</f>
        <v>44349.666666666599</v>
      </c>
      <c r="J611" s="2">
        <f ca="1">IFERROR(__xludf.DUMMYFUNCTION("""COMPUTED_VALUE"""),2421.28)</f>
        <v>2421.2800000000002</v>
      </c>
      <c r="K611" s="3">
        <f ca="1">IFERROR(__xludf.DUMMYFUNCTION("""COMPUTED_VALUE"""),44349.6666666666)</f>
        <v>44349.666666666599</v>
      </c>
      <c r="L611" s="2">
        <f ca="1">IFERROR(__xludf.DUMMYFUNCTION("""COMPUTED_VALUE"""),329.15)</f>
        <v>329.15</v>
      </c>
      <c r="M611" s="3">
        <f ca="1">IFERROR(__xludf.DUMMYFUNCTION("""COMPUTED_VALUE"""),44349.6666666666)</f>
        <v>44349.666666666599</v>
      </c>
      <c r="N611" s="2">
        <f ca="1">IFERROR(__xludf.DUMMYFUNCTION("""COMPUTED_VALUE"""),605.12)</f>
        <v>605.12</v>
      </c>
      <c r="O611" s="3">
        <f ca="1">IFERROR(__xludf.DUMMYFUNCTION("""COMPUTED_VALUE"""),44349.6666666666)</f>
        <v>44349.666666666599</v>
      </c>
      <c r="P611" s="2">
        <f ca="1">IFERROR(__xludf.DUMMYFUNCTION("""COMPUTED_VALUE"""),167.78)</f>
        <v>167.78</v>
      </c>
      <c r="Q611" s="3">
        <f ca="1">IFERROR(__xludf.DUMMYFUNCTION("""COMPUTED_VALUE"""),44349.6666666666)</f>
        <v>44349.666666666599</v>
      </c>
      <c r="R611" s="2">
        <f ca="1">IFERROR(__xludf.DUMMYFUNCTION("""COMPUTED_VALUE"""),290.02)</f>
        <v>290.02</v>
      </c>
      <c r="S611" s="3">
        <f ca="1">IFERROR(__xludf.DUMMYFUNCTION("""COMPUTED_VALUE"""),44349.6666666666)</f>
        <v>44349.666666666599</v>
      </c>
      <c r="T611" s="2">
        <f ca="1">IFERROR(__xludf.DUMMYFUNCTION("""COMPUTED_VALUE"""),166.2)</f>
        <v>166.2</v>
      </c>
    </row>
    <row r="612" spans="1:20">
      <c r="A612" s="3">
        <f ca="1">IFERROR(__xludf.DUMMYFUNCTION("""COMPUTED_VALUE"""),44350.6666666666)</f>
        <v>44350.666666666599</v>
      </c>
      <c r="B612" s="2">
        <f ca="1">IFERROR(__xludf.DUMMYFUNCTION("""COMPUTED_VALUE"""),123.54)</f>
        <v>123.54</v>
      </c>
      <c r="C612" s="3">
        <f ca="1">IFERROR(__xludf.DUMMYFUNCTION("""COMPUTED_VALUE"""),44350.6666666666)</f>
        <v>44350.666666666599</v>
      </c>
      <c r="D612" s="2">
        <f ca="1">IFERROR(__xludf.DUMMYFUNCTION("""COMPUTED_VALUE"""),245.71)</f>
        <v>245.71</v>
      </c>
      <c r="E612" s="3">
        <f ca="1">IFERROR(__xludf.DUMMYFUNCTION("""COMPUTED_VALUE"""),44350.6666666666)</f>
        <v>44350.666666666599</v>
      </c>
      <c r="F612" s="2">
        <f ca="1">IFERROR(__xludf.DUMMYFUNCTION("""COMPUTED_VALUE"""),3187.01)</f>
        <v>3187.01</v>
      </c>
      <c r="G612" s="3">
        <f ca="1">IFERROR(__xludf.DUMMYFUNCTION("""COMPUTED_VALUE"""),44350.6666666666)</f>
        <v>44350.666666666599</v>
      </c>
      <c r="H612" s="2">
        <f ca="1">IFERROR(__xludf.DUMMYFUNCTION("""COMPUTED_VALUE"""),2347.58)</f>
        <v>2347.58</v>
      </c>
      <c r="I612" s="3">
        <f ca="1">IFERROR(__xludf.DUMMYFUNCTION("""COMPUTED_VALUE"""),44350.6666666666)</f>
        <v>44350.666666666599</v>
      </c>
      <c r="J612" s="2">
        <f ca="1">IFERROR(__xludf.DUMMYFUNCTION("""COMPUTED_VALUE"""),2404.61)</f>
        <v>2404.61</v>
      </c>
      <c r="K612" s="3">
        <f ca="1">IFERROR(__xludf.DUMMYFUNCTION("""COMPUTED_VALUE"""),44350.6666666666)</f>
        <v>44350.666666666599</v>
      </c>
      <c r="L612" s="2">
        <f ca="1">IFERROR(__xludf.DUMMYFUNCTION("""COMPUTED_VALUE"""),326.04)</f>
        <v>326.04000000000002</v>
      </c>
      <c r="M612" s="3">
        <f ca="1">IFERROR(__xludf.DUMMYFUNCTION("""COMPUTED_VALUE"""),44350.6666666666)</f>
        <v>44350.666666666599</v>
      </c>
      <c r="N612" s="2">
        <f ca="1">IFERROR(__xludf.DUMMYFUNCTION("""COMPUTED_VALUE"""),572.84)</f>
        <v>572.84</v>
      </c>
      <c r="O612" s="3">
        <f ca="1">IFERROR(__xludf.DUMMYFUNCTION("""COMPUTED_VALUE"""),44350.6666666666)</f>
        <v>44350.666666666599</v>
      </c>
      <c r="P612" s="2">
        <f ca="1">IFERROR(__xludf.DUMMYFUNCTION("""COMPUTED_VALUE"""),169.7)</f>
        <v>169.7</v>
      </c>
      <c r="Q612" s="3">
        <f ca="1">IFERROR(__xludf.DUMMYFUNCTION("""COMPUTED_VALUE"""),44350.6666666666)</f>
        <v>44350.666666666599</v>
      </c>
      <c r="R612" s="2">
        <f ca="1">IFERROR(__xludf.DUMMYFUNCTION("""COMPUTED_VALUE"""),291.97)</f>
        <v>291.97000000000003</v>
      </c>
      <c r="S612" s="3">
        <f ca="1">IFERROR(__xludf.DUMMYFUNCTION("""COMPUTED_VALUE"""),44350.6666666666)</f>
        <v>44350.666666666599</v>
      </c>
      <c r="T612" s="2">
        <f ca="1">IFERROR(__xludf.DUMMYFUNCTION("""COMPUTED_VALUE"""),166.04)</f>
        <v>166.04</v>
      </c>
    </row>
    <row r="613" spans="1:20">
      <c r="A613" s="3">
        <f ca="1">IFERROR(__xludf.DUMMYFUNCTION("""COMPUTED_VALUE"""),44351.6666666666)</f>
        <v>44351.666666666599</v>
      </c>
      <c r="B613" s="2">
        <f ca="1">IFERROR(__xludf.DUMMYFUNCTION("""COMPUTED_VALUE"""),125.89)</f>
        <v>125.89</v>
      </c>
      <c r="C613" s="3">
        <f ca="1">IFERROR(__xludf.DUMMYFUNCTION("""COMPUTED_VALUE"""),44351.6666666666)</f>
        <v>44351.666666666599</v>
      </c>
      <c r="D613" s="2">
        <f ca="1">IFERROR(__xludf.DUMMYFUNCTION("""COMPUTED_VALUE"""),250.79)</f>
        <v>250.79</v>
      </c>
      <c r="E613" s="3">
        <f ca="1">IFERROR(__xludf.DUMMYFUNCTION("""COMPUTED_VALUE"""),44351.6666666666)</f>
        <v>44351.666666666599</v>
      </c>
      <c r="F613" s="2">
        <f ca="1">IFERROR(__xludf.DUMMYFUNCTION("""COMPUTED_VALUE"""),3206.22)</f>
        <v>3206.22</v>
      </c>
      <c r="G613" s="3">
        <f ca="1">IFERROR(__xludf.DUMMYFUNCTION("""COMPUTED_VALUE"""),44351.6666666666)</f>
        <v>44351.666666666599</v>
      </c>
      <c r="H613" s="2">
        <f ca="1">IFERROR(__xludf.DUMMYFUNCTION("""COMPUTED_VALUE"""),2393.57)</f>
        <v>2393.5700000000002</v>
      </c>
      <c r="I613" s="3">
        <f ca="1">IFERROR(__xludf.DUMMYFUNCTION("""COMPUTED_VALUE"""),44351.6666666666)</f>
        <v>44351.666666666599</v>
      </c>
      <c r="J613" s="2">
        <f ca="1">IFERROR(__xludf.DUMMYFUNCTION("""COMPUTED_VALUE"""),2451.76)</f>
        <v>2451.7600000000002</v>
      </c>
      <c r="K613" s="3">
        <f ca="1">IFERROR(__xludf.DUMMYFUNCTION("""COMPUTED_VALUE"""),44351.6666666666)</f>
        <v>44351.666666666599</v>
      </c>
      <c r="L613" s="2">
        <f ca="1">IFERROR(__xludf.DUMMYFUNCTION("""COMPUTED_VALUE"""),330.35)</f>
        <v>330.35</v>
      </c>
      <c r="M613" s="3">
        <f ca="1">IFERROR(__xludf.DUMMYFUNCTION("""COMPUTED_VALUE"""),44351.6666666666)</f>
        <v>44351.666666666599</v>
      </c>
      <c r="N613" s="2">
        <f ca="1">IFERROR(__xludf.DUMMYFUNCTION("""COMPUTED_VALUE"""),599.05)</f>
        <v>599.04999999999995</v>
      </c>
      <c r="O613" s="3">
        <f ca="1">IFERROR(__xludf.DUMMYFUNCTION("""COMPUTED_VALUE"""),44351.6666666666)</f>
        <v>44351.666666666599</v>
      </c>
      <c r="P613" s="2">
        <f ca="1">IFERROR(__xludf.DUMMYFUNCTION("""COMPUTED_VALUE"""),175.78)</f>
        <v>175.78</v>
      </c>
      <c r="Q613" s="3">
        <f ca="1">IFERROR(__xludf.DUMMYFUNCTION("""COMPUTED_VALUE"""),44351.6666666666)</f>
        <v>44351.666666666599</v>
      </c>
      <c r="R613" s="2">
        <f ca="1">IFERROR(__xludf.DUMMYFUNCTION("""COMPUTED_VALUE"""),292.52)</f>
        <v>292.52</v>
      </c>
      <c r="S613" s="3">
        <f ca="1">IFERROR(__xludf.DUMMYFUNCTION("""COMPUTED_VALUE"""),44351.6666666666)</f>
        <v>44351.666666666599</v>
      </c>
      <c r="T613" s="2">
        <f ca="1">IFERROR(__xludf.DUMMYFUNCTION("""COMPUTED_VALUE"""),165.97)</f>
        <v>165.97</v>
      </c>
    </row>
    <row r="614" spans="1:20">
      <c r="A614" s="3">
        <f ca="1">IFERROR(__xludf.DUMMYFUNCTION("""COMPUTED_VALUE"""),44354.6666666666)</f>
        <v>44354.666666666599</v>
      </c>
      <c r="B614" s="2">
        <f ca="1">IFERROR(__xludf.DUMMYFUNCTION("""COMPUTED_VALUE"""),125.9)</f>
        <v>125.9</v>
      </c>
      <c r="C614" s="3">
        <f ca="1">IFERROR(__xludf.DUMMYFUNCTION("""COMPUTED_VALUE"""),44354.6666666666)</f>
        <v>44354.666666666599</v>
      </c>
      <c r="D614" s="2">
        <f ca="1">IFERROR(__xludf.DUMMYFUNCTION("""COMPUTED_VALUE"""),253.81)</f>
        <v>253.81</v>
      </c>
      <c r="E614" s="3">
        <f ca="1">IFERROR(__xludf.DUMMYFUNCTION("""COMPUTED_VALUE"""),44354.6666666666)</f>
        <v>44354.666666666599</v>
      </c>
      <c r="F614" s="2">
        <f ca="1">IFERROR(__xludf.DUMMYFUNCTION("""COMPUTED_VALUE"""),3198.01)</f>
        <v>3198.01</v>
      </c>
      <c r="G614" s="3">
        <f ca="1">IFERROR(__xludf.DUMMYFUNCTION("""COMPUTED_VALUE"""),44354.6666666666)</f>
        <v>44354.666666666599</v>
      </c>
      <c r="H614" s="2">
        <f ca="1">IFERROR(__xludf.DUMMYFUNCTION("""COMPUTED_VALUE"""),2402.3)</f>
        <v>2402.3000000000002</v>
      </c>
      <c r="I614" s="3">
        <f ca="1">IFERROR(__xludf.DUMMYFUNCTION("""COMPUTED_VALUE"""),44354.6666666666)</f>
        <v>44354.666666666599</v>
      </c>
      <c r="J614" s="2">
        <f ca="1">IFERROR(__xludf.DUMMYFUNCTION("""COMPUTED_VALUE"""),2466.09)</f>
        <v>2466.09</v>
      </c>
      <c r="K614" s="3">
        <f ca="1">IFERROR(__xludf.DUMMYFUNCTION("""COMPUTED_VALUE"""),44354.6666666666)</f>
        <v>44354.666666666599</v>
      </c>
      <c r="L614" s="2">
        <f ca="1">IFERROR(__xludf.DUMMYFUNCTION("""COMPUTED_VALUE"""),336.58)</f>
        <v>336.58</v>
      </c>
      <c r="M614" s="3">
        <f ca="1">IFERROR(__xludf.DUMMYFUNCTION("""COMPUTED_VALUE"""),44354.6666666666)</f>
        <v>44354.666666666599</v>
      </c>
      <c r="N614" s="2">
        <f ca="1">IFERROR(__xludf.DUMMYFUNCTION("""COMPUTED_VALUE"""),605.13)</f>
        <v>605.13</v>
      </c>
      <c r="O614" s="3">
        <f ca="1">IFERROR(__xludf.DUMMYFUNCTION("""COMPUTED_VALUE"""),44354.6666666666)</f>
        <v>44354.666666666599</v>
      </c>
      <c r="P614" s="2">
        <f ca="1">IFERROR(__xludf.DUMMYFUNCTION("""COMPUTED_VALUE"""),176.19)</f>
        <v>176.19</v>
      </c>
      <c r="Q614" s="3">
        <f ca="1">IFERROR(__xludf.DUMMYFUNCTION("""COMPUTED_VALUE"""),44354.6666666666)</f>
        <v>44354.666666666599</v>
      </c>
      <c r="R614" s="2">
        <f ca="1">IFERROR(__xludf.DUMMYFUNCTION("""COMPUTED_VALUE"""),289.46)</f>
        <v>289.45999999999998</v>
      </c>
      <c r="S614" s="3">
        <f ca="1">IFERROR(__xludf.DUMMYFUNCTION("""COMPUTED_VALUE"""),44354.6666666666)</f>
        <v>44354.666666666599</v>
      </c>
      <c r="T614" s="2">
        <f ca="1">IFERROR(__xludf.DUMMYFUNCTION("""COMPUTED_VALUE"""),164.84)</f>
        <v>164.84</v>
      </c>
    </row>
    <row r="615" spans="1:20">
      <c r="A615" s="3">
        <f ca="1">IFERROR(__xludf.DUMMYFUNCTION("""COMPUTED_VALUE"""),44355.6666666666)</f>
        <v>44355.666666666599</v>
      </c>
      <c r="B615" s="2">
        <f ca="1">IFERROR(__xludf.DUMMYFUNCTION("""COMPUTED_VALUE"""),126.74)</f>
        <v>126.74</v>
      </c>
      <c r="C615" s="3">
        <f ca="1">IFERROR(__xludf.DUMMYFUNCTION("""COMPUTED_VALUE"""),44355.6666666666)</f>
        <v>44355.666666666599</v>
      </c>
      <c r="D615" s="2">
        <f ca="1">IFERROR(__xludf.DUMMYFUNCTION("""COMPUTED_VALUE"""),252.57)</f>
        <v>252.57</v>
      </c>
      <c r="E615" s="3">
        <f ca="1">IFERROR(__xludf.DUMMYFUNCTION("""COMPUTED_VALUE"""),44355.6666666666)</f>
        <v>44355.666666666599</v>
      </c>
      <c r="F615" s="2">
        <f ca="1">IFERROR(__xludf.DUMMYFUNCTION("""COMPUTED_VALUE"""),3264.11)</f>
        <v>3264.11</v>
      </c>
      <c r="G615" s="3">
        <f ca="1">IFERROR(__xludf.DUMMYFUNCTION("""COMPUTED_VALUE"""),44355.6666666666)</f>
        <v>44355.666666666599</v>
      </c>
      <c r="H615" s="2">
        <f ca="1">IFERROR(__xludf.DUMMYFUNCTION("""COMPUTED_VALUE"""),2398.44)</f>
        <v>2398.44</v>
      </c>
      <c r="I615" s="3">
        <f ca="1">IFERROR(__xludf.DUMMYFUNCTION("""COMPUTED_VALUE"""),44355.6666666666)</f>
        <v>44355.666666666599</v>
      </c>
      <c r="J615" s="2">
        <f ca="1">IFERROR(__xludf.DUMMYFUNCTION("""COMPUTED_VALUE"""),2482.85)</f>
        <v>2482.85</v>
      </c>
      <c r="K615" s="3">
        <f ca="1">IFERROR(__xludf.DUMMYFUNCTION("""COMPUTED_VALUE"""),44355.6666666666)</f>
        <v>44355.666666666599</v>
      </c>
      <c r="L615" s="2">
        <f ca="1">IFERROR(__xludf.DUMMYFUNCTION("""COMPUTED_VALUE"""),333.68)</f>
        <v>333.68</v>
      </c>
      <c r="M615" s="3">
        <f ca="1">IFERROR(__xludf.DUMMYFUNCTION("""COMPUTED_VALUE"""),44355.6666666666)</f>
        <v>44355.666666666599</v>
      </c>
      <c r="N615" s="2">
        <f ca="1">IFERROR(__xludf.DUMMYFUNCTION("""COMPUTED_VALUE"""),603.59)</f>
        <v>603.59</v>
      </c>
      <c r="O615" s="3">
        <f ca="1">IFERROR(__xludf.DUMMYFUNCTION("""COMPUTED_VALUE"""),44355.6666666666)</f>
        <v>44355.666666666599</v>
      </c>
      <c r="P615" s="2">
        <f ca="1">IFERROR(__xludf.DUMMYFUNCTION("""COMPUTED_VALUE"""),174.57)</f>
        <v>174.57</v>
      </c>
      <c r="Q615" s="3">
        <f ca="1">IFERROR(__xludf.DUMMYFUNCTION("""COMPUTED_VALUE"""),44355.6666666666)</f>
        <v>44355.666666666599</v>
      </c>
      <c r="R615" s="2">
        <f ca="1">IFERROR(__xludf.DUMMYFUNCTION("""COMPUTED_VALUE"""),289.19)</f>
        <v>289.19</v>
      </c>
      <c r="S615" s="3">
        <f ca="1">IFERROR(__xludf.DUMMYFUNCTION("""COMPUTED_VALUE"""),44355.6666666666)</f>
        <v>44355.666666666599</v>
      </c>
      <c r="T615" s="2">
        <f ca="1">IFERROR(__xludf.DUMMYFUNCTION("""COMPUTED_VALUE"""),163.39)</f>
        <v>163.38999999999999</v>
      </c>
    </row>
    <row r="616" spans="1:20">
      <c r="A616" s="3">
        <f ca="1">IFERROR(__xludf.DUMMYFUNCTION("""COMPUTED_VALUE"""),44356.6666666666)</f>
        <v>44356.666666666599</v>
      </c>
      <c r="B616" s="2">
        <f ca="1">IFERROR(__xludf.DUMMYFUNCTION("""COMPUTED_VALUE"""),127.13)</f>
        <v>127.13</v>
      </c>
      <c r="C616" s="3">
        <f ca="1">IFERROR(__xludf.DUMMYFUNCTION("""COMPUTED_VALUE"""),44356.6666666666)</f>
        <v>44356.666666666599</v>
      </c>
      <c r="D616" s="2">
        <f ca="1">IFERROR(__xludf.DUMMYFUNCTION("""COMPUTED_VALUE"""),253.59)</f>
        <v>253.59</v>
      </c>
      <c r="E616" s="3">
        <f ca="1">IFERROR(__xludf.DUMMYFUNCTION("""COMPUTED_VALUE"""),44356.6666666666)</f>
        <v>44356.666666666599</v>
      </c>
      <c r="F616" s="2">
        <f ca="1">IFERROR(__xludf.DUMMYFUNCTION("""COMPUTED_VALUE"""),3281.15)</f>
        <v>3281.15</v>
      </c>
      <c r="G616" s="3">
        <f ca="1">IFERROR(__xludf.DUMMYFUNCTION("""COMPUTED_VALUE"""),44356.6666666666)</f>
        <v>44356.666666666599</v>
      </c>
      <c r="H616" s="2">
        <f ca="1">IFERROR(__xludf.DUMMYFUNCTION("""COMPUTED_VALUE"""),2407.94)</f>
        <v>2407.94</v>
      </c>
      <c r="I616" s="3">
        <f ca="1">IFERROR(__xludf.DUMMYFUNCTION("""COMPUTED_VALUE"""),44356.6666666666)</f>
        <v>44356.666666666599</v>
      </c>
      <c r="J616" s="2">
        <f ca="1">IFERROR(__xludf.DUMMYFUNCTION("""COMPUTED_VALUE"""),2491.4)</f>
        <v>2491.4</v>
      </c>
      <c r="K616" s="3">
        <f ca="1">IFERROR(__xludf.DUMMYFUNCTION("""COMPUTED_VALUE"""),44356.6666666666)</f>
        <v>44356.666666666599</v>
      </c>
      <c r="L616" s="2">
        <f ca="1">IFERROR(__xludf.DUMMYFUNCTION("""COMPUTED_VALUE"""),330.25)</f>
        <v>330.25</v>
      </c>
      <c r="M616" s="3">
        <f ca="1">IFERROR(__xludf.DUMMYFUNCTION("""COMPUTED_VALUE"""),44356.6666666666)</f>
        <v>44356.666666666599</v>
      </c>
      <c r="N616" s="2">
        <f ca="1">IFERROR(__xludf.DUMMYFUNCTION("""COMPUTED_VALUE"""),598.78)</f>
        <v>598.78</v>
      </c>
      <c r="O616" s="3">
        <f ca="1">IFERROR(__xludf.DUMMYFUNCTION("""COMPUTED_VALUE"""),44356.6666666666)</f>
        <v>44356.666666666599</v>
      </c>
      <c r="P616" s="2">
        <f ca="1">IFERROR(__xludf.DUMMYFUNCTION("""COMPUTED_VALUE"""),173.58)</f>
        <v>173.58</v>
      </c>
      <c r="Q616" s="3">
        <f ca="1">IFERROR(__xludf.DUMMYFUNCTION("""COMPUTED_VALUE"""),44356.6666666666)</f>
        <v>44356.666666666599</v>
      </c>
      <c r="R616" s="2">
        <f ca="1">IFERROR(__xludf.DUMMYFUNCTION("""COMPUTED_VALUE"""),288.58)</f>
        <v>288.58</v>
      </c>
      <c r="S616" s="3">
        <f ca="1">IFERROR(__xludf.DUMMYFUNCTION("""COMPUTED_VALUE"""),44356.6666666666)</f>
        <v>44356.666666666599</v>
      </c>
      <c r="T616" s="2">
        <f ca="1">IFERROR(__xludf.DUMMYFUNCTION("""COMPUTED_VALUE"""),165.59)</f>
        <v>165.59</v>
      </c>
    </row>
    <row r="617" spans="1:20">
      <c r="A617" s="3">
        <f ca="1">IFERROR(__xludf.DUMMYFUNCTION("""COMPUTED_VALUE"""),44357.6666666666)</f>
        <v>44357.666666666599</v>
      </c>
      <c r="B617" s="2">
        <f ca="1">IFERROR(__xludf.DUMMYFUNCTION("""COMPUTED_VALUE"""),126.11)</f>
        <v>126.11</v>
      </c>
      <c r="C617" s="3">
        <f ca="1">IFERROR(__xludf.DUMMYFUNCTION("""COMPUTED_VALUE"""),44357.6666666666)</f>
        <v>44357.666666666599</v>
      </c>
      <c r="D617" s="2">
        <f ca="1">IFERROR(__xludf.DUMMYFUNCTION("""COMPUTED_VALUE"""),257.24)</f>
        <v>257.24</v>
      </c>
      <c r="E617" s="3">
        <f ca="1">IFERROR(__xludf.DUMMYFUNCTION("""COMPUTED_VALUE"""),44357.6666666666)</f>
        <v>44357.666666666599</v>
      </c>
      <c r="F617" s="2">
        <f ca="1">IFERROR(__xludf.DUMMYFUNCTION("""COMPUTED_VALUE"""),3349.65)</f>
        <v>3349.65</v>
      </c>
      <c r="G617" s="3">
        <f ca="1">IFERROR(__xludf.DUMMYFUNCTION("""COMPUTED_VALUE"""),44357.6666666666)</f>
        <v>44357.666666666599</v>
      </c>
      <c r="H617" s="2">
        <f ca="1">IFERROR(__xludf.DUMMYFUNCTION("""COMPUTED_VALUE"""),2435.13)</f>
        <v>2435.13</v>
      </c>
      <c r="I617" s="3">
        <f ca="1">IFERROR(__xludf.DUMMYFUNCTION("""COMPUTED_VALUE"""),44357.6666666666)</f>
        <v>44357.666666666599</v>
      </c>
      <c r="J617" s="2">
        <f ca="1">IFERROR(__xludf.DUMMYFUNCTION("""COMPUTED_VALUE"""),2521.6)</f>
        <v>2521.6</v>
      </c>
      <c r="K617" s="3">
        <f ca="1">IFERROR(__xludf.DUMMYFUNCTION("""COMPUTED_VALUE"""),44357.6666666666)</f>
        <v>44357.666666666599</v>
      </c>
      <c r="L617" s="2">
        <f ca="1">IFERROR(__xludf.DUMMYFUNCTION("""COMPUTED_VALUE"""),332.46)</f>
        <v>332.46</v>
      </c>
      <c r="M617" s="3">
        <f ca="1">IFERROR(__xludf.DUMMYFUNCTION("""COMPUTED_VALUE"""),44357.6666666666)</f>
        <v>44357.666666666599</v>
      </c>
      <c r="N617" s="2">
        <f ca="1">IFERROR(__xludf.DUMMYFUNCTION("""COMPUTED_VALUE"""),610.12)</f>
        <v>610.12</v>
      </c>
      <c r="O617" s="3">
        <f ca="1">IFERROR(__xludf.DUMMYFUNCTION("""COMPUTED_VALUE"""),44357.6666666666)</f>
        <v>44357.666666666599</v>
      </c>
      <c r="P617" s="2">
        <f ca="1">IFERROR(__xludf.DUMMYFUNCTION("""COMPUTED_VALUE"""),174.25)</f>
        <v>174.25</v>
      </c>
      <c r="Q617" s="3">
        <f ca="1">IFERROR(__xludf.DUMMYFUNCTION("""COMPUTED_VALUE"""),44357.6666666666)</f>
        <v>44357.666666666599</v>
      </c>
      <c r="R617" s="2">
        <f ca="1">IFERROR(__xludf.DUMMYFUNCTION("""COMPUTED_VALUE"""),284.91)</f>
        <v>284.91000000000003</v>
      </c>
      <c r="S617" s="3">
        <f ca="1">IFERROR(__xludf.DUMMYFUNCTION("""COMPUTED_VALUE"""),44357.6666666666)</f>
        <v>44357.666666666599</v>
      </c>
      <c r="T617" s="2">
        <f ca="1">IFERROR(__xludf.DUMMYFUNCTION("""COMPUTED_VALUE"""),167.08)</f>
        <v>167.08</v>
      </c>
    </row>
    <row r="618" spans="1:20">
      <c r="A618" s="3">
        <f ca="1">IFERROR(__xludf.DUMMYFUNCTION("""COMPUTED_VALUE"""),44358.6666666666)</f>
        <v>44358.666666666599</v>
      </c>
      <c r="B618" s="2">
        <f ca="1">IFERROR(__xludf.DUMMYFUNCTION("""COMPUTED_VALUE"""),127.35)</f>
        <v>127.35</v>
      </c>
      <c r="C618" s="3">
        <f ca="1">IFERROR(__xludf.DUMMYFUNCTION("""COMPUTED_VALUE"""),44358.6666666666)</f>
        <v>44358.666666666599</v>
      </c>
      <c r="D618" s="2">
        <f ca="1">IFERROR(__xludf.DUMMYFUNCTION("""COMPUTED_VALUE"""),257.89)</f>
        <v>257.89</v>
      </c>
      <c r="E618" s="3">
        <f ca="1">IFERROR(__xludf.DUMMYFUNCTION("""COMPUTED_VALUE"""),44358.6666666666)</f>
        <v>44358.666666666599</v>
      </c>
      <c r="F618" s="2">
        <f ca="1">IFERROR(__xludf.DUMMYFUNCTION("""COMPUTED_VALUE"""),3346.83)</f>
        <v>3346.83</v>
      </c>
      <c r="G618" s="3">
        <f ca="1">IFERROR(__xludf.DUMMYFUNCTION("""COMPUTED_VALUE"""),44358.6666666666)</f>
        <v>44358.666666666599</v>
      </c>
      <c r="H618" s="2">
        <f ca="1">IFERROR(__xludf.DUMMYFUNCTION("""COMPUTED_VALUE"""),2430.2)</f>
        <v>2430.1999999999998</v>
      </c>
      <c r="I618" s="3">
        <f ca="1">IFERROR(__xludf.DUMMYFUNCTION("""COMPUTED_VALUE"""),44358.6666666666)</f>
        <v>44358.666666666599</v>
      </c>
      <c r="J618" s="2">
        <f ca="1">IFERROR(__xludf.DUMMYFUNCTION("""COMPUTED_VALUE"""),2513.93)</f>
        <v>2513.9299999999998</v>
      </c>
      <c r="K618" s="3">
        <f ca="1">IFERROR(__xludf.DUMMYFUNCTION("""COMPUTED_VALUE"""),44358.6666666666)</f>
        <v>44358.666666666599</v>
      </c>
      <c r="L618" s="2">
        <f ca="1">IFERROR(__xludf.DUMMYFUNCTION("""COMPUTED_VALUE"""),331.26)</f>
        <v>331.26</v>
      </c>
      <c r="M618" s="3">
        <f ca="1">IFERROR(__xludf.DUMMYFUNCTION("""COMPUTED_VALUE"""),44358.6666666666)</f>
        <v>44358.666666666599</v>
      </c>
      <c r="N618" s="2">
        <f ca="1">IFERROR(__xludf.DUMMYFUNCTION("""COMPUTED_VALUE"""),609.89)</f>
        <v>609.89</v>
      </c>
      <c r="O618" s="3">
        <f ca="1">IFERROR(__xludf.DUMMYFUNCTION("""COMPUTED_VALUE"""),44358.6666666666)</f>
        <v>44358.666666666599</v>
      </c>
      <c r="P618" s="2">
        <f ca="1">IFERROR(__xludf.DUMMYFUNCTION("""COMPUTED_VALUE"""),178.25)</f>
        <v>178.25</v>
      </c>
      <c r="Q618" s="3">
        <f ca="1">IFERROR(__xludf.DUMMYFUNCTION("""COMPUTED_VALUE"""),44358.6666666666)</f>
        <v>44358.666666666599</v>
      </c>
      <c r="R618" s="2">
        <f ca="1">IFERROR(__xludf.DUMMYFUNCTION("""COMPUTED_VALUE"""),286.82)</f>
        <v>286.82</v>
      </c>
      <c r="S618" s="3">
        <f ca="1">IFERROR(__xludf.DUMMYFUNCTION("""COMPUTED_VALUE"""),44358.6666666666)</f>
        <v>44358.666666666599</v>
      </c>
      <c r="T618" s="2">
        <f ca="1">IFERROR(__xludf.DUMMYFUNCTION("""COMPUTED_VALUE"""),164.96)</f>
        <v>164.96</v>
      </c>
    </row>
    <row r="619" spans="1:20">
      <c r="A619" s="3">
        <f ca="1">IFERROR(__xludf.DUMMYFUNCTION("""COMPUTED_VALUE"""),44361.6666666666)</f>
        <v>44361.666666666599</v>
      </c>
      <c r="B619" s="2">
        <f ca="1">IFERROR(__xludf.DUMMYFUNCTION("""COMPUTED_VALUE"""),130.48)</f>
        <v>130.47999999999999</v>
      </c>
      <c r="C619" s="3">
        <f ca="1">IFERROR(__xludf.DUMMYFUNCTION("""COMPUTED_VALUE"""),44361.6666666666)</f>
        <v>44361.666666666599</v>
      </c>
      <c r="D619" s="2">
        <f ca="1">IFERROR(__xludf.DUMMYFUNCTION("""COMPUTED_VALUE"""),259.89)</f>
        <v>259.89</v>
      </c>
      <c r="E619" s="3">
        <f ca="1">IFERROR(__xludf.DUMMYFUNCTION("""COMPUTED_VALUE"""),44361.6666666666)</f>
        <v>44361.666666666599</v>
      </c>
      <c r="F619" s="2">
        <f ca="1">IFERROR(__xludf.DUMMYFUNCTION("""COMPUTED_VALUE"""),3383.87)</f>
        <v>3383.87</v>
      </c>
      <c r="G619" s="3">
        <f ca="1">IFERROR(__xludf.DUMMYFUNCTION("""COMPUTED_VALUE"""),44361.6666666666)</f>
        <v>44361.666666666599</v>
      </c>
      <c r="H619" s="2">
        <f ca="1">IFERROR(__xludf.DUMMYFUNCTION("""COMPUTED_VALUE"""),2448.91)</f>
        <v>2448.91</v>
      </c>
      <c r="I619" s="3">
        <f ca="1">IFERROR(__xludf.DUMMYFUNCTION("""COMPUTED_VALUE"""),44361.6666666666)</f>
        <v>44361.666666666599</v>
      </c>
      <c r="J619" s="2">
        <f ca="1">IFERROR(__xludf.DUMMYFUNCTION("""COMPUTED_VALUE"""),2527.04)</f>
        <v>2527.04</v>
      </c>
      <c r="K619" s="3">
        <f ca="1">IFERROR(__xludf.DUMMYFUNCTION("""COMPUTED_VALUE"""),44361.6666666666)</f>
        <v>44361.666666666599</v>
      </c>
      <c r="L619" s="2">
        <f ca="1">IFERROR(__xludf.DUMMYFUNCTION("""COMPUTED_VALUE"""),336.77)</f>
        <v>336.77</v>
      </c>
      <c r="M619" s="3">
        <f ca="1">IFERROR(__xludf.DUMMYFUNCTION("""COMPUTED_VALUE"""),44361.6666666666)</f>
        <v>44361.666666666599</v>
      </c>
      <c r="N619" s="2">
        <f ca="1">IFERROR(__xludf.DUMMYFUNCTION("""COMPUTED_VALUE"""),617.69)</f>
        <v>617.69000000000005</v>
      </c>
      <c r="O619" s="3">
        <f ca="1">IFERROR(__xludf.DUMMYFUNCTION("""COMPUTED_VALUE"""),44361.6666666666)</f>
        <v>44361.666666666599</v>
      </c>
      <c r="P619" s="2">
        <f ca="1">IFERROR(__xludf.DUMMYFUNCTION("""COMPUTED_VALUE"""),180.19)</f>
        <v>180.19</v>
      </c>
      <c r="Q619" s="3">
        <f ca="1">IFERROR(__xludf.DUMMYFUNCTION("""COMPUTED_VALUE"""),44361.6666666666)</f>
        <v>44361.666666666599</v>
      </c>
      <c r="R619" s="2">
        <f ca="1">IFERROR(__xludf.DUMMYFUNCTION("""COMPUTED_VALUE"""),283.53)</f>
        <v>283.52999999999997</v>
      </c>
      <c r="S619" s="3">
        <f ca="1">IFERROR(__xludf.DUMMYFUNCTION("""COMPUTED_VALUE"""),44361.6666666666)</f>
        <v>44361.666666666599</v>
      </c>
      <c r="T619" s="2">
        <f ca="1">IFERROR(__xludf.DUMMYFUNCTION("""COMPUTED_VALUE"""),165.37)</f>
        <v>165.37</v>
      </c>
    </row>
    <row r="620" spans="1:20">
      <c r="A620" s="3">
        <f ca="1">IFERROR(__xludf.DUMMYFUNCTION("""COMPUTED_VALUE"""),44362.6666666666)</f>
        <v>44362.666666666599</v>
      </c>
      <c r="B620" s="2">
        <f ca="1">IFERROR(__xludf.DUMMYFUNCTION("""COMPUTED_VALUE"""),129.64)</f>
        <v>129.63999999999999</v>
      </c>
      <c r="C620" s="3">
        <f ca="1">IFERROR(__xludf.DUMMYFUNCTION("""COMPUTED_VALUE"""),44362.6666666666)</f>
        <v>44362.666666666599</v>
      </c>
      <c r="D620" s="2">
        <f ca="1">IFERROR(__xludf.DUMMYFUNCTION("""COMPUTED_VALUE"""),258.36)</f>
        <v>258.36</v>
      </c>
      <c r="E620" s="3">
        <f ca="1">IFERROR(__xludf.DUMMYFUNCTION("""COMPUTED_VALUE"""),44362.6666666666)</f>
        <v>44362.666666666599</v>
      </c>
      <c r="F620" s="2">
        <f ca="1">IFERROR(__xludf.DUMMYFUNCTION("""COMPUTED_VALUE"""),3383.13)</f>
        <v>3383.13</v>
      </c>
      <c r="G620" s="3">
        <f ca="1">IFERROR(__xludf.DUMMYFUNCTION("""COMPUTED_VALUE"""),44362.6666666666)</f>
        <v>44362.666666666599</v>
      </c>
      <c r="H620" s="2">
        <f ca="1">IFERROR(__xludf.DUMMYFUNCTION("""COMPUTED_VALUE"""),2428.39)</f>
        <v>2428.39</v>
      </c>
      <c r="I620" s="3">
        <f ca="1">IFERROR(__xludf.DUMMYFUNCTION("""COMPUTED_VALUE"""),44362.6666666666)</f>
        <v>44362.666666666599</v>
      </c>
      <c r="J620" s="2">
        <f ca="1">IFERROR(__xludf.DUMMYFUNCTION("""COMPUTED_VALUE"""),2520.66)</f>
        <v>2520.66</v>
      </c>
      <c r="K620" s="3">
        <f ca="1">IFERROR(__xludf.DUMMYFUNCTION("""COMPUTED_VALUE"""),44362.6666666666)</f>
        <v>44362.666666666599</v>
      </c>
      <c r="L620" s="2">
        <f ca="1">IFERROR(__xludf.DUMMYFUNCTION("""COMPUTED_VALUE"""),336.75)</f>
        <v>336.75</v>
      </c>
      <c r="M620" s="3">
        <f ca="1">IFERROR(__xludf.DUMMYFUNCTION("""COMPUTED_VALUE"""),44362.6666666666)</f>
        <v>44362.666666666599</v>
      </c>
      <c r="N620" s="2">
        <f ca="1">IFERROR(__xludf.DUMMYFUNCTION("""COMPUTED_VALUE"""),599.36)</f>
        <v>599.36</v>
      </c>
      <c r="O620" s="3">
        <f ca="1">IFERROR(__xludf.DUMMYFUNCTION("""COMPUTED_VALUE"""),44362.6666666666)</f>
        <v>44362.666666666599</v>
      </c>
      <c r="P620" s="2">
        <f ca="1">IFERROR(__xludf.DUMMYFUNCTION("""COMPUTED_VALUE"""),177.89)</f>
        <v>177.89</v>
      </c>
      <c r="Q620" s="3">
        <f ca="1">IFERROR(__xludf.DUMMYFUNCTION("""COMPUTED_VALUE"""),44362.6666666666)</f>
        <v>44362.666666666599</v>
      </c>
      <c r="R620" s="2">
        <f ca="1">IFERROR(__xludf.DUMMYFUNCTION("""COMPUTED_VALUE"""),283.94)</f>
        <v>283.94</v>
      </c>
      <c r="S620" s="3">
        <f ca="1">IFERROR(__xludf.DUMMYFUNCTION("""COMPUTED_VALUE"""),44362.6666666666)</f>
        <v>44362.666666666599</v>
      </c>
      <c r="T620" s="2">
        <f ca="1">IFERROR(__xludf.DUMMYFUNCTION("""COMPUTED_VALUE"""),164.49)</f>
        <v>164.49</v>
      </c>
    </row>
    <row r="621" spans="1:20">
      <c r="A621" s="3">
        <f ca="1">IFERROR(__xludf.DUMMYFUNCTION("""COMPUTED_VALUE"""),44363.6666666666)</f>
        <v>44363.666666666599</v>
      </c>
      <c r="B621" s="2">
        <f ca="1">IFERROR(__xludf.DUMMYFUNCTION("""COMPUTED_VALUE"""),130.15)</f>
        <v>130.15</v>
      </c>
      <c r="C621" s="3">
        <f ca="1">IFERROR(__xludf.DUMMYFUNCTION("""COMPUTED_VALUE"""),44363.6666666666)</f>
        <v>44363.666666666599</v>
      </c>
      <c r="D621" s="2">
        <f ca="1">IFERROR(__xludf.DUMMYFUNCTION("""COMPUTED_VALUE"""),257.38)</f>
        <v>257.38</v>
      </c>
      <c r="E621" s="3">
        <f ca="1">IFERROR(__xludf.DUMMYFUNCTION("""COMPUTED_VALUE"""),44363.6666666666)</f>
        <v>44363.666666666599</v>
      </c>
      <c r="F621" s="2">
        <f ca="1">IFERROR(__xludf.DUMMYFUNCTION("""COMPUTED_VALUE"""),3415.25)</f>
        <v>3415.25</v>
      </c>
      <c r="G621" s="3">
        <f ca="1">IFERROR(__xludf.DUMMYFUNCTION("""COMPUTED_VALUE"""),44363.6666666666)</f>
        <v>44363.666666666599</v>
      </c>
      <c r="H621" s="2">
        <f ca="1">IFERROR(__xludf.DUMMYFUNCTION("""COMPUTED_VALUE"""),2415.45)</f>
        <v>2415.4499999999998</v>
      </c>
      <c r="I621" s="3">
        <f ca="1">IFERROR(__xludf.DUMMYFUNCTION("""COMPUTED_VALUE"""),44363.6666666666)</f>
        <v>44363.666666666599</v>
      </c>
      <c r="J621" s="2">
        <f ca="1">IFERROR(__xludf.DUMMYFUNCTION("""COMPUTED_VALUE"""),2513.93)</f>
        <v>2513.9299999999998</v>
      </c>
      <c r="K621" s="3">
        <f ca="1">IFERROR(__xludf.DUMMYFUNCTION("""COMPUTED_VALUE"""),44363.6666666666)</f>
        <v>44363.666666666599</v>
      </c>
      <c r="L621" s="2">
        <f ca="1">IFERROR(__xludf.DUMMYFUNCTION("""COMPUTED_VALUE"""),331.08)</f>
        <v>331.08</v>
      </c>
      <c r="M621" s="3">
        <f ca="1">IFERROR(__xludf.DUMMYFUNCTION("""COMPUTED_VALUE"""),44363.6666666666)</f>
        <v>44363.666666666599</v>
      </c>
      <c r="N621" s="2">
        <f ca="1">IFERROR(__xludf.DUMMYFUNCTION("""COMPUTED_VALUE"""),604.87)</f>
        <v>604.87</v>
      </c>
      <c r="O621" s="3">
        <f ca="1">IFERROR(__xludf.DUMMYFUNCTION("""COMPUTED_VALUE"""),44363.6666666666)</f>
        <v>44363.666666666599</v>
      </c>
      <c r="P621" s="2">
        <f ca="1">IFERROR(__xludf.DUMMYFUNCTION("""COMPUTED_VALUE"""),178.1)</f>
        <v>178.1</v>
      </c>
      <c r="Q621" s="3">
        <f ca="1">IFERROR(__xludf.DUMMYFUNCTION("""COMPUTED_VALUE"""),44363.6666666666)</f>
        <v>44363.666666666599</v>
      </c>
      <c r="R621" s="2">
        <f ca="1">IFERROR(__xludf.DUMMYFUNCTION("""COMPUTED_VALUE"""),283.11)</f>
        <v>283.11</v>
      </c>
      <c r="S621" s="3">
        <f ca="1">IFERROR(__xludf.DUMMYFUNCTION("""COMPUTED_VALUE"""),44363.6666666666)</f>
        <v>44363.666666666599</v>
      </c>
      <c r="T621" s="2">
        <f ca="1">IFERROR(__xludf.DUMMYFUNCTION("""COMPUTED_VALUE"""),164.43)</f>
        <v>164.43</v>
      </c>
    </row>
    <row r="622" spans="1:20">
      <c r="A622" s="3">
        <f ca="1">IFERROR(__xludf.DUMMYFUNCTION("""COMPUTED_VALUE"""),44364.6666666666)</f>
        <v>44364.666666666599</v>
      </c>
      <c r="B622" s="2">
        <f ca="1">IFERROR(__xludf.DUMMYFUNCTION("""COMPUTED_VALUE"""),131.79)</f>
        <v>131.79</v>
      </c>
      <c r="C622" s="3">
        <f ca="1">IFERROR(__xludf.DUMMYFUNCTION("""COMPUTED_VALUE"""),44364.6666666666)</f>
        <v>44364.666666666599</v>
      </c>
      <c r="D622" s="2">
        <f ca="1">IFERROR(__xludf.DUMMYFUNCTION("""COMPUTED_VALUE"""),260.9)</f>
        <v>260.89999999999998</v>
      </c>
      <c r="E622" s="3">
        <f ca="1">IFERROR(__xludf.DUMMYFUNCTION("""COMPUTED_VALUE"""),44364.6666666666)</f>
        <v>44364.666666666599</v>
      </c>
      <c r="F622" s="2">
        <f ca="1">IFERROR(__xludf.DUMMYFUNCTION("""COMPUTED_VALUE"""),3489.24)</f>
        <v>3489.24</v>
      </c>
      <c r="G622" s="3">
        <f ca="1">IFERROR(__xludf.DUMMYFUNCTION("""COMPUTED_VALUE"""),44364.6666666666)</f>
        <v>44364.666666666599</v>
      </c>
      <c r="H622" s="2">
        <f ca="1">IFERROR(__xludf.DUMMYFUNCTION("""COMPUTED_VALUE"""),2434.87)</f>
        <v>2434.87</v>
      </c>
      <c r="I622" s="3">
        <f ca="1">IFERROR(__xludf.DUMMYFUNCTION("""COMPUTED_VALUE"""),44364.6666666666)</f>
        <v>44364.666666666599</v>
      </c>
      <c r="J622" s="2">
        <f ca="1">IFERROR(__xludf.DUMMYFUNCTION("""COMPUTED_VALUE"""),2527.42)</f>
        <v>2527.42</v>
      </c>
      <c r="K622" s="3">
        <f ca="1">IFERROR(__xludf.DUMMYFUNCTION("""COMPUTED_VALUE"""),44364.6666666666)</f>
        <v>44364.666666666599</v>
      </c>
      <c r="L622" s="2">
        <f ca="1">IFERROR(__xludf.DUMMYFUNCTION("""COMPUTED_VALUE"""),336.51)</f>
        <v>336.51</v>
      </c>
      <c r="M622" s="3">
        <f ca="1">IFERROR(__xludf.DUMMYFUNCTION("""COMPUTED_VALUE"""),44364.6666666666)</f>
        <v>44364.666666666599</v>
      </c>
      <c r="N622" s="2">
        <f ca="1">IFERROR(__xludf.DUMMYFUNCTION("""COMPUTED_VALUE"""),616.6)</f>
        <v>616.6</v>
      </c>
      <c r="O622" s="3">
        <f ca="1">IFERROR(__xludf.DUMMYFUNCTION("""COMPUTED_VALUE"""),44364.6666666666)</f>
        <v>44364.666666666599</v>
      </c>
      <c r="P622" s="2">
        <f ca="1">IFERROR(__xludf.DUMMYFUNCTION("""COMPUTED_VALUE"""),186.57)</f>
        <v>186.57</v>
      </c>
      <c r="Q622" s="3">
        <f ca="1">IFERROR(__xludf.DUMMYFUNCTION("""COMPUTED_VALUE"""),44364.6666666666)</f>
        <v>44364.666666666599</v>
      </c>
      <c r="R622" s="2">
        <f ca="1">IFERROR(__xludf.DUMMYFUNCTION("""COMPUTED_VALUE"""),278.69)</f>
        <v>278.69</v>
      </c>
      <c r="S622" s="3">
        <f ca="1">IFERROR(__xludf.DUMMYFUNCTION("""COMPUTED_VALUE"""),44364.6666666666)</f>
        <v>44364.666666666599</v>
      </c>
      <c r="T622" s="2">
        <f ca="1">IFERROR(__xludf.DUMMYFUNCTION("""COMPUTED_VALUE"""),165.22)</f>
        <v>165.22</v>
      </c>
    </row>
    <row r="623" spans="1:20">
      <c r="A623" s="3">
        <f ca="1">IFERROR(__xludf.DUMMYFUNCTION("""COMPUTED_VALUE"""),44365.6666666666)</f>
        <v>44365.666666666599</v>
      </c>
      <c r="B623" s="2">
        <f ca="1">IFERROR(__xludf.DUMMYFUNCTION("""COMPUTED_VALUE"""),130.46)</f>
        <v>130.46</v>
      </c>
      <c r="C623" s="3">
        <f ca="1">IFERROR(__xludf.DUMMYFUNCTION("""COMPUTED_VALUE"""),44365.6666666666)</f>
        <v>44365.666666666599</v>
      </c>
      <c r="D623" s="2">
        <f ca="1">IFERROR(__xludf.DUMMYFUNCTION("""COMPUTED_VALUE"""),259.43)</f>
        <v>259.43</v>
      </c>
      <c r="E623" s="3">
        <f ca="1">IFERROR(__xludf.DUMMYFUNCTION("""COMPUTED_VALUE"""),44365.6666666666)</f>
        <v>44365.666666666599</v>
      </c>
      <c r="F623" s="2">
        <f ca="1">IFERROR(__xludf.DUMMYFUNCTION("""COMPUTED_VALUE"""),3486.9)</f>
        <v>3486.9</v>
      </c>
      <c r="G623" s="3">
        <f ca="1">IFERROR(__xludf.DUMMYFUNCTION("""COMPUTED_VALUE"""),44365.6666666666)</f>
        <v>44365.666666666599</v>
      </c>
      <c r="H623" s="2">
        <f ca="1">IFERROR(__xludf.DUMMYFUNCTION("""COMPUTED_VALUE"""),2402.22)</f>
        <v>2402.2199999999998</v>
      </c>
      <c r="I623" s="3">
        <f ca="1">IFERROR(__xludf.DUMMYFUNCTION("""COMPUTED_VALUE"""),44365.6666666666)</f>
        <v>44365.666666666599</v>
      </c>
      <c r="J623" s="2">
        <f ca="1">IFERROR(__xludf.DUMMYFUNCTION("""COMPUTED_VALUE"""),2511.35)</f>
        <v>2511.35</v>
      </c>
      <c r="K623" s="3">
        <f ca="1">IFERROR(__xludf.DUMMYFUNCTION("""COMPUTED_VALUE"""),44365.6666666666)</f>
        <v>44365.666666666599</v>
      </c>
      <c r="L623" s="2">
        <f ca="1">IFERROR(__xludf.DUMMYFUNCTION("""COMPUTED_VALUE"""),329.66)</f>
        <v>329.66</v>
      </c>
      <c r="M623" s="3">
        <f ca="1">IFERROR(__xludf.DUMMYFUNCTION("""COMPUTED_VALUE"""),44365.6666666666)</f>
        <v>44365.666666666599</v>
      </c>
      <c r="N623" s="2">
        <f ca="1">IFERROR(__xludf.DUMMYFUNCTION("""COMPUTED_VALUE"""),623.31)</f>
        <v>623.30999999999995</v>
      </c>
      <c r="O623" s="3">
        <f ca="1">IFERROR(__xludf.DUMMYFUNCTION("""COMPUTED_VALUE"""),44365.6666666666)</f>
        <v>44365.666666666599</v>
      </c>
      <c r="P623" s="2">
        <f ca="1">IFERROR(__xludf.DUMMYFUNCTION("""COMPUTED_VALUE"""),186.39)</f>
        <v>186.39</v>
      </c>
      <c r="Q623" s="3">
        <f ca="1">IFERROR(__xludf.DUMMYFUNCTION("""COMPUTED_VALUE"""),44365.6666666666)</f>
        <v>44365.666666666599</v>
      </c>
      <c r="R623" s="2">
        <f ca="1">IFERROR(__xludf.DUMMYFUNCTION("""COMPUTED_VALUE"""),274.04)</f>
        <v>274.04000000000002</v>
      </c>
      <c r="S623" s="3">
        <f ca="1">IFERROR(__xludf.DUMMYFUNCTION("""COMPUTED_VALUE"""),44365.6666666666)</f>
        <v>44365.666666666599</v>
      </c>
      <c r="T623" s="2">
        <f ca="1">IFERROR(__xludf.DUMMYFUNCTION("""COMPUTED_VALUE"""),161.98)</f>
        <v>161.97999999999999</v>
      </c>
    </row>
    <row r="624" spans="1:20">
      <c r="A624" s="3">
        <f ca="1">IFERROR(__xludf.DUMMYFUNCTION("""COMPUTED_VALUE"""),44368.6666666666)</f>
        <v>44368.666666666599</v>
      </c>
      <c r="B624" s="2">
        <f ca="1">IFERROR(__xludf.DUMMYFUNCTION("""COMPUTED_VALUE"""),132.3)</f>
        <v>132.30000000000001</v>
      </c>
      <c r="C624" s="3">
        <f ca="1">IFERROR(__xludf.DUMMYFUNCTION("""COMPUTED_VALUE"""),44368.6666666666)</f>
        <v>44368.666666666599</v>
      </c>
      <c r="D624" s="2">
        <f ca="1">IFERROR(__xludf.DUMMYFUNCTION("""COMPUTED_VALUE"""),262.63)</f>
        <v>262.63</v>
      </c>
      <c r="E624" s="3">
        <f ca="1">IFERROR(__xludf.DUMMYFUNCTION("""COMPUTED_VALUE"""),44368.6666666666)</f>
        <v>44368.666666666599</v>
      </c>
      <c r="F624" s="2">
        <f ca="1">IFERROR(__xludf.DUMMYFUNCTION("""COMPUTED_VALUE"""),3453.96)</f>
        <v>3453.96</v>
      </c>
      <c r="G624" s="3">
        <f ca="1">IFERROR(__xludf.DUMMYFUNCTION("""COMPUTED_VALUE"""),44368.6666666666)</f>
        <v>44368.666666666599</v>
      </c>
      <c r="H624" s="2">
        <f ca="1">IFERROR(__xludf.DUMMYFUNCTION("""COMPUTED_VALUE"""),2436.25)</f>
        <v>2436.25</v>
      </c>
      <c r="I624" s="3">
        <f ca="1">IFERROR(__xludf.DUMMYFUNCTION("""COMPUTED_VALUE"""),44368.6666666666)</f>
        <v>44368.666666666599</v>
      </c>
      <c r="J624" s="2">
        <f ca="1">IFERROR(__xludf.DUMMYFUNCTION("""COMPUTED_VALUE"""),2529.1)</f>
        <v>2529.1</v>
      </c>
      <c r="K624" s="3">
        <f ca="1">IFERROR(__xludf.DUMMYFUNCTION("""COMPUTED_VALUE"""),44368.6666666666)</f>
        <v>44368.666666666599</v>
      </c>
      <c r="L624" s="2">
        <f ca="1">IFERROR(__xludf.DUMMYFUNCTION("""COMPUTED_VALUE"""),332.29)</f>
        <v>332.29</v>
      </c>
      <c r="M624" s="3">
        <f ca="1">IFERROR(__xludf.DUMMYFUNCTION("""COMPUTED_VALUE"""),44368.6666666666)</f>
        <v>44368.666666666599</v>
      </c>
      <c r="N624" s="2">
        <f ca="1">IFERROR(__xludf.DUMMYFUNCTION("""COMPUTED_VALUE"""),620.83)</f>
        <v>620.83000000000004</v>
      </c>
      <c r="O624" s="3">
        <f ca="1">IFERROR(__xludf.DUMMYFUNCTION("""COMPUTED_VALUE"""),44368.6666666666)</f>
        <v>44368.666666666599</v>
      </c>
      <c r="P624" s="2">
        <f ca="1">IFERROR(__xludf.DUMMYFUNCTION("""COMPUTED_VALUE"""),184.27)</f>
        <v>184.27</v>
      </c>
      <c r="Q624" s="3">
        <f ca="1">IFERROR(__xludf.DUMMYFUNCTION("""COMPUTED_VALUE"""),44368.6666666666)</f>
        <v>44368.666666666599</v>
      </c>
      <c r="R624" s="2">
        <f ca="1">IFERROR(__xludf.DUMMYFUNCTION("""COMPUTED_VALUE"""),277.1)</f>
        <v>277.10000000000002</v>
      </c>
      <c r="S624" s="3">
        <f ca="1">IFERROR(__xludf.DUMMYFUNCTION("""COMPUTED_VALUE"""),44368.6666666666)</f>
        <v>44368.666666666599</v>
      </c>
      <c r="T624" s="2">
        <f ca="1">IFERROR(__xludf.DUMMYFUNCTION("""COMPUTED_VALUE"""),163.84)</f>
        <v>163.84</v>
      </c>
    </row>
    <row r="625" spans="1:20">
      <c r="A625" s="3">
        <f ca="1">IFERROR(__xludf.DUMMYFUNCTION("""COMPUTED_VALUE"""),44369.6666666666)</f>
        <v>44369.666666666599</v>
      </c>
      <c r="B625" s="2">
        <f ca="1">IFERROR(__xludf.DUMMYFUNCTION("""COMPUTED_VALUE"""),133.98)</f>
        <v>133.97999999999999</v>
      </c>
      <c r="C625" s="3">
        <f ca="1">IFERROR(__xludf.DUMMYFUNCTION("""COMPUTED_VALUE"""),44369.6666666666)</f>
        <v>44369.666666666599</v>
      </c>
      <c r="D625" s="2">
        <f ca="1">IFERROR(__xludf.DUMMYFUNCTION("""COMPUTED_VALUE"""),265.51)</f>
        <v>265.51</v>
      </c>
      <c r="E625" s="3">
        <f ca="1">IFERROR(__xludf.DUMMYFUNCTION("""COMPUTED_VALUE"""),44369.6666666666)</f>
        <v>44369.666666666599</v>
      </c>
      <c r="F625" s="2">
        <f ca="1">IFERROR(__xludf.DUMMYFUNCTION("""COMPUTED_VALUE"""),3505.44)</f>
        <v>3505.44</v>
      </c>
      <c r="G625" s="3">
        <f ca="1">IFERROR(__xludf.DUMMYFUNCTION("""COMPUTED_VALUE"""),44369.6666666666)</f>
        <v>44369.666666666599</v>
      </c>
      <c r="H625" s="2">
        <f ca="1">IFERROR(__xludf.DUMMYFUNCTION("""COMPUTED_VALUE"""),2446.61)</f>
        <v>2446.61</v>
      </c>
      <c r="I625" s="3">
        <f ca="1">IFERROR(__xludf.DUMMYFUNCTION("""COMPUTED_VALUE"""),44369.6666666666)</f>
        <v>44369.666666666599</v>
      </c>
      <c r="J625" s="2">
        <f ca="1">IFERROR(__xludf.DUMMYFUNCTION("""COMPUTED_VALUE"""),2539.99)</f>
        <v>2539.9899999999998</v>
      </c>
      <c r="K625" s="3">
        <f ca="1">IFERROR(__xludf.DUMMYFUNCTION("""COMPUTED_VALUE"""),44369.6666666666)</f>
        <v>44369.666666666599</v>
      </c>
      <c r="L625" s="2">
        <f ca="1">IFERROR(__xludf.DUMMYFUNCTION("""COMPUTED_VALUE"""),339.03)</f>
        <v>339.03</v>
      </c>
      <c r="M625" s="3">
        <f ca="1">IFERROR(__xludf.DUMMYFUNCTION("""COMPUTED_VALUE"""),44369.6666666666)</f>
        <v>44369.666666666599</v>
      </c>
      <c r="N625" s="2">
        <f ca="1">IFERROR(__xludf.DUMMYFUNCTION("""COMPUTED_VALUE"""),623.71)</f>
        <v>623.71</v>
      </c>
      <c r="O625" s="3">
        <f ca="1">IFERROR(__xludf.DUMMYFUNCTION("""COMPUTED_VALUE"""),44369.6666666666)</f>
        <v>44369.666666666599</v>
      </c>
      <c r="P625" s="2">
        <f ca="1">IFERROR(__xludf.DUMMYFUNCTION("""COMPUTED_VALUE"""),188.87)</f>
        <v>188.87</v>
      </c>
      <c r="Q625" s="3">
        <f ca="1">IFERROR(__xludf.DUMMYFUNCTION("""COMPUTED_VALUE"""),44369.6666666666)</f>
        <v>44369.666666666599</v>
      </c>
      <c r="R625" s="2">
        <f ca="1">IFERROR(__xludf.DUMMYFUNCTION("""COMPUTED_VALUE"""),276.92)</f>
        <v>276.92</v>
      </c>
      <c r="S625" s="3">
        <f ca="1">IFERROR(__xludf.DUMMYFUNCTION("""COMPUTED_VALUE"""),44369.6666666666)</f>
        <v>44369.666666666599</v>
      </c>
      <c r="T625" s="2">
        <f ca="1">IFERROR(__xludf.DUMMYFUNCTION("""COMPUTED_VALUE"""),163.62)</f>
        <v>163.62</v>
      </c>
    </row>
    <row r="626" spans="1:20">
      <c r="A626" s="3">
        <f ca="1">IFERROR(__xludf.DUMMYFUNCTION("""COMPUTED_VALUE"""),44370.6666666666)</f>
        <v>44370.666666666599</v>
      </c>
      <c r="B626" s="2">
        <f ca="1">IFERROR(__xludf.DUMMYFUNCTION("""COMPUTED_VALUE"""),133.7)</f>
        <v>133.69999999999999</v>
      </c>
      <c r="C626" s="3">
        <f ca="1">IFERROR(__xludf.DUMMYFUNCTION("""COMPUTED_VALUE"""),44370.6666666666)</f>
        <v>44370.666666666599</v>
      </c>
      <c r="D626" s="2">
        <f ca="1">IFERROR(__xludf.DUMMYFUNCTION("""COMPUTED_VALUE"""),265.27)</f>
        <v>265.27</v>
      </c>
      <c r="E626" s="3">
        <f ca="1">IFERROR(__xludf.DUMMYFUNCTION("""COMPUTED_VALUE"""),44370.6666666666)</f>
        <v>44370.666666666599</v>
      </c>
      <c r="F626" s="2">
        <f ca="1">IFERROR(__xludf.DUMMYFUNCTION("""COMPUTED_VALUE"""),3503.82)</f>
        <v>3503.82</v>
      </c>
      <c r="G626" s="3">
        <f ca="1">IFERROR(__xludf.DUMMYFUNCTION("""COMPUTED_VALUE"""),44370.6666666666)</f>
        <v>44370.666666666599</v>
      </c>
      <c r="H626" s="2">
        <f ca="1">IFERROR(__xludf.DUMMYFUNCTION("""COMPUTED_VALUE"""),2442.54)</f>
        <v>2442.54</v>
      </c>
      <c r="I626" s="3">
        <f ca="1">IFERROR(__xludf.DUMMYFUNCTION("""COMPUTED_VALUE"""),44370.6666666666)</f>
        <v>44370.666666666599</v>
      </c>
      <c r="J626" s="2">
        <f ca="1">IFERROR(__xludf.DUMMYFUNCTION("""COMPUTED_VALUE"""),2529.23)</f>
        <v>2529.23</v>
      </c>
      <c r="K626" s="3">
        <f ca="1">IFERROR(__xludf.DUMMYFUNCTION("""COMPUTED_VALUE"""),44370.6666666666)</f>
        <v>44370.666666666599</v>
      </c>
      <c r="L626" s="2">
        <f ca="1">IFERROR(__xludf.DUMMYFUNCTION("""COMPUTED_VALUE"""),340.59)</f>
        <v>340.59</v>
      </c>
      <c r="M626" s="3">
        <f ca="1">IFERROR(__xludf.DUMMYFUNCTION("""COMPUTED_VALUE"""),44370.6666666666)</f>
        <v>44370.666666666599</v>
      </c>
      <c r="N626" s="2">
        <f ca="1">IFERROR(__xludf.DUMMYFUNCTION("""COMPUTED_VALUE"""),656.57)</f>
        <v>656.57</v>
      </c>
      <c r="O626" s="3">
        <f ca="1">IFERROR(__xludf.DUMMYFUNCTION("""COMPUTED_VALUE"""),44370.6666666666)</f>
        <v>44370.666666666599</v>
      </c>
      <c r="P626" s="2">
        <f ca="1">IFERROR(__xludf.DUMMYFUNCTION("""COMPUTED_VALUE"""),190.57)</f>
        <v>190.57</v>
      </c>
      <c r="Q626" s="3">
        <f ca="1">IFERROR(__xludf.DUMMYFUNCTION("""COMPUTED_VALUE"""),44370.6666666666)</f>
        <v>44370.666666666599</v>
      </c>
      <c r="R626" s="2">
        <f ca="1">IFERROR(__xludf.DUMMYFUNCTION("""COMPUTED_VALUE"""),274.66)</f>
        <v>274.66000000000003</v>
      </c>
      <c r="S626" s="3">
        <f ca="1">IFERROR(__xludf.DUMMYFUNCTION("""COMPUTED_VALUE"""),44370.6666666666)</f>
        <v>44370.666666666599</v>
      </c>
      <c r="T626" s="2">
        <f ca="1">IFERROR(__xludf.DUMMYFUNCTION("""COMPUTED_VALUE"""),162.63)</f>
        <v>162.63</v>
      </c>
    </row>
    <row r="627" spans="1:20">
      <c r="A627" s="3">
        <f ca="1">IFERROR(__xludf.DUMMYFUNCTION("""COMPUTED_VALUE"""),44371.6666666666)</f>
        <v>44371.666666666599</v>
      </c>
      <c r="B627" s="2">
        <f ca="1">IFERROR(__xludf.DUMMYFUNCTION("""COMPUTED_VALUE"""),133.41)</f>
        <v>133.41</v>
      </c>
      <c r="C627" s="3">
        <f ca="1">IFERROR(__xludf.DUMMYFUNCTION("""COMPUTED_VALUE"""),44371.6666666666)</f>
        <v>44371.666666666599</v>
      </c>
      <c r="D627" s="2">
        <f ca="1">IFERROR(__xludf.DUMMYFUNCTION("""COMPUTED_VALUE"""),266.69)</f>
        <v>266.69</v>
      </c>
      <c r="E627" s="3">
        <f ca="1">IFERROR(__xludf.DUMMYFUNCTION("""COMPUTED_VALUE"""),44371.6666666666)</f>
        <v>44371.666666666599</v>
      </c>
      <c r="F627" s="2">
        <f ca="1">IFERROR(__xludf.DUMMYFUNCTION("""COMPUTED_VALUE"""),3449.08)</f>
        <v>3449.08</v>
      </c>
      <c r="G627" s="3">
        <f ca="1">IFERROR(__xludf.DUMMYFUNCTION("""COMPUTED_VALUE"""),44371.6666666666)</f>
        <v>44371.666666666599</v>
      </c>
      <c r="H627" s="2">
        <f ca="1">IFERROR(__xludf.DUMMYFUNCTION("""COMPUTED_VALUE"""),2450)</f>
        <v>2450</v>
      </c>
      <c r="I627" s="3">
        <f ca="1">IFERROR(__xludf.DUMMYFUNCTION("""COMPUTED_VALUE"""),44371.6666666666)</f>
        <v>44371.666666666599</v>
      </c>
      <c r="J627" s="2">
        <f ca="1">IFERROR(__xludf.DUMMYFUNCTION("""COMPUTED_VALUE"""),2545.64)</f>
        <v>2545.64</v>
      </c>
      <c r="K627" s="3">
        <f ca="1">IFERROR(__xludf.DUMMYFUNCTION("""COMPUTED_VALUE"""),44371.6666666666)</f>
        <v>44371.666666666599</v>
      </c>
      <c r="L627" s="2">
        <f ca="1">IFERROR(__xludf.DUMMYFUNCTION("""COMPUTED_VALUE"""),343.18)</f>
        <v>343.18</v>
      </c>
      <c r="M627" s="3">
        <f ca="1">IFERROR(__xludf.DUMMYFUNCTION("""COMPUTED_VALUE"""),44371.6666666666)</f>
        <v>44371.666666666599</v>
      </c>
      <c r="N627" s="2">
        <f ca="1">IFERROR(__xludf.DUMMYFUNCTION("""COMPUTED_VALUE"""),679.82)</f>
        <v>679.82</v>
      </c>
      <c r="O627" s="3">
        <f ca="1">IFERROR(__xludf.DUMMYFUNCTION("""COMPUTED_VALUE"""),44371.6666666666)</f>
        <v>44371.666666666599</v>
      </c>
      <c r="P627" s="2">
        <f ca="1">IFERROR(__xludf.DUMMYFUNCTION("""COMPUTED_VALUE"""),192.06)</f>
        <v>192.06</v>
      </c>
      <c r="Q627" s="3">
        <f ca="1">IFERROR(__xludf.DUMMYFUNCTION("""COMPUTED_VALUE"""),44371.6666666666)</f>
        <v>44371.666666666599</v>
      </c>
      <c r="R627" s="2">
        <f ca="1">IFERROR(__xludf.DUMMYFUNCTION("""COMPUTED_VALUE"""),275.49)</f>
        <v>275.49</v>
      </c>
      <c r="S627" s="3">
        <f ca="1">IFERROR(__xludf.DUMMYFUNCTION("""COMPUTED_VALUE"""),44371.6666666666)</f>
        <v>44371.666666666599</v>
      </c>
      <c r="T627" s="2">
        <f ca="1">IFERROR(__xludf.DUMMYFUNCTION("""COMPUTED_VALUE"""),163.37)</f>
        <v>163.37</v>
      </c>
    </row>
    <row r="628" spans="1:20">
      <c r="A628" s="3">
        <f ca="1">IFERROR(__xludf.DUMMYFUNCTION("""COMPUTED_VALUE"""),44372.6666666666)</f>
        <v>44372.666666666599</v>
      </c>
      <c r="B628" s="2">
        <f ca="1">IFERROR(__xludf.DUMMYFUNCTION("""COMPUTED_VALUE"""),133.11)</f>
        <v>133.11000000000001</v>
      </c>
      <c r="C628" s="3">
        <f ca="1">IFERROR(__xludf.DUMMYFUNCTION("""COMPUTED_VALUE"""),44372.6666666666)</f>
        <v>44372.666666666599</v>
      </c>
      <c r="D628" s="2">
        <f ca="1">IFERROR(__xludf.DUMMYFUNCTION("""COMPUTED_VALUE"""),265.02)</f>
        <v>265.02</v>
      </c>
      <c r="E628" s="3">
        <f ca="1">IFERROR(__xludf.DUMMYFUNCTION("""COMPUTED_VALUE"""),44372.6666666666)</f>
        <v>44372.666666666599</v>
      </c>
      <c r="F628" s="2">
        <f ca="1">IFERROR(__xludf.DUMMYFUNCTION("""COMPUTED_VALUE"""),3401.46)</f>
        <v>3401.46</v>
      </c>
      <c r="G628" s="3">
        <f ca="1">IFERROR(__xludf.DUMMYFUNCTION("""COMPUTED_VALUE"""),44372.6666666666)</f>
        <v>44372.666666666599</v>
      </c>
      <c r="H628" s="2">
        <f ca="1">IFERROR(__xludf.DUMMYFUNCTION("""COMPUTED_VALUE"""),2450.17)</f>
        <v>2450.17</v>
      </c>
      <c r="I628" s="3">
        <f ca="1">IFERROR(__xludf.DUMMYFUNCTION("""COMPUTED_VALUE"""),44372.6666666666)</f>
        <v>44372.666666666599</v>
      </c>
      <c r="J628" s="2">
        <f ca="1">IFERROR(__xludf.DUMMYFUNCTION("""COMPUTED_VALUE"""),2539.9)</f>
        <v>2539.9</v>
      </c>
      <c r="K628" s="3">
        <f ca="1">IFERROR(__xludf.DUMMYFUNCTION("""COMPUTED_VALUE"""),44372.6666666666)</f>
        <v>44372.666666666599</v>
      </c>
      <c r="L628" s="2">
        <f ca="1">IFERROR(__xludf.DUMMYFUNCTION("""COMPUTED_VALUE"""),341.37)</f>
        <v>341.37</v>
      </c>
      <c r="M628" s="3">
        <f ca="1">IFERROR(__xludf.DUMMYFUNCTION("""COMPUTED_VALUE"""),44372.6666666666)</f>
        <v>44372.666666666599</v>
      </c>
      <c r="N628" s="2">
        <f ca="1">IFERROR(__xludf.DUMMYFUNCTION("""COMPUTED_VALUE"""),671.87)</f>
        <v>671.87</v>
      </c>
      <c r="O628" s="3">
        <f ca="1">IFERROR(__xludf.DUMMYFUNCTION("""COMPUTED_VALUE"""),44372.6666666666)</f>
        <v>44372.666666666599</v>
      </c>
      <c r="P628" s="2">
        <f ca="1">IFERROR(__xludf.DUMMYFUNCTION("""COMPUTED_VALUE"""),190.31)</f>
        <v>190.31</v>
      </c>
      <c r="Q628" s="3">
        <f ca="1">IFERROR(__xludf.DUMMYFUNCTION("""COMPUTED_VALUE"""),44372.6666666666)</f>
        <v>44372.666666666599</v>
      </c>
      <c r="R628" s="2">
        <f ca="1">IFERROR(__xludf.DUMMYFUNCTION("""COMPUTED_VALUE"""),278.38)</f>
        <v>278.38</v>
      </c>
      <c r="S628" s="3">
        <f ca="1">IFERROR(__xludf.DUMMYFUNCTION("""COMPUTED_VALUE"""),44372.6666666666)</f>
        <v>44372.666666666599</v>
      </c>
      <c r="T628" s="2">
        <f ca="1">IFERROR(__xludf.DUMMYFUNCTION("""COMPUTED_VALUE"""),164.21)</f>
        <v>164.21</v>
      </c>
    </row>
    <row r="629" spans="1:20">
      <c r="A629" s="3">
        <f ca="1">IFERROR(__xludf.DUMMYFUNCTION("""COMPUTED_VALUE"""),44375.6666666666)</f>
        <v>44375.666666666599</v>
      </c>
      <c r="B629" s="2">
        <f ca="1">IFERROR(__xludf.DUMMYFUNCTION("""COMPUTED_VALUE"""),134.78)</f>
        <v>134.78</v>
      </c>
      <c r="C629" s="3">
        <f ca="1">IFERROR(__xludf.DUMMYFUNCTION("""COMPUTED_VALUE"""),44375.6666666666)</f>
        <v>44375.666666666599</v>
      </c>
      <c r="D629" s="2">
        <f ca="1">IFERROR(__xludf.DUMMYFUNCTION("""COMPUTED_VALUE"""),268.72)</f>
        <v>268.72000000000003</v>
      </c>
      <c r="E629" s="3">
        <f ca="1">IFERROR(__xludf.DUMMYFUNCTION("""COMPUTED_VALUE"""),44375.6666666666)</f>
        <v>44375.666666666599</v>
      </c>
      <c r="F629" s="2">
        <f ca="1">IFERROR(__xludf.DUMMYFUNCTION("""COMPUTED_VALUE"""),3443.89)</f>
        <v>3443.89</v>
      </c>
      <c r="G629" s="3">
        <f ca="1">IFERROR(__xludf.DUMMYFUNCTION("""COMPUTED_VALUE"""),44375.6666666666)</f>
        <v>44375.666666666599</v>
      </c>
      <c r="H629" s="2">
        <f ca="1">IFERROR(__xludf.DUMMYFUNCTION("""COMPUTED_VALUE"""),2450.72)</f>
        <v>2450.7199999999998</v>
      </c>
      <c r="I629" s="3">
        <f ca="1">IFERROR(__xludf.DUMMYFUNCTION("""COMPUTED_VALUE"""),44375.6666666666)</f>
        <v>44375.666666666599</v>
      </c>
      <c r="J629" s="2">
        <f ca="1">IFERROR(__xludf.DUMMYFUNCTION("""COMPUTED_VALUE"""),2536.39)</f>
        <v>2536.39</v>
      </c>
      <c r="K629" s="3">
        <f ca="1">IFERROR(__xludf.DUMMYFUNCTION("""COMPUTED_VALUE"""),44375.6666666666)</f>
        <v>44375.666666666599</v>
      </c>
      <c r="L629" s="2">
        <f ca="1">IFERROR(__xludf.DUMMYFUNCTION("""COMPUTED_VALUE"""),355.64)</f>
        <v>355.64</v>
      </c>
      <c r="M629" s="3">
        <f ca="1">IFERROR(__xludf.DUMMYFUNCTION("""COMPUTED_VALUE"""),44375.6666666666)</f>
        <v>44375.666666666599</v>
      </c>
      <c r="N629" s="2">
        <f ca="1">IFERROR(__xludf.DUMMYFUNCTION("""COMPUTED_VALUE"""),688.72)</f>
        <v>688.72</v>
      </c>
      <c r="O629" s="3">
        <f ca="1">IFERROR(__xludf.DUMMYFUNCTION("""COMPUTED_VALUE"""),44375.6666666666)</f>
        <v>44375.666666666599</v>
      </c>
      <c r="P629" s="2">
        <f ca="1">IFERROR(__xludf.DUMMYFUNCTION("""COMPUTED_VALUE"""),199.85)</f>
        <v>199.85</v>
      </c>
      <c r="Q629" s="3">
        <f ca="1">IFERROR(__xludf.DUMMYFUNCTION("""COMPUTED_VALUE"""),44375.6666666666)</f>
        <v>44375.666666666599</v>
      </c>
      <c r="R629" s="2">
        <f ca="1">IFERROR(__xludf.DUMMYFUNCTION("""COMPUTED_VALUE"""),276.61)</f>
        <v>276.61</v>
      </c>
      <c r="S629" s="3">
        <f ca="1">IFERROR(__xludf.DUMMYFUNCTION("""COMPUTED_VALUE"""),44375.6666666666)</f>
        <v>44375.666666666599</v>
      </c>
      <c r="T629" s="2">
        <f ca="1">IFERROR(__xludf.DUMMYFUNCTION("""COMPUTED_VALUE"""),164.02)</f>
        <v>164.02</v>
      </c>
    </row>
    <row r="630" spans="1:20">
      <c r="A630" s="3">
        <f ca="1">IFERROR(__xludf.DUMMYFUNCTION("""COMPUTED_VALUE"""),44376.6666666666)</f>
        <v>44376.666666666599</v>
      </c>
      <c r="B630" s="2">
        <f ca="1">IFERROR(__xludf.DUMMYFUNCTION("""COMPUTED_VALUE"""),136.33)</f>
        <v>136.33000000000001</v>
      </c>
      <c r="C630" s="3">
        <f ca="1">IFERROR(__xludf.DUMMYFUNCTION("""COMPUTED_VALUE"""),44376.6666666666)</f>
        <v>44376.666666666599</v>
      </c>
      <c r="D630" s="2">
        <f ca="1">IFERROR(__xludf.DUMMYFUNCTION("""COMPUTED_VALUE"""),271.4)</f>
        <v>271.39999999999998</v>
      </c>
      <c r="E630" s="3">
        <f ca="1">IFERROR(__xludf.DUMMYFUNCTION("""COMPUTED_VALUE"""),44376.6666666666)</f>
        <v>44376.666666666599</v>
      </c>
      <c r="F630" s="2">
        <f ca="1">IFERROR(__xludf.DUMMYFUNCTION("""COMPUTED_VALUE"""),3448.14)</f>
        <v>3448.14</v>
      </c>
      <c r="G630" s="3">
        <f ca="1">IFERROR(__xludf.DUMMYFUNCTION("""COMPUTED_VALUE"""),44376.6666666666)</f>
        <v>44376.666666666599</v>
      </c>
      <c r="H630" s="2">
        <f ca="1">IFERROR(__xludf.DUMMYFUNCTION("""COMPUTED_VALUE"""),2445.45)</f>
        <v>2445.4499999999998</v>
      </c>
      <c r="I630" s="3">
        <f ca="1">IFERROR(__xludf.DUMMYFUNCTION("""COMPUTED_VALUE"""),44376.6666666666)</f>
        <v>44376.666666666599</v>
      </c>
      <c r="J630" s="2">
        <f ca="1">IFERROR(__xludf.DUMMYFUNCTION("""COMPUTED_VALUE"""),2520.37)</f>
        <v>2520.37</v>
      </c>
      <c r="K630" s="3">
        <f ca="1">IFERROR(__xludf.DUMMYFUNCTION("""COMPUTED_VALUE"""),44376.6666666666)</f>
        <v>44376.666666666599</v>
      </c>
      <c r="L630" s="2">
        <f ca="1">IFERROR(__xludf.DUMMYFUNCTION("""COMPUTED_VALUE"""),351.89)</f>
        <v>351.89</v>
      </c>
      <c r="M630" s="3">
        <f ca="1">IFERROR(__xludf.DUMMYFUNCTION("""COMPUTED_VALUE"""),44376.6666666666)</f>
        <v>44376.666666666599</v>
      </c>
      <c r="N630" s="2">
        <f ca="1">IFERROR(__xludf.DUMMYFUNCTION("""COMPUTED_VALUE"""),680.76)</f>
        <v>680.76</v>
      </c>
      <c r="O630" s="3">
        <f ca="1">IFERROR(__xludf.DUMMYFUNCTION("""COMPUTED_VALUE"""),44376.6666666666)</f>
        <v>44376.666666666599</v>
      </c>
      <c r="P630" s="2">
        <f ca="1">IFERROR(__xludf.DUMMYFUNCTION("""COMPUTED_VALUE"""),200.27)</f>
        <v>200.27</v>
      </c>
      <c r="Q630" s="3">
        <f ca="1">IFERROR(__xludf.DUMMYFUNCTION("""COMPUTED_VALUE"""),44376.6666666666)</f>
        <v>44376.666666666599</v>
      </c>
      <c r="R630" s="2">
        <f ca="1">IFERROR(__xludf.DUMMYFUNCTION("""COMPUTED_VALUE"""),276.21)</f>
        <v>276.20999999999998</v>
      </c>
      <c r="S630" s="3">
        <f ca="1">IFERROR(__xludf.DUMMYFUNCTION("""COMPUTED_VALUE"""),44376.6666666666)</f>
        <v>44376.666666666599</v>
      </c>
      <c r="T630" s="2">
        <f ca="1">IFERROR(__xludf.DUMMYFUNCTION("""COMPUTED_VALUE"""),164.03)</f>
        <v>164.03</v>
      </c>
    </row>
    <row r="631" spans="1:20">
      <c r="A631" s="3">
        <f ca="1">IFERROR(__xludf.DUMMYFUNCTION("""COMPUTED_VALUE"""),44377.6666666666)</f>
        <v>44377.666666666599</v>
      </c>
      <c r="B631" s="2">
        <f ca="1">IFERROR(__xludf.DUMMYFUNCTION("""COMPUTED_VALUE"""),136.96)</f>
        <v>136.96</v>
      </c>
      <c r="C631" s="3">
        <f ca="1">IFERROR(__xludf.DUMMYFUNCTION("""COMPUTED_VALUE"""),44377.6666666666)</f>
        <v>44377.666666666599</v>
      </c>
      <c r="D631" s="2">
        <f ca="1">IFERROR(__xludf.DUMMYFUNCTION("""COMPUTED_VALUE"""),270.9)</f>
        <v>270.89999999999998</v>
      </c>
      <c r="E631" s="3">
        <f ca="1">IFERROR(__xludf.DUMMYFUNCTION("""COMPUTED_VALUE"""),44377.6666666666)</f>
        <v>44377.666666666599</v>
      </c>
      <c r="F631" s="2">
        <f ca="1">IFERROR(__xludf.DUMMYFUNCTION("""COMPUTED_VALUE"""),3440.16)</f>
        <v>3440.16</v>
      </c>
      <c r="G631" s="3">
        <f ca="1">IFERROR(__xludf.DUMMYFUNCTION("""COMPUTED_VALUE"""),44377.6666666666)</f>
        <v>44377.666666666599</v>
      </c>
      <c r="H631" s="2">
        <f ca="1">IFERROR(__xludf.DUMMYFUNCTION("""COMPUTED_VALUE"""),2441.79)</f>
        <v>2441.79</v>
      </c>
      <c r="I631" s="3">
        <f ca="1">IFERROR(__xludf.DUMMYFUNCTION("""COMPUTED_VALUE"""),44377.6666666666)</f>
        <v>44377.666666666599</v>
      </c>
      <c r="J631" s="2">
        <f ca="1">IFERROR(__xludf.DUMMYFUNCTION("""COMPUTED_VALUE"""),2506.32)</f>
        <v>2506.3200000000002</v>
      </c>
      <c r="K631" s="3">
        <f ca="1">IFERROR(__xludf.DUMMYFUNCTION("""COMPUTED_VALUE"""),44377.6666666666)</f>
        <v>44377.666666666599</v>
      </c>
      <c r="L631" s="2">
        <f ca="1">IFERROR(__xludf.DUMMYFUNCTION("""COMPUTED_VALUE"""),347.71)</f>
        <v>347.71</v>
      </c>
      <c r="M631" s="3">
        <f ca="1">IFERROR(__xludf.DUMMYFUNCTION("""COMPUTED_VALUE"""),44377.6666666666)</f>
        <v>44377.666666666599</v>
      </c>
      <c r="N631" s="2">
        <f ca="1">IFERROR(__xludf.DUMMYFUNCTION("""COMPUTED_VALUE"""),679.7)</f>
        <v>679.7</v>
      </c>
      <c r="O631" s="3">
        <f ca="1">IFERROR(__xludf.DUMMYFUNCTION("""COMPUTED_VALUE"""),44377.6666666666)</f>
        <v>44377.666666666599</v>
      </c>
      <c r="P631" s="2">
        <f ca="1">IFERROR(__xludf.DUMMYFUNCTION("""COMPUTED_VALUE"""),200.03)</f>
        <v>200.03</v>
      </c>
      <c r="Q631" s="3">
        <f ca="1">IFERROR(__xludf.DUMMYFUNCTION("""COMPUTED_VALUE"""),44377.6666666666)</f>
        <v>44377.666666666599</v>
      </c>
      <c r="R631" s="2">
        <f ca="1">IFERROR(__xludf.DUMMYFUNCTION("""COMPUTED_VALUE"""),277.92)</f>
        <v>277.92</v>
      </c>
      <c r="S631" s="3">
        <f ca="1">IFERROR(__xludf.DUMMYFUNCTION("""COMPUTED_VALUE"""),44377.6666666666)</f>
        <v>44377.666666666599</v>
      </c>
      <c r="T631" s="2">
        <f ca="1">IFERROR(__xludf.DUMMYFUNCTION("""COMPUTED_VALUE"""),164.74)</f>
        <v>164.74</v>
      </c>
    </row>
    <row r="632" spans="1:20">
      <c r="A632" s="3">
        <f ca="1">IFERROR(__xludf.DUMMYFUNCTION("""COMPUTED_VALUE"""),44378.6666666666)</f>
        <v>44378.666666666599</v>
      </c>
      <c r="B632" s="2">
        <f ca="1">IFERROR(__xludf.DUMMYFUNCTION("""COMPUTED_VALUE"""),137.27)</f>
        <v>137.27000000000001</v>
      </c>
      <c r="C632" s="3">
        <f ca="1">IFERROR(__xludf.DUMMYFUNCTION("""COMPUTED_VALUE"""),44378.6666666666)</f>
        <v>44378.666666666599</v>
      </c>
      <c r="D632" s="2">
        <f ca="1">IFERROR(__xludf.DUMMYFUNCTION("""COMPUTED_VALUE"""),271.6)</f>
        <v>271.60000000000002</v>
      </c>
      <c r="E632" s="3">
        <f ca="1">IFERROR(__xludf.DUMMYFUNCTION("""COMPUTED_VALUE"""),44378.6666666666)</f>
        <v>44378.666666666599</v>
      </c>
      <c r="F632" s="2">
        <f ca="1">IFERROR(__xludf.DUMMYFUNCTION("""COMPUTED_VALUE"""),3432.97)</f>
        <v>3432.97</v>
      </c>
      <c r="G632" s="3">
        <f ca="1">IFERROR(__xludf.DUMMYFUNCTION("""COMPUTED_VALUE"""),44378.6666666666)</f>
        <v>44378.666666666599</v>
      </c>
      <c r="H632" s="2">
        <f ca="1">IFERROR(__xludf.DUMMYFUNCTION("""COMPUTED_VALUE"""),2448.89)</f>
        <v>2448.89</v>
      </c>
      <c r="I632" s="3">
        <f ca="1">IFERROR(__xludf.DUMMYFUNCTION("""COMPUTED_VALUE"""),44378.6666666666)</f>
        <v>44378.666666666599</v>
      </c>
      <c r="J632" s="2">
        <f ca="1">IFERROR(__xludf.DUMMYFUNCTION("""COMPUTED_VALUE"""),2527.37)</f>
        <v>2527.37</v>
      </c>
      <c r="K632" s="3">
        <f ca="1">IFERROR(__xludf.DUMMYFUNCTION("""COMPUTED_VALUE"""),44378.6666666666)</f>
        <v>44378.666666666599</v>
      </c>
      <c r="L632" s="2">
        <f ca="1">IFERROR(__xludf.DUMMYFUNCTION("""COMPUTED_VALUE"""),354.39)</f>
        <v>354.39</v>
      </c>
      <c r="M632" s="3">
        <f ca="1">IFERROR(__xludf.DUMMYFUNCTION("""COMPUTED_VALUE"""),44378.6666666666)</f>
        <v>44378.666666666599</v>
      </c>
      <c r="N632" s="2">
        <f ca="1">IFERROR(__xludf.DUMMYFUNCTION("""COMPUTED_VALUE"""),677.92)</f>
        <v>677.92</v>
      </c>
      <c r="O632" s="3">
        <f ca="1">IFERROR(__xludf.DUMMYFUNCTION("""COMPUTED_VALUE"""),44378.6666666666)</f>
        <v>44378.666666666599</v>
      </c>
      <c r="P632" s="2">
        <f ca="1">IFERROR(__xludf.DUMMYFUNCTION("""COMPUTED_VALUE"""),202.12)</f>
        <v>202.12</v>
      </c>
      <c r="Q632" s="3">
        <f ca="1">IFERROR(__xludf.DUMMYFUNCTION("""COMPUTED_VALUE"""),44378.6666666666)</f>
        <v>44378.666666666599</v>
      </c>
      <c r="R632" s="2">
        <f ca="1">IFERROR(__xludf.DUMMYFUNCTION("""COMPUTED_VALUE"""),280.17)</f>
        <v>280.17</v>
      </c>
      <c r="S632" s="3">
        <f ca="1">IFERROR(__xludf.DUMMYFUNCTION("""COMPUTED_VALUE"""),44378.6666666666)</f>
        <v>44378.666666666599</v>
      </c>
      <c r="T632" s="2">
        <f ca="1">IFERROR(__xludf.DUMMYFUNCTION("""COMPUTED_VALUE"""),165.96)</f>
        <v>165.96</v>
      </c>
    </row>
    <row r="633" spans="1:20">
      <c r="A633" s="3">
        <f ca="1">IFERROR(__xludf.DUMMYFUNCTION("""COMPUTED_VALUE"""),44379.6666666666)</f>
        <v>44379.666666666599</v>
      </c>
      <c r="B633" s="2">
        <f ca="1">IFERROR(__xludf.DUMMYFUNCTION("""COMPUTED_VALUE"""),139.96)</f>
        <v>139.96</v>
      </c>
      <c r="C633" s="3">
        <f ca="1">IFERROR(__xludf.DUMMYFUNCTION("""COMPUTED_VALUE"""),44379.6666666666)</f>
        <v>44379.666666666599</v>
      </c>
      <c r="D633" s="2">
        <f ca="1">IFERROR(__xludf.DUMMYFUNCTION("""COMPUTED_VALUE"""),277.65)</f>
        <v>277.64999999999998</v>
      </c>
      <c r="E633" s="3">
        <f ca="1">IFERROR(__xludf.DUMMYFUNCTION("""COMPUTED_VALUE"""),44379.6666666666)</f>
        <v>44379.666666666599</v>
      </c>
      <c r="F633" s="2">
        <f ca="1">IFERROR(__xludf.DUMMYFUNCTION("""COMPUTED_VALUE"""),3510.98)</f>
        <v>3510.98</v>
      </c>
      <c r="G633" s="3">
        <f ca="1">IFERROR(__xludf.DUMMYFUNCTION("""COMPUTED_VALUE"""),44379.6666666666)</f>
        <v>44379.666666666599</v>
      </c>
      <c r="H633" s="2">
        <f ca="1">IFERROR(__xludf.DUMMYFUNCTION("""COMPUTED_VALUE"""),2505.15)</f>
        <v>2505.15</v>
      </c>
      <c r="I633" s="3">
        <f ca="1">IFERROR(__xludf.DUMMYFUNCTION("""COMPUTED_VALUE"""),44379.6666666666)</f>
        <v>44379.666666666599</v>
      </c>
      <c r="J633" s="2">
        <f ca="1">IFERROR(__xludf.DUMMYFUNCTION("""COMPUTED_VALUE"""),2574.38)</f>
        <v>2574.38</v>
      </c>
      <c r="K633" s="3">
        <f ca="1">IFERROR(__xludf.DUMMYFUNCTION("""COMPUTED_VALUE"""),44379.6666666666)</f>
        <v>44379.666666666599</v>
      </c>
      <c r="L633" s="2">
        <f ca="1">IFERROR(__xludf.DUMMYFUNCTION("""COMPUTED_VALUE"""),354.7)</f>
        <v>354.7</v>
      </c>
      <c r="M633" s="3">
        <f ca="1">IFERROR(__xludf.DUMMYFUNCTION("""COMPUTED_VALUE"""),44379.6666666666)</f>
        <v>44379.666666666599</v>
      </c>
      <c r="N633" s="2">
        <f ca="1">IFERROR(__xludf.DUMMYFUNCTION("""COMPUTED_VALUE"""),678.9)</f>
        <v>678.9</v>
      </c>
      <c r="O633" s="3">
        <f ca="1">IFERROR(__xludf.DUMMYFUNCTION("""COMPUTED_VALUE"""),44379.6666666666)</f>
        <v>44379.666666666599</v>
      </c>
      <c r="P633" s="2">
        <f ca="1">IFERROR(__xludf.DUMMYFUNCTION("""COMPUTED_VALUE"""),204.87)</f>
        <v>204.87</v>
      </c>
      <c r="Q633" s="3">
        <f ca="1">IFERROR(__xludf.DUMMYFUNCTION("""COMPUTED_VALUE"""),44379.6666666666)</f>
        <v>44379.666666666599</v>
      </c>
      <c r="R633" s="2">
        <f ca="1">IFERROR(__xludf.DUMMYFUNCTION("""COMPUTED_VALUE"""),279.12)</f>
        <v>279.12</v>
      </c>
      <c r="S633" s="3">
        <f ca="1">IFERROR(__xludf.DUMMYFUNCTION("""COMPUTED_VALUE"""),44379.6666666666)</f>
        <v>44379.666666666599</v>
      </c>
      <c r="T633" s="2">
        <f ca="1">IFERROR(__xludf.DUMMYFUNCTION("""COMPUTED_VALUE"""),168.98)</f>
        <v>168.98</v>
      </c>
    </row>
    <row r="634" spans="1:20">
      <c r="A634" s="3">
        <f ca="1">IFERROR(__xludf.DUMMYFUNCTION("""COMPUTED_VALUE"""),44383.6666666666)</f>
        <v>44383.666666666599</v>
      </c>
      <c r="B634" s="2">
        <f ca="1">IFERROR(__xludf.DUMMYFUNCTION("""COMPUTED_VALUE"""),142.02)</f>
        <v>142.02000000000001</v>
      </c>
      <c r="C634" s="3">
        <f ca="1">IFERROR(__xludf.DUMMYFUNCTION("""COMPUTED_VALUE"""),44383.6666666666)</f>
        <v>44383.666666666599</v>
      </c>
      <c r="D634" s="2">
        <f ca="1">IFERROR(__xludf.DUMMYFUNCTION("""COMPUTED_VALUE"""),277.66)</f>
        <v>277.66000000000003</v>
      </c>
      <c r="E634" s="3">
        <f ca="1">IFERROR(__xludf.DUMMYFUNCTION("""COMPUTED_VALUE"""),44383.6666666666)</f>
        <v>44383.666666666599</v>
      </c>
      <c r="F634" s="2">
        <f ca="1">IFERROR(__xludf.DUMMYFUNCTION("""COMPUTED_VALUE"""),3675.74)</f>
        <v>3675.74</v>
      </c>
      <c r="G634" s="3">
        <f ca="1">IFERROR(__xludf.DUMMYFUNCTION("""COMPUTED_VALUE"""),44383.6666666666)</f>
        <v>44383.666666666599</v>
      </c>
      <c r="H634" s="2">
        <f ca="1">IFERROR(__xludf.DUMMYFUNCTION("""COMPUTED_VALUE"""),2523.8)</f>
        <v>2523.8000000000002</v>
      </c>
      <c r="I634" s="3">
        <f ca="1">IFERROR(__xludf.DUMMYFUNCTION("""COMPUTED_VALUE"""),44383.6666666666)</f>
        <v>44383.666666666599</v>
      </c>
      <c r="J634" s="2">
        <f ca="1">IFERROR(__xludf.DUMMYFUNCTION("""COMPUTED_VALUE"""),2595.42)</f>
        <v>2595.42</v>
      </c>
      <c r="K634" s="3">
        <f ca="1">IFERROR(__xludf.DUMMYFUNCTION("""COMPUTED_VALUE"""),44383.6666666666)</f>
        <v>44383.666666666599</v>
      </c>
      <c r="L634" s="2">
        <f ca="1">IFERROR(__xludf.DUMMYFUNCTION("""COMPUTED_VALUE"""),352.78)</f>
        <v>352.78</v>
      </c>
      <c r="M634" s="3">
        <f ca="1">IFERROR(__xludf.DUMMYFUNCTION("""COMPUTED_VALUE"""),44383.6666666666)</f>
        <v>44383.666666666599</v>
      </c>
      <c r="N634" s="2">
        <f ca="1">IFERROR(__xludf.DUMMYFUNCTION("""COMPUTED_VALUE"""),659.58)</f>
        <v>659.58</v>
      </c>
      <c r="O634" s="3">
        <f ca="1">IFERROR(__xludf.DUMMYFUNCTION("""COMPUTED_VALUE"""),44383.6666666666)</f>
        <v>44383.666666666599</v>
      </c>
      <c r="P634" s="2">
        <f ca="1">IFERROR(__xludf.DUMMYFUNCTION("""COMPUTED_VALUE"""),206.99)</f>
        <v>206.99</v>
      </c>
      <c r="Q634" s="3">
        <f ca="1">IFERROR(__xludf.DUMMYFUNCTION("""COMPUTED_VALUE"""),44383.6666666666)</f>
        <v>44383.666666666599</v>
      </c>
      <c r="R634" s="2">
        <f ca="1">IFERROR(__xludf.DUMMYFUNCTION("""COMPUTED_VALUE"""),277.32)</f>
        <v>277.32</v>
      </c>
      <c r="S634" s="3">
        <f ca="1">IFERROR(__xludf.DUMMYFUNCTION("""COMPUTED_VALUE"""),44383.6666666666)</f>
        <v>44383.666666666599</v>
      </c>
      <c r="T634" s="2">
        <f ca="1">IFERROR(__xludf.DUMMYFUNCTION("""COMPUTED_VALUE"""),167.97)</f>
        <v>167.97</v>
      </c>
    </row>
    <row r="635" spans="1:20">
      <c r="A635" s="3">
        <f ca="1">IFERROR(__xludf.DUMMYFUNCTION("""COMPUTED_VALUE"""),44384.6666666666)</f>
        <v>44384.666666666599</v>
      </c>
      <c r="B635" s="2">
        <f ca="1">IFERROR(__xludf.DUMMYFUNCTION("""COMPUTED_VALUE"""),144.57)</f>
        <v>144.57</v>
      </c>
      <c r="C635" s="3">
        <f ca="1">IFERROR(__xludf.DUMMYFUNCTION("""COMPUTED_VALUE"""),44384.6666666666)</f>
        <v>44384.666666666599</v>
      </c>
      <c r="D635" s="2">
        <f ca="1">IFERROR(__xludf.DUMMYFUNCTION("""COMPUTED_VALUE"""),279.93)</f>
        <v>279.93</v>
      </c>
      <c r="E635" s="3">
        <f ca="1">IFERROR(__xludf.DUMMYFUNCTION("""COMPUTED_VALUE"""),44384.6666666666)</f>
        <v>44384.666666666599</v>
      </c>
      <c r="F635" s="2">
        <f ca="1">IFERROR(__xludf.DUMMYFUNCTION("""COMPUTED_VALUE"""),3696.58)</f>
        <v>3696.58</v>
      </c>
      <c r="G635" s="3">
        <f ca="1">IFERROR(__xludf.DUMMYFUNCTION("""COMPUTED_VALUE"""),44384.6666666666)</f>
        <v>44384.666666666599</v>
      </c>
      <c r="H635" s="2">
        <f ca="1">IFERROR(__xludf.DUMMYFUNCTION("""COMPUTED_VALUE"""),2529.48)</f>
        <v>2529.48</v>
      </c>
      <c r="I635" s="3">
        <f ca="1">IFERROR(__xludf.DUMMYFUNCTION("""COMPUTED_VALUE"""),44384.6666666666)</f>
        <v>44384.666666666599</v>
      </c>
      <c r="J635" s="2">
        <f ca="1">IFERROR(__xludf.DUMMYFUNCTION("""COMPUTED_VALUE"""),2601.55)</f>
        <v>2601.5500000000002</v>
      </c>
      <c r="K635" s="3">
        <f ca="1">IFERROR(__xludf.DUMMYFUNCTION("""COMPUTED_VALUE"""),44384.6666666666)</f>
        <v>44384.666666666599</v>
      </c>
      <c r="L635" s="2">
        <f ca="1">IFERROR(__xludf.DUMMYFUNCTION("""COMPUTED_VALUE"""),350.49)</f>
        <v>350.49</v>
      </c>
      <c r="M635" s="3">
        <f ca="1">IFERROR(__xludf.DUMMYFUNCTION("""COMPUTED_VALUE"""),44384.6666666666)</f>
        <v>44384.666666666599</v>
      </c>
      <c r="N635" s="2">
        <f ca="1">IFERROR(__xludf.DUMMYFUNCTION("""COMPUTED_VALUE"""),644.65)</f>
        <v>644.65</v>
      </c>
      <c r="O635" s="3">
        <f ca="1">IFERROR(__xludf.DUMMYFUNCTION("""COMPUTED_VALUE"""),44384.6666666666)</f>
        <v>44384.666666666599</v>
      </c>
      <c r="P635" s="2">
        <f ca="1">IFERROR(__xludf.DUMMYFUNCTION("""COMPUTED_VALUE"""),203.72)</f>
        <v>203.72</v>
      </c>
      <c r="Q635" s="3">
        <f ca="1">IFERROR(__xludf.DUMMYFUNCTION("""COMPUTED_VALUE"""),44384.6666666666)</f>
        <v>44384.666666666599</v>
      </c>
      <c r="R635" s="2">
        <f ca="1">IFERROR(__xludf.DUMMYFUNCTION("""COMPUTED_VALUE"""),279.24)</f>
        <v>279.24</v>
      </c>
      <c r="S635" s="3">
        <f ca="1">IFERROR(__xludf.DUMMYFUNCTION("""COMPUTED_VALUE"""),44384.6666666666)</f>
        <v>44384.666666666599</v>
      </c>
      <c r="T635" s="2">
        <f ca="1">IFERROR(__xludf.DUMMYFUNCTION("""COMPUTED_VALUE"""),169.41)</f>
        <v>169.41</v>
      </c>
    </row>
    <row r="636" spans="1:20">
      <c r="A636" s="3">
        <f ca="1">IFERROR(__xludf.DUMMYFUNCTION("""COMPUTED_VALUE"""),44385.6666666666)</f>
        <v>44385.666666666599</v>
      </c>
      <c r="B636" s="2">
        <f ca="1">IFERROR(__xludf.DUMMYFUNCTION("""COMPUTED_VALUE"""),143.24)</f>
        <v>143.24</v>
      </c>
      <c r="C636" s="3">
        <f ca="1">IFERROR(__xludf.DUMMYFUNCTION("""COMPUTED_VALUE"""),44385.6666666666)</f>
        <v>44385.666666666599</v>
      </c>
      <c r="D636" s="2">
        <f ca="1">IFERROR(__xludf.DUMMYFUNCTION("""COMPUTED_VALUE"""),277.42)</f>
        <v>277.42</v>
      </c>
      <c r="E636" s="3">
        <f ca="1">IFERROR(__xludf.DUMMYFUNCTION("""COMPUTED_VALUE"""),44385.6666666666)</f>
        <v>44385.666666666599</v>
      </c>
      <c r="F636" s="2">
        <f ca="1">IFERROR(__xludf.DUMMYFUNCTION("""COMPUTED_VALUE"""),3731.41)</f>
        <v>3731.41</v>
      </c>
      <c r="G636" s="3">
        <f ca="1">IFERROR(__xludf.DUMMYFUNCTION("""COMPUTED_VALUE"""),44385.6666666666)</f>
        <v>44385.666666666599</v>
      </c>
      <c r="H636" s="2">
        <f ca="1">IFERROR(__xludf.DUMMYFUNCTION("""COMPUTED_VALUE"""),2500.88)</f>
        <v>2500.88</v>
      </c>
      <c r="I636" s="3">
        <f ca="1">IFERROR(__xludf.DUMMYFUNCTION("""COMPUTED_VALUE"""),44385.6666666666)</f>
        <v>44385.666666666599</v>
      </c>
      <c r="J636" s="2">
        <f ca="1">IFERROR(__xludf.DUMMYFUNCTION("""COMPUTED_VALUE"""),2583.54)</f>
        <v>2583.54</v>
      </c>
      <c r="K636" s="3">
        <f ca="1">IFERROR(__xludf.DUMMYFUNCTION("""COMPUTED_VALUE"""),44385.6666666666)</f>
        <v>44385.666666666599</v>
      </c>
      <c r="L636" s="2">
        <f ca="1">IFERROR(__xludf.DUMMYFUNCTION("""COMPUTED_VALUE"""),345.65)</f>
        <v>345.65</v>
      </c>
      <c r="M636" s="3">
        <f ca="1">IFERROR(__xludf.DUMMYFUNCTION("""COMPUTED_VALUE"""),44385.6666666666)</f>
        <v>44385.666666666599</v>
      </c>
      <c r="N636" s="2">
        <f ca="1">IFERROR(__xludf.DUMMYFUNCTION("""COMPUTED_VALUE"""),652.81)</f>
        <v>652.80999999999995</v>
      </c>
      <c r="O636" s="3">
        <f ca="1">IFERROR(__xludf.DUMMYFUNCTION("""COMPUTED_VALUE"""),44385.6666666666)</f>
        <v>44385.666666666599</v>
      </c>
      <c r="P636" s="2">
        <f ca="1">IFERROR(__xludf.DUMMYFUNCTION("""COMPUTED_VALUE"""),199.03)</f>
        <v>199.03</v>
      </c>
      <c r="Q636" s="3">
        <f ca="1">IFERROR(__xludf.DUMMYFUNCTION("""COMPUTED_VALUE"""),44385.6666666666)</f>
        <v>44385.666666666599</v>
      </c>
      <c r="R636" s="2">
        <f ca="1">IFERROR(__xludf.DUMMYFUNCTION("""COMPUTED_VALUE"""),274.1)</f>
        <v>274.10000000000002</v>
      </c>
      <c r="S636" s="3">
        <f ca="1">IFERROR(__xludf.DUMMYFUNCTION("""COMPUTED_VALUE"""),44385.6666666666)</f>
        <v>44385.666666666599</v>
      </c>
      <c r="T636" s="2">
        <f ca="1">IFERROR(__xludf.DUMMYFUNCTION("""COMPUTED_VALUE"""),169.08)</f>
        <v>169.08</v>
      </c>
    </row>
    <row r="637" spans="1:20">
      <c r="A637" s="3">
        <f ca="1">IFERROR(__xludf.DUMMYFUNCTION("""COMPUTED_VALUE"""),44386.6666666666)</f>
        <v>44386.666666666599</v>
      </c>
      <c r="B637" s="2">
        <f ca="1">IFERROR(__xludf.DUMMYFUNCTION("""COMPUTED_VALUE"""),145.11)</f>
        <v>145.11000000000001</v>
      </c>
      <c r="C637" s="3">
        <f ca="1">IFERROR(__xludf.DUMMYFUNCTION("""COMPUTED_VALUE"""),44386.6666666666)</f>
        <v>44386.666666666599</v>
      </c>
      <c r="D637" s="2">
        <f ca="1">IFERROR(__xludf.DUMMYFUNCTION("""COMPUTED_VALUE"""),277.94)</f>
        <v>277.94</v>
      </c>
      <c r="E637" s="3">
        <f ca="1">IFERROR(__xludf.DUMMYFUNCTION("""COMPUTED_VALUE"""),44386.6666666666)</f>
        <v>44386.666666666599</v>
      </c>
      <c r="F637" s="2">
        <f ca="1">IFERROR(__xludf.DUMMYFUNCTION("""COMPUTED_VALUE"""),3719.34)</f>
        <v>3719.34</v>
      </c>
      <c r="G637" s="3">
        <f ca="1">IFERROR(__xludf.DUMMYFUNCTION("""COMPUTED_VALUE"""),44386.6666666666)</f>
        <v>44386.666666666599</v>
      </c>
      <c r="H637" s="2">
        <f ca="1">IFERROR(__xludf.DUMMYFUNCTION("""COMPUTED_VALUE"""),2510.37)</f>
        <v>2510.37</v>
      </c>
      <c r="I637" s="3">
        <f ca="1">IFERROR(__xludf.DUMMYFUNCTION("""COMPUTED_VALUE"""),44386.6666666666)</f>
        <v>44386.666666666599</v>
      </c>
      <c r="J637" s="2">
        <f ca="1">IFERROR(__xludf.DUMMYFUNCTION("""COMPUTED_VALUE"""),2591.49)</f>
        <v>2591.4899999999998</v>
      </c>
      <c r="K637" s="3">
        <f ca="1">IFERROR(__xludf.DUMMYFUNCTION("""COMPUTED_VALUE"""),44386.6666666666)</f>
        <v>44386.666666666599</v>
      </c>
      <c r="L637" s="2">
        <f ca="1">IFERROR(__xludf.DUMMYFUNCTION("""COMPUTED_VALUE"""),350.42)</f>
        <v>350.42</v>
      </c>
      <c r="M637" s="3">
        <f ca="1">IFERROR(__xludf.DUMMYFUNCTION("""COMPUTED_VALUE"""),44386.6666666666)</f>
        <v>44386.666666666599</v>
      </c>
      <c r="N637" s="2">
        <f ca="1">IFERROR(__xludf.DUMMYFUNCTION("""COMPUTED_VALUE"""),656.95)</f>
        <v>656.95</v>
      </c>
      <c r="O637" s="3">
        <f ca="1">IFERROR(__xludf.DUMMYFUNCTION("""COMPUTED_VALUE"""),44386.6666666666)</f>
        <v>44386.666666666599</v>
      </c>
      <c r="P637" s="2">
        <f ca="1">IFERROR(__xludf.DUMMYFUNCTION("""COMPUTED_VALUE"""),200.5)</f>
        <v>200.5</v>
      </c>
      <c r="Q637" s="3">
        <f ca="1">IFERROR(__xludf.DUMMYFUNCTION("""COMPUTED_VALUE"""),44386.6666666666)</f>
        <v>44386.666666666599</v>
      </c>
      <c r="R637" s="2">
        <f ca="1">IFERROR(__xludf.DUMMYFUNCTION("""COMPUTED_VALUE"""),280.49)</f>
        <v>280.49</v>
      </c>
      <c r="S637" s="3">
        <f ca="1">IFERROR(__xludf.DUMMYFUNCTION("""COMPUTED_VALUE"""),44386.6666666666)</f>
        <v>44386.666666666599</v>
      </c>
      <c r="T637" s="2">
        <f ca="1">IFERROR(__xludf.DUMMYFUNCTION("""COMPUTED_VALUE"""),169.75)</f>
        <v>169.75</v>
      </c>
    </row>
    <row r="638" spans="1:20">
      <c r="A638" s="3">
        <f ca="1">IFERROR(__xludf.DUMMYFUNCTION("""COMPUTED_VALUE"""),44389.6666666666)</f>
        <v>44389.666666666599</v>
      </c>
      <c r="B638" s="2">
        <f ca="1">IFERROR(__xludf.DUMMYFUNCTION("""COMPUTED_VALUE"""),144.5)</f>
        <v>144.5</v>
      </c>
      <c r="C638" s="3">
        <f ca="1">IFERROR(__xludf.DUMMYFUNCTION("""COMPUTED_VALUE"""),44389.6666666666)</f>
        <v>44389.666666666599</v>
      </c>
      <c r="D638" s="2">
        <f ca="1">IFERROR(__xludf.DUMMYFUNCTION("""COMPUTED_VALUE"""),277.32)</f>
        <v>277.32</v>
      </c>
      <c r="E638" s="3">
        <f ca="1">IFERROR(__xludf.DUMMYFUNCTION("""COMPUTED_VALUE"""),44389.6666666666)</f>
        <v>44389.666666666599</v>
      </c>
      <c r="F638" s="2">
        <f ca="1">IFERROR(__xludf.DUMMYFUNCTION("""COMPUTED_VALUE"""),3718.55)</f>
        <v>3718.55</v>
      </c>
      <c r="G638" s="3">
        <f ca="1">IFERROR(__xludf.DUMMYFUNCTION("""COMPUTED_VALUE"""),44389.6666666666)</f>
        <v>44389.666666666599</v>
      </c>
      <c r="H638" s="2">
        <f ca="1">IFERROR(__xludf.DUMMYFUNCTION("""COMPUTED_VALUE"""),2539.51)</f>
        <v>2539.5100000000002</v>
      </c>
      <c r="I638" s="3">
        <f ca="1">IFERROR(__xludf.DUMMYFUNCTION("""COMPUTED_VALUE"""),44389.6666666666)</f>
        <v>44389.666666666599</v>
      </c>
      <c r="J638" s="2">
        <f ca="1">IFERROR(__xludf.DUMMYFUNCTION("""COMPUTED_VALUE"""),2611.28)</f>
        <v>2611.2800000000002</v>
      </c>
      <c r="K638" s="3">
        <f ca="1">IFERROR(__xludf.DUMMYFUNCTION("""COMPUTED_VALUE"""),44389.6666666666)</f>
        <v>44389.666666666599</v>
      </c>
      <c r="L638" s="2">
        <f ca="1">IFERROR(__xludf.DUMMYFUNCTION("""COMPUTED_VALUE"""),353.16)</f>
        <v>353.16</v>
      </c>
      <c r="M638" s="3">
        <f ca="1">IFERROR(__xludf.DUMMYFUNCTION("""COMPUTED_VALUE"""),44389.6666666666)</f>
        <v>44389.666666666599</v>
      </c>
      <c r="N638" s="2">
        <f ca="1">IFERROR(__xludf.DUMMYFUNCTION("""COMPUTED_VALUE"""),685.7)</f>
        <v>685.7</v>
      </c>
      <c r="O638" s="3">
        <f ca="1">IFERROR(__xludf.DUMMYFUNCTION("""COMPUTED_VALUE"""),44389.6666666666)</f>
        <v>44389.666666666599</v>
      </c>
      <c r="P638" s="2">
        <f ca="1">IFERROR(__xludf.DUMMYFUNCTION("""COMPUTED_VALUE"""),205.13)</f>
        <v>205.13</v>
      </c>
      <c r="Q638" s="3">
        <f ca="1">IFERROR(__xludf.DUMMYFUNCTION("""COMPUTED_VALUE"""),44389.6666666666)</f>
        <v>44389.666666666599</v>
      </c>
      <c r="R638" s="2">
        <f ca="1">IFERROR(__xludf.DUMMYFUNCTION("""COMPUTED_VALUE"""),280.11)</f>
        <v>280.11</v>
      </c>
      <c r="S638" s="3">
        <f ca="1">IFERROR(__xludf.DUMMYFUNCTION("""COMPUTED_VALUE"""),44389.6666666666)</f>
        <v>44389.666666666599</v>
      </c>
      <c r="T638" s="2">
        <f ca="1">IFERROR(__xludf.DUMMYFUNCTION("""COMPUTED_VALUE"""),169.48)</f>
        <v>169.48</v>
      </c>
    </row>
    <row r="639" spans="1:20">
      <c r="A639" s="3">
        <f ca="1">IFERROR(__xludf.DUMMYFUNCTION("""COMPUTED_VALUE"""),44390.6666666666)</f>
        <v>44390.666666666599</v>
      </c>
      <c r="B639" s="2">
        <f ca="1">IFERROR(__xludf.DUMMYFUNCTION("""COMPUTED_VALUE"""),145.64)</f>
        <v>145.63999999999999</v>
      </c>
      <c r="C639" s="3">
        <f ca="1">IFERROR(__xludf.DUMMYFUNCTION("""COMPUTED_VALUE"""),44390.6666666666)</f>
        <v>44390.666666666599</v>
      </c>
      <c r="D639" s="2">
        <f ca="1">IFERROR(__xludf.DUMMYFUNCTION("""COMPUTED_VALUE"""),280.98)</f>
        <v>280.98</v>
      </c>
      <c r="E639" s="3">
        <f ca="1">IFERROR(__xludf.DUMMYFUNCTION("""COMPUTED_VALUE"""),44390.6666666666)</f>
        <v>44390.666666666599</v>
      </c>
      <c r="F639" s="2">
        <f ca="1">IFERROR(__xludf.DUMMYFUNCTION("""COMPUTED_VALUE"""),3677.36)</f>
        <v>3677.36</v>
      </c>
      <c r="G639" s="3">
        <f ca="1">IFERROR(__xludf.DUMMYFUNCTION("""COMPUTED_VALUE"""),44390.6666666666)</f>
        <v>44390.666666666599</v>
      </c>
      <c r="H639" s="2">
        <f ca="1">IFERROR(__xludf.DUMMYFUNCTION("""COMPUTED_VALUE"""),2546.83)</f>
        <v>2546.83</v>
      </c>
      <c r="I639" s="3">
        <f ca="1">IFERROR(__xludf.DUMMYFUNCTION("""COMPUTED_VALUE"""),44390.6666666666)</f>
        <v>44390.666666666599</v>
      </c>
      <c r="J639" s="2">
        <f ca="1">IFERROR(__xludf.DUMMYFUNCTION("""COMPUTED_VALUE"""),2619.89)</f>
        <v>2619.89</v>
      </c>
      <c r="K639" s="3">
        <f ca="1">IFERROR(__xludf.DUMMYFUNCTION("""COMPUTED_VALUE"""),44390.6666666666)</f>
        <v>44390.666666666599</v>
      </c>
      <c r="L639" s="2">
        <f ca="1">IFERROR(__xludf.DUMMYFUNCTION("""COMPUTED_VALUE"""),352.09)</f>
        <v>352.09</v>
      </c>
      <c r="M639" s="3">
        <f ca="1">IFERROR(__xludf.DUMMYFUNCTION("""COMPUTED_VALUE"""),44390.6666666666)</f>
        <v>44390.666666666599</v>
      </c>
      <c r="N639" s="2">
        <f ca="1">IFERROR(__xludf.DUMMYFUNCTION("""COMPUTED_VALUE"""),668.54)</f>
        <v>668.54</v>
      </c>
      <c r="O639" s="3">
        <f ca="1">IFERROR(__xludf.DUMMYFUNCTION("""COMPUTED_VALUE"""),44390.6666666666)</f>
        <v>44390.666666666599</v>
      </c>
      <c r="P639" s="2">
        <f ca="1">IFERROR(__xludf.DUMMYFUNCTION("""COMPUTED_VALUE"""),202.5)</f>
        <v>202.5</v>
      </c>
      <c r="Q639" s="3">
        <f ca="1">IFERROR(__xludf.DUMMYFUNCTION("""COMPUTED_VALUE"""),44390.6666666666)</f>
        <v>44390.666666666599</v>
      </c>
      <c r="R639" s="2">
        <f ca="1">IFERROR(__xludf.DUMMYFUNCTION("""COMPUTED_VALUE"""),279.21)</f>
        <v>279.20999999999998</v>
      </c>
      <c r="S639" s="3">
        <f ca="1">IFERROR(__xludf.DUMMYFUNCTION("""COMPUTED_VALUE"""),44390.6666666666)</f>
        <v>44390.666666666599</v>
      </c>
      <c r="T639" s="2">
        <f ca="1">IFERROR(__xludf.DUMMYFUNCTION("""COMPUTED_VALUE"""),169.27)</f>
        <v>169.27</v>
      </c>
    </row>
    <row r="640" spans="1:20">
      <c r="A640" s="3">
        <f ca="1">IFERROR(__xludf.DUMMYFUNCTION("""COMPUTED_VALUE"""),44391.6666666666)</f>
        <v>44391.666666666599</v>
      </c>
      <c r="B640" s="2">
        <f ca="1">IFERROR(__xludf.DUMMYFUNCTION("""COMPUTED_VALUE"""),149.15)</f>
        <v>149.15</v>
      </c>
      <c r="C640" s="3">
        <f ca="1">IFERROR(__xludf.DUMMYFUNCTION("""COMPUTED_VALUE"""),44391.6666666666)</f>
        <v>44391.666666666599</v>
      </c>
      <c r="D640" s="2">
        <f ca="1">IFERROR(__xludf.DUMMYFUNCTION("""COMPUTED_VALUE"""),282.51)</f>
        <v>282.51</v>
      </c>
      <c r="E640" s="3">
        <f ca="1">IFERROR(__xludf.DUMMYFUNCTION("""COMPUTED_VALUE"""),44391.6666666666)</f>
        <v>44391.666666666599</v>
      </c>
      <c r="F640" s="2">
        <f ca="1">IFERROR(__xludf.DUMMYFUNCTION("""COMPUTED_VALUE"""),3681.68)</f>
        <v>3681.68</v>
      </c>
      <c r="G640" s="3">
        <f ca="1">IFERROR(__xludf.DUMMYFUNCTION("""COMPUTED_VALUE"""),44391.6666666666)</f>
        <v>44391.666666666599</v>
      </c>
      <c r="H640" s="2">
        <f ca="1">IFERROR(__xludf.DUMMYFUNCTION("""COMPUTED_VALUE"""),2564.74)</f>
        <v>2564.7399999999998</v>
      </c>
      <c r="I640" s="3">
        <f ca="1">IFERROR(__xludf.DUMMYFUNCTION("""COMPUTED_VALUE"""),44391.6666666666)</f>
        <v>44391.666666666599</v>
      </c>
      <c r="J640" s="2">
        <f ca="1">IFERROR(__xludf.DUMMYFUNCTION("""COMPUTED_VALUE"""),2641.65)</f>
        <v>2641.65</v>
      </c>
      <c r="K640" s="3">
        <f ca="1">IFERROR(__xludf.DUMMYFUNCTION("""COMPUTED_VALUE"""),44391.6666666666)</f>
        <v>44391.666666666599</v>
      </c>
      <c r="L640" s="2">
        <f ca="1">IFERROR(__xludf.DUMMYFUNCTION("""COMPUTED_VALUE"""),347.63)</f>
        <v>347.63</v>
      </c>
      <c r="M640" s="3">
        <f ca="1">IFERROR(__xludf.DUMMYFUNCTION("""COMPUTED_VALUE"""),44391.6666666666)</f>
        <v>44391.666666666599</v>
      </c>
      <c r="N640" s="2">
        <f ca="1">IFERROR(__xludf.DUMMYFUNCTION("""COMPUTED_VALUE"""),653.38)</f>
        <v>653.38</v>
      </c>
      <c r="O640" s="3">
        <f ca="1">IFERROR(__xludf.DUMMYFUNCTION("""COMPUTED_VALUE"""),44391.6666666666)</f>
        <v>44391.666666666599</v>
      </c>
      <c r="P640" s="2">
        <f ca="1">IFERROR(__xludf.DUMMYFUNCTION("""COMPUTED_VALUE"""),198.42)</f>
        <v>198.42</v>
      </c>
      <c r="Q640" s="3">
        <f ca="1">IFERROR(__xludf.DUMMYFUNCTION("""COMPUTED_VALUE"""),44391.6666666666)</f>
        <v>44391.666666666599</v>
      </c>
      <c r="R640" s="2">
        <f ca="1">IFERROR(__xludf.DUMMYFUNCTION("""COMPUTED_VALUE"""),278.31)</f>
        <v>278.31</v>
      </c>
      <c r="S640" s="3">
        <f ca="1">IFERROR(__xludf.DUMMYFUNCTION("""COMPUTED_VALUE"""),44391.6666666666)</f>
        <v>44391.666666666599</v>
      </c>
      <c r="T640" s="2">
        <f ca="1">IFERROR(__xludf.DUMMYFUNCTION("""COMPUTED_VALUE"""),170.42)</f>
        <v>170.42</v>
      </c>
    </row>
    <row r="641" spans="1:20">
      <c r="A641" s="3">
        <f ca="1">IFERROR(__xludf.DUMMYFUNCTION("""COMPUTED_VALUE"""),44392.6666666666)</f>
        <v>44392.666666666599</v>
      </c>
      <c r="B641" s="2">
        <f ca="1">IFERROR(__xludf.DUMMYFUNCTION("""COMPUTED_VALUE"""),148.48)</f>
        <v>148.47999999999999</v>
      </c>
      <c r="C641" s="3">
        <f ca="1">IFERROR(__xludf.DUMMYFUNCTION("""COMPUTED_VALUE"""),44392.6666666666)</f>
        <v>44392.666666666599</v>
      </c>
      <c r="D641" s="2">
        <f ca="1">IFERROR(__xludf.DUMMYFUNCTION("""COMPUTED_VALUE"""),281.03)</f>
        <v>281.02999999999997</v>
      </c>
      <c r="E641" s="3">
        <f ca="1">IFERROR(__xludf.DUMMYFUNCTION("""COMPUTED_VALUE"""),44392.6666666666)</f>
        <v>44392.666666666599</v>
      </c>
      <c r="F641" s="2">
        <f ca="1">IFERROR(__xludf.DUMMYFUNCTION("""COMPUTED_VALUE"""),3631.2)</f>
        <v>3631.2</v>
      </c>
      <c r="G641" s="3">
        <f ca="1">IFERROR(__xludf.DUMMYFUNCTION("""COMPUTED_VALUE"""),44392.6666666666)</f>
        <v>44392.666666666599</v>
      </c>
      <c r="H641" s="2">
        <f ca="1">IFERROR(__xludf.DUMMYFUNCTION("""COMPUTED_VALUE"""),2540.1)</f>
        <v>2540.1</v>
      </c>
      <c r="I641" s="3">
        <f ca="1">IFERROR(__xludf.DUMMYFUNCTION("""COMPUTED_VALUE"""),44392.6666666666)</f>
        <v>44392.666666666599</v>
      </c>
      <c r="J641" s="2">
        <f ca="1">IFERROR(__xludf.DUMMYFUNCTION("""COMPUTED_VALUE"""),2625.33)</f>
        <v>2625.33</v>
      </c>
      <c r="K641" s="3">
        <f ca="1">IFERROR(__xludf.DUMMYFUNCTION("""COMPUTED_VALUE"""),44392.6666666666)</f>
        <v>44392.666666666599</v>
      </c>
      <c r="L641" s="2">
        <f ca="1">IFERROR(__xludf.DUMMYFUNCTION("""COMPUTED_VALUE"""),344.46)</f>
        <v>344.46</v>
      </c>
      <c r="M641" s="3">
        <f ca="1">IFERROR(__xludf.DUMMYFUNCTION("""COMPUTED_VALUE"""),44392.6666666666)</f>
        <v>44392.666666666599</v>
      </c>
      <c r="N641" s="2">
        <f ca="1">IFERROR(__xludf.DUMMYFUNCTION("""COMPUTED_VALUE"""),650.6)</f>
        <v>650.6</v>
      </c>
      <c r="O641" s="3">
        <f ca="1">IFERROR(__xludf.DUMMYFUNCTION("""COMPUTED_VALUE"""),44392.6666666666)</f>
        <v>44392.666666666599</v>
      </c>
      <c r="P641" s="2">
        <f ca="1">IFERROR(__xludf.DUMMYFUNCTION("""COMPUTED_VALUE"""),189.66)</f>
        <v>189.66</v>
      </c>
      <c r="Q641" s="3">
        <f ca="1">IFERROR(__xludf.DUMMYFUNCTION("""COMPUTED_VALUE"""),44392.6666666666)</f>
        <v>44392.666666666599</v>
      </c>
      <c r="R641" s="2">
        <f ca="1">IFERROR(__xludf.DUMMYFUNCTION("""COMPUTED_VALUE"""),279.72)</f>
        <v>279.72000000000003</v>
      </c>
      <c r="S641" s="3">
        <f ca="1">IFERROR(__xludf.DUMMYFUNCTION("""COMPUTED_VALUE"""),44392.6666666666)</f>
        <v>44392.666666666599</v>
      </c>
      <c r="T641" s="2">
        <f ca="1">IFERROR(__xludf.DUMMYFUNCTION("""COMPUTED_VALUE"""),168.37)</f>
        <v>168.37</v>
      </c>
    </row>
    <row r="642" spans="1:20">
      <c r="A642" s="3">
        <f ca="1">IFERROR(__xludf.DUMMYFUNCTION("""COMPUTED_VALUE"""),44393.6666666666)</f>
        <v>44393.666666666599</v>
      </c>
      <c r="B642" s="2">
        <f ca="1">IFERROR(__xludf.DUMMYFUNCTION("""COMPUTED_VALUE"""),146.39)</f>
        <v>146.38999999999999</v>
      </c>
      <c r="C642" s="3">
        <f ca="1">IFERROR(__xludf.DUMMYFUNCTION("""COMPUTED_VALUE"""),44393.6666666666)</f>
        <v>44393.666666666599</v>
      </c>
      <c r="D642" s="2">
        <f ca="1">IFERROR(__xludf.DUMMYFUNCTION("""COMPUTED_VALUE"""),280.75)</f>
        <v>280.75</v>
      </c>
      <c r="E642" s="3">
        <f ca="1">IFERROR(__xludf.DUMMYFUNCTION("""COMPUTED_VALUE"""),44393.6666666666)</f>
        <v>44393.666666666599</v>
      </c>
      <c r="F642" s="2">
        <f ca="1">IFERROR(__xludf.DUMMYFUNCTION("""COMPUTED_VALUE"""),3573.63)</f>
        <v>3573.63</v>
      </c>
      <c r="G642" s="3">
        <f ca="1">IFERROR(__xludf.DUMMYFUNCTION("""COMPUTED_VALUE"""),44393.6666666666)</f>
        <v>44393.666666666599</v>
      </c>
      <c r="H642" s="2">
        <f ca="1">IFERROR(__xludf.DUMMYFUNCTION("""COMPUTED_VALUE"""),2539.4)</f>
        <v>2539.4</v>
      </c>
      <c r="I642" s="3">
        <f ca="1">IFERROR(__xludf.DUMMYFUNCTION("""COMPUTED_VALUE"""),44393.6666666666)</f>
        <v>44393.666666666599</v>
      </c>
      <c r="J642" s="2">
        <f ca="1">IFERROR(__xludf.DUMMYFUNCTION("""COMPUTED_VALUE"""),2636.91)</f>
        <v>2636.91</v>
      </c>
      <c r="K642" s="3">
        <f ca="1">IFERROR(__xludf.DUMMYFUNCTION("""COMPUTED_VALUE"""),44393.6666666666)</f>
        <v>44393.666666666599</v>
      </c>
      <c r="L642" s="2">
        <f ca="1">IFERROR(__xludf.DUMMYFUNCTION("""COMPUTED_VALUE"""),341.16)</f>
        <v>341.16</v>
      </c>
      <c r="M642" s="3">
        <f ca="1">IFERROR(__xludf.DUMMYFUNCTION("""COMPUTED_VALUE"""),44393.6666666666)</f>
        <v>44393.666666666599</v>
      </c>
      <c r="N642" s="2">
        <f ca="1">IFERROR(__xludf.DUMMYFUNCTION("""COMPUTED_VALUE"""),644.22)</f>
        <v>644.22</v>
      </c>
      <c r="O642" s="3">
        <f ca="1">IFERROR(__xludf.DUMMYFUNCTION("""COMPUTED_VALUE"""),44393.6666666666)</f>
        <v>44393.666666666599</v>
      </c>
      <c r="P642" s="2">
        <f ca="1">IFERROR(__xludf.DUMMYFUNCTION("""COMPUTED_VALUE"""),181.61)</f>
        <v>181.61</v>
      </c>
      <c r="Q642" s="3">
        <f ca="1">IFERROR(__xludf.DUMMYFUNCTION("""COMPUTED_VALUE"""),44393.6666666666)</f>
        <v>44393.666666666599</v>
      </c>
      <c r="R642" s="2">
        <f ca="1">IFERROR(__xludf.DUMMYFUNCTION("""COMPUTED_VALUE"""),277.9)</f>
        <v>277.89999999999998</v>
      </c>
      <c r="S642" s="3">
        <f ca="1">IFERROR(__xludf.DUMMYFUNCTION("""COMPUTED_VALUE"""),44393.6666666666)</f>
        <v>44393.666666666599</v>
      </c>
      <c r="T642" s="2">
        <f ca="1">IFERROR(__xludf.DUMMYFUNCTION("""COMPUTED_VALUE"""),168.1)</f>
        <v>168.1</v>
      </c>
    </row>
    <row r="643" spans="1:20">
      <c r="A643" s="3">
        <f ca="1">IFERROR(__xludf.DUMMYFUNCTION("""COMPUTED_VALUE"""),44396.6666666666)</f>
        <v>44396.666666666599</v>
      </c>
      <c r="B643" s="2">
        <f ca="1">IFERROR(__xludf.DUMMYFUNCTION("""COMPUTED_VALUE"""),142.45)</f>
        <v>142.44999999999999</v>
      </c>
      <c r="C643" s="3">
        <f ca="1">IFERROR(__xludf.DUMMYFUNCTION("""COMPUTED_VALUE"""),44396.6666666666)</f>
        <v>44396.666666666599</v>
      </c>
      <c r="D643" s="2">
        <f ca="1">IFERROR(__xludf.DUMMYFUNCTION("""COMPUTED_VALUE"""),277.01)</f>
        <v>277.01</v>
      </c>
      <c r="E643" s="3">
        <f ca="1">IFERROR(__xludf.DUMMYFUNCTION("""COMPUTED_VALUE"""),44396.6666666666)</f>
        <v>44396.666666666599</v>
      </c>
      <c r="F643" s="2">
        <f ca="1">IFERROR(__xludf.DUMMYFUNCTION("""COMPUTED_VALUE"""),3549.59)</f>
        <v>3549.59</v>
      </c>
      <c r="G643" s="3">
        <f ca="1">IFERROR(__xludf.DUMMYFUNCTION("""COMPUTED_VALUE"""),44396.6666666666)</f>
        <v>44396.666666666599</v>
      </c>
      <c r="H643" s="2">
        <f ca="1">IFERROR(__xludf.DUMMYFUNCTION("""COMPUTED_VALUE"""),2491.56)</f>
        <v>2491.56</v>
      </c>
      <c r="I643" s="3">
        <f ca="1">IFERROR(__xludf.DUMMYFUNCTION("""COMPUTED_VALUE"""),44396.6666666666)</f>
        <v>44396.666666666599</v>
      </c>
      <c r="J643" s="2">
        <f ca="1">IFERROR(__xludf.DUMMYFUNCTION("""COMPUTED_VALUE"""),2585.08)</f>
        <v>2585.08</v>
      </c>
      <c r="K643" s="3">
        <f ca="1">IFERROR(__xludf.DUMMYFUNCTION("""COMPUTED_VALUE"""),44396.6666666666)</f>
        <v>44396.666666666599</v>
      </c>
      <c r="L643" s="2">
        <f ca="1">IFERROR(__xludf.DUMMYFUNCTION("""COMPUTED_VALUE"""),336.95)</f>
        <v>336.95</v>
      </c>
      <c r="M643" s="3">
        <f ca="1">IFERROR(__xludf.DUMMYFUNCTION("""COMPUTED_VALUE"""),44396.6666666666)</f>
        <v>44396.666666666599</v>
      </c>
      <c r="N643" s="2">
        <f ca="1">IFERROR(__xludf.DUMMYFUNCTION("""COMPUTED_VALUE"""),646.22)</f>
        <v>646.22</v>
      </c>
      <c r="O643" s="3">
        <f ca="1">IFERROR(__xludf.DUMMYFUNCTION("""COMPUTED_VALUE"""),44396.6666666666)</f>
        <v>44396.666666666599</v>
      </c>
      <c r="P643" s="2">
        <f ca="1">IFERROR(__xludf.DUMMYFUNCTION("""COMPUTED_VALUE"""),187.8)</f>
        <v>187.8</v>
      </c>
      <c r="Q643" s="3">
        <f ca="1">IFERROR(__xludf.DUMMYFUNCTION("""COMPUTED_VALUE"""),44396.6666666666)</f>
        <v>44396.666666666599</v>
      </c>
      <c r="R643" s="2">
        <f ca="1">IFERROR(__xludf.DUMMYFUNCTION("""COMPUTED_VALUE"""),272.66)</f>
        <v>272.66000000000003</v>
      </c>
      <c r="S643" s="3">
        <f ca="1">IFERROR(__xludf.DUMMYFUNCTION("""COMPUTED_VALUE"""),44396.6666666666)</f>
        <v>44396.666666666599</v>
      </c>
      <c r="T643" s="2">
        <f ca="1">IFERROR(__xludf.DUMMYFUNCTION("""COMPUTED_VALUE"""),166.88)</f>
        <v>166.88</v>
      </c>
    </row>
    <row r="644" spans="1:20">
      <c r="A644" s="3">
        <f ca="1">IFERROR(__xludf.DUMMYFUNCTION("""COMPUTED_VALUE"""),44397.6666666666)</f>
        <v>44397.666666666599</v>
      </c>
      <c r="B644" s="2">
        <f ca="1">IFERROR(__xludf.DUMMYFUNCTION("""COMPUTED_VALUE"""),146.15)</f>
        <v>146.15</v>
      </c>
      <c r="C644" s="3">
        <f ca="1">IFERROR(__xludf.DUMMYFUNCTION("""COMPUTED_VALUE"""),44397.6666666666)</f>
        <v>44397.666666666599</v>
      </c>
      <c r="D644" s="2">
        <f ca="1">IFERROR(__xludf.DUMMYFUNCTION("""COMPUTED_VALUE"""),279.32)</f>
        <v>279.32</v>
      </c>
      <c r="E644" s="3">
        <f ca="1">IFERROR(__xludf.DUMMYFUNCTION("""COMPUTED_VALUE"""),44397.6666666666)</f>
        <v>44397.666666666599</v>
      </c>
      <c r="F644" s="2">
        <f ca="1">IFERROR(__xludf.DUMMYFUNCTION("""COMPUTED_VALUE"""),3573.19)</f>
        <v>3573.19</v>
      </c>
      <c r="G644" s="3">
        <f ca="1">IFERROR(__xludf.DUMMYFUNCTION("""COMPUTED_VALUE"""),44397.6666666666)</f>
        <v>44397.666666666599</v>
      </c>
      <c r="H644" s="2">
        <f ca="1">IFERROR(__xludf.DUMMYFUNCTION("""COMPUTED_VALUE"""),2524.19)</f>
        <v>2524.19</v>
      </c>
      <c r="I644" s="3">
        <f ca="1">IFERROR(__xludf.DUMMYFUNCTION("""COMPUTED_VALUE"""),44397.6666666666)</f>
        <v>44397.666666666599</v>
      </c>
      <c r="J644" s="2">
        <f ca="1">IFERROR(__xludf.DUMMYFUNCTION("""COMPUTED_VALUE"""),2622.03)</f>
        <v>2622.03</v>
      </c>
      <c r="K644" s="3">
        <f ca="1">IFERROR(__xludf.DUMMYFUNCTION("""COMPUTED_VALUE"""),44397.6666666666)</f>
        <v>44397.666666666599</v>
      </c>
      <c r="L644" s="2">
        <f ca="1">IFERROR(__xludf.DUMMYFUNCTION("""COMPUTED_VALUE"""),341.66)</f>
        <v>341.66</v>
      </c>
      <c r="M644" s="3">
        <f ca="1">IFERROR(__xludf.DUMMYFUNCTION("""COMPUTED_VALUE"""),44397.6666666666)</f>
        <v>44397.666666666599</v>
      </c>
      <c r="N644" s="2">
        <f ca="1">IFERROR(__xludf.DUMMYFUNCTION("""COMPUTED_VALUE"""),660.5)</f>
        <v>660.5</v>
      </c>
      <c r="O644" s="3">
        <f ca="1">IFERROR(__xludf.DUMMYFUNCTION("""COMPUTED_VALUE"""),44397.6666666666)</f>
        <v>44397.666666666599</v>
      </c>
      <c r="P644" s="2">
        <f ca="1">IFERROR(__xludf.DUMMYFUNCTION("""COMPUTED_VALUE"""),186.12)</f>
        <v>186.12</v>
      </c>
      <c r="Q644" s="3">
        <f ca="1">IFERROR(__xludf.DUMMYFUNCTION("""COMPUTED_VALUE"""),44397.6666666666)</f>
        <v>44397.666666666599</v>
      </c>
      <c r="R644" s="2">
        <f ca="1">IFERROR(__xludf.DUMMYFUNCTION("""COMPUTED_VALUE"""),276.89)</f>
        <v>276.89</v>
      </c>
      <c r="S644" s="3">
        <f ca="1">IFERROR(__xludf.DUMMYFUNCTION("""COMPUTED_VALUE"""),44397.6666666666)</f>
        <v>44397.666666666599</v>
      </c>
      <c r="T644" s="2">
        <f ca="1">IFERROR(__xludf.DUMMYFUNCTION("""COMPUTED_VALUE"""),168.45)</f>
        <v>168.45</v>
      </c>
    </row>
    <row r="645" spans="1:20">
      <c r="A645" s="3">
        <f ca="1">IFERROR(__xludf.DUMMYFUNCTION("""COMPUTED_VALUE"""),44398.6666666666)</f>
        <v>44398.666666666599</v>
      </c>
      <c r="B645" s="2">
        <f ca="1">IFERROR(__xludf.DUMMYFUNCTION("""COMPUTED_VALUE"""),145.4)</f>
        <v>145.4</v>
      </c>
      <c r="C645" s="3">
        <f ca="1">IFERROR(__xludf.DUMMYFUNCTION("""COMPUTED_VALUE"""),44398.6666666666)</f>
        <v>44398.666666666599</v>
      </c>
      <c r="D645" s="2">
        <f ca="1">IFERROR(__xludf.DUMMYFUNCTION("""COMPUTED_VALUE"""),281.4)</f>
        <v>281.39999999999998</v>
      </c>
      <c r="E645" s="3">
        <f ca="1">IFERROR(__xludf.DUMMYFUNCTION("""COMPUTED_VALUE"""),44398.6666666666)</f>
        <v>44398.666666666599</v>
      </c>
      <c r="F645" s="2">
        <f ca="1">IFERROR(__xludf.DUMMYFUNCTION("""COMPUTED_VALUE"""),3585.2)</f>
        <v>3585.2</v>
      </c>
      <c r="G645" s="3">
        <f ca="1">IFERROR(__xludf.DUMMYFUNCTION("""COMPUTED_VALUE"""),44398.6666666666)</f>
        <v>44398.666666666599</v>
      </c>
      <c r="H645" s="2">
        <f ca="1">IFERROR(__xludf.DUMMYFUNCTION("""COMPUTED_VALUE"""),2550.98)</f>
        <v>2550.98</v>
      </c>
      <c r="I645" s="3">
        <f ca="1">IFERROR(__xludf.DUMMYFUNCTION("""COMPUTED_VALUE"""),44398.6666666666)</f>
        <v>44398.666666666599</v>
      </c>
      <c r="J645" s="2">
        <f ca="1">IFERROR(__xludf.DUMMYFUNCTION("""COMPUTED_VALUE"""),2652.01)</f>
        <v>2652.01</v>
      </c>
      <c r="K645" s="3">
        <f ca="1">IFERROR(__xludf.DUMMYFUNCTION("""COMPUTED_VALUE"""),44398.6666666666)</f>
        <v>44398.666666666599</v>
      </c>
      <c r="L645" s="2">
        <f ca="1">IFERROR(__xludf.DUMMYFUNCTION("""COMPUTED_VALUE"""),346.23)</f>
        <v>346.23</v>
      </c>
      <c r="M645" s="3">
        <f ca="1">IFERROR(__xludf.DUMMYFUNCTION("""COMPUTED_VALUE"""),44398.6666666666)</f>
        <v>44398.666666666599</v>
      </c>
      <c r="N645" s="2">
        <f ca="1">IFERROR(__xludf.DUMMYFUNCTION("""COMPUTED_VALUE"""),655.29)</f>
        <v>655.29</v>
      </c>
      <c r="O645" s="3">
        <f ca="1">IFERROR(__xludf.DUMMYFUNCTION("""COMPUTED_VALUE"""),44398.6666666666)</f>
        <v>44398.666666666599</v>
      </c>
      <c r="P645" s="2">
        <f ca="1">IFERROR(__xludf.DUMMYFUNCTION("""COMPUTED_VALUE"""),194.1)</f>
        <v>194.1</v>
      </c>
      <c r="Q645" s="3">
        <f ca="1">IFERROR(__xludf.DUMMYFUNCTION("""COMPUTED_VALUE"""),44398.6666666666)</f>
        <v>44398.666666666599</v>
      </c>
      <c r="R645" s="2">
        <f ca="1">IFERROR(__xludf.DUMMYFUNCTION("""COMPUTED_VALUE"""),279.88)</f>
        <v>279.88</v>
      </c>
      <c r="S645" s="3">
        <f ca="1">IFERROR(__xludf.DUMMYFUNCTION("""COMPUTED_VALUE"""),44398.6666666666)</f>
        <v>44398.666666666599</v>
      </c>
      <c r="T645" s="2">
        <f ca="1">IFERROR(__xludf.DUMMYFUNCTION("""COMPUTED_VALUE"""),169.49)</f>
        <v>169.49</v>
      </c>
    </row>
    <row r="646" spans="1:20">
      <c r="A646" s="3">
        <f ca="1">IFERROR(__xludf.DUMMYFUNCTION("""COMPUTED_VALUE"""),44399.6666666666)</f>
        <v>44399.666666666599</v>
      </c>
      <c r="B646" s="2">
        <f ca="1">IFERROR(__xludf.DUMMYFUNCTION("""COMPUTED_VALUE"""),146.8)</f>
        <v>146.80000000000001</v>
      </c>
      <c r="C646" s="3">
        <f ca="1">IFERROR(__xludf.DUMMYFUNCTION("""COMPUTED_VALUE"""),44399.6666666666)</f>
        <v>44399.666666666599</v>
      </c>
      <c r="D646" s="2">
        <f ca="1">IFERROR(__xludf.DUMMYFUNCTION("""COMPUTED_VALUE"""),286.14)</f>
        <v>286.14</v>
      </c>
      <c r="E646" s="3">
        <f ca="1">IFERROR(__xludf.DUMMYFUNCTION("""COMPUTED_VALUE"""),44399.6666666666)</f>
        <v>44399.666666666599</v>
      </c>
      <c r="F646" s="2">
        <f ca="1">IFERROR(__xludf.DUMMYFUNCTION("""COMPUTED_VALUE"""),3638.03)</f>
        <v>3638.03</v>
      </c>
      <c r="G646" s="3">
        <f ca="1">IFERROR(__xludf.DUMMYFUNCTION("""COMPUTED_VALUE"""),44399.6666666666)</f>
        <v>44399.666666666599</v>
      </c>
      <c r="H646" s="2">
        <f ca="1">IFERROR(__xludf.DUMMYFUNCTION("""COMPUTED_VALUE"""),2568.43)</f>
        <v>2568.4299999999998</v>
      </c>
      <c r="I646" s="3">
        <f ca="1">IFERROR(__xludf.DUMMYFUNCTION("""COMPUTED_VALUE"""),44399.6666666666)</f>
        <v>44399.666666666599</v>
      </c>
      <c r="J646" s="2">
        <f ca="1">IFERROR(__xludf.DUMMYFUNCTION("""COMPUTED_VALUE"""),2666.57)</f>
        <v>2666.57</v>
      </c>
      <c r="K646" s="3">
        <f ca="1">IFERROR(__xludf.DUMMYFUNCTION("""COMPUTED_VALUE"""),44399.6666666666)</f>
        <v>44399.666666666599</v>
      </c>
      <c r="L646" s="2">
        <f ca="1">IFERROR(__xludf.DUMMYFUNCTION("""COMPUTED_VALUE"""),351.19)</f>
        <v>351.19</v>
      </c>
      <c r="M646" s="3">
        <f ca="1">IFERROR(__xludf.DUMMYFUNCTION("""COMPUTED_VALUE"""),44399.6666666666)</f>
        <v>44399.666666666599</v>
      </c>
      <c r="N646" s="2">
        <f ca="1">IFERROR(__xludf.DUMMYFUNCTION("""COMPUTED_VALUE"""),649.26)</f>
        <v>649.26</v>
      </c>
      <c r="O646" s="3">
        <f ca="1">IFERROR(__xludf.DUMMYFUNCTION("""COMPUTED_VALUE"""),44399.6666666666)</f>
        <v>44399.666666666599</v>
      </c>
      <c r="P646" s="2">
        <f ca="1">IFERROR(__xludf.DUMMYFUNCTION("""COMPUTED_VALUE"""),195.94)</f>
        <v>195.94</v>
      </c>
      <c r="Q646" s="3">
        <f ca="1">IFERROR(__xludf.DUMMYFUNCTION("""COMPUTED_VALUE"""),44399.6666666666)</f>
        <v>44399.666666666599</v>
      </c>
      <c r="R646" s="2">
        <f ca="1">IFERROR(__xludf.DUMMYFUNCTION("""COMPUTED_VALUE"""),277.7)</f>
        <v>277.7</v>
      </c>
      <c r="S646" s="3">
        <f ca="1">IFERROR(__xludf.DUMMYFUNCTION("""COMPUTED_VALUE"""),44399.6666666666)</f>
        <v>44399.666666666599</v>
      </c>
      <c r="T646" s="2">
        <f ca="1">IFERROR(__xludf.DUMMYFUNCTION("""COMPUTED_VALUE"""),169.98)</f>
        <v>169.98</v>
      </c>
    </row>
    <row r="647" spans="1:20">
      <c r="A647" s="3">
        <f ca="1">IFERROR(__xludf.DUMMYFUNCTION("""COMPUTED_VALUE"""),44400.6666666666)</f>
        <v>44400.666666666599</v>
      </c>
      <c r="B647" s="2">
        <f ca="1">IFERROR(__xludf.DUMMYFUNCTION("""COMPUTED_VALUE"""),148.56)</f>
        <v>148.56</v>
      </c>
      <c r="C647" s="3">
        <f ca="1">IFERROR(__xludf.DUMMYFUNCTION("""COMPUTED_VALUE"""),44400.6666666666)</f>
        <v>44400.666666666599</v>
      </c>
      <c r="D647" s="2">
        <f ca="1">IFERROR(__xludf.DUMMYFUNCTION("""COMPUTED_VALUE"""),289.67)</f>
        <v>289.67</v>
      </c>
      <c r="E647" s="3">
        <f ca="1">IFERROR(__xludf.DUMMYFUNCTION("""COMPUTED_VALUE"""),44400.6666666666)</f>
        <v>44400.666666666599</v>
      </c>
      <c r="F647" s="2">
        <f ca="1">IFERROR(__xludf.DUMMYFUNCTION("""COMPUTED_VALUE"""),3656.64)</f>
        <v>3656.64</v>
      </c>
      <c r="G647" s="3">
        <f ca="1">IFERROR(__xludf.DUMMYFUNCTION("""COMPUTED_VALUE"""),44400.6666666666)</f>
        <v>44400.666666666599</v>
      </c>
      <c r="H647" s="2">
        <f ca="1">IFERROR(__xludf.DUMMYFUNCTION("""COMPUTED_VALUE"""),2660.3)</f>
        <v>2660.3</v>
      </c>
      <c r="I647" s="3">
        <f ca="1">IFERROR(__xludf.DUMMYFUNCTION("""COMPUTED_VALUE"""),44400.6666666666)</f>
        <v>44400.666666666599</v>
      </c>
      <c r="J647" s="2">
        <f ca="1">IFERROR(__xludf.DUMMYFUNCTION("""COMPUTED_VALUE"""),2756.32)</f>
        <v>2756.32</v>
      </c>
      <c r="K647" s="3">
        <f ca="1">IFERROR(__xludf.DUMMYFUNCTION("""COMPUTED_VALUE"""),44400.6666666666)</f>
        <v>44400.666666666599</v>
      </c>
      <c r="L647" s="2">
        <f ca="1">IFERROR(__xludf.DUMMYFUNCTION("""COMPUTED_VALUE"""),369.79)</f>
        <v>369.79</v>
      </c>
      <c r="M647" s="3">
        <f ca="1">IFERROR(__xludf.DUMMYFUNCTION("""COMPUTED_VALUE"""),44400.6666666666)</f>
        <v>44400.666666666599</v>
      </c>
      <c r="N647" s="2">
        <f ca="1">IFERROR(__xludf.DUMMYFUNCTION("""COMPUTED_VALUE"""),643.38)</f>
        <v>643.38</v>
      </c>
      <c r="O647" s="3">
        <f ca="1">IFERROR(__xludf.DUMMYFUNCTION("""COMPUTED_VALUE"""),44400.6666666666)</f>
        <v>44400.666666666599</v>
      </c>
      <c r="P647" s="2">
        <f ca="1">IFERROR(__xludf.DUMMYFUNCTION("""COMPUTED_VALUE"""),195.58)</f>
        <v>195.58</v>
      </c>
      <c r="Q647" s="3">
        <f ca="1">IFERROR(__xludf.DUMMYFUNCTION("""COMPUTED_VALUE"""),44400.6666666666)</f>
        <v>44400.666666666599</v>
      </c>
      <c r="R647" s="2">
        <f ca="1">IFERROR(__xludf.DUMMYFUNCTION("""COMPUTED_VALUE"""),278.49)</f>
        <v>278.49</v>
      </c>
      <c r="S647" s="3">
        <f ca="1">IFERROR(__xludf.DUMMYFUNCTION("""COMPUTED_VALUE"""),44400.6666666666)</f>
        <v>44400.666666666599</v>
      </c>
      <c r="T647" s="2">
        <f ca="1">IFERROR(__xludf.DUMMYFUNCTION("""COMPUTED_VALUE"""),171.79)</f>
        <v>171.79</v>
      </c>
    </row>
    <row r="648" spans="1:20">
      <c r="A648" s="3">
        <f ca="1">IFERROR(__xludf.DUMMYFUNCTION("""COMPUTED_VALUE"""),44403.6666666666)</f>
        <v>44403.666666666599</v>
      </c>
      <c r="B648" s="2">
        <f ca="1">IFERROR(__xludf.DUMMYFUNCTION("""COMPUTED_VALUE"""),148.99)</f>
        <v>148.99</v>
      </c>
      <c r="C648" s="3">
        <f ca="1">IFERROR(__xludf.DUMMYFUNCTION("""COMPUTED_VALUE"""),44403.6666666666)</f>
        <v>44403.666666666599</v>
      </c>
      <c r="D648" s="2">
        <f ca="1">IFERROR(__xludf.DUMMYFUNCTION("""COMPUTED_VALUE"""),289.05)</f>
        <v>289.05</v>
      </c>
      <c r="E648" s="3">
        <f ca="1">IFERROR(__xludf.DUMMYFUNCTION("""COMPUTED_VALUE"""),44403.6666666666)</f>
        <v>44403.666666666599</v>
      </c>
      <c r="F648" s="2">
        <f ca="1">IFERROR(__xludf.DUMMYFUNCTION("""COMPUTED_VALUE"""),3699.82)</f>
        <v>3699.82</v>
      </c>
      <c r="G648" s="3">
        <f ca="1">IFERROR(__xludf.DUMMYFUNCTION("""COMPUTED_VALUE"""),44403.6666666666)</f>
        <v>44403.666666666599</v>
      </c>
      <c r="H648" s="2">
        <f ca="1">IFERROR(__xludf.DUMMYFUNCTION("""COMPUTED_VALUE"""),2680.7)</f>
        <v>2680.7</v>
      </c>
      <c r="I648" s="3">
        <f ca="1">IFERROR(__xludf.DUMMYFUNCTION("""COMPUTED_VALUE"""),44403.6666666666)</f>
        <v>44403.666666666599</v>
      </c>
      <c r="J648" s="2">
        <f ca="1">IFERROR(__xludf.DUMMYFUNCTION("""COMPUTED_VALUE"""),2792.89)</f>
        <v>2792.89</v>
      </c>
      <c r="K648" s="3">
        <f ca="1">IFERROR(__xludf.DUMMYFUNCTION("""COMPUTED_VALUE"""),44403.6666666666)</f>
        <v>44403.666666666599</v>
      </c>
      <c r="L648" s="2">
        <f ca="1">IFERROR(__xludf.DUMMYFUNCTION("""COMPUTED_VALUE"""),372.46)</f>
        <v>372.46</v>
      </c>
      <c r="M648" s="3">
        <f ca="1">IFERROR(__xludf.DUMMYFUNCTION("""COMPUTED_VALUE"""),44403.6666666666)</f>
        <v>44403.666666666599</v>
      </c>
      <c r="N648" s="2">
        <f ca="1">IFERROR(__xludf.DUMMYFUNCTION("""COMPUTED_VALUE"""),657.62)</f>
        <v>657.62</v>
      </c>
      <c r="O648" s="3">
        <f ca="1">IFERROR(__xludf.DUMMYFUNCTION("""COMPUTED_VALUE"""),44403.6666666666)</f>
        <v>44403.666666666599</v>
      </c>
      <c r="P648" s="2">
        <f ca="1">IFERROR(__xludf.DUMMYFUNCTION("""COMPUTED_VALUE"""),192.94)</f>
        <v>192.94</v>
      </c>
      <c r="Q648" s="3">
        <f ca="1">IFERROR(__xludf.DUMMYFUNCTION("""COMPUTED_VALUE"""),44403.6666666666)</f>
        <v>44403.666666666599</v>
      </c>
      <c r="R648" s="2">
        <f ca="1">IFERROR(__xludf.DUMMYFUNCTION("""COMPUTED_VALUE"""),278.8)</f>
        <v>278.8</v>
      </c>
      <c r="S648" s="3">
        <f ca="1">IFERROR(__xludf.DUMMYFUNCTION("""COMPUTED_VALUE"""),44403.6666666666)</f>
        <v>44403.666666666599</v>
      </c>
      <c r="T648" s="2">
        <f ca="1">IFERROR(__xludf.DUMMYFUNCTION("""COMPUTED_VALUE"""),171.87)</f>
        <v>171.87</v>
      </c>
    </row>
    <row r="649" spans="1:20">
      <c r="A649" s="3">
        <f ca="1">IFERROR(__xludf.DUMMYFUNCTION("""COMPUTED_VALUE"""),44404.6666666666)</f>
        <v>44404.666666666599</v>
      </c>
      <c r="B649" s="2">
        <f ca="1">IFERROR(__xludf.DUMMYFUNCTION("""COMPUTED_VALUE"""),146.77)</f>
        <v>146.77000000000001</v>
      </c>
      <c r="C649" s="3">
        <f ca="1">IFERROR(__xludf.DUMMYFUNCTION("""COMPUTED_VALUE"""),44404.6666666666)</f>
        <v>44404.666666666599</v>
      </c>
      <c r="D649" s="2">
        <f ca="1">IFERROR(__xludf.DUMMYFUNCTION("""COMPUTED_VALUE"""),286.54)</f>
        <v>286.54000000000002</v>
      </c>
      <c r="E649" s="3">
        <f ca="1">IFERROR(__xludf.DUMMYFUNCTION("""COMPUTED_VALUE"""),44404.6666666666)</f>
        <v>44404.666666666599</v>
      </c>
      <c r="F649" s="2">
        <f ca="1">IFERROR(__xludf.DUMMYFUNCTION("""COMPUTED_VALUE"""),3626.39)</f>
        <v>3626.39</v>
      </c>
      <c r="G649" s="3">
        <f ca="1">IFERROR(__xludf.DUMMYFUNCTION("""COMPUTED_VALUE"""),44404.6666666666)</f>
        <v>44404.666666666599</v>
      </c>
      <c r="H649" s="2">
        <f ca="1">IFERROR(__xludf.DUMMYFUNCTION("""COMPUTED_VALUE"""),2638)</f>
        <v>2638</v>
      </c>
      <c r="I649" s="3">
        <f ca="1">IFERROR(__xludf.DUMMYFUNCTION("""COMPUTED_VALUE"""),44404.6666666666)</f>
        <v>44404.666666666599</v>
      </c>
      <c r="J649" s="2">
        <f ca="1">IFERROR(__xludf.DUMMYFUNCTION("""COMPUTED_VALUE"""),2735.93)</f>
        <v>2735.93</v>
      </c>
      <c r="K649" s="3">
        <f ca="1">IFERROR(__xludf.DUMMYFUNCTION("""COMPUTED_VALUE"""),44404.6666666666)</f>
        <v>44404.666666666599</v>
      </c>
      <c r="L649" s="2">
        <f ca="1">IFERROR(__xludf.DUMMYFUNCTION("""COMPUTED_VALUE"""),367.81)</f>
        <v>367.81</v>
      </c>
      <c r="M649" s="3">
        <f ca="1">IFERROR(__xludf.DUMMYFUNCTION("""COMPUTED_VALUE"""),44404.6666666666)</f>
        <v>44404.666666666599</v>
      </c>
      <c r="N649" s="2">
        <f ca="1">IFERROR(__xludf.DUMMYFUNCTION("""COMPUTED_VALUE"""),644.78)</f>
        <v>644.78</v>
      </c>
      <c r="O649" s="3">
        <f ca="1">IFERROR(__xludf.DUMMYFUNCTION("""COMPUTED_VALUE"""),44404.6666666666)</f>
        <v>44404.666666666599</v>
      </c>
      <c r="P649" s="2">
        <f ca="1">IFERROR(__xludf.DUMMYFUNCTION("""COMPUTED_VALUE"""),192.08)</f>
        <v>192.08</v>
      </c>
      <c r="Q649" s="3">
        <f ca="1">IFERROR(__xludf.DUMMYFUNCTION("""COMPUTED_VALUE"""),44404.6666666666)</f>
        <v>44404.666666666599</v>
      </c>
      <c r="R649" s="2">
        <f ca="1">IFERROR(__xludf.DUMMYFUNCTION("""COMPUTED_VALUE"""),280.78)</f>
        <v>280.77999999999997</v>
      </c>
      <c r="S649" s="3">
        <f ca="1">IFERROR(__xludf.DUMMYFUNCTION("""COMPUTED_VALUE"""),44404.6666666666)</f>
        <v>44404.666666666599</v>
      </c>
      <c r="T649" s="2">
        <f ca="1">IFERROR(__xludf.DUMMYFUNCTION("""COMPUTED_VALUE"""),172.66)</f>
        <v>172.66</v>
      </c>
    </row>
    <row r="650" spans="1:20">
      <c r="A650" s="3">
        <f ca="1">IFERROR(__xludf.DUMMYFUNCTION("""COMPUTED_VALUE"""),44405.6666666666)</f>
        <v>44405.666666666599</v>
      </c>
      <c r="B650" s="2">
        <f ca="1">IFERROR(__xludf.DUMMYFUNCTION("""COMPUTED_VALUE"""),144.98)</f>
        <v>144.97999999999999</v>
      </c>
      <c r="C650" s="3">
        <f ca="1">IFERROR(__xludf.DUMMYFUNCTION("""COMPUTED_VALUE"""),44405.6666666666)</f>
        <v>44405.666666666599</v>
      </c>
      <c r="D650" s="2">
        <f ca="1">IFERROR(__xludf.DUMMYFUNCTION("""COMPUTED_VALUE"""),286.22)</f>
        <v>286.22000000000003</v>
      </c>
      <c r="E650" s="3">
        <f ca="1">IFERROR(__xludf.DUMMYFUNCTION("""COMPUTED_VALUE"""),44405.6666666666)</f>
        <v>44405.666666666599</v>
      </c>
      <c r="F650" s="2">
        <f ca="1">IFERROR(__xludf.DUMMYFUNCTION("""COMPUTED_VALUE"""),3630.32)</f>
        <v>3630.32</v>
      </c>
      <c r="G650" s="3">
        <f ca="1">IFERROR(__xludf.DUMMYFUNCTION("""COMPUTED_VALUE"""),44405.6666666666)</f>
        <v>44405.666666666599</v>
      </c>
      <c r="H650" s="2">
        <f ca="1">IFERROR(__xludf.DUMMYFUNCTION("""COMPUTED_VALUE"""),2721.88)</f>
        <v>2721.88</v>
      </c>
      <c r="I650" s="3">
        <f ca="1">IFERROR(__xludf.DUMMYFUNCTION("""COMPUTED_VALUE"""),44405.6666666666)</f>
        <v>44405.666666666599</v>
      </c>
      <c r="J650" s="2">
        <f ca="1">IFERROR(__xludf.DUMMYFUNCTION("""COMPUTED_VALUE"""),2727.63)</f>
        <v>2727.63</v>
      </c>
      <c r="K650" s="3">
        <f ca="1">IFERROR(__xludf.DUMMYFUNCTION("""COMPUTED_VALUE"""),44405.6666666666)</f>
        <v>44405.666666666599</v>
      </c>
      <c r="L650" s="2">
        <f ca="1">IFERROR(__xludf.DUMMYFUNCTION("""COMPUTED_VALUE"""),373.28)</f>
        <v>373.28</v>
      </c>
      <c r="M650" s="3">
        <f ca="1">IFERROR(__xludf.DUMMYFUNCTION("""COMPUTED_VALUE"""),44405.6666666666)</f>
        <v>44405.666666666599</v>
      </c>
      <c r="N650" s="2">
        <f ca="1">IFERROR(__xludf.DUMMYFUNCTION("""COMPUTED_VALUE"""),646.98)</f>
        <v>646.98</v>
      </c>
      <c r="O650" s="3">
        <f ca="1">IFERROR(__xludf.DUMMYFUNCTION("""COMPUTED_VALUE"""),44405.6666666666)</f>
        <v>44405.666666666599</v>
      </c>
      <c r="P650" s="2">
        <f ca="1">IFERROR(__xludf.DUMMYFUNCTION("""COMPUTED_VALUE"""),195.03)</f>
        <v>195.03</v>
      </c>
      <c r="Q650" s="3">
        <f ca="1">IFERROR(__xludf.DUMMYFUNCTION("""COMPUTED_VALUE"""),44405.6666666666)</f>
        <v>44405.666666666599</v>
      </c>
      <c r="R650" s="2">
        <f ca="1">IFERROR(__xludf.DUMMYFUNCTION("""COMPUTED_VALUE"""),278.1)</f>
        <v>278.10000000000002</v>
      </c>
      <c r="S650" s="3">
        <f ca="1">IFERROR(__xludf.DUMMYFUNCTION("""COMPUTED_VALUE"""),44405.6666666666)</f>
        <v>44405.666666666599</v>
      </c>
      <c r="T650" s="2">
        <f ca="1">IFERROR(__xludf.DUMMYFUNCTION("""COMPUTED_VALUE"""),172.18)</f>
        <v>172.18</v>
      </c>
    </row>
    <row r="651" spans="1:20">
      <c r="A651" s="3">
        <f ca="1">IFERROR(__xludf.DUMMYFUNCTION("""COMPUTED_VALUE"""),44406.6666666666)</f>
        <v>44406.666666666599</v>
      </c>
      <c r="B651" s="2">
        <f ca="1">IFERROR(__xludf.DUMMYFUNCTION("""COMPUTED_VALUE"""),145.64)</f>
        <v>145.63999999999999</v>
      </c>
      <c r="C651" s="3">
        <f ca="1">IFERROR(__xludf.DUMMYFUNCTION("""COMPUTED_VALUE"""),44406.6666666666)</f>
        <v>44406.666666666599</v>
      </c>
      <c r="D651" s="2">
        <f ca="1">IFERROR(__xludf.DUMMYFUNCTION("""COMPUTED_VALUE"""),286.5)</f>
        <v>286.5</v>
      </c>
      <c r="E651" s="3">
        <f ca="1">IFERROR(__xludf.DUMMYFUNCTION("""COMPUTED_VALUE"""),44406.6666666666)</f>
        <v>44406.666666666599</v>
      </c>
      <c r="F651" s="2">
        <f ca="1">IFERROR(__xludf.DUMMYFUNCTION("""COMPUTED_VALUE"""),3599.92)</f>
        <v>3599.92</v>
      </c>
      <c r="G651" s="3">
        <f ca="1">IFERROR(__xludf.DUMMYFUNCTION("""COMPUTED_VALUE"""),44406.6666666666)</f>
        <v>44406.666666666599</v>
      </c>
      <c r="H651" s="2">
        <f ca="1">IFERROR(__xludf.DUMMYFUNCTION("""COMPUTED_VALUE"""),2715.55)</f>
        <v>2715.55</v>
      </c>
      <c r="I651" s="3">
        <f ca="1">IFERROR(__xludf.DUMMYFUNCTION("""COMPUTED_VALUE"""),44406.6666666666)</f>
        <v>44406.666666666599</v>
      </c>
      <c r="J651" s="2">
        <f ca="1">IFERROR(__xludf.DUMMYFUNCTION("""COMPUTED_VALUE"""),2730.81)</f>
        <v>2730.81</v>
      </c>
      <c r="K651" s="3">
        <f ca="1">IFERROR(__xludf.DUMMYFUNCTION("""COMPUTED_VALUE"""),44406.6666666666)</f>
        <v>44406.666666666599</v>
      </c>
      <c r="L651" s="2">
        <f ca="1">IFERROR(__xludf.DUMMYFUNCTION("""COMPUTED_VALUE"""),358.32)</f>
        <v>358.32</v>
      </c>
      <c r="M651" s="3">
        <f ca="1">IFERROR(__xludf.DUMMYFUNCTION("""COMPUTED_VALUE"""),44406.6666666666)</f>
        <v>44406.666666666599</v>
      </c>
      <c r="N651" s="2">
        <f ca="1">IFERROR(__xludf.DUMMYFUNCTION("""COMPUTED_VALUE"""),677.35)</f>
        <v>677.35</v>
      </c>
      <c r="O651" s="3">
        <f ca="1">IFERROR(__xludf.DUMMYFUNCTION("""COMPUTED_VALUE"""),44406.6666666666)</f>
        <v>44406.666666666599</v>
      </c>
      <c r="P651" s="2">
        <f ca="1">IFERROR(__xludf.DUMMYFUNCTION("""COMPUTED_VALUE"""),196.62)</f>
        <v>196.62</v>
      </c>
      <c r="Q651" s="3">
        <f ca="1">IFERROR(__xludf.DUMMYFUNCTION("""COMPUTED_VALUE"""),44406.6666666666)</f>
        <v>44406.666666666599</v>
      </c>
      <c r="R651" s="2">
        <f ca="1">IFERROR(__xludf.DUMMYFUNCTION("""COMPUTED_VALUE"""),279.76)</f>
        <v>279.76</v>
      </c>
      <c r="S651" s="3">
        <f ca="1">IFERROR(__xludf.DUMMYFUNCTION("""COMPUTED_VALUE"""),44406.6666666666)</f>
        <v>44406.666666666599</v>
      </c>
      <c r="T651" s="2">
        <f ca="1">IFERROR(__xludf.DUMMYFUNCTION("""COMPUTED_VALUE"""),172.18)</f>
        <v>172.18</v>
      </c>
    </row>
    <row r="652" spans="1:20">
      <c r="A652" s="3">
        <f ca="1">IFERROR(__xludf.DUMMYFUNCTION("""COMPUTED_VALUE"""),44407.6666666666)</f>
        <v>44407.666666666599</v>
      </c>
      <c r="B652" s="2">
        <f ca="1">IFERROR(__xludf.DUMMYFUNCTION("""COMPUTED_VALUE"""),145.86)</f>
        <v>145.86000000000001</v>
      </c>
      <c r="C652" s="3">
        <f ca="1">IFERROR(__xludf.DUMMYFUNCTION("""COMPUTED_VALUE"""),44407.6666666666)</f>
        <v>44407.666666666599</v>
      </c>
      <c r="D652" s="2">
        <f ca="1">IFERROR(__xludf.DUMMYFUNCTION("""COMPUTED_VALUE"""),284.91)</f>
        <v>284.91000000000003</v>
      </c>
      <c r="E652" s="3">
        <f ca="1">IFERROR(__xludf.DUMMYFUNCTION("""COMPUTED_VALUE"""),44407.6666666666)</f>
        <v>44407.666666666599</v>
      </c>
      <c r="F652" s="2">
        <f ca="1">IFERROR(__xludf.DUMMYFUNCTION("""COMPUTED_VALUE"""),3327.59)</f>
        <v>3327.59</v>
      </c>
      <c r="G652" s="3">
        <f ca="1">IFERROR(__xludf.DUMMYFUNCTION("""COMPUTED_VALUE"""),44407.6666666666)</f>
        <v>44407.666666666599</v>
      </c>
      <c r="H652" s="2">
        <f ca="1">IFERROR(__xludf.DUMMYFUNCTION("""COMPUTED_VALUE"""),2694.53)</f>
        <v>2694.53</v>
      </c>
      <c r="I652" s="3">
        <f ca="1">IFERROR(__xludf.DUMMYFUNCTION("""COMPUTED_VALUE"""),44407.6666666666)</f>
        <v>44407.666666666599</v>
      </c>
      <c r="J652" s="2">
        <f ca="1">IFERROR(__xludf.DUMMYFUNCTION("""COMPUTED_VALUE"""),2704.42)</f>
        <v>2704.42</v>
      </c>
      <c r="K652" s="3">
        <f ca="1">IFERROR(__xludf.DUMMYFUNCTION("""COMPUTED_VALUE"""),44407.6666666666)</f>
        <v>44407.666666666599</v>
      </c>
      <c r="L652" s="2">
        <f ca="1">IFERROR(__xludf.DUMMYFUNCTION("""COMPUTED_VALUE"""),356.3)</f>
        <v>356.3</v>
      </c>
      <c r="M652" s="3">
        <f ca="1">IFERROR(__xludf.DUMMYFUNCTION("""COMPUTED_VALUE"""),44407.6666666666)</f>
        <v>44407.666666666599</v>
      </c>
      <c r="N652" s="2">
        <f ca="1">IFERROR(__xludf.DUMMYFUNCTION("""COMPUTED_VALUE"""),687.2)</f>
        <v>687.2</v>
      </c>
      <c r="O652" s="3">
        <f ca="1">IFERROR(__xludf.DUMMYFUNCTION("""COMPUTED_VALUE"""),44407.6666666666)</f>
        <v>44407.666666666599</v>
      </c>
      <c r="P652" s="2">
        <f ca="1">IFERROR(__xludf.DUMMYFUNCTION("""COMPUTED_VALUE"""),194.99)</f>
        <v>194.99</v>
      </c>
      <c r="Q652" s="3">
        <f ca="1">IFERROR(__xludf.DUMMYFUNCTION("""COMPUTED_VALUE"""),44407.6666666666)</f>
        <v>44407.666666666599</v>
      </c>
      <c r="R652" s="2">
        <f ca="1">IFERROR(__xludf.DUMMYFUNCTION("""COMPUTED_VALUE"""),278.29)</f>
        <v>278.29000000000002</v>
      </c>
      <c r="S652" s="3">
        <f ca="1">IFERROR(__xludf.DUMMYFUNCTION("""COMPUTED_VALUE"""),44407.6666666666)</f>
        <v>44407.666666666599</v>
      </c>
      <c r="T652" s="2">
        <f ca="1">IFERROR(__xludf.DUMMYFUNCTION("""COMPUTED_VALUE"""),172.2)</f>
        <v>172.2</v>
      </c>
    </row>
    <row r="653" spans="1:20">
      <c r="A653" s="3">
        <f ca="1">IFERROR(__xludf.DUMMYFUNCTION("""COMPUTED_VALUE"""),44410.6666666666)</f>
        <v>44410.666666666599</v>
      </c>
      <c r="B653" s="2">
        <f ca="1">IFERROR(__xludf.DUMMYFUNCTION("""COMPUTED_VALUE"""),145.52)</f>
        <v>145.52000000000001</v>
      </c>
      <c r="C653" s="3">
        <f ca="1">IFERROR(__xludf.DUMMYFUNCTION("""COMPUTED_VALUE"""),44410.6666666666)</f>
        <v>44410.666666666599</v>
      </c>
      <c r="D653" s="2">
        <f ca="1">IFERROR(__xludf.DUMMYFUNCTION("""COMPUTED_VALUE"""),284.82)</f>
        <v>284.82</v>
      </c>
      <c r="E653" s="3">
        <f ca="1">IFERROR(__xludf.DUMMYFUNCTION("""COMPUTED_VALUE"""),44410.6666666666)</f>
        <v>44410.666666666599</v>
      </c>
      <c r="F653" s="2">
        <f ca="1">IFERROR(__xludf.DUMMYFUNCTION("""COMPUTED_VALUE"""),3331.48)</f>
        <v>3331.48</v>
      </c>
      <c r="G653" s="3">
        <f ca="1">IFERROR(__xludf.DUMMYFUNCTION("""COMPUTED_VALUE"""),44410.6666666666)</f>
        <v>44410.666666666599</v>
      </c>
      <c r="H653" s="2">
        <f ca="1">IFERROR(__xludf.DUMMYFUNCTION("""COMPUTED_VALUE"""),2697.09)</f>
        <v>2697.09</v>
      </c>
      <c r="I653" s="3">
        <f ca="1">IFERROR(__xludf.DUMMYFUNCTION("""COMPUTED_VALUE"""),44410.6666666666)</f>
        <v>44410.666666666599</v>
      </c>
      <c r="J653" s="2">
        <f ca="1">IFERROR(__xludf.DUMMYFUNCTION("""COMPUTED_VALUE"""),2719.79)</f>
        <v>2719.79</v>
      </c>
      <c r="K653" s="3">
        <f ca="1">IFERROR(__xludf.DUMMYFUNCTION("""COMPUTED_VALUE"""),44410.6666666666)</f>
        <v>44410.666666666599</v>
      </c>
      <c r="L653" s="2">
        <f ca="1">IFERROR(__xludf.DUMMYFUNCTION("""COMPUTED_VALUE"""),351.95)</f>
        <v>351.95</v>
      </c>
      <c r="M653" s="3">
        <f ca="1">IFERROR(__xludf.DUMMYFUNCTION("""COMPUTED_VALUE"""),44410.6666666666)</f>
        <v>44410.666666666599</v>
      </c>
      <c r="N653" s="2">
        <f ca="1">IFERROR(__xludf.DUMMYFUNCTION("""COMPUTED_VALUE"""),709.67)</f>
        <v>709.67</v>
      </c>
      <c r="O653" s="3">
        <f ca="1">IFERROR(__xludf.DUMMYFUNCTION("""COMPUTED_VALUE"""),44410.6666666666)</f>
        <v>44410.666666666599</v>
      </c>
      <c r="P653" s="2">
        <f ca="1">IFERROR(__xludf.DUMMYFUNCTION("""COMPUTED_VALUE"""),197.5)</f>
        <v>197.5</v>
      </c>
      <c r="Q653" s="3">
        <f ca="1">IFERROR(__xludf.DUMMYFUNCTION("""COMPUTED_VALUE"""),44410.6666666666)</f>
        <v>44410.666666666599</v>
      </c>
      <c r="R653" s="2">
        <f ca="1">IFERROR(__xludf.DUMMYFUNCTION("""COMPUTED_VALUE"""),278.14)</f>
        <v>278.14</v>
      </c>
      <c r="S653" s="3">
        <f ca="1">IFERROR(__xludf.DUMMYFUNCTION("""COMPUTED_VALUE"""),44410.6666666666)</f>
        <v>44410.666666666599</v>
      </c>
      <c r="T653" s="2">
        <f ca="1">IFERROR(__xludf.DUMMYFUNCTION("""COMPUTED_VALUE"""),172.27)</f>
        <v>172.27</v>
      </c>
    </row>
    <row r="654" spans="1:20">
      <c r="A654" s="3">
        <f ca="1">IFERROR(__xludf.DUMMYFUNCTION("""COMPUTED_VALUE"""),44411.6666666666)</f>
        <v>44411.666666666599</v>
      </c>
      <c r="B654" s="2">
        <f ca="1">IFERROR(__xludf.DUMMYFUNCTION("""COMPUTED_VALUE"""),147.36)</f>
        <v>147.36000000000001</v>
      </c>
      <c r="C654" s="3">
        <f ca="1">IFERROR(__xludf.DUMMYFUNCTION("""COMPUTED_VALUE"""),44411.6666666666)</f>
        <v>44411.666666666599</v>
      </c>
      <c r="D654" s="2">
        <f ca="1">IFERROR(__xludf.DUMMYFUNCTION("""COMPUTED_VALUE"""),287.12)</f>
        <v>287.12</v>
      </c>
      <c r="E654" s="3">
        <f ca="1">IFERROR(__xludf.DUMMYFUNCTION("""COMPUTED_VALUE"""),44411.6666666666)</f>
        <v>44411.666666666599</v>
      </c>
      <c r="F654" s="2">
        <f ca="1">IFERROR(__xludf.DUMMYFUNCTION("""COMPUTED_VALUE"""),3366.24)</f>
        <v>3366.24</v>
      </c>
      <c r="G654" s="3">
        <f ca="1">IFERROR(__xludf.DUMMYFUNCTION("""COMPUTED_VALUE"""),44411.6666666666)</f>
        <v>44411.666666666599</v>
      </c>
      <c r="H654" s="2">
        <f ca="1">IFERROR(__xludf.DUMMYFUNCTION("""COMPUTED_VALUE"""),2712.6)</f>
        <v>2712.6</v>
      </c>
      <c r="I654" s="3">
        <f ca="1">IFERROR(__xludf.DUMMYFUNCTION("""COMPUTED_VALUE"""),44411.6666666666)</f>
        <v>44411.666666666599</v>
      </c>
      <c r="J654" s="2">
        <f ca="1">IFERROR(__xludf.DUMMYFUNCTION("""COMPUTED_VALUE"""),2725.6)</f>
        <v>2725.6</v>
      </c>
      <c r="K654" s="3">
        <f ca="1">IFERROR(__xludf.DUMMYFUNCTION("""COMPUTED_VALUE"""),44411.6666666666)</f>
        <v>44411.666666666599</v>
      </c>
      <c r="L654" s="2">
        <f ca="1">IFERROR(__xludf.DUMMYFUNCTION("""COMPUTED_VALUE"""),351.24)</f>
        <v>351.24</v>
      </c>
      <c r="M654" s="3">
        <f ca="1">IFERROR(__xludf.DUMMYFUNCTION("""COMPUTED_VALUE"""),44411.6666666666)</f>
        <v>44411.666666666599</v>
      </c>
      <c r="N654" s="2">
        <f ca="1">IFERROR(__xludf.DUMMYFUNCTION("""COMPUTED_VALUE"""),709.74)</f>
        <v>709.74</v>
      </c>
      <c r="O654" s="3">
        <f ca="1">IFERROR(__xludf.DUMMYFUNCTION("""COMPUTED_VALUE"""),44411.6666666666)</f>
        <v>44411.666666666599</v>
      </c>
      <c r="P654" s="2">
        <f ca="1">IFERROR(__xludf.DUMMYFUNCTION("""COMPUTED_VALUE"""),198.15)</f>
        <v>198.15</v>
      </c>
      <c r="Q654" s="3">
        <f ca="1">IFERROR(__xludf.DUMMYFUNCTION("""COMPUTED_VALUE"""),44411.6666666666)</f>
        <v>44411.666666666599</v>
      </c>
      <c r="R654" s="2">
        <f ca="1">IFERROR(__xludf.DUMMYFUNCTION("""COMPUTED_VALUE"""),281.8)</f>
        <v>281.8</v>
      </c>
      <c r="S654" s="3">
        <f ca="1">IFERROR(__xludf.DUMMYFUNCTION("""COMPUTED_VALUE"""),44411.6666666666)</f>
        <v>44411.666666666599</v>
      </c>
      <c r="T654" s="2">
        <f ca="1">IFERROR(__xludf.DUMMYFUNCTION("""COMPUTED_VALUE"""),174.39)</f>
        <v>174.39</v>
      </c>
    </row>
    <row r="655" spans="1:20">
      <c r="A655" s="3">
        <f ca="1">IFERROR(__xludf.DUMMYFUNCTION("""COMPUTED_VALUE"""),44412.6666666666)</f>
        <v>44412.666666666599</v>
      </c>
      <c r="B655" s="2">
        <f ca="1">IFERROR(__xludf.DUMMYFUNCTION("""COMPUTED_VALUE"""),146.95)</f>
        <v>146.94999999999999</v>
      </c>
      <c r="C655" s="3">
        <f ca="1">IFERROR(__xludf.DUMMYFUNCTION("""COMPUTED_VALUE"""),44412.6666666666)</f>
        <v>44412.666666666599</v>
      </c>
      <c r="D655" s="2">
        <f ca="1">IFERROR(__xludf.DUMMYFUNCTION("""COMPUTED_VALUE"""),286.51)</f>
        <v>286.51</v>
      </c>
      <c r="E655" s="3">
        <f ca="1">IFERROR(__xludf.DUMMYFUNCTION("""COMPUTED_VALUE"""),44412.6666666666)</f>
        <v>44412.666666666599</v>
      </c>
      <c r="F655" s="2">
        <f ca="1">IFERROR(__xludf.DUMMYFUNCTION("""COMPUTED_VALUE"""),3354.72)</f>
        <v>3354.72</v>
      </c>
      <c r="G655" s="3">
        <f ca="1">IFERROR(__xludf.DUMMYFUNCTION("""COMPUTED_VALUE"""),44412.6666666666)</f>
        <v>44412.666666666599</v>
      </c>
      <c r="H655" s="2">
        <f ca="1">IFERROR(__xludf.DUMMYFUNCTION("""COMPUTED_VALUE"""),2702.51)</f>
        <v>2702.51</v>
      </c>
      <c r="I655" s="3">
        <f ca="1">IFERROR(__xludf.DUMMYFUNCTION("""COMPUTED_VALUE"""),44412.6666666666)</f>
        <v>44412.666666666599</v>
      </c>
      <c r="J655" s="2">
        <f ca="1">IFERROR(__xludf.DUMMYFUNCTION("""COMPUTED_VALUE"""),2720.57)</f>
        <v>2720.57</v>
      </c>
      <c r="K655" s="3">
        <f ca="1">IFERROR(__xludf.DUMMYFUNCTION("""COMPUTED_VALUE"""),44412.6666666666)</f>
        <v>44412.666666666599</v>
      </c>
      <c r="L655" s="2">
        <f ca="1">IFERROR(__xludf.DUMMYFUNCTION("""COMPUTED_VALUE"""),358.92)</f>
        <v>358.92</v>
      </c>
      <c r="M655" s="3">
        <f ca="1">IFERROR(__xludf.DUMMYFUNCTION("""COMPUTED_VALUE"""),44412.6666666666)</f>
        <v>44412.666666666599</v>
      </c>
      <c r="N655" s="2">
        <f ca="1">IFERROR(__xludf.DUMMYFUNCTION("""COMPUTED_VALUE"""),710.92)</f>
        <v>710.92</v>
      </c>
      <c r="O655" s="3">
        <f ca="1">IFERROR(__xludf.DUMMYFUNCTION("""COMPUTED_VALUE"""),44412.6666666666)</f>
        <v>44412.666666666599</v>
      </c>
      <c r="P655" s="2">
        <f ca="1">IFERROR(__xludf.DUMMYFUNCTION("""COMPUTED_VALUE"""),202.74)</f>
        <v>202.74</v>
      </c>
      <c r="Q655" s="3">
        <f ca="1">IFERROR(__xludf.DUMMYFUNCTION("""COMPUTED_VALUE"""),44412.6666666666)</f>
        <v>44412.666666666599</v>
      </c>
      <c r="R655" s="2">
        <f ca="1">IFERROR(__xludf.DUMMYFUNCTION("""COMPUTED_VALUE"""),278.78)</f>
        <v>278.77999999999997</v>
      </c>
      <c r="S655" s="3">
        <f ca="1">IFERROR(__xludf.DUMMYFUNCTION("""COMPUTED_VALUE"""),44412.6666666666)</f>
        <v>44412.666666666599</v>
      </c>
      <c r="T655" s="2">
        <f ca="1">IFERROR(__xludf.DUMMYFUNCTION("""COMPUTED_VALUE"""),173.36)</f>
        <v>173.36</v>
      </c>
    </row>
    <row r="656" spans="1:20">
      <c r="A656" s="3">
        <f ca="1">IFERROR(__xludf.DUMMYFUNCTION("""COMPUTED_VALUE"""),44413.6666666666)</f>
        <v>44413.666666666599</v>
      </c>
      <c r="B656" s="2">
        <f ca="1">IFERROR(__xludf.DUMMYFUNCTION("""COMPUTED_VALUE"""),147.06)</f>
        <v>147.06</v>
      </c>
      <c r="C656" s="3">
        <f ca="1">IFERROR(__xludf.DUMMYFUNCTION("""COMPUTED_VALUE"""),44413.6666666666)</f>
        <v>44413.666666666599</v>
      </c>
      <c r="D656" s="2">
        <f ca="1">IFERROR(__xludf.DUMMYFUNCTION("""COMPUTED_VALUE"""),289.52)</f>
        <v>289.52</v>
      </c>
      <c r="E656" s="3">
        <f ca="1">IFERROR(__xludf.DUMMYFUNCTION("""COMPUTED_VALUE"""),44413.6666666666)</f>
        <v>44413.666666666599</v>
      </c>
      <c r="F656" s="2">
        <f ca="1">IFERROR(__xludf.DUMMYFUNCTION("""COMPUTED_VALUE"""),3375.99)</f>
        <v>3375.99</v>
      </c>
      <c r="G656" s="3">
        <f ca="1">IFERROR(__xludf.DUMMYFUNCTION("""COMPUTED_VALUE"""),44413.6666666666)</f>
        <v>44413.666666666599</v>
      </c>
      <c r="H656" s="2">
        <f ca="1">IFERROR(__xludf.DUMMYFUNCTION("""COMPUTED_VALUE"""),2725.03)</f>
        <v>2725.03</v>
      </c>
      <c r="I656" s="3">
        <f ca="1">IFERROR(__xludf.DUMMYFUNCTION("""COMPUTED_VALUE"""),44413.6666666666)</f>
        <v>44413.666666666599</v>
      </c>
      <c r="J656" s="2">
        <f ca="1">IFERROR(__xludf.DUMMYFUNCTION("""COMPUTED_VALUE"""),2738.8)</f>
        <v>2738.8</v>
      </c>
      <c r="K656" s="3">
        <f ca="1">IFERROR(__xludf.DUMMYFUNCTION("""COMPUTED_VALUE"""),44413.6666666666)</f>
        <v>44413.666666666599</v>
      </c>
      <c r="L656" s="2">
        <f ca="1">IFERROR(__xludf.DUMMYFUNCTION("""COMPUTED_VALUE"""),362.97)</f>
        <v>362.97</v>
      </c>
      <c r="M656" s="3">
        <f ca="1">IFERROR(__xludf.DUMMYFUNCTION("""COMPUTED_VALUE"""),44413.6666666666)</f>
        <v>44413.666666666599</v>
      </c>
      <c r="N656" s="2">
        <f ca="1">IFERROR(__xludf.DUMMYFUNCTION("""COMPUTED_VALUE"""),714.63)</f>
        <v>714.63</v>
      </c>
      <c r="O656" s="3">
        <f ca="1">IFERROR(__xludf.DUMMYFUNCTION("""COMPUTED_VALUE"""),44413.6666666666)</f>
        <v>44413.666666666599</v>
      </c>
      <c r="P656" s="2">
        <f ca="1">IFERROR(__xludf.DUMMYFUNCTION("""COMPUTED_VALUE"""),206.37)</f>
        <v>206.37</v>
      </c>
      <c r="Q656" s="3">
        <f ca="1">IFERROR(__xludf.DUMMYFUNCTION("""COMPUTED_VALUE"""),44413.6666666666)</f>
        <v>44413.666666666599</v>
      </c>
      <c r="R656" s="2">
        <f ca="1">IFERROR(__xludf.DUMMYFUNCTION("""COMPUTED_VALUE"""),280.21)</f>
        <v>280.20999999999998</v>
      </c>
      <c r="S656" s="3">
        <f ca="1">IFERROR(__xludf.DUMMYFUNCTION("""COMPUTED_VALUE"""),44413.6666666666)</f>
        <v>44413.666666666599</v>
      </c>
      <c r="T656" s="2">
        <f ca="1">IFERROR(__xludf.DUMMYFUNCTION("""COMPUTED_VALUE"""),173.69)</f>
        <v>173.69</v>
      </c>
    </row>
    <row r="657" spans="1:20">
      <c r="A657" s="3">
        <f ca="1">IFERROR(__xludf.DUMMYFUNCTION("""COMPUTED_VALUE"""),44414.6666666666)</f>
        <v>44414.666666666599</v>
      </c>
      <c r="B657" s="2">
        <f ca="1">IFERROR(__xludf.DUMMYFUNCTION("""COMPUTED_VALUE"""),146.14)</f>
        <v>146.13999999999999</v>
      </c>
      <c r="C657" s="3">
        <f ca="1">IFERROR(__xludf.DUMMYFUNCTION("""COMPUTED_VALUE"""),44414.6666666666)</f>
        <v>44414.666666666599</v>
      </c>
      <c r="D657" s="2">
        <f ca="1">IFERROR(__xludf.DUMMYFUNCTION("""COMPUTED_VALUE"""),289.46)</f>
        <v>289.45999999999998</v>
      </c>
      <c r="E657" s="3">
        <f ca="1">IFERROR(__xludf.DUMMYFUNCTION("""COMPUTED_VALUE"""),44414.6666666666)</f>
        <v>44414.666666666599</v>
      </c>
      <c r="F657" s="2">
        <f ca="1">IFERROR(__xludf.DUMMYFUNCTION("""COMPUTED_VALUE"""),3344.94)</f>
        <v>3344.94</v>
      </c>
      <c r="G657" s="3">
        <f ca="1">IFERROR(__xludf.DUMMYFUNCTION("""COMPUTED_VALUE"""),44414.6666666666)</f>
        <v>44414.666666666599</v>
      </c>
      <c r="H657" s="2">
        <f ca="1">IFERROR(__xludf.DUMMYFUNCTION("""COMPUTED_VALUE"""),2714.77)</f>
        <v>2714.77</v>
      </c>
      <c r="I657" s="3">
        <f ca="1">IFERROR(__xludf.DUMMYFUNCTION("""COMPUTED_VALUE"""),44414.6666666666)</f>
        <v>44414.666666666599</v>
      </c>
      <c r="J657" s="2">
        <f ca="1">IFERROR(__xludf.DUMMYFUNCTION("""COMPUTED_VALUE"""),2740.72)</f>
        <v>2740.72</v>
      </c>
      <c r="K657" s="3">
        <f ca="1">IFERROR(__xludf.DUMMYFUNCTION("""COMPUTED_VALUE"""),44414.6666666666)</f>
        <v>44414.666666666599</v>
      </c>
      <c r="L657" s="2">
        <f ca="1">IFERROR(__xludf.DUMMYFUNCTION("""COMPUTED_VALUE"""),363.51)</f>
        <v>363.51</v>
      </c>
      <c r="M657" s="3">
        <f ca="1">IFERROR(__xludf.DUMMYFUNCTION("""COMPUTED_VALUE"""),44414.6666666666)</f>
        <v>44414.666666666599</v>
      </c>
      <c r="N657" s="2">
        <f ca="1">IFERROR(__xludf.DUMMYFUNCTION("""COMPUTED_VALUE"""),699.1)</f>
        <v>699.1</v>
      </c>
      <c r="O657" s="3">
        <f ca="1">IFERROR(__xludf.DUMMYFUNCTION("""COMPUTED_VALUE"""),44414.6666666666)</f>
        <v>44414.666666666599</v>
      </c>
      <c r="P657" s="2">
        <f ca="1">IFERROR(__xludf.DUMMYFUNCTION("""COMPUTED_VALUE"""),203.66)</f>
        <v>203.66</v>
      </c>
      <c r="Q657" s="3">
        <f ca="1">IFERROR(__xludf.DUMMYFUNCTION("""COMPUTED_VALUE"""),44414.6666666666)</f>
        <v>44414.666666666599</v>
      </c>
      <c r="R657" s="2">
        <f ca="1">IFERROR(__xludf.DUMMYFUNCTION("""COMPUTED_VALUE"""),285.63)</f>
        <v>285.63</v>
      </c>
      <c r="S657" s="3">
        <f ca="1">IFERROR(__xludf.DUMMYFUNCTION("""COMPUTED_VALUE"""),44414.6666666666)</f>
        <v>44414.666666666599</v>
      </c>
      <c r="T657" s="2">
        <f ca="1">IFERROR(__xludf.DUMMYFUNCTION("""COMPUTED_VALUE"""),173.11)</f>
        <v>173.11</v>
      </c>
    </row>
    <row r="658" spans="1:20">
      <c r="A658" s="3">
        <f ca="1">IFERROR(__xludf.DUMMYFUNCTION("""COMPUTED_VALUE"""),44417.6666666666)</f>
        <v>44417.666666666599</v>
      </c>
      <c r="B658" s="2">
        <f ca="1">IFERROR(__xludf.DUMMYFUNCTION("""COMPUTED_VALUE"""),146.09)</f>
        <v>146.09</v>
      </c>
      <c r="C658" s="3">
        <f ca="1">IFERROR(__xludf.DUMMYFUNCTION("""COMPUTED_VALUE"""),44417.6666666666)</f>
        <v>44417.666666666599</v>
      </c>
      <c r="D658" s="2">
        <f ca="1">IFERROR(__xludf.DUMMYFUNCTION("""COMPUTED_VALUE"""),288.33)</f>
        <v>288.33</v>
      </c>
      <c r="E658" s="3">
        <f ca="1">IFERROR(__xludf.DUMMYFUNCTION("""COMPUTED_VALUE"""),44417.6666666666)</f>
        <v>44417.666666666599</v>
      </c>
      <c r="F658" s="2">
        <f ca="1">IFERROR(__xludf.DUMMYFUNCTION("""COMPUTED_VALUE"""),3341.87)</f>
        <v>3341.87</v>
      </c>
      <c r="G658" s="3">
        <f ca="1">IFERROR(__xludf.DUMMYFUNCTION("""COMPUTED_VALUE"""),44417.6666666666)</f>
        <v>44417.666666666599</v>
      </c>
      <c r="H658" s="2">
        <f ca="1">IFERROR(__xludf.DUMMYFUNCTION("""COMPUTED_VALUE"""),2738.26)</f>
        <v>2738.26</v>
      </c>
      <c r="I658" s="3">
        <f ca="1">IFERROR(__xludf.DUMMYFUNCTION("""COMPUTED_VALUE"""),44417.6666666666)</f>
        <v>44417.666666666599</v>
      </c>
      <c r="J658" s="2">
        <f ca="1">IFERROR(__xludf.DUMMYFUNCTION("""COMPUTED_VALUE"""),2760.04)</f>
        <v>2760.04</v>
      </c>
      <c r="K658" s="3">
        <f ca="1">IFERROR(__xludf.DUMMYFUNCTION("""COMPUTED_VALUE"""),44417.6666666666)</f>
        <v>44417.666666666599</v>
      </c>
      <c r="L658" s="2">
        <f ca="1">IFERROR(__xludf.DUMMYFUNCTION("""COMPUTED_VALUE"""),361.61)</f>
        <v>361.61</v>
      </c>
      <c r="M658" s="3">
        <f ca="1">IFERROR(__xludf.DUMMYFUNCTION("""COMPUTED_VALUE"""),44417.6666666666)</f>
        <v>44417.666666666599</v>
      </c>
      <c r="N658" s="2">
        <f ca="1">IFERROR(__xludf.DUMMYFUNCTION("""COMPUTED_VALUE"""),713.76)</f>
        <v>713.76</v>
      </c>
      <c r="O658" s="3">
        <f ca="1">IFERROR(__xludf.DUMMYFUNCTION("""COMPUTED_VALUE"""),44417.6666666666)</f>
        <v>44417.666666666599</v>
      </c>
      <c r="P658" s="2">
        <f ca="1">IFERROR(__xludf.DUMMYFUNCTION("""COMPUTED_VALUE"""),202.95)</f>
        <v>202.95</v>
      </c>
      <c r="Q658" s="3">
        <f ca="1">IFERROR(__xludf.DUMMYFUNCTION("""COMPUTED_VALUE"""),44417.6666666666)</f>
        <v>44417.666666666599</v>
      </c>
      <c r="R658" s="2">
        <f ca="1">IFERROR(__xludf.DUMMYFUNCTION("""COMPUTED_VALUE"""),287.23)</f>
        <v>287.23</v>
      </c>
      <c r="S658" s="3">
        <f ca="1">IFERROR(__xludf.DUMMYFUNCTION("""COMPUTED_VALUE"""),44417.6666666666)</f>
        <v>44417.666666666599</v>
      </c>
      <c r="T658" s="2">
        <f ca="1">IFERROR(__xludf.DUMMYFUNCTION("""COMPUTED_VALUE"""),173.71)</f>
        <v>173.71</v>
      </c>
    </row>
    <row r="659" spans="1:20">
      <c r="A659" s="3">
        <f ca="1">IFERROR(__xludf.DUMMYFUNCTION("""COMPUTED_VALUE"""),44418.6666666666)</f>
        <v>44418.666666666599</v>
      </c>
      <c r="B659" s="2">
        <f ca="1">IFERROR(__xludf.DUMMYFUNCTION("""COMPUTED_VALUE"""),145.6)</f>
        <v>145.6</v>
      </c>
      <c r="C659" s="3">
        <f ca="1">IFERROR(__xludf.DUMMYFUNCTION("""COMPUTED_VALUE"""),44418.6666666666)</f>
        <v>44418.666666666599</v>
      </c>
      <c r="D659" s="2">
        <f ca="1">IFERROR(__xludf.DUMMYFUNCTION("""COMPUTED_VALUE"""),286.44)</f>
        <v>286.44</v>
      </c>
      <c r="E659" s="3">
        <f ca="1">IFERROR(__xludf.DUMMYFUNCTION("""COMPUTED_VALUE"""),44418.6666666666)</f>
        <v>44418.666666666599</v>
      </c>
      <c r="F659" s="2">
        <f ca="1">IFERROR(__xludf.DUMMYFUNCTION("""COMPUTED_VALUE"""),3320.68)</f>
        <v>3320.68</v>
      </c>
      <c r="G659" s="3">
        <f ca="1">IFERROR(__xludf.DUMMYFUNCTION("""COMPUTED_VALUE"""),44418.6666666666)</f>
        <v>44418.666666666599</v>
      </c>
      <c r="H659" s="2">
        <f ca="1">IFERROR(__xludf.DUMMYFUNCTION("""COMPUTED_VALUE"""),2736.14)</f>
        <v>2736.14</v>
      </c>
      <c r="I659" s="3">
        <f ca="1">IFERROR(__xludf.DUMMYFUNCTION("""COMPUTED_VALUE"""),44418.6666666666)</f>
        <v>44418.666666666599</v>
      </c>
      <c r="J659" s="2">
        <f ca="1">IFERROR(__xludf.DUMMYFUNCTION("""COMPUTED_VALUE"""),2761.93)</f>
        <v>2761.93</v>
      </c>
      <c r="K659" s="3">
        <f ca="1">IFERROR(__xludf.DUMMYFUNCTION("""COMPUTED_VALUE"""),44418.6666666666)</f>
        <v>44418.666666666599</v>
      </c>
      <c r="L659" s="2">
        <f ca="1">IFERROR(__xludf.DUMMYFUNCTION("""COMPUTED_VALUE"""),361.13)</f>
        <v>361.13</v>
      </c>
      <c r="M659" s="3">
        <f ca="1">IFERROR(__xludf.DUMMYFUNCTION("""COMPUTED_VALUE"""),44418.6666666666)</f>
        <v>44418.666666666599</v>
      </c>
      <c r="N659" s="2">
        <f ca="1">IFERROR(__xludf.DUMMYFUNCTION("""COMPUTED_VALUE"""),709.99)</f>
        <v>709.99</v>
      </c>
      <c r="O659" s="3">
        <f ca="1">IFERROR(__xludf.DUMMYFUNCTION("""COMPUTED_VALUE"""),44418.6666666666)</f>
        <v>44418.666666666599</v>
      </c>
      <c r="P659" s="2">
        <f ca="1">IFERROR(__xludf.DUMMYFUNCTION("""COMPUTED_VALUE"""),199.36)</f>
        <v>199.36</v>
      </c>
      <c r="Q659" s="3">
        <f ca="1">IFERROR(__xludf.DUMMYFUNCTION("""COMPUTED_VALUE"""),44418.6666666666)</f>
        <v>44418.666666666599</v>
      </c>
      <c r="R659" s="2">
        <f ca="1">IFERROR(__xludf.DUMMYFUNCTION("""COMPUTED_VALUE"""),288.94)</f>
        <v>288.94</v>
      </c>
      <c r="S659" s="3">
        <f ca="1">IFERROR(__xludf.DUMMYFUNCTION("""COMPUTED_VALUE"""),44418.6666666666)</f>
        <v>44418.666666666599</v>
      </c>
      <c r="T659" s="2">
        <f ca="1">IFERROR(__xludf.DUMMYFUNCTION("""COMPUTED_VALUE"""),173.77)</f>
        <v>173.77</v>
      </c>
    </row>
    <row r="660" spans="1:20">
      <c r="A660" s="3">
        <f ca="1">IFERROR(__xludf.DUMMYFUNCTION("""COMPUTED_VALUE"""),44419.6666666666)</f>
        <v>44419.666666666599</v>
      </c>
      <c r="B660" s="2">
        <f ca="1">IFERROR(__xludf.DUMMYFUNCTION("""COMPUTED_VALUE"""),145.86)</f>
        <v>145.86000000000001</v>
      </c>
      <c r="C660" s="3">
        <f ca="1">IFERROR(__xludf.DUMMYFUNCTION("""COMPUTED_VALUE"""),44419.6666666666)</f>
        <v>44419.666666666599</v>
      </c>
      <c r="D660" s="2">
        <f ca="1">IFERROR(__xludf.DUMMYFUNCTION("""COMPUTED_VALUE"""),286.95)</f>
        <v>286.95</v>
      </c>
      <c r="E660" s="3">
        <f ca="1">IFERROR(__xludf.DUMMYFUNCTION("""COMPUTED_VALUE"""),44419.6666666666)</f>
        <v>44419.666666666599</v>
      </c>
      <c r="F660" s="2">
        <f ca="1">IFERROR(__xludf.DUMMYFUNCTION("""COMPUTED_VALUE"""),3292.11)</f>
        <v>3292.11</v>
      </c>
      <c r="G660" s="3">
        <f ca="1">IFERROR(__xludf.DUMMYFUNCTION("""COMPUTED_VALUE"""),44419.6666666666)</f>
        <v>44419.666666666599</v>
      </c>
      <c r="H660" s="2">
        <f ca="1">IFERROR(__xludf.DUMMYFUNCTION("""COMPUTED_VALUE"""),2725.58)</f>
        <v>2725.58</v>
      </c>
      <c r="I660" s="3">
        <f ca="1">IFERROR(__xludf.DUMMYFUNCTION("""COMPUTED_VALUE"""),44419.6666666666)</f>
        <v>44419.666666666599</v>
      </c>
      <c r="J660" s="2">
        <f ca="1">IFERROR(__xludf.DUMMYFUNCTION("""COMPUTED_VALUE"""),2753.79)</f>
        <v>2753.79</v>
      </c>
      <c r="K660" s="3">
        <f ca="1">IFERROR(__xludf.DUMMYFUNCTION("""COMPUTED_VALUE"""),44419.6666666666)</f>
        <v>44419.666666666599</v>
      </c>
      <c r="L660" s="2">
        <f ca="1">IFERROR(__xludf.DUMMYFUNCTION("""COMPUTED_VALUE"""),359.96)</f>
        <v>359.96</v>
      </c>
      <c r="M660" s="3">
        <f ca="1">IFERROR(__xludf.DUMMYFUNCTION("""COMPUTED_VALUE"""),44419.6666666666)</f>
        <v>44419.666666666599</v>
      </c>
      <c r="N660" s="2">
        <f ca="1">IFERROR(__xludf.DUMMYFUNCTION("""COMPUTED_VALUE"""),707.82)</f>
        <v>707.82</v>
      </c>
      <c r="O660" s="3">
        <f ca="1">IFERROR(__xludf.DUMMYFUNCTION("""COMPUTED_VALUE"""),44419.6666666666)</f>
        <v>44419.666666666599</v>
      </c>
      <c r="P660" s="2">
        <f ca="1">IFERROR(__xludf.DUMMYFUNCTION("""COMPUTED_VALUE"""),196.99)</f>
        <v>196.99</v>
      </c>
      <c r="Q660" s="3">
        <f ca="1">IFERROR(__xludf.DUMMYFUNCTION("""COMPUTED_VALUE"""),44419.6666666666)</f>
        <v>44419.666666666599</v>
      </c>
      <c r="R660" s="2">
        <f ca="1">IFERROR(__xludf.DUMMYFUNCTION("""COMPUTED_VALUE"""),291.28)</f>
        <v>291.27999999999997</v>
      </c>
      <c r="S660" s="3">
        <f ca="1">IFERROR(__xludf.DUMMYFUNCTION("""COMPUTED_VALUE"""),44419.6666666666)</f>
        <v>44419.666666666599</v>
      </c>
      <c r="T660" s="2">
        <f ca="1">IFERROR(__xludf.DUMMYFUNCTION("""COMPUTED_VALUE"""),173.8)</f>
        <v>173.8</v>
      </c>
    </row>
    <row r="661" spans="1:20">
      <c r="A661" s="3">
        <f ca="1">IFERROR(__xludf.DUMMYFUNCTION("""COMPUTED_VALUE"""),44420.6666666666)</f>
        <v>44420.666666666599</v>
      </c>
      <c r="B661" s="2">
        <f ca="1">IFERROR(__xludf.DUMMYFUNCTION("""COMPUTED_VALUE"""),148.89)</f>
        <v>148.88999999999999</v>
      </c>
      <c r="C661" s="3">
        <f ca="1">IFERROR(__xludf.DUMMYFUNCTION("""COMPUTED_VALUE"""),44420.6666666666)</f>
        <v>44420.666666666599</v>
      </c>
      <c r="D661" s="2">
        <f ca="1">IFERROR(__xludf.DUMMYFUNCTION("""COMPUTED_VALUE"""),289.81)</f>
        <v>289.81</v>
      </c>
      <c r="E661" s="3">
        <f ca="1">IFERROR(__xludf.DUMMYFUNCTION("""COMPUTED_VALUE"""),44420.6666666666)</f>
        <v>44420.666666666599</v>
      </c>
      <c r="F661" s="2">
        <f ca="1">IFERROR(__xludf.DUMMYFUNCTION("""COMPUTED_VALUE"""),3303.5)</f>
        <v>3303.5</v>
      </c>
      <c r="G661" s="3">
        <f ca="1">IFERROR(__xludf.DUMMYFUNCTION("""COMPUTED_VALUE"""),44420.6666666666)</f>
        <v>44420.666666666599</v>
      </c>
      <c r="H661" s="2">
        <f ca="1">IFERROR(__xludf.DUMMYFUNCTION("""COMPUTED_VALUE"""),2743.88)</f>
        <v>2743.88</v>
      </c>
      <c r="I661" s="3">
        <f ca="1">IFERROR(__xludf.DUMMYFUNCTION("""COMPUTED_VALUE"""),44420.6666666666)</f>
        <v>44420.666666666599</v>
      </c>
      <c r="J661" s="2">
        <f ca="1">IFERROR(__xludf.DUMMYFUNCTION("""COMPUTED_VALUE"""),2767.79)</f>
        <v>2767.79</v>
      </c>
      <c r="K661" s="3">
        <f ca="1">IFERROR(__xludf.DUMMYFUNCTION("""COMPUTED_VALUE"""),44420.6666666666)</f>
        <v>44420.666666666599</v>
      </c>
      <c r="L661" s="2">
        <f ca="1">IFERROR(__xludf.DUMMYFUNCTION("""COMPUTED_VALUE"""),362.65)</f>
        <v>362.65</v>
      </c>
      <c r="M661" s="3">
        <f ca="1">IFERROR(__xludf.DUMMYFUNCTION("""COMPUTED_VALUE"""),44420.6666666666)</f>
        <v>44420.666666666599</v>
      </c>
      <c r="N661" s="2">
        <f ca="1">IFERROR(__xludf.DUMMYFUNCTION("""COMPUTED_VALUE"""),722.25)</f>
        <v>722.25</v>
      </c>
      <c r="O661" s="3">
        <f ca="1">IFERROR(__xludf.DUMMYFUNCTION("""COMPUTED_VALUE"""),44420.6666666666)</f>
        <v>44420.666666666599</v>
      </c>
      <c r="P661" s="2">
        <f ca="1">IFERROR(__xludf.DUMMYFUNCTION("""COMPUTED_VALUE"""),199.05)</f>
        <v>199.05</v>
      </c>
      <c r="Q661" s="3">
        <f ca="1">IFERROR(__xludf.DUMMYFUNCTION("""COMPUTED_VALUE"""),44420.6666666666)</f>
        <v>44420.666666666599</v>
      </c>
      <c r="R661" s="2">
        <f ca="1">IFERROR(__xludf.DUMMYFUNCTION("""COMPUTED_VALUE"""),290.24)</f>
        <v>290.24</v>
      </c>
      <c r="S661" s="3">
        <f ca="1">IFERROR(__xludf.DUMMYFUNCTION("""COMPUTED_VALUE"""),44420.6666666666)</f>
        <v>44420.666666666599</v>
      </c>
      <c r="T661" s="2">
        <f ca="1">IFERROR(__xludf.DUMMYFUNCTION("""COMPUTED_VALUE"""),175.2)</f>
        <v>175.2</v>
      </c>
    </row>
    <row r="662" spans="1:20">
      <c r="A662" s="3">
        <f ca="1">IFERROR(__xludf.DUMMYFUNCTION("""COMPUTED_VALUE"""),44421.6666666666)</f>
        <v>44421.666666666599</v>
      </c>
      <c r="B662" s="2">
        <f ca="1">IFERROR(__xludf.DUMMYFUNCTION("""COMPUTED_VALUE"""),149.1)</f>
        <v>149.1</v>
      </c>
      <c r="C662" s="3">
        <f ca="1">IFERROR(__xludf.DUMMYFUNCTION("""COMPUTED_VALUE"""),44421.6666666666)</f>
        <v>44421.666666666599</v>
      </c>
      <c r="D662" s="2">
        <f ca="1">IFERROR(__xludf.DUMMYFUNCTION("""COMPUTED_VALUE"""),292.85)</f>
        <v>292.85000000000002</v>
      </c>
      <c r="E662" s="3">
        <f ca="1">IFERROR(__xludf.DUMMYFUNCTION("""COMPUTED_VALUE"""),44421.6666666666)</f>
        <v>44421.666666666599</v>
      </c>
      <c r="F662" s="2">
        <f ca="1">IFERROR(__xludf.DUMMYFUNCTION("""COMPUTED_VALUE"""),3293.97)</f>
        <v>3293.97</v>
      </c>
      <c r="G662" s="3">
        <f ca="1">IFERROR(__xludf.DUMMYFUNCTION("""COMPUTED_VALUE"""),44421.6666666666)</f>
        <v>44421.666666666599</v>
      </c>
      <c r="H662" s="2">
        <f ca="1">IFERROR(__xludf.DUMMYFUNCTION("""COMPUTED_VALUE"""),2754.55)</f>
        <v>2754.55</v>
      </c>
      <c r="I662" s="3">
        <f ca="1">IFERROR(__xludf.DUMMYFUNCTION("""COMPUTED_VALUE"""),44421.6666666666)</f>
        <v>44421.666666666599</v>
      </c>
      <c r="J662" s="2">
        <f ca="1">IFERROR(__xludf.DUMMYFUNCTION("""COMPUTED_VALUE"""),2768.12)</f>
        <v>2768.12</v>
      </c>
      <c r="K662" s="3">
        <f ca="1">IFERROR(__xludf.DUMMYFUNCTION("""COMPUTED_VALUE"""),44421.6666666666)</f>
        <v>44421.666666666599</v>
      </c>
      <c r="L662" s="2">
        <f ca="1">IFERROR(__xludf.DUMMYFUNCTION("""COMPUTED_VALUE"""),363.18)</f>
        <v>363.18</v>
      </c>
      <c r="M662" s="3">
        <f ca="1">IFERROR(__xludf.DUMMYFUNCTION("""COMPUTED_VALUE"""),44421.6666666666)</f>
        <v>44421.666666666599</v>
      </c>
      <c r="N662" s="2">
        <f ca="1">IFERROR(__xludf.DUMMYFUNCTION("""COMPUTED_VALUE"""),717.17)</f>
        <v>717.17</v>
      </c>
      <c r="O662" s="3">
        <f ca="1">IFERROR(__xludf.DUMMYFUNCTION("""COMPUTED_VALUE"""),44421.6666666666)</f>
        <v>44421.666666666599</v>
      </c>
      <c r="P662" s="2">
        <f ca="1">IFERROR(__xludf.DUMMYFUNCTION("""COMPUTED_VALUE"""),201.88)</f>
        <v>201.88</v>
      </c>
      <c r="Q662" s="3">
        <f ca="1">IFERROR(__xludf.DUMMYFUNCTION("""COMPUTED_VALUE"""),44421.6666666666)</f>
        <v>44421.666666666599</v>
      </c>
      <c r="R662" s="2">
        <f ca="1">IFERROR(__xludf.DUMMYFUNCTION("""COMPUTED_VALUE"""),287.89)</f>
        <v>287.89</v>
      </c>
      <c r="S662" s="3">
        <f ca="1">IFERROR(__xludf.DUMMYFUNCTION("""COMPUTED_VALUE"""),44421.6666666666)</f>
        <v>44421.666666666599</v>
      </c>
      <c r="T662" s="2">
        <f ca="1">IFERROR(__xludf.DUMMYFUNCTION("""COMPUTED_VALUE"""),176.25)</f>
        <v>176.25</v>
      </c>
    </row>
    <row r="663" spans="1:20">
      <c r="A663" s="3">
        <f ca="1">IFERROR(__xludf.DUMMYFUNCTION("""COMPUTED_VALUE"""),44424.6666666666)</f>
        <v>44424.666666666599</v>
      </c>
      <c r="B663" s="2">
        <f ca="1">IFERROR(__xludf.DUMMYFUNCTION("""COMPUTED_VALUE"""),151.12)</f>
        <v>151.12</v>
      </c>
      <c r="C663" s="3">
        <f ca="1">IFERROR(__xludf.DUMMYFUNCTION("""COMPUTED_VALUE"""),44424.6666666666)</f>
        <v>44424.666666666599</v>
      </c>
      <c r="D663" s="2">
        <f ca="1">IFERROR(__xludf.DUMMYFUNCTION("""COMPUTED_VALUE"""),294.6)</f>
        <v>294.60000000000002</v>
      </c>
      <c r="E663" s="3">
        <f ca="1">IFERROR(__xludf.DUMMYFUNCTION("""COMPUTED_VALUE"""),44424.6666666666)</f>
        <v>44424.666666666599</v>
      </c>
      <c r="F663" s="2">
        <f ca="1">IFERROR(__xludf.DUMMYFUNCTION("""COMPUTED_VALUE"""),3298.99)</f>
        <v>3298.99</v>
      </c>
      <c r="G663" s="3">
        <f ca="1">IFERROR(__xludf.DUMMYFUNCTION("""COMPUTED_VALUE"""),44424.6666666666)</f>
        <v>44424.666666666599</v>
      </c>
      <c r="H663" s="2">
        <f ca="1">IFERROR(__xludf.DUMMYFUNCTION("""COMPUTED_VALUE"""),2766.19)</f>
        <v>2766.19</v>
      </c>
      <c r="I663" s="3">
        <f ca="1">IFERROR(__xludf.DUMMYFUNCTION("""COMPUTED_VALUE"""),44424.6666666666)</f>
        <v>44424.666666666599</v>
      </c>
      <c r="J663" s="2">
        <f ca="1">IFERROR(__xludf.DUMMYFUNCTION("""COMPUTED_VALUE"""),2778.32)</f>
        <v>2778.32</v>
      </c>
      <c r="K663" s="3">
        <f ca="1">IFERROR(__xludf.DUMMYFUNCTION("""COMPUTED_VALUE"""),44424.6666666666)</f>
        <v>44424.666666666599</v>
      </c>
      <c r="L663" s="2">
        <f ca="1">IFERROR(__xludf.DUMMYFUNCTION("""COMPUTED_VALUE"""),366.56)</f>
        <v>366.56</v>
      </c>
      <c r="M663" s="3">
        <f ca="1">IFERROR(__xludf.DUMMYFUNCTION("""COMPUTED_VALUE"""),44424.6666666666)</f>
        <v>44424.666666666599</v>
      </c>
      <c r="N663" s="2">
        <f ca="1">IFERROR(__xludf.DUMMYFUNCTION("""COMPUTED_VALUE"""),686.17)</f>
        <v>686.17</v>
      </c>
      <c r="O663" s="3">
        <f ca="1">IFERROR(__xludf.DUMMYFUNCTION("""COMPUTED_VALUE"""),44424.6666666666)</f>
        <v>44424.666666666599</v>
      </c>
      <c r="P663" s="2">
        <f ca="1">IFERROR(__xludf.DUMMYFUNCTION("""COMPUTED_VALUE"""),199.5)</f>
        <v>199.5</v>
      </c>
      <c r="Q663" s="3">
        <f ca="1">IFERROR(__xludf.DUMMYFUNCTION("""COMPUTED_VALUE"""),44424.6666666666)</f>
        <v>44424.666666666599</v>
      </c>
      <c r="R663" s="2">
        <f ca="1">IFERROR(__xludf.DUMMYFUNCTION("""COMPUTED_VALUE"""),289.45)</f>
        <v>289.45</v>
      </c>
      <c r="S663" s="3">
        <f ca="1">IFERROR(__xludf.DUMMYFUNCTION("""COMPUTED_VALUE"""),44424.6666666666)</f>
        <v>44424.666666666599</v>
      </c>
      <c r="T663" s="2">
        <f ca="1">IFERROR(__xludf.DUMMYFUNCTION("""COMPUTED_VALUE"""),177.84)</f>
        <v>177.84</v>
      </c>
    </row>
    <row r="664" spans="1:20">
      <c r="A664" s="3">
        <f ca="1">IFERROR(__xludf.DUMMYFUNCTION("""COMPUTED_VALUE"""),44425.6666666666)</f>
        <v>44425.666666666599</v>
      </c>
      <c r="B664" s="2">
        <f ca="1">IFERROR(__xludf.DUMMYFUNCTION("""COMPUTED_VALUE"""),150.19)</f>
        <v>150.19</v>
      </c>
      <c r="C664" s="3">
        <f ca="1">IFERROR(__xludf.DUMMYFUNCTION("""COMPUTED_VALUE"""),44425.6666666666)</f>
        <v>44425.666666666599</v>
      </c>
      <c r="D664" s="2">
        <f ca="1">IFERROR(__xludf.DUMMYFUNCTION("""COMPUTED_VALUE"""),293.08)</f>
        <v>293.08</v>
      </c>
      <c r="E664" s="3">
        <f ca="1">IFERROR(__xludf.DUMMYFUNCTION("""COMPUTED_VALUE"""),44425.6666666666)</f>
        <v>44425.666666666599</v>
      </c>
      <c r="F664" s="2">
        <f ca="1">IFERROR(__xludf.DUMMYFUNCTION("""COMPUTED_VALUE"""),3241.96)</f>
        <v>3241.96</v>
      </c>
      <c r="G664" s="3">
        <f ca="1">IFERROR(__xludf.DUMMYFUNCTION("""COMPUTED_VALUE"""),44425.6666666666)</f>
        <v>44425.666666666599</v>
      </c>
      <c r="H664" s="2">
        <f ca="1">IFERROR(__xludf.DUMMYFUNCTION("""COMPUTED_VALUE"""),2733.23)</f>
        <v>2733.23</v>
      </c>
      <c r="I664" s="3">
        <f ca="1">IFERROR(__xludf.DUMMYFUNCTION("""COMPUTED_VALUE"""),44425.6666666666)</f>
        <v>44425.666666666599</v>
      </c>
      <c r="J664" s="2">
        <f ca="1">IFERROR(__xludf.DUMMYFUNCTION("""COMPUTED_VALUE"""),2746.01)</f>
        <v>2746.01</v>
      </c>
      <c r="K664" s="3">
        <f ca="1">IFERROR(__xludf.DUMMYFUNCTION("""COMPUTED_VALUE"""),44425.6666666666)</f>
        <v>44425.666666666599</v>
      </c>
      <c r="L664" s="2">
        <f ca="1">IFERROR(__xludf.DUMMYFUNCTION("""COMPUTED_VALUE"""),358.45)</f>
        <v>358.45</v>
      </c>
      <c r="M664" s="3">
        <f ca="1">IFERROR(__xludf.DUMMYFUNCTION("""COMPUTED_VALUE"""),44425.6666666666)</f>
        <v>44425.666666666599</v>
      </c>
      <c r="N664" s="2">
        <f ca="1">IFERROR(__xludf.DUMMYFUNCTION("""COMPUTED_VALUE"""),665.71)</f>
        <v>665.71</v>
      </c>
      <c r="O664" s="3">
        <f ca="1">IFERROR(__xludf.DUMMYFUNCTION("""COMPUTED_VALUE"""),44425.6666666666)</f>
        <v>44425.666666666599</v>
      </c>
      <c r="P664" s="2">
        <f ca="1">IFERROR(__xludf.DUMMYFUNCTION("""COMPUTED_VALUE"""),194.58)</f>
        <v>194.58</v>
      </c>
      <c r="Q664" s="3">
        <f ca="1">IFERROR(__xludf.DUMMYFUNCTION("""COMPUTED_VALUE"""),44425.6666666666)</f>
        <v>44425.666666666599</v>
      </c>
      <c r="R664" s="2">
        <f ca="1">IFERROR(__xludf.DUMMYFUNCTION("""COMPUTED_VALUE"""),289.1)</f>
        <v>289.10000000000002</v>
      </c>
      <c r="S664" s="3">
        <f ca="1">IFERROR(__xludf.DUMMYFUNCTION("""COMPUTED_VALUE"""),44425.6666666666)</f>
        <v>44425.666666666599</v>
      </c>
      <c r="T664" s="2">
        <f ca="1">IFERROR(__xludf.DUMMYFUNCTION("""COMPUTED_VALUE"""),179.47)</f>
        <v>179.47</v>
      </c>
    </row>
    <row r="665" spans="1:20">
      <c r="A665" s="3">
        <f ca="1">IFERROR(__xludf.DUMMYFUNCTION("""COMPUTED_VALUE"""),44426.6666666666)</f>
        <v>44426.666666666599</v>
      </c>
      <c r="B665" s="2">
        <f ca="1">IFERROR(__xludf.DUMMYFUNCTION("""COMPUTED_VALUE"""),146.36)</f>
        <v>146.36000000000001</v>
      </c>
      <c r="C665" s="3">
        <f ca="1">IFERROR(__xludf.DUMMYFUNCTION("""COMPUTED_VALUE"""),44426.6666666666)</f>
        <v>44426.666666666599</v>
      </c>
      <c r="D665" s="2">
        <f ca="1">IFERROR(__xludf.DUMMYFUNCTION("""COMPUTED_VALUE"""),290.73)</f>
        <v>290.73</v>
      </c>
      <c r="E665" s="3">
        <f ca="1">IFERROR(__xludf.DUMMYFUNCTION("""COMPUTED_VALUE"""),44426.6666666666)</f>
        <v>44426.666666666599</v>
      </c>
      <c r="F665" s="2">
        <f ca="1">IFERROR(__xludf.DUMMYFUNCTION("""COMPUTED_VALUE"""),3201.22)</f>
        <v>3201.22</v>
      </c>
      <c r="G665" s="3">
        <f ca="1">IFERROR(__xludf.DUMMYFUNCTION("""COMPUTED_VALUE"""),44426.6666666666)</f>
        <v>44426.666666666599</v>
      </c>
      <c r="H665" s="2">
        <f ca="1">IFERROR(__xludf.DUMMYFUNCTION("""COMPUTED_VALUE"""),2708.98)</f>
        <v>2708.98</v>
      </c>
      <c r="I665" s="3">
        <f ca="1">IFERROR(__xludf.DUMMYFUNCTION("""COMPUTED_VALUE"""),44426.6666666666)</f>
        <v>44426.666666666599</v>
      </c>
      <c r="J665" s="2">
        <f ca="1">IFERROR(__xludf.DUMMYFUNCTION("""COMPUTED_VALUE"""),2731.4)</f>
        <v>2731.4</v>
      </c>
      <c r="K665" s="3">
        <f ca="1">IFERROR(__xludf.DUMMYFUNCTION("""COMPUTED_VALUE"""),44426.6666666666)</f>
        <v>44426.666666666599</v>
      </c>
      <c r="L665" s="2">
        <f ca="1">IFERROR(__xludf.DUMMYFUNCTION("""COMPUTED_VALUE"""),355.45)</f>
        <v>355.45</v>
      </c>
      <c r="M665" s="3">
        <f ca="1">IFERROR(__xludf.DUMMYFUNCTION("""COMPUTED_VALUE"""),44426.6666666666)</f>
        <v>44426.666666666599</v>
      </c>
      <c r="N665" s="2">
        <f ca="1">IFERROR(__xludf.DUMMYFUNCTION("""COMPUTED_VALUE"""),688.99)</f>
        <v>688.99</v>
      </c>
      <c r="O665" s="3">
        <f ca="1">IFERROR(__xludf.DUMMYFUNCTION("""COMPUTED_VALUE"""),44426.6666666666)</f>
        <v>44426.666666666599</v>
      </c>
      <c r="P665" s="2">
        <f ca="1">IFERROR(__xludf.DUMMYFUNCTION("""COMPUTED_VALUE"""),190.4)</f>
        <v>190.4</v>
      </c>
      <c r="Q665" s="3">
        <f ca="1">IFERROR(__xludf.DUMMYFUNCTION("""COMPUTED_VALUE"""),44426.6666666666)</f>
        <v>44426.666666666599</v>
      </c>
      <c r="R665" s="2">
        <f ca="1">IFERROR(__xludf.DUMMYFUNCTION("""COMPUTED_VALUE"""),286.36)</f>
        <v>286.36</v>
      </c>
      <c r="S665" s="3">
        <f ca="1">IFERROR(__xludf.DUMMYFUNCTION("""COMPUTED_VALUE"""),44426.6666666666)</f>
        <v>44426.666666666599</v>
      </c>
      <c r="T665" s="2">
        <f ca="1">IFERROR(__xludf.DUMMYFUNCTION("""COMPUTED_VALUE"""),177.19)</f>
        <v>177.19</v>
      </c>
    </row>
    <row r="666" spans="1:20">
      <c r="A666" s="3">
        <f ca="1">IFERROR(__xludf.DUMMYFUNCTION("""COMPUTED_VALUE"""),44427.6666666666)</f>
        <v>44427.666666666599</v>
      </c>
      <c r="B666" s="2">
        <f ca="1">IFERROR(__xludf.DUMMYFUNCTION("""COMPUTED_VALUE"""),146.7)</f>
        <v>146.69999999999999</v>
      </c>
      <c r="C666" s="3">
        <f ca="1">IFERROR(__xludf.DUMMYFUNCTION("""COMPUTED_VALUE"""),44427.6666666666)</f>
        <v>44427.666666666599</v>
      </c>
      <c r="D666" s="2">
        <f ca="1">IFERROR(__xludf.DUMMYFUNCTION("""COMPUTED_VALUE"""),296.77)</f>
        <v>296.77</v>
      </c>
      <c r="E666" s="3">
        <f ca="1">IFERROR(__xludf.DUMMYFUNCTION("""COMPUTED_VALUE"""),44427.6666666666)</f>
        <v>44427.666666666599</v>
      </c>
      <c r="F666" s="2">
        <f ca="1">IFERROR(__xludf.DUMMYFUNCTION("""COMPUTED_VALUE"""),3187.75)</f>
        <v>3187.75</v>
      </c>
      <c r="G666" s="3">
        <f ca="1">IFERROR(__xludf.DUMMYFUNCTION("""COMPUTED_VALUE"""),44427.6666666666)</f>
        <v>44427.666666666599</v>
      </c>
      <c r="H666" s="2">
        <f ca="1">IFERROR(__xludf.DUMMYFUNCTION("""COMPUTED_VALUE"""),2713.6)</f>
        <v>2713.6</v>
      </c>
      <c r="I666" s="3">
        <f ca="1">IFERROR(__xludf.DUMMYFUNCTION("""COMPUTED_VALUE"""),44427.6666666666)</f>
        <v>44427.666666666599</v>
      </c>
      <c r="J666" s="2">
        <f ca="1">IFERROR(__xludf.DUMMYFUNCTION("""COMPUTED_VALUE"""),2738.27)</f>
        <v>2738.27</v>
      </c>
      <c r="K666" s="3">
        <f ca="1">IFERROR(__xludf.DUMMYFUNCTION("""COMPUTED_VALUE"""),44427.6666666666)</f>
        <v>44427.666666666599</v>
      </c>
      <c r="L666" s="2">
        <f ca="1">IFERROR(__xludf.DUMMYFUNCTION("""COMPUTED_VALUE"""),355.12)</f>
        <v>355.12</v>
      </c>
      <c r="M666" s="3">
        <f ca="1">IFERROR(__xludf.DUMMYFUNCTION("""COMPUTED_VALUE"""),44427.6666666666)</f>
        <v>44427.666666666599</v>
      </c>
      <c r="N666" s="2">
        <f ca="1">IFERROR(__xludf.DUMMYFUNCTION("""COMPUTED_VALUE"""),673.47)</f>
        <v>673.47</v>
      </c>
      <c r="O666" s="3">
        <f ca="1">IFERROR(__xludf.DUMMYFUNCTION("""COMPUTED_VALUE"""),44427.6666666666)</f>
        <v>44427.666666666599</v>
      </c>
      <c r="P666" s="2">
        <f ca="1">IFERROR(__xludf.DUMMYFUNCTION("""COMPUTED_VALUE"""),197.98)</f>
        <v>197.98</v>
      </c>
      <c r="Q666" s="3">
        <f ca="1">IFERROR(__xludf.DUMMYFUNCTION("""COMPUTED_VALUE"""),44427.6666666666)</f>
        <v>44427.666666666599</v>
      </c>
      <c r="R666" s="2">
        <f ca="1">IFERROR(__xludf.DUMMYFUNCTION("""COMPUTED_VALUE"""),285.13)</f>
        <v>285.13</v>
      </c>
      <c r="S666" s="3">
        <f ca="1">IFERROR(__xludf.DUMMYFUNCTION("""COMPUTED_VALUE"""),44427.6666666666)</f>
        <v>44427.666666666599</v>
      </c>
      <c r="T666" s="2">
        <f ca="1">IFERROR(__xludf.DUMMYFUNCTION("""COMPUTED_VALUE"""),178.57)</f>
        <v>178.57</v>
      </c>
    </row>
    <row r="667" spans="1:20">
      <c r="A667" s="3">
        <f ca="1">IFERROR(__xludf.DUMMYFUNCTION("""COMPUTED_VALUE"""),44428.6666666666)</f>
        <v>44428.666666666599</v>
      </c>
      <c r="B667" s="2">
        <f ca="1">IFERROR(__xludf.DUMMYFUNCTION("""COMPUTED_VALUE"""),148.19)</f>
        <v>148.19</v>
      </c>
      <c r="C667" s="3">
        <f ca="1">IFERROR(__xludf.DUMMYFUNCTION("""COMPUTED_VALUE"""),44428.6666666666)</f>
        <v>44428.666666666599</v>
      </c>
      <c r="D667" s="2">
        <f ca="1">IFERROR(__xludf.DUMMYFUNCTION("""COMPUTED_VALUE"""),304.36)</f>
        <v>304.36</v>
      </c>
      <c r="E667" s="3">
        <f ca="1">IFERROR(__xludf.DUMMYFUNCTION("""COMPUTED_VALUE"""),44428.6666666666)</f>
        <v>44428.666666666599</v>
      </c>
      <c r="F667" s="2">
        <f ca="1">IFERROR(__xludf.DUMMYFUNCTION("""COMPUTED_VALUE"""),3199.95)</f>
        <v>3199.95</v>
      </c>
      <c r="G667" s="3">
        <f ca="1">IFERROR(__xludf.DUMMYFUNCTION("""COMPUTED_VALUE"""),44428.6666666666)</f>
        <v>44428.666666666599</v>
      </c>
      <c r="H667" s="2">
        <f ca="1">IFERROR(__xludf.DUMMYFUNCTION("""COMPUTED_VALUE"""),2748.59)</f>
        <v>2748.59</v>
      </c>
      <c r="I667" s="3">
        <f ca="1">IFERROR(__xludf.DUMMYFUNCTION("""COMPUTED_VALUE"""),44428.6666666666)</f>
        <v>44428.666666666599</v>
      </c>
      <c r="J667" s="2">
        <f ca="1">IFERROR(__xludf.DUMMYFUNCTION("""COMPUTED_VALUE"""),2768.74)</f>
        <v>2768.74</v>
      </c>
      <c r="K667" s="3">
        <f ca="1">IFERROR(__xludf.DUMMYFUNCTION("""COMPUTED_VALUE"""),44428.6666666666)</f>
        <v>44428.666666666599</v>
      </c>
      <c r="L667" s="2">
        <f ca="1">IFERROR(__xludf.DUMMYFUNCTION("""COMPUTED_VALUE"""),359.37)</f>
        <v>359.37</v>
      </c>
      <c r="M667" s="3">
        <f ca="1">IFERROR(__xludf.DUMMYFUNCTION("""COMPUTED_VALUE"""),44428.6666666666)</f>
        <v>44428.666666666599</v>
      </c>
      <c r="N667" s="2">
        <f ca="1">IFERROR(__xludf.DUMMYFUNCTION("""COMPUTED_VALUE"""),680.26)</f>
        <v>680.26</v>
      </c>
      <c r="O667" s="3">
        <f ca="1">IFERROR(__xludf.DUMMYFUNCTION("""COMPUTED_VALUE"""),44428.6666666666)</f>
        <v>44428.666666666599</v>
      </c>
      <c r="P667" s="2">
        <f ca="1">IFERROR(__xludf.DUMMYFUNCTION("""COMPUTED_VALUE"""),208.16)</f>
        <v>208.16</v>
      </c>
      <c r="Q667" s="3">
        <f ca="1">IFERROR(__xludf.DUMMYFUNCTION("""COMPUTED_VALUE"""),44428.6666666666)</f>
        <v>44428.666666666599</v>
      </c>
      <c r="R667" s="2">
        <f ca="1">IFERROR(__xludf.DUMMYFUNCTION("""COMPUTED_VALUE"""),285.27)</f>
        <v>285.27</v>
      </c>
      <c r="S667" s="3">
        <f ca="1">IFERROR(__xludf.DUMMYFUNCTION("""COMPUTED_VALUE"""),44428.6666666666)</f>
        <v>44428.666666666599</v>
      </c>
      <c r="T667" s="2">
        <f ca="1">IFERROR(__xludf.DUMMYFUNCTION("""COMPUTED_VALUE"""),179.44)</f>
        <v>179.44</v>
      </c>
    </row>
    <row r="668" spans="1:20">
      <c r="A668" s="3">
        <f ca="1">IFERROR(__xludf.DUMMYFUNCTION("""COMPUTED_VALUE"""),44431.6666666666)</f>
        <v>44431.666666666599</v>
      </c>
      <c r="B668" s="2">
        <f ca="1">IFERROR(__xludf.DUMMYFUNCTION("""COMPUTED_VALUE"""),149.71)</f>
        <v>149.71</v>
      </c>
      <c r="C668" s="3">
        <f ca="1">IFERROR(__xludf.DUMMYFUNCTION("""COMPUTED_VALUE"""),44431.6666666666)</f>
        <v>44431.666666666599</v>
      </c>
      <c r="D668" s="2">
        <f ca="1">IFERROR(__xludf.DUMMYFUNCTION("""COMPUTED_VALUE"""),304.65)</f>
        <v>304.64999999999998</v>
      </c>
      <c r="E668" s="3">
        <f ca="1">IFERROR(__xludf.DUMMYFUNCTION("""COMPUTED_VALUE"""),44431.6666666666)</f>
        <v>44431.666666666599</v>
      </c>
      <c r="F668" s="2">
        <f ca="1">IFERROR(__xludf.DUMMYFUNCTION("""COMPUTED_VALUE"""),3265.87)</f>
        <v>3265.87</v>
      </c>
      <c r="G668" s="3">
        <f ca="1">IFERROR(__xludf.DUMMYFUNCTION("""COMPUTED_VALUE"""),44431.6666666666)</f>
        <v>44431.666666666599</v>
      </c>
      <c r="H668" s="2">
        <f ca="1">IFERROR(__xludf.DUMMYFUNCTION("""COMPUTED_VALUE"""),2800.83)</f>
        <v>2800.83</v>
      </c>
      <c r="I668" s="3">
        <f ca="1">IFERROR(__xludf.DUMMYFUNCTION("""COMPUTED_VALUE"""),44431.6666666666)</f>
        <v>44431.666666666599</v>
      </c>
      <c r="J668" s="2">
        <f ca="1">IFERROR(__xludf.DUMMYFUNCTION("""COMPUTED_VALUE"""),2821.99)</f>
        <v>2821.99</v>
      </c>
      <c r="K668" s="3">
        <f ca="1">IFERROR(__xludf.DUMMYFUNCTION("""COMPUTED_VALUE"""),44431.6666666666)</f>
        <v>44431.666666666599</v>
      </c>
      <c r="L668" s="2">
        <f ca="1">IFERROR(__xludf.DUMMYFUNCTION("""COMPUTED_VALUE"""),363.35)</f>
        <v>363.35</v>
      </c>
      <c r="M668" s="3">
        <f ca="1">IFERROR(__xludf.DUMMYFUNCTION("""COMPUTED_VALUE"""),44431.6666666666)</f>
        <v>44431.666666666599</v>
      </c>
      <c r="N668" s="2">
        <f ca="1">IFERROR(__xludf.DUMMYFUNCTION("""COMPUTED_VALUE"""),706.3)</f>
        <v>706.3</v>
      </c>
      <c r="O668" s="3">
        <f ca="1">IFERROR(__xludf.DUMMYFUNCTION("""COMPUTED_VALUE"""),44431.6666666666)</f>
        <v>44431.666666666599</v>
      </c>
      <c r="P668" s="2">
        <f ca="1">IFERROR(__xludf.DUMMYFUNCTION("""COMPUTED_VALUE"""),219.58)</f>
        <v>219.58</v>
      </c>
      <c r="Q668" s="3">
        <f ca="1">IFERROR(__xludf.DUMMYFUNCTION("""COMPUTED_VALUE"""),44431.6666666666)</f>
        <v>44431.666666666599</v>
      </c>
      <c r="R668" s="2">
        <f ca="1">IFERROR(__xludf.DUMMYFUNCTION("""COMPUTED_VALUE"""),285.62)</f>
        <v>285.62</v>
      </c>
      <c r="S668" s="3">
        <f ca="1">IFERROR(__xludf.DUMMYFUNCTION("""COMPUTED_VALUE"""),44431.6666666666)</f>
        <v>44431.666666666599</v>
      </c>
      <c r="T668" s="2">
        <f ca="1">IFERROR(__xludf.DUMMYFUNCTION("""COMPUTED_VALUE"""),177.61)</f>
        <v>177.61</v>
      </c>
    </row>
    <row r="669" spans="1:20">
      <c r="A669" s="3">
        <f ca="1">IFERROR(__xludf.DUMMYFUNCTION("""COMPUTED_VALUE"""),44432.6666666666)</f>
        <v>44432.666666666599</v>
      </c>
      <c r="B669" s="2">
        <f ca="1">IFERROR(__xludf.DUMMYFUNCTION("""COMPUTED_VALUE"""),149.62)</f>
        <v>149.62</v>
      </c>
      <c r="C669" s="3">
        <f ca="1">IFERROR(__xludf.DUMMYFUNCTION("""COMPUTED_VALUE"""),44432.6666666666)</f>
        <v>44432.666666666599</v>
      </c>
      <c r="D669" s="2">
        <f ca="1">IFERROR(__xludf.DUMMYFUNCTION("""COMPUTED_VALUE"""),302.62)</f>
        <v>302.62</v>
      </c>
      <c r="E669" s="3">
        <f ca="1">IFERROR(__xludf.DUMMYFUNCTION("""COMPUTED_VALUE"""),44432.6666666666)</f>
        <v>44432.666666666599</v>
      </c>
      <c r="F669" s="2">
        <f ca="1">IFERROR(__xludf.DUMMYFUNCTION("""COMPUTED_VALUE"""),3305.78)</f>
        <v>3305.78</v>
      </c>
      <c r="G669" s="3">
        <f ca="1">IFERROR(__xludf.DUMMYFUNCTION("""COMPUTED_VALUE"""),44432.6666666666)</f>
        <v>44432.666666666599</v>
      </c>
      <c r="H669" s="2">
        <f ca="1">IFERROR(__xludf.DUMMYFUNCTION("""COMPUTED_VALUE"""),2825.23)</f>
        <v>2825.23</v>
      </c>
      <c r="I669" s="3">
        <f ca="1">IFERROR(__xludf.DUMMYFUNCTION("""COMPUTED_VALUE"""),44432.6666666666)</f>
        <v>44432.666666666599</v>
      </c>
      <c r="J669" s="2">
        <f ca="1">IFERROR(__xludf.DUMMYFUNCTION("""COMPUTED_VALUE"""),2847.97)</f>
        <v>2847.97</v>
      </c>
      <c r="K669" s="3">
        <f ca="1">IFERROR(__xludf.DUMMYFUNCTION("""COMPUTED_VALUE"""),44432.6666666666)</f>
        <v>44432.666666666599</v>
      </c>
      <c r="L669" s="2">
        <f ca="1">IFERROR(__xludf.DUMMYFUNCTION("""COMPUTED_VALUE"""),365.51)</f>
        <v>365.51</v>
      </c>
      <c r="M669" s="3">
        <f ca="1">IFERROR(__xludf.DUMMYFUNCTION("""COMPUTED_VALUE"""),44432.6666666666)</f>
        <v>44432.666666666599</v>
      </c>
      <c r="N669" s="2">
        <f ca="1">IFERROR(__xludf.DUMMYFUNCTION("""COMPUTED_VALUE"""),708.49)</f>
        <v>708.49</v>
      </c>
      <c r="O669" s="3">
        <f ca="1">IFERROR(__xludf.DUMMYFUNCTION("""COMPUTED_VALUE"""),44432.6666666666)</f>
        <v>44432.666666666599</v>
      </c>
      <c r="P669" s="2">
        <f ca="1">IFERROR(__xludf.DUMMYFUNCTION("""COMPUTED_VALUE"""),217.93)</f>
        <v>217.93</v>
      </c>
      <c r="Q669" s="3">
        <f ca="1">IFERROR(__xludf.DUMMYFUNCTION("""COMPUTED_VALUE"""),44432.6666666666)</f>
        <v>44432.666666666599</v>
      </c>
      <c r="R669" s="2">
        <f ca="1">IFERROR(__xludf.DUMMYFUNCTION("""COMPUTED_VALUE"""),286.02)</f>
        <v>286.02</v>
      </c>
      <c r="S669" s="3">
        <f ca="1">IFERROR(__xludf.DUMMYFUNCTION("""COMPUTED_VALUE"""),44432.6666666666)</f>
        <v>44432.666666666599</v>
      </c>
      <c r="T669" s="2">
        <f ca="1">IFERROR(__xludf.DUMMYFUNCTION("""COMPUTED_VALUE"""),175.39)</f>
        <v>175.39</v>
      </c>
    </row>
    <row r="670" spans="1:20">
      <c r="A670" s="3">
        <f ca="1">IFERROR(__xludf.DUMMYFUNCTION("""COMPUTED_VALUE"""),44433.6666666666)</f>
        <v>44433.666666666599</v>
      </c>
      <c r="B670" s="2">
        <f ca="1">IFERROR(__xludf.DUMMYFUNCTION("""COMPUTED_VALUE"""),148.36)</f>
        <v>148.36000000000001</v>
      </c>
      <c r="C670" s="3">
        <f ca="1">IFERROR(__xludf.DUMMYFUNCTION("""COMPUTED_VALUE"""),44433.6666666666)</f>
        <v>44433.666666666599</v>
      </c>
      <c r="D670" s="2">
        <f ca="1">IFERROR(__xludf.DUMMYFUNCTION("""COMPUTED_VALUE"""),302.01)</f>
        <v>302.01</v>
      </c>
      <c r="E670" s="3">
        <f ca="1">IFERROR(__xludf.DUMMYFUNCTION("""COMPUTED_VALUE"""),44433.6666666666)</f>
        <v>44433.666666666599</v>
      </c>
      <c r="F670" s="2">
        <f ca="1">IFERROR(__xludf.DUMMYFUNCTION("""COMPUTED_VALUE"""),3299.18)</f>
        <v>3299.18</v>
      </c>
      <c r="G670" s="3">
        <f ca="1">IFERROR(__xludf.DUMMYFUNCTION("""COMPUTED_VALUE"""),44433.6666666666)</f>
        <v>44433.666666666599</v>
      </c>
      <c r="H670" s="2">
        <f ca="1">IFERROR(__xludf.DUMMYFUNCTION("""COMPUTED_VALUE"""),2841.58)</f>
        <v>2841.58</v>
      </c>
      <c r="I670" s="3">
        <f ca="1">IFERROR(__xludf.DUMMYFUNCTION("""COMPUTED_VALUE"""),44433.6666666666)</f>
        <v>44433.666666666599</v>
      </c>
      <c r="J670" s="2">
        <f ca="1">IFERROR(__xludf.DUMMYFUNCTION("""COMPUTED_VALUE"""),2859)</f>
        <v>2859</v>
      </c>
      <c r="K670" s="3">
        <f ca="1">IFERROR(__xludf.DUMMYFUNCTION("""COMPUTED_VALUE"""),44433.6666666666)</f>
        <v>44433.666666666599</v>
      </c>
      <c r="L670" s="2">
        <f ca="1">IFERROR(__xludf.DUMMYFUNCTION("""COMPUTED_VALUE"""),368.39)</f>
        <v>368.39</v>
      </c>
      <c r="M670" s="3">
        <f ca="1">IFERROR(__xludf.DUMMYFUNCTION("""COMPUTED_VALUE"""),44433.6666666666)</f>
        <v>44433.666666666599</v>
      </c>
      <c r="N670" s="2">
        <f ca="1">IFERROR(__xludf.DUMMYFUNCTION("""COMPUTED_VALUE"""),711.2)</f>
        <v>711.2</v>
      </c>
      <c r="O670" s="3">
        <f ca="1">IFERROR(__xludf.DUMMYFUNCTION("""COMPUTED_VALUE"""),44433.6666666666)</f>
        <v>44433.666666666599</v>
      </c>
      <c r="P670" s="2">
        <f ca="1">IFERROR(__xludf.DUMMYFUNCTION("""COMPUTED_VALUE"""),222.13)</f>
        <v>222.13</v>
      </c>
      <c r="Q670" s="3">
        <f ca="1">IFERROR(__xludf.DUMMYFUNCTION("""COMPUTED_VALUE"""),44433.6666666666)</f>
        <v>44433.666666666599</v>
      </c>
      <c r="R670" s="2">
        <f ca="1">IFERROR(__xludf.DUMMYFUNCTION("""COMPUTED_VALUE"""),287.3)</f>
        <v>287.3</v>
      </c>
      <c r="S670" s="3">
        <f ca="1">IFERROR(__xludf.DUMMYFUNCTION("""COMPUTED_VALUE"""),44433.6666666666)</f>
        <v>44433.666666666599</v>
      </c>
      <c r="T670" s="2">
        <f ca="1">IFERROR(__xludf.DUMMYFUNCTION("""COMPUTED_VALUE"""),174.23)</f>
        <v>174.23</v>
      </c>
    </row>
    <row r="671" spans="1:20">
      <c r="A671" s="3">
        <f ca="1">IFERROR(__xludf.DUMMYFUNCTION("""COMPUTED_VALUE"""),44434.6666666666)</f>
        <v>44434.666666666599</v>
      </c>
      <c r="B671" s="2">
        <f ca="1">IFERROR(__xludf.DUMMYFUNCTION("""COMPUTED_VALUE"""),147.54)</f>
        <v>147.54</v>
      </c>
      <c r="C671" s="3">
        <f ca="1">IFERROR(__xludf.DUMMYFUNCTION("""COMPUTED_VALUE"""),44434.6666666666)</f>
        <v>44434.666666666599</v>
      </c>
      <c r="D671" s="2">
        <f ca="1">IFERROR(__xludf.DUMMYFUNCTION("""COMPUTED_VALUE"""),299.09)</f>
        <v>299.08999999999997</v>
      </c>
      <c r="E671" s="3">
        <f ca="1">IFERROR(__xludf.DUMMYFUNCTION("""COMPUTED_VALUE"""),44434.6666666666)</f>
        <v>44434.666666666599</v>
      </c>
      <c r="F671" s="2">
        <f ca="1">IFERROR(__xludf.DUMMYFUNCTION("""COMPUTED_VALUE"""),3316)</f>
        <v>3316</v>
      </c>
      <c r="G671" s="3">
        <f ca="1">IFERROR(__xludf.DUMMYFUNCTION("""COMPUTED_VALUE"""),44434.6666666666)</f>
        <v>44434.666666666599</v>
      </c>
      <c r="H671" s="2">
        <f ca="1">IFERROR(__xludf.DUMMYFUNCTION("""COMPUTED_VALUE"""),2828.81)</f>
        <v>2828.81</v>
      </c>
      <c r="I671" s="3">
        <f ca="1">IFERROR(__xludf.DUMMYFUNCTION("""COMPUTED_VALUE"""),44434.6666666666)</f>
        <v>44434.666666666599</v>
      </c>
      <c r="J671" s="2">
        <f ca="1">IFERROR(__xludf.DUMMYFUNCTION("""COMPUTED_VALUE"""),2842.46)</f>
        <v>2842.46</v>
      </c>
      <c r="K671" s="3">
        <f ca="1">IFERROR(__xludf.DUMMYFUNCTION("""COMPUTED_VALUE"""),44434.6666666666)</f>
        <v>44434.666666666599</v>
      </c>
      <c r="L671" s="2">
        <f ca="1">IFERROR(__xludf.DUMMYFUNCTION("""COMPUTED_VALUE"""),364.38)</f>
        <v>364.38</v>
      </c>
      <c r="M671" s="3">
        <f ca="1">IFERROR(__xludf.DUMMYFUNCTION("""COMPUTED_VALUE"""),44434.6666666666)</f>
        <v>44434.666666666599</v>
      </c>
      <c r="N671" s="2">
        <f ca="1">IFERROR(__xludf.DUMMYFUNCTION("""COMPUTED_VALUE"""),701.16)</f>
        <v>701.16</v>
      </c>
      <c r="O671" s="3">
        <f ca="1">IFERROR(__xludf.DUMMYFUNCTION("""COMPUTED_VALUE"""),44434.6666666666)</f>
        <v>44434.666666666599</v>
      </c>
      <c r="P671" s="2">
        <f ca="1">IFERROR(__xludf.DUMMYFUNCTION("""COMPUTED_VALUE"""),220.68)</f>
        <v>220.68</v>
      </c>
      <c r="Q671" s="3">
        <f ca="1">IFERROR(__xludf.DUMMYFUNCTION("""COMPUTED_VALUE"""),44434.6666666666)</f>
        <v>44434.666666666599</v>
      </c>
      <c r="R671" s="2">
        <f ca="1">IFERROR(__xludf.DUMMYFUNCTION("""COMPUTED_VALUE"""),285.27)</f>
        <v>285.27</v>
      </c>
      <c r="S671" s="3">
        <f ca="1">IFERROR(__xludf.DUMMYFUNCTION("""COMPUTED_VALUE"""),44434.6666666666)</f>
        <v>44434.666666666599</v>
      </c>
      <c r="T671" s="2">
        <f ca="1">IFERROR(__xludf.DUMMYFUNCTION("""COMPUTED_VALUE"""),173.3)</f>
        <v>173.3</v>
      </c>
    </row>
    <row r="672" spans="1:20">
      <c r="A672" s="3">
        <f ca="1">IFERROR(__xludf.DUMMYFUNCTION("""COMPUTED_VALUE"""),44435.6666666666)</f>
        <v>44435.666666666599</v>
      </c>
      <c r="B672" s="2">
        <f ca="1">IFERROR(__xludf.DUMMYFUNCTION("""COMPUTED_VALUE"""),148.6)</f>
        <v>148.6</v>
      </c>
      <c r="C672" s="3">
        <f ca="1">IFERROR(__xludf.DUMMYFUNCTION("""COMPUTED_VALUE"""),44435.6666666666)</f>
        <v>44435.666666666599</v>
      </c>
      <c r="D672" s="2">
        <f ca="1">IFERROR(__xludf.DUMMYFUNCTION("""COMPUTED_VALUE"""),299.72)</f>
        <v>299.72000000000003</v>
      </c>
      <c r="E672" s="3">
        <f ca="1">IFERROR(__xludf.DUMMYFUNCTION("""COMPUTED_VALUE"""),44435.6666666666)</f>
        <v>44435.666666666599</v>
      </c>
      <c r="F672" s="2">
        <f ca="1">IFERROR(__xludf.DUMMYFUNCTION("""COMPUTED_VALUE"""),3349.63)</f>
        <v>3349.63</v>
      </c>
      <c r="G672" s="3">
        <f ca="1">IFERROR(__xludf.DUMMYFUNCTION("""COMPUTED_VALUE"""),44435.6666666666)</f>
        <v>44435.666666666599</v>
      </c>
      <c r="H672" s="2">
        <f ca="1">IFERROR(__xludf.DUMMYFUNCTION("""COMPUTED_VALUE"""),2880.08)</f>
        <v>2880.08</v>
      </c>
      <c r="I672" s="3">
        <f ca="1">IFERROR(__xludf.DUMMYFUNCTION("""COMPUTED_VALUE"""),44435.6666666666)</f>
        <v>44435.666666666599</v>
      </c>
      <c r="J672" s="2">
        <f ca="1">IFERROR(__xludf.DUMMYFUNCTION("""COMPUTED_VALUE"""),2891.01)</f>
        <v>2891.01</v>
      </c>
      <c r="K672" s="3">
        <f ca="1">IFERROR(__xludf.DUMMYFUNCTION("""COMPUTED_VALUE"""),44435.6666666666)</f>
        <v>44435.666666666599</v>
      </c>
      <c r="L672" s="2">
        <f ca="1">IFERROR(__xludf.DUMMYFUNCTION("""COMPUTED_VALUE"""),372.63)</f>
        <v>372.63</v>
      </c>
      <c r="M672" s="3">
        <f ca="1">IFERROR(__xludf.DUMMYFUNCTION("""COMPUTED_VALUE"""),44435.6666666666)</f>
        <v>44435.666666666599</v>
      </c>
      <c r="N672" s="2">
        <f ca="1">IFERROR(__xludf.DUMMYFUNCTION("""COMPUTED_VALUE"""),711.92)</f>
        <v>711.92</v>
      </c>
      <c r="O672" s="3">
        <f ca="1">IFERROR(__xludf.DUMMYFUNCTION("""COMPUTED_VALUE"""),44435.6666666666)</f>
        <v>44435.666666666599</v>
      </c>
      <c r="P672" s="2">
        <f ca="1">IFERROR(__xludf.DUMMYFUNCTION("""COMPUTED_VALUE"""),226.36)</f>
        <v>226.36</v>
      </c>
      <c r="Q672" s="3">
        <f ca="1">IFERROR(__xludf.DUMMYFUNCTION("""COMPUTED_VALUE"""),44435.6666666666)</f>
        <v>44435.666666666599</v>
      </c>
      <c r="R672" s="2">
        <f ca="1">IFERROR(__xludf.DUMMYFUNCTION("""COMPUTED_VALUE"""),286.6)</f>
        <v>286.60000000000002</v>
      </c>
      <c r="S672" s="3">
        <f ca="1">IFERROR(__xludf.DUMMYFUNCTION("""COMPUTED_VALUE"""),44435.6666666666)</f>
        <v>44435.666666666599</v>
      </c>
      <c r="T672" s="2">
        <f ca="1">IFERROR(__xludf.DUMMYFUNCTION("""COMPUTED_VALUE"""),172.93)</f>
        <v>172.93</v>
      </c>
    </row>
    <row r="673" spans="1:20">
      <c r="A673" s="3">
        <f ca="1">IFERROR(__xludf.DUMMYFUNCTION("""COMPUTED_VALUE"""),44438.6666666666)</f>
        <v>44438.666666666599</v>
      </c>
      <c r="B673" s="2">
        <f ca="1">IFERROR(__xludf.DUMMYFUNCTION("""COMPUTED_VALUE"""),153.12)</f>
        <v>153.12</v>
      </c>
      <c r="C673" s="3">
        <f ca="1">IFERROR(__xludf.DUMMYFUNCTION("""COMPUTED_VALUE"""),44438.6666666666)</f>
        <v>44438.666666666599</v>
      </c>
      <c r="D673" s="2">
        <f ca="1">IFERROR(__xludf.DUMMYFUNCTION("""COMPUTED_VALUE"""),303.59)</f>
        <v>303.58999999999997</v>
      </c>
      <c r="E673" s="3">
        <f ca="1">IFERROR(__xludf.DUMMYFUNCTION("""COMPUTED_VALUE"""),44438.6666666666)</f>
        <v>44438.666666666599</v>
      </c>
      <c r="F673" s="2">
        <f ca="1">IFERROR(__xludf.DUMMYFUNCTION("""COMPUTED_VALUE"""),3421.57)</f>
        <v>3421.57</v>
      </c>
      <c r="G673" s="3">
        <f ca="1">IFERROR(__xludf.DUMMYFUNCTION("""COMPUTED_VALUE"""),44438.6666666666)</f>
        <v>44438.666666666599</v>
      </c>
      <c r="H673" s="2">
        <f ca="1">IFERROR(__xludf.DUMMYFUNCTION("""COMPUTED_VALUE"""),2891.81)</f>
        <v>2891.81</v>
      </c>
      <c r="I673" s="3">
        <f ca="1">IFERROR(__xludf.DUMMYFUNCTION("""COMPUTED_VALUE"""),44438.6666666666)</f>
        <v>44438.666666666599</v>
      </c>
      <c r="J673" s="2">
        <f ca="1">IFERROR(__xludf.DUMMYFUNCTION("""COMPUTED_VALUE"""),2909.39)</f>
        <v>2909.39</v>
      </c>
      <c r="K673" s="3">
        <f ca="1">IFERROR(__xludf.DUMMYFUNCTION("""COMPUTED_VALUE"""),44438.6666666666)</f>
        <v>44438.666666666599</v>
      </c>
      <c r="L673" s="2">
        <f ca="1">IFERROR(__xludf.DUMMYFUNCTION("""COMPUTED_VALUE"""),380.66)</f>
        <v>380.66</v>
      </c>
      <c r="M673" s="3">
        <f ca="1">IFERROR(__xludf.DUMMYFUNCTION("""COMPUTED_VALUE"""),44438.6666666666)</f>
        <v>44438.666666666599</v>
      </c>
      <c r="N673" s="2">
        <f ca="1">IFERROR(__xludf.DUMMYFUNCTION("""COMPUTED_VALUE"""),730.91)</f>
        <v>730.91</v>
      </c>
      <c r="O673" s="3">
        <f ca="1">IFERROR(__xludf.DUMMYFUNCTION("""COMPUTED_VALUE"""),44438.6666666666)</f>
        <v>44438.666666666599</v>
      </c>
      <c r="P673" s="2">
        <f ca="1">IFERROR(__xludf.DUMMYFUNCTION("""COMPUTED_VALUE"""),226.88)</f>
        <v>226.88</v>
      </c>
      <c r="Q673" s="3">
        <f ca="1">IFERROR(__xludf.DUMMYFUNCTION("""COMPUTED_VALUE"""),44438.6666666666)</f>
        <v>44438.666666666599</v>
      </c>
      <c r="R673" s="2">
        <f ca="1">IFERROR(__xludf.DUMMYFUNCTION("""COMPUTED_VALUE"""),285.66)</f>
        <v>285.66000000000003</v>
      </c>
      <c r="S673" s="3">
        <f ca="1">IFERROR(__xludf.DUMMYFUNCTION("""COMPUTED_VALUE"""),44438.6666666666)</f>
        <v>44438.666666666599</v>
      </c>
      <c r="T673" s="2">
        <f ca="1">IFERROR(__xludf.DUMMYFUNCTION("""COMPUTED_VALUE"""),173.66)</f>
        <v>173.66</v>
      </c>
    </row>
    <row r="674" spans="1:20">
      <c r="A674" s="3">
        <f ca="1">IFERROR(__xludf.DUMMYFUNCTION("""COMPUTED_VALUE"""),44439.6666666666)</f>
        <v>44439.666666666599</v>
      </c>
      <c r="B674" s="2">
        <f ca="1">IFERROR(__xludf.DUMMYFUNCTION("""COMPUTED_VALUE"""),151.83)</f>
        <v>151.83000000000001</v>
      </c>
      <c r="C674" s="3">
        <f ca="1">IFERROR(__xludf.DUMMYFUNCTION("""COMPUTED_VALUE"""),44439.6666666666)</f>
        <v>44439.666666666599</v>
      </c>
      <c r="D674" s="2">
        <f ca="1">IFERROR(__xludf.DUMMYFUNCTION("""COMPUTED_VALUE"""),301.88)</f>
        <v>301.88</v>
      </c>
      <c r="E674" s="3">
        <f ca="1">IFERROR(__xludf.DUMMYFUNCTION("""COMPUTED_VALUE"""),44439.6666666666)</f>
        <v>44439.666666666599</v>
      </c>
      <c r="F674" s="2">
        <f ca="1">IFERROR(__xludf.DUMMYFUNCTION("""COMPUTED_VALUE"""),3470.79)</f>
        <v>3470.79</v>
      </c>
      <c r="G674" s="3">
        <f ca="1">IFERROR(__xludf.DUMMYFUNCTION("""COMPUTED_VALUE"""),44439.6666666666)</f>
        <v>44439.666666666599</v>
      </c>
      <c r="H674" s="2">
        <f ca="1">IFERROR(__xludf.DUMMYFUNCTION("""COMPUTED_VALUE"""),2893.95)</f>
        <v>2893.95</v>
      </c>
      <c r="I674" s="3">
        <f ca="1">IFERROR(__xludf.DUMMYFUNCTION("""COMPUTED_VALUE"""),44439.6666666666)</f>
        <v>44439.666666666599</v>
      </c>
      <c r="J674" s="2">
        <f ca="1">IFERROR(__xludf.DUMMYFUNCTION("""COMPUTED_VALUE"""),2909.24)</f>
        <v>2909.24</v>
      </c>
      <c r="K674" s="3">
        <f ca="1">IFERROR(__xludf.DUMMYFUNCTION("""COMPUTED_VALUE"""),44439.6666666666)</f>
        <v>44439.666666666599</v>
      </c>
      <c r="L674" s="2">
        <f ca="1">IFERROR(__xludf.DUMMYFUNCTION("""COMPUTED_VALUE"""),379.38)</f>
        <v>379.38</v>
      </c>
      <c r="M674" s="3">
        <f ca="1">IFERROR(__xludf.DUMMYFUNCTION("""COMPUTED_VALUE"""),44439.6666666666)</f>
        <v>44439.666666666599</v>
      </c>
      <c r="N674" s="2">
        <f ca="1">IFERROR(__xludf.DUMMYFUNCTION("""COMPUTED_VALUE"""),735.72)</f>
        <v>735.72</v>
      </c>
      <c r="O674" s="3">
        <f ca="1">IFERROR(__xludf.DUMMYFUNCTION("""COMPUTED_VALUE"""),44439.6666666666)</f>
        <v>44439.666666666599</v>
      </c>
      <c r="P674" s="2">
        <f ca="1">IFERROR(__xludf.DUMMYFUNCTION("""COMPUTED_VALUE"""),223.85)</f>
        <v>223.85</v>
      </c>
      <c r="Q674" s="3">
        <f ca="1">IFERROR(__xludf.DUMMYFUNCTION("""COMPUTED_VALUE"""),44439.6666666666)</f>
        <v>44439.666666666599</v>
      </c>
      <c r="R674" s="2">
        <f ca="1">IFERROR(__xludf.DUMMYFUNCTION("""COMPUTED_VALUE"""),285.77)</f>
        <v>285.77</v>
      </c>
      <c r="S674" s="3">
        <f ca="1">IFERROR(__xludf.DUMMYFUNCTION("""COMPUTED_VALUE"""),44439.6666666666)</f>
        <v>44439.666666666599</v>
      </c>
      <c r="T674" s="2">
        <f ca="1">IFERROR(__xludf.DUMMYFUNCTION("""COMPUTED_VALUE"""),173.13)</f>
        <v>173.13</v>
      </c>
    </row>
    <row r="675" spans="1:20">
      <c r="A675" s="3">
        <f ca="1">IFERROR(__xludf.DUMMYFUNCTION("""COMPUTED_VALUE"""),44440.6666666666)</f>
        <v>44440.666666666599</v>
      </c>
      <c r="B675" s="2">
        <f ca="1">IFERROR(__xludf.DUMMYFUNCTION("""COMPUTED_VALUE"""),152.51)</f>
        <v>152.51</v>
      </c>
      <c r="C675" s="3">
        <f ca="1">IFERROR(__xludf.DUMMYFUNCTION("""COMPUTED_VALUE"""),44440.6666666666)</f>
        <v>44440.666666666599</v>
      </c>
      <c r="D675" s="2">
        <f ca="1">IFERROR(__xludf.DUMMYFUNCTION("""COMPUTED_VALUE"""),301.83)</f>
        <v>301.83</v>
      </c>
      <c r="E675" s="3">
        <f ca="1">IFERROR(__xludf.DUMMYFUNCTION("""COMPUTED_VALUE"""),44440.6666666666)</f>
        <v>44440.666666666599</v>
      </c>
      <c r="F675" s="2">
        <f ca="1">IFERROR(__xludf.DUMMYFUNCTION("""COMPUTED_VALUE"""),3479)</f>
        <v>3479</v>
      </c>
      <c r="G675" s="3">
        <f ca="1">IFERROR(__xludf.DUMMYFUNCTION("""COMPUTED_VALUE"""),44440.6666666666)</f>
        <v>44440.666666666599</v>
      </c>
      <c r="H675" s="2">
        <f ca="1">IFERROR(__xludf.DUMMYFUNCTION("""COMPUTED_VALUE"""),2904.31)</f>
        <v>2904.31</v>
      </c>
      <c r="I675" s="3">
        <f ca="1">IFERROR(__xludf.DUMMYFUNCTION("""COMPUTED_VALUE"""),44440.6666666666)</f>
        <v>44440.666666666599</v>
      </c>
      <c r="J675" s="2">
        <f ca="1">IFERROR(__xludf.DUMMYFUNCTION("""COMPUTED_VALUE"""),2916.84)</f>
        <v>2916.84</v>
      </c>
      <c r="K675" s="3">
        <f ca="1">IFERROR(__xludf.DUMMYFUNCTION("""COMPUTED_VALUE"""),44440.6666666666)</f>
        <v>44440.666666666599</v>
      </c>
      <c r="L675" s="2">
        <f ca="1">IFERROR(__xludf.DUMMYFUNCTION("""COMPUTED_VALUE"""),382.05)</f>
        <v>382.05</v>
      </c>
      <c r="M675" s="3">
        <f ca="1">IFERROR(__xludf.DUMMYFUNCTION("""COMPUTED_VALUE"""),44440.6666666666)</f>
        <v>44440.666666666599</v>
      </c>
      <c r="N675" s="2">
        <f ca="1">IFERROR(__xludf.DUMMYFUNCTION("""COMPUTED_VALUE"""),734.09)</f>
        <v>734.09</v>
      </c>
      <c r="O675" s="3">
        <f ca="1">IFERROR(__xludf.DUMMYFUNCTION("""COMPUTED_VALUE"""),44440.6666666666)</f>
        <v>44440.666666666599</v>
      </c>
      <c r="P675" s="2">
        <f ca="1">IFERROR(__xludf.DUMMYFUNCTION("""COMPUTED_VALUE"""),224.41)</f>
        <v>224.41</v>
      </c>
      <c r="Q675" s="3">
        <f ca="1">IFERROR(__xludf.DUMMYFUNCTION("""COMPUTED_VALUE"""),44440.6666666666)</f>
        <v>44440.666666666599</v>
      </c>
      <c r="R675" s="2">
        <f ca="1">IFERROR(__xludf.DUMMYFUNCTION("""COMPUTED_VALUE"""),285.26)</f>
        <v>285.26</v>
      </c>
      <c r="S675" s="3">
        <f ca="1">IFERROR(__xludf.DUMMYFUNCTION("""COMPUTED_VALUE"""),44440.6666666666)</f>
        <v>44440.666666666599</v>
      </c>
      <c r="T675" s="2">
        <f ca="1">IFERROR(__xludf.DUMMYFUNCTION("""COMPUTED_VALUE"""),173.74)</f>
        <v>173.74</v>
      </c>
    </row>
    <row r="676" spans="1:20">
      <c r="A676" s="3">
        <f ca="1">IFERROR(__xludf.DUMMYFUNCTION("""COMPUTED_VALUE"""),44441.6666666666)</f>
        <v>44441.666666666599</v>
      </c>
      <c r="B676" s="2">
        <f ca="1">IFERROR(__xludf.DUMMYFUNCTION("""COMPUTED_VALUE"""),153.65)</f>
        <v>153.65</v>
      </c>
      <c r="C676" s="3">
        <f ca="1">IFERROR(__xludf.DUMMYFUNCTION("""COMPUTED_VALUE"""),44441.6666666666)</f>
        <v>44441.666666666599</v>
      </c>
      <c r="D676" s="2">
        <f ca="1">IFERROR(__xludf.DUMMYFUNCTION("""COMPUTED_VALUE"""),301.15)</f>
        <v>301.14999999999998</v>
      </c>
      <c r="E676" s="3">
        <f ca="1">IFERROR(__xludf.DUMMYFUNCTION("""COMPUTED_VALUE"""),44441.6666666666)</f>
        <v>44441.666666666599</v>
      </c>
      <c r="F676" s="2">
        <f ca="1">IFERROR(__xludf.DUMMYFUNCTION("""COMPUTED_VALUE"""),3463.12)</f>
        <v>3463.12</v>
      </c>
      <c r="G676" s="3">
        <f ca="1">IFERROR(__xludf.DUMMYFUNCTION("""COMPUTED_VALUE"""),44441.6666666666)</f>
        <v>44441.666666666599</v>
      </c>
      <c r="H676" s="2">
        <f ca="1">IFERROR(__xludf.DUMMYFUNCTION("""COMPUTED_VALUE"""),2865.74)</f>
        <v>2865.74</v>
      </c>
      <c r="I676" s="3">
        <f ca="1">IFERROR(__xludf.DUMMYFUNCTION("""COMPUTED_VALUE"""),44441.6666666666)</f>
        <v>44441.666666666599</v>
      </c>
      <c r="J676" s="2">
        <f ca="1">IFERROR(__xludf.DUMMYFUNCTION("""COMPUTED_VALUE"""),2884.38)</f>
        <v>2884.38</v>
      </c>
      <c r="K676" s="3">
        <f ca="1">IFERROR(__xludf.DUMMYFUNCTION("""COMPUTED_VALUE"""),44441.6666666666)</f>
        <v>44441.666666666599</v>
      </c>
      <c r="L676" s="2">
        <f ca="1">IFERROR(__xludf.DUMMYFUNCTION("""COMPUTED_VALUE"""),375.28)</f>
        <v>375.28</v>
      </c>
      <c r="M676" s="3">
        <f ca="1">IFERROR(__xludf.DUMMYFUNCTION("""COMPUTED_VALUE"""),44441.6666666666)</f>
        <v>44441.666666666599</v>
      </c>
      <c r="N676" s="2">
        <f ca="1">IFERROR(__xludf.DUMMYFUNCTION("""COMPUTED_VALUE"""),732.39)</f>
        <v>732.39</v>
      </c>
      <c r="O676" s="3">
        <f ca="1">IFERROR(__xludf.DUMMYFUNCTION("""COMPUTED_VALUE"""),44441.6666666666)</f>
        <v>44441.666666666599</v>
      </c>
      <c r="P676" s="2">
        <f ca="1">IFERROR(__xludf.DUMMYFUNCTION("""COMPUTED_VALUE"""),223.96)</f>
        <v>223.96</v>
      </c>
      <c r="Q676" s="3">
        <f ca="1">IFERROR(__xludf.DUMMYFUNCTION("""COMPUTED_VALUE"""),44441.6666666666)</f>
        <v>44441.666666666599</v>
      </c>
      <c r="R676" s="2">
        <f ca="1">IFERROR(__xludf.DUMMYFUNCTION("""COMPUTED_VALUE"""),285.05)</f>
        <v>285.05</v>
      </c>
      <c r="S676" s="3">
        <f ca="1">IFERROR(__xludf.DUMMYFUNCTION("""COMPUTED_VALUE"""),44441.6666666666)</f>
        <v>44441.666666666599</v>
      </c>
      <c r="T676" s="2">
        <f ca="1">IFERROR(__xludf.DUMMYFUNCTION("""COMPUTED_VALUE"""),174.93)</f>
        <v>174.93</v>
      </c>
    </row>
    <row r="677" spans="1:20">
      <c r="A677" s="3">
        <f ca="1">IFERROR(__xludf.DUMMYFUNCTION("""COMPUTED_VALUE"""),44442.6666666666)</f>
        <v>44442.666666666599</v>
      </c>
      <c r="B677" s="2">
        <f ca="1">IFERROR(__xludf.DUMMYFUNCTION("""COMPUTED_VALUE"""),154.3)</f>
        <v>154.30000000000001</v>
      </c>
      <c r="C677" s="3">
        <f ca="1">IFERROR(__xludf.DUMMYFUNCTION("""COMPUTED_VALUE"""),44442.6666666666)</f>
        <v>44442.666666666599</v>
      </c>
      <c r="D677" s="2">
        <f ca="1">IFERROR(__xludf.DUMMYFUNCTION("""COMPUTED_VALUE"""),301.14)</f>
        <v>301.14</v>
      </c>
      <c r="E677" s="3">
        <f ca="1">IFERROR(__xludf.DUMMYFUNCTION("""COMPUTED_VALUE"""),44442.6666666666)</f>
        <v>44442.666666666599</v>
      </c>
      <c r="F677" s="2">
        <f ca="1">IFERROR(__xludf.DUMMYFUNCTION("""COMPUTED_VALUE"""),3478.05)</f>
        <v>3478.05</v>
      </c>
      <c r="G677" s="3">
        <f ca="1">IFERROR(__xludf.DUMMYFUNCTION("""COMPUTED_VALUE"""),44442.6666666666)</f>
        <v>44442.666666666599</v>
      </c>
      <c r="H677" s="2">
        <f ca="1">IFERROR(__xludf.DUMMYFUNCTION("""COMPUTED_VALUE"""),2874.79)</f>
        <v>2874.79</v>
      </c>
      <c r="I677" s="3">
        <f ca="1">IFERROR(__xludf.DUMMYFUNCTION("""COMPUTED_VALUE"""),44442.6666666666)</f>
        <v>44442.666666666599</v>
      </c>
      <c r="J677" s="2">
        <f ca="1">IFERROR(__xludf.DUMMYFUNCTION("""COMPUTED_VALUE"""),2895.5)</f>
        <v>2895.5</v>
      </c>
      <c r="K677" s="3">
        <f ca="1">IFERROR(__xludf.DUMMYFUNCTION("""COMPUTED_VALUE"""),44442.6666666666)</f>
        <v>44442.666666666599</v>
      </c>
      <c r="L677" s="2">
        <f ca="1">IFERROR(__xludf.DUMMYFUNCTION("""COMPUTED_VALUE"""),376.26)</f>
        <v>376.26</v>
      </c>
      <c r="M677" s="3">
        <f ca="1">IFERROR(__xludf.DUMMYFUNCTION("""COMPUTED_VALUE"""),44442.6666666666)</f>
        <v>44442.666666666599</v>
      </c>
      <c r="N677" s="2">
        <f ca="1">IFERROR(__xludf.DUMMYFUNCTION("""COMPUTED_VALUE"""),733.57)</f>
        <v>733.57</v>
      </c>
      <c r="O677" s="3">
        <f ca="1">IFERROR(__xludf.DUMMYFUNCTION("""COMPUTED_VALUE"""),44442.6666666666)</f>
        <v>44442.666666666599</v>
      </c>
      <c r="P677" s="2">
        <f ca="1">IFERROR(__xludf.DUMMYFUNCTION("""COMPUTED_VALUE"""),228.43)</f>
        <v>228.43</v>
      </c>
      <c r="Q677" s="3">
        <f ca="1">IFERROR(__xludf.DUMMYFUNCTION("""COMPUTED_VALUE"""),44442.6666666666)</f>
        <v>44442.666666666599</v>
      </c>
      <c r="R677" s="2">
        <f ca="1">IFERROR(__xludf.DUMMYFUNCTION("""COMPUTED_VALUE"""),281.89)</f>
        <v>281.89</v>
      </c>
      <c r="S677" s="3">
        <f ca="1">IFERROR(__xludf.DUMMYFUNCTION("""COMPUTED_VALUE"""),44442.6666666666)</f>
        <v>44442.666666666599</v>
      </c>
      <c r="T677" s="2">
        <f ca="1">IFERROR(__xludf.DUMMYFUNCTION("""COMPUTED_VALUE"""),175.04)</f>
        <v>175.04</v>
      </c>
    </row>
    <row r="678" spans="1:20">
      <c r="A678" s="3">
        <f ca="1">IFERROR(__xludf.DUMMYFUNCTION("""COMPUTED_VALUE"""),44446.6666666666)</f>
        <v>44446.666666666599</v>
      </c>
      <c r="B678" s="2">
        <f ca="1">IFERROR(__xludf.DUMMYFUNCTION("""COMPUTED_VALUE"""),156.69)</f>
        <v>156.69</v>
      </c>
      <c r="C678" s="3">
        <f ca="1">IFERROR(__xludf.DUMMYFUNCTION("""COMPUTED_VALUE"""),44446.6666666666)</f>
        <v>44446.666666666599</v>
      </c>
      <c r="D678" s="2">
        <f ca="1">IFERROR(__xludf.DUMMYFUNCTION("""COMPUTED_VALUE"""),300.18)</f>
        <v>300.18</v>
      </c>
      <c r="E678" s="3">
        <f ca="1">IFERROR(__xludf.DUMMYFUNCTION("""COMPUTED_VALUE"""),44446.6666666666)</f>
        <v>44446.666666666599</v>
      </c>
      <c r="F678" s="2">
        <f ca="1">IFERROR(__xludf.DUMMYFUNCTION("""COMPUTED_VALUE"""),3509.29)</f>
        <v>3509.29</v>
      </c>
      <c r="G678" s="3">
        <f ca="1">IFERROR(__xludf.DUMMYFUNCTION("""COMPUTED_VALUE"""),44446.6666666666)</f>
        <v>44446.666666666599</v>
      </c>
      <c r="H678" s="2">
        <f ca="1">IFERROR(__xludf.DUMMYFUNCTION("""COMPUTED_VALUE"""),2885.61)</f>
        <v>2885.61</v>
      </c>
      <c r="I678" s="3">
        <f ca="1">IFERROR(__xludf.DUMMYFUNCTION("""COMPUTED_VALUE"""),44446.6666666666)</f>
        <v>44446.666666666599</v>
      </c>
      <c r="J678" s="2">
        <f ca="1">IFERROR(__xludf.DUMMYFUNCTION("""COMPUTED_VALUE"""),2910.38)</f>
        <v>2910.38</v>
      </c>
      <c r="K678" s="3">
        <f ca="1">IFERROR(__xludf.DUMMYFUNCTION("""COMPUTED_VALUE"""),44446.6666666666)</f>
        <v>44446.666666666599</v>
      </c>
      <c r="L678" s="2">
        <f ca="1">IFERROR(__xludf.DUMMYFUNCTION("""COMPUTED_VALUE"""),382.18)</f>
        <v>382.18</v>
      </c>
      <c r="M678" s="3">
        <f ca="1">IFERROR(__xludf.DUMMYFUNCTION("""COMPUTED_VALUE"""),44446.6666666666)</f>
        <v>44446.666666666599</v>
      </c>
      <c r="N678" s="2">
        <f ca="1">IFERROR(__xludf.DUMMYFUNCTION("""COMPUTED_VALUE"""),752.92)</f>
        <v>752.92</v>
      </c>
      <c r="O678" s="3">
        <f ca="1">IFERROR(__xludf.DUMMYFUNCTION("""COMPUTED_VALUE"""),44446.6666666666)</f>
        <v>44446.666666666599</v>
      </c>
      <c r="P678" s="2">
        <f ca="1">IFERROR(__xludf.DUMMYFUNCTION("""COMPUTED_VALUE"""),226.62)</f>
        <v>226.62</v>
      </c>
      <c r="Q678" s="3">
        <f ca="1">IFERROR(__xludf.DUMMYFUNCTION("""COMPUTED_VALUE"""),44446.6666666666)</f>
        <v>44446.666666666599</v>
      </c>
      <c r="R678" s="2">
        <f ca="1">IFERROR(__xludf.DUMMYFUNCTION("""COMPUTED_VALUE"""),278.9)</f>
        <v>278.89999999999998</v>
      </c>
      <c r="S678" s="3">
        <f ca="1">IFERROR(__xludf.DUMMYFUNCTION("""COMPUTED_VALUE"""),44446.6666666666)</f>
        <v>44446.666666666599</v>
      </c>
      <c r="T678" s="2">
        <f ca="1">IFERROR(__xludf.DUMMYFUNCTION("""COMPUTED_VALUE"""),172.32)</f>
        <v>172.32</v>
      </c>
    </row>
    <row r="679" spans="1:20">
      <c r="A679" s="3">
        <f ca="1">IFERROR(__xludf.DUMMYFUNCTION("""COMPUTED_VALUE"""),44447.6666666666)</f>
        <v>44447.666666666599</v>
      </c>
      <c r="B679" s="2">
        <f ca="1">IFERROR(__xludf.DUMMYFUNCTION("""COMPUTED_VALUE"""),155.11)</f>
        <v>155.11000000000001</v>
      </c>
      <c r="C679" s="3">
        <f ca="1">IFERROR(__xludf.DUMMYFUNCTION("""COMPUTED_VALUE"""),44447.6666666666)</f>
        <v>44447.666666666599</v>
      </c>
      <c r="D679" s="2">
        <f ca="1">IFERROR(__xludf.DUMMYFUNCTION("""COMPUTED_VALUE"""),300.21)</f>
        <v>300.20999999999998</v>
      </c>
      <c r="E679" s="3">
        <f ca="1">IFERROR(__xludf.DUMMYFUNCTION("""COMPUTED_VALUE"""),44447.6666666666)</f>
        <v>44447.666666666599</v>
      </c>
      <c r="F679" s="2">
        <f ca="1">IFERROR(__xludf.DUMMYFUNCTION("""COMPUTED_VALUE"""),3525.5)</f>
        <v>3525.5</v>
      </c>
      <c r="G679" s="3">
        <f ca="1">IFERROR(__xludf.DUMMYFUNCTION("""COMPUTED_VALUE"""),44447.6666666666)</f>
        <v>44447.666666666599</v>
      </c>
      <c r="H679" s="2">
        <f ca="1">IFERROR(__xludf.DUMMYFUNCTION("""COMPUTED_VALUE"""),2873.82)</f>
        <v>2873.82</v>
      </c>
      <c r="I679" s="3">
        <f ca="1">IFERROR(__xludf.DUMMYFUNCTION("""COMPUTED_VALUE"""),44447.6666666666)</f>
        <v>44447.666666666599</v>
      </c>
      <c r="J679" s="2">
        <f ca="1">IFERROR(__xludf.DUMMYFUNCTION("""COMPUTED_VALUE"""),2897.67)</f>
        <v>2897.67</v>
      </c>
      <c r="K679" s="3">
        <f ca="1">IFERROR(__xludf.DUMMYFUNCTION("""COMPUTED_VALUE"""),44447.6666666666)</f>
        <v>44447.666666666599</v>
      </c>
      <c r="L679" s="2">
        <f ca="1">IFERROR(__xludf.DUMMYFUNCTION("""COMPUTED_VALUE"""),377.57)</f>
        <v>377.57</v>
      </c>
      <c r="M679" s="3">
        <f ca="1">IFERROR(__xludf.DUMMYFUNCTION("""COMPUTED_VALUE"""),44447.6666666666)</f>
        <v>44447.666666666599</v>
      </c>
      <c r="N679" s="2">
        <f ca="1">IFERROR(__xludf.DUMMYFUNCTION("""COMPUTED_VALUE"""),753.87)</f>
        <v>753.87</v>
      </c>
      <c r="O679" s="3">
        <f ca="1">IFERROR(__xludf.DUMMYFUNCTION("""COMPUTED_VALUE"""),44447.6666666666)</f>
        <v>44447.666666666599</v>
      </c>
      <c r="P679" s="2">
        <f ca="1">IFERROR(__xludf.DUMMYFUNCTION("""COMPUTED_VALUE"""),223.39)</f>
        <v>223.39</v>
      </c>
      <c r="Q679" s="3">
        <f ca="1">IFERROR(__xludf.DUMMYFUNCTION("""COMPUTED_VALUE"""),44447.6666666666)</f>
        <v>44447.666666666599</v>
      </c>
      <c r="R679" s="2">
        <f ca="1">IFERROR(__xludf.DUMMYFUNCTION("""COMPUTED_VALUE"""),279.34)</f>
        <v>279.33999999999997</v>
      </c>
      <c r="S679" s="3">
        <f ca="1">IFERROR(__xludf.DUMMYFUNCTION("""COMPUTED_VALUE"""),44447.6666666666)</f>
        <v>44447.666666666599</v>
      </c>
      <c r="T679" s="2">
        <f ca="1">IFERROR(__xludf.DUMMYFUNCTION("""COMPUTED_VALUE"""),171.9)</f>
        <v>171.9</v>
      </c>
    </row>
    <row r="680" spans="1:20">
      <c r="A680" s="3">
        <f ca="1">IFERROR(__xludf.DUMMYFUNCTION("""COMPUTED_VALUE"""),44448.6666666666)</f>
        <v>44448.666666666599</v>
      </c>
      <c r="B680" s="2">
        <f ca="1">IFERROR(__xludf.DUMMYFUNCTION("""COMPUTED_VALUE"""),154.07)</f>
        <v>154.07</v>
      </c>
      <c r="C680" s="3">
        <f ca="1">IFERROR(__xludf.DUMMYFUNCTION("""COMPUTED_VALUE"""),44448.6666666666)</f>
        <v>44448.666666666599</v>
      </c>
      <c r="D680" s="2">
        <f ca="1">IFERROR(__xludf.DUMMYFUNCTION("""COMPUTED_VALUE"""),297.25)</f>
        <v>297.25</v>
      </c>
      <c r="E680" s="3">
        <f ca="1">IFERROR(__xludf.DUMMYFUNCTION("""COMPUTED_VALUE"""),44448.6666666666)</f>
        <v>44448.666666666599</v>
      </c>
      <c r="F680" s="2">
        <f ca="1">IFERROR(__xludf.DUMMYFUNCTION("""COMPUTED_VALUE"""),3484.16)</f>
        <v>3484.16</v>
      </c>
      <c r="G680" s="3">
        <f ca="1">IFERROR(__xludf.DUMMYFUNCTION("""COMPUTED_VALUE"""),44448.6666666666)</f>
        <v>44448.666666666599</v>
      </c>
      <c r="H680" s="2">
        <f ca="1">IFERROR(__xludf.DUMMYFUNCTION("""COMPUTED_VALUE"""),2870.82)</f>
        <v>2870.82</v>
      </c>
      <c r="I680" s="3">
        <f ca="1">IFERROR(__xludf.DUMMYFUNCTION("""COMPUTED_VALUE"""),44448.6666666666)</f>
        <v>44448.666666666599</v>
      </c>
      <c r="J680" s="2">
        <f ca="1">IFERROR(__xludf.DUMMYFUNCTION("""COMPUTED_VALUE"""),2898.27)</f>
        <v>2898.27</v>
      </c>
      <c r="K680" s="3">
        <f ca="1">IFERROR(__xludf.DUMMYFUNCTION("""COMPUTED_VALUE"""),44448.6666666666)</f>
        <v>44448.666666666599</v>
      </c>
      <c r="L680" s="2">
        <f ca="1">IFERROR(__xludf.DUMMYFUNCTION("""COMPUTED_VALUE"""),378)</f>
        <v>378</v>
      </c>
      <c r="M680" s="3">
        <f ca="1">IFERROR(__xludf.DUMMYFUNCTION("""COMPUTED_VALUE"""),44448.6666666666)</f>
        <v>44448.666666666599</v>
      </c>
      <c r="N680" s="2">
        <f ca="1">IFERROR(__xludf.DUMMYFUNCTION("""COMPUTED_VALUE"""),754.86)</f>
        <v>754.86</v>
      </c>
      <c r="O680" s="3">
        <f ca="1">IFERROR(__xludf.DUMMYFUNCTION("""COMPUTED_VALUE"""),44448.6666666666)</f>
        <v>44448.666666666599</v>
      </c>
      <c r="P680" s="2">
        <f ca="1">IFERROR(__xludf.DUMMYFUNCTION("""COMPUTED_VALUE"""),221.77)</f>
        <v>221.77</v>
      </c>
      <c r="Q680" s="3">
        <f ca="1">IFERROR(__xludf.DUMMYFUNCTION("""COMPUTED_VALUE"""),44448.6666666666)</f>
        <v>44448.666666666599</v>
      </c>
      <c r="R680" s="2">
        <f ca="1">IFERROR(__xludf.DUMMYFUNCTION("""COMPUTED_VALUE"""),278.61)</f>
        <v>278.61</v>
      </c>
      <c r="S680" s="3">
        <f ca="1">IFERROR(__xludf.DUMMYFUNCTION("""COMPUTED_VALUE"""),44448.6666666666)</f>
        <v>44448.666666666599</v>
      </c>
      <c r="T680" s="2">
        <f ca="1">IFERROR(__xludf.DUMMYFUNCTION("""COMPUTED_VALUE"""),168.07)</f>
        <v>168.07</v>
      </c>
    </row>
    <row r="681" spans="1:20">
      <c r="A681" s="3">
        <f ca="1">IFERROR(__xludf.DUMMYFUNCTION("""COMPUTED_VALUE"""),44449.6666666666)</f>
        <v>44449.666666666599</v>
      </c>
      <c r="B681" s="2">
        <f ca="1">IFERROR(__xludf.DUMMYFUNCTION("""COMPUTED_VALUE"""),148.97)</f>
        <v>148.97</v>
      </c>
      <c r="C681" s="3">
        <f ca="1">IFERROR(__xludf.DUMMYFUNCTION("""COMPUTED_VALUE"""),44449.6666666666)</f>
        <v>44449.666666666599</v>
      </c>
      <c r="D681" s="2">
        <f ca="1">IFERROR(__xludf.DUMMYFUNCTION("""COMPUTED_VALUE"""),295.71)</f>
        <v>295.70999999999998</v>
      </c>
      <c r="E681" s="3">
        <f ca="1">IFERROR(__xludf.DUMMYFUNCTION("""COMPUTED_VALUE"""),44449.6666666666)</f>
        <v>44449.666666666599</v>
      </c>
      <c r="F681" s="2">
        <f ca="1">IFERROR(__xludf.DUMMYFUNCTION("""COMPUTED_VALUE"""),3469.15)</f>
        <v>3469.15</v>
      </c>
      <c r="G681" s="3">
        <f ca="1">IFERROR(__xludf.DUMMYFUNCTION("""COMPUTED_VALUE"""),44449.6666666666)</f>
        <v>44449.666666666599</v>
      </c>
      <c r="H681" s="2">
        <f ca="1">IFERROR(__xludf.DUMMYFUNCTION("""COMPUTED_VALUE"""),2817.52)</f>
        <v>2817.52</v>
      </c>
      <c r="I681" s="3">
        <f ca="1">IFERROR(__xludf.DUMMYFUNCTION("""COMPUTED_VALUE"""),44449.6666666666)</f>
        <v>44449.666666666599</v>
      </c>
      <c r="J681" s="2">
        <f ca="1">IFERROR(__xludf.DUMMYFUNCTION("""COMPUTED_VALUE"""),2838.42)</f>
        <v>2838.42</v>
      </c>
      <c r="K681" s="3">
        <f ca="1">IFERROR(__xludf.DUMMYFUNCTION("""COMPUTED_VALUE"""),44449.6666666666)</f>
        <v>44449.666666666599</v>
      </c>
      <c r="L681" s="2">
        <f ca="1">IFERROR(__xludf.DUMMYFUNCTION("""COMPUTED_VALUE"""),378.69)</f>
        <v>378.69</v>
      </c>
      <c r="M681" s="3">
        <f ca="1">IFERROR(__xludf.DUMMYFUNCTION("""COMPUTED_VALUE"""),44449.6666666666)</f>
        <v>44449.666666666599</v>
      </c>
      <c r="N681" s="2">
        <f ca="1">IFERROR(__xludf.DUMMYFUNCTION("""COMPUTED_VALUE"""),736.27)</f>
        <v>736.27</v>
      </c>
      <c r="O681" s="3">
        <f ca="1">IFERROR(__xludf.DUMMYFUNCTION("""COMPUTED_VALUE"""),44449.6666666666)</f>
        <v>44449.666666666599</v>
      </c>
      <c r="P681" s="2">
        <f ca="1">IFERROR(__xludf.DUMMYFUNCTION("""COMPUTED_VALUE"""),224.78)</f>
        <v>224.78</v>
      </c>
      <c r="Q681" s="3">
        <f ca="1">IFERROR(__xludf.DUMMYFUNCTION("""COMPUTED_VALUE"""),44449.6666666666)</f>
        <v>44449.666666666599</v>
      </c>
      <c r="R681" s="2">
        <f ca="1">IFERROR(__xludf.DUMMYFUNCTION("""COMPUTED_VALUE"""),277.6)</f>
        <v>277.60000000000002</v>
      </c>
      <c r="S681" s="3">
        <f ca="1">IFERROR(__xludf.DUMMYFUNCTION("""COMPUTED_VALUE"""),44449.6666666666)</f>
        <v>44449.666666666599</v>
      </c>
      <c r="T681" s="2">
        <f ca="1">IFERROR(__xludf.DUMMYFUNCTION("""COMPUTED_VALUE"""),166.97)</f>
        <v>166.97</v>
      </c>
    </row>
    <row r="682" spans="1:20">
      <c r="A682" s="3">
        <f ca="1">IFERROR(__xludf.DUMMYFUNCTION("""COMPUTED_VALUE"""),44452.6666666666)</f>
        <v>44452.666666666599</v>
      </c>
      <c r="B682" s="2">
        <f ca="1">IFERROR(__xludf.DUMMYFUNCTION("""COMPUTED_VALUE"""),149.55)</f>
        <v>149.55000000000001</v>
      </c>
      <c r="C682" s="3">
        <f ca="1">IFERROR(__xludf.DUMMYFUNCTION("""COMPUTED_VALUE"""),44452.6666666666)</f>
        <v>44452.666666666599</v>
      </c>
      <c r="D682" s="2">
        <f ca="1">IFERROR(__xludf.DUMMYFUNCTION("""COMPUTED_VALUE"""),296.99)</f>
        <v>296.99</v>
      </c>
      <c r="E682" s="3">
        <f ca="1">IFERROR(__xludf.DUMMYFUNCTION("""COMPUTED_VALUE"""),44452.6666666666)</f>
        <v>44452.666666666599</v>
      </c>
      <c r="F682" s="2">
        <f ca="1">IFERROR(__xludf.DUMMYFUNCTION("""COMPUTED_VALUE"""),3457.17)</f>
        <v>3457.17</v>
      </c>
      <c r="G682" s="3">
        <f ca="1">IFERROR(__xludf.DUMMYFUNCTION("""COMPUTED_VALUE"""),44452.6666666666)</f>
        <v>44452.666666666599</v>
      </c>
      <c r="H682" s="2">
        <f ca="1">IFERROR(__xludf.DUMMYFUNCTION("""COMPUTED_VALUE"""),2846.65)</f>
        <v>2846.65</v>
      </c>
      <c r="I682" s="3">
        <f ca="1">IFERROR(__xludf.DUMMYFUNCTION("""COMPUTED_VALUE"""),44452.6666666666)</f>
        <v>44452.666666666599</v>
      </c>
      <c r="J682" s="2">
        <f ca="1">IFERROR(__xludf.DUMMYFUNCTION("""COMPUTED_VALUE"""),2869.3)</f>
        <v>2869.3</v>
      </c>
      <c r="K682" s="3">
        <f ca="1">IFERROR(__xludf.DUMMYFUNCTION("""COMPUTED_VALUE"""),44452.6666666666)</f>
        <v>44452.666666666599</v>
      </c>
      <c r="L682" s="2">
        <f ca="1">IFERROR(__xludf.DUMMYFUNCTION("""COMPUTED_VALUE"""),376.51)</f>
        <v>376.51</v>
      </c>
      <c r="M682" s="3">
        <f ca="1">IFERROR(__xludf.DUMMYFUNCTION("""COMPUTED_VALUE"""),44452.6666666666)</f>
        <v>44452.666666666599</v>
      </c>
      <c r="N682" s="2">
        <f ca="1">IFERROR(__xludf.DUMMYFUNCTION("""COMPUTED_VALUE"""),743)</f>
        <v>743</v>
      </c>
      <c r="O682" s="3">
        <f ca="1">IFERROR(__xludf.DUMMYFUNCTION("""COMPUTED_VALUE"""),44452.6666666666)</f>
        <v>44452.666666666599</v>
      </c>
      <c r="P682" s="2">
        <f ca="1">IFERROR(__xludf.DUMMYFUNCTION("""COMPUTED_VALUE"""),221.52)</f>
        <v>221.52</v>
      </c>
      <c r="Q682" s="3">
        <f ca="1">IFERROR(__xludf.DUMMYFUNCTION("""COMPUTED_VALUE"""),44452.6666666666)</f>
        <v>44452.666666666599</v>
      </c>
      <c r="R682" s="2">
        <f ca="1">IFERROR(__xludf.DUMMYFUNCTION("""COMPUTED_VALUE"""),279.92)</f>
        <v>279.92</v>
      </c>
      <c r="S682" s="3">
        <f ca="1">IFERROR(__xludf.DUMMYFUNCTION("""COMPUTED_VALUE"""),44452.6666666666)</f>
        <v>44452.666666666599</v>
      </c>
      <c r="T682" s="2">
        <f ca="1">IFERROR(__xludf.DUMMYFUNCTION("""COMPUTED_VALUE"""),165.8)</f>
        <v>165.8</v>
      </c>
    </row>
    <row r="683" spans="1:20">
      <c r="A683" s="3">
        <f ca="1">IFERROR(__xludf.DUMMYFUNCTION("""COMPUTED_VALUE"""),44453.6666666666)</f>
        <v>44453.666666666599</v>
      </c>
      <c r="B683" s="2">
        <f ca="1">IFERROR(__xludf.DUMMYFUNCTION("""COMPUTED_VALUE"""),148.12)</f>
        <v>148.12</v>
      </c>
      <c r="C683" s="3">
        <f ca="1">IFERROR(__xludf.DUMMYFUNCTION("""COMPUTED_VALUE"""),44453.6666666666)</f>
        <v>44453.666666666599</v>
      </c>
      <c r="D683" s="2">
        <f ca="1">IFERROR(__xludf.DUMMYFUNCTION("""COMPUTED_VALUE"""),299.79)</f>
        <v>299.79000000000002</v>
      </c>
      <c r="E683" s="3">
        <f ca="1">IFERROR(__xludf.DUMMYFUNCTION("""COMPUTED_VALUE"""),44453.6666666666)</f>
        <v>44453.666666666599</v>
      </c>
      <c r="F683" s="2">
        <f ca="1">IFERROR(__xludf.DUMMYFUNCTION("""COMPUTED_VALUE"""),3450)</f>
        <v>3450</v>
      </c>
      <c r="G683" s="3">
        <f ca="1">IFERROR(__xludf.DUMMYFUNCTION("""COMPUTED_VALUE"""),44453.6666666666)</f>
        <v>44453.666666666599</v>
      </c>
      <c r="H683" s="2">
        <f ca="1">IFERROR(__xludf.DUMMYFUNCTION("""COMPUTED_VALUE"""),2850.89)</f>
        <v>2850.89</v>
      </c>
      <c r="I683" s="3">
        <f ca="1">IFERROR(__xludf.DUMMYFUNCTION("""COMPUTED_VALUE"""),44453.6666666666)</f>
        <v>44453.666666666599</v>
      </c>
      <c r="J683" s="2">
        <f ca="1">IFERROR(__xludf.DUMMYFUNCTION("""COMPUTED_VALUE"""),2868.12)</f>
        <v>2868.12</v>
      </c>
      <c r="K683" s="3">
        <f ca="1">IFERROR(__xludf.DUMMYFUNCTION("""COMPUTED_VALUE"""),44453.6666666666)</f>
        <v>44453.666666666599</v>
      </c>
      <c r="L683" s="2">
        <f ca="1">IFERROR(__xludf.DUMMYFUNCTION("""COMPUTED_VALUE"""),376.53)</f>
        <v>376.53</v>
      </c>
      <c r="M683" s="3">
        <f ca="1">IFERROR(__xludf.DUMMYFUNCTION("""COMPUTED_VALUE"""),44453.6666666666)</f>
        <v>44453.666666666599</v>
      </c>
      <c r="N683" s="2">
        <f ca="1">IFERROR(__xludf.DUMMYFUNCTION("""COMPUTED_VALUE"""),744.49)</f>
        <v>744.49</v>
      </c>
      <c r="O683" s="3">
        <f ca="1">IFERROR(__xludf.DUMMYFUNCTION("""COMPUTED_VALUE"""),44453.6666666666)</f>
        <v>44453.666666666599</v>
      </c>
      <c r="P683" s="2">
        <f ca="1">IFERROR(__xludf.DUMMYFUNCTION("""COMPUTED_VALUE"""),222.42)</f>
        <v>222.42</v>
      </c>
      <c r="Q683" s="3">
        <f ca="1">IFERROR(__xludf.DUMMYFUNCTION("""COMPUTED_VALUE"""),44453.6666666666)</f>
        <v>44453.666666666599</v>
      </c>
      <c r="R683" s="2">
        <f ca="1">IFERROR(__xludf.DUMMYFUNCTION("""COMPUTED_VALUE"""),277.2)</f>
        <v>277.2</v>
      </c>
      <c r="S683" s="3">
        <f ca="1">IFERROR(__xludf.DUMMYFUNCTION("""COMPUTED_VALUE"""),44453.6666666666)</f>
        <v>44453.666666666599</v>
      </c>
      <c r="T683" s="2">
        <f ca="1">IFERROR(__xludf.DUMMYFUNCTION("""COMPUTED_VALUE"""),164.8)</f>
        <v>164.8</v>
      </c>
    </row>
    <row r="684" spans="1:20">
      <c r="A684" s="3">
        <f ca="1">IFERROR(__xludf.DUMMYFUNCTION("""COMPUTED_VALUE"""),44454.6666666666)</f>
        <v>44454.666666666599</v>
      </c>
      <c r="B684" s="2">
        <f ca="1">IFERROR(__xludf.DUMMYFUNCTION("""COMPUTED_VALUE"""),149.03)</f>
        <v>149.03</v>
      </c>
      <c r="C684" s="3">
        <f ca="1">IFERROR(__xludf.DUMMYFUNCTION("""COMPUTED_VALUE"""),44454.6666666666)</f>
        <v>44454.666666666599</v>
      </c>
      <c r="D684" s="2">
        <f ca="1">IFERROR(__xludf.DUMMYFUNCTION("""COMPUTED_VALUE"""),304.82)</f>
        <v>304.82</v>
      </c>
      <c r="E684" s="3">
        <f ca="1">IFERROR(__xludf.DUMMYFUNCTION("""COMPUTED_VALUE"""),44454.6666666666)</f>
        <v>44454.666666666599</v>
      </c>
      <c r="F684" s="2">
        <f ca="1">IFERROR(__xludf.DUMMYFUNCTION("""COMPUTED_VALUE"""),3475.79)</f>
        <v>3475.79</v>
      </c>
      <c r="G684" s="3">
        <f ca="1">IFERROR(__xludf.DUMMYFUNCTION("""COMPUTED_VALUE"""),44454.6666666666)</f>
        <v>44454.666666666599</v>
      </c>
      <c r="H684" s="2">
        <f ca="1">IFERROR(__xludf.DUMMYFUNCTION("""COMPUTED_VALUE"""),2888.59)</f>
        <v>2888.59</v>
      </c>
      <c r="I684" s="3">
        <f ca="1">IFERROR(__xludf.DUMMYFUNCTION("""COMPUTED_VALUE"""),44454.6666666666)</f>
        <v>44454.666666666599</v>
      </c>
      <c r="J684" s="2">
        <f ca="1">IFERROR(__xludf.DUMMYFUNCTION("""COMPUTED_VALUE"""),2904.12)</f>
        <v>2904.12</v>
      </c>
      <c r="K684" s="3">
        <f ca="1">IFERROR(__xludf.DUMMYFUNCTION("""COMPUTED_VALUE"""),44454.6666666666)</f>
        <v>44454.666666666599</v>
      </c>
      <c r="L684" s="2">
        <f ca="1">IFERROR(__xludf.DUMMYFUNCTION("""COMPUTED_VALUE"""),373.92)</f>
        <v>373.92</v>
      </c>
      <c r="M684" s="3">
        <f ca="1">IFERROR(__xludf.DUMMYFUNCTION("""COMPUTED_VALUE"""),44454.6666666666)</f>
        <v>44454.666666666599</v>
      </c>
      <c r="N684" s="2">
        <f ca="1">IFERROR(__xludf.DUMMYFUNCTION("""COMPUTED_VALUE"""),755.83)</f>
        <v>755.83</v>
      </c>
      <c r="O684" s="3">
        <f ca="1">IFERROR(__xludf.DUMMYFUNCTION("""COMPUTED_VALUE"""),44454.6666666666)</f>
        <v>44454.666666666599</v>
      </c>
      <c r="P684" s="2">
        <f ca="1">IFERROR(__xludf.DUMMYFUNCTION("""COMPUTED_VALUE"""),223.41)</f>
        <v>223.41</v>
      </c>
      <c r="Q684" s="3">
        <f ca="1">IFERROR(__xludf.DUMMYFUNCTION("""COMPUTED_VALUE"""),44454.6666666666)</f>
        <v>44454.666666666599</v>
      </c>
      <c r="R684" s="2">
        <f ca="1">IFERROR(__xludf.DUMMYFUNCTION("""COMPUTED_VALUE"""),278.18)</f>
        <v>278.18</v>
      </c>
      <c r="S684" s="3">
        <f ca="1">IFERROR(__xludf.DUMMYFUNCTION("""COMPUTED_VALUE"""),44454.6666666666)</f>
        <v>44454.666666666599</v>
      </c>
      <c r="T684" s="2">
        <f ca="1">IFERROR(__xludf.DUMMYFUNCTION("""COMPUTED_VALUE"""),165.42)</f>
        <v>165.42</v>
      </c>
    </row>
    <row r="685" spans="1:20">
      <c r="A685" s="3">
        <f ca="1">IFERROR(__xludf.DUMMYFUNCTION("""COMPUTED_VALUE"""),44455.6666666666)</f>
        <v>44455.666666666599</v>
      </c>
      <c r="B685" s="2">
        <f ca="1">IFERROR(__xludf.DUMMYFUNCTION("""COMPUTED_VALUE"""),148.79)</f>
        <v>148.79</v>
      </c>
      <c r="C685" s="3">
        <f ca="1">IFERROR(__xludf.DUMMYFUNCTION("""COMPUTED_VALUE"""),44455.6666666666)</f>
        <v>44455.666666666599</v>
      </c>
      <c r="D685" s="2">
        <f ca="1">IFERROR(__xludf.DUMMYFUNCTION("""COMPUTED_VALUE"""),305.22)</f>
        <v>305.22000000000003</v>
      </c>
      <c r="E685" s="3">
        <f ca="1">IFERROR(__xludf.DUMMYFUNCTION("""COMPUTED_VALUE"""),44455.6666666666)</f>
        <v>44455.666666666599</v>
      </c>
      <c r="F685" s="2">
        <f ca="1">IFERROR(__xludf.DUMMYFUNCTION("""COMPUTED_VALUE"""),3488.24)</f>
        <v>3488.24</v>
      </c>
      <c r="G685" s="3">
        <f ca="1">IFERROR(__xludf.DUMMYFUNCTION("""COMPUTED_VALUE"""),44455.6666666666)</f>
        <v>44455.666666666599</v>
      </c>
      <c r="H685" s="2">
        <f ca="1">IFERROR(__xludf.DUMMYFUNCTION("""COMPUTED_VALUE"""),2872.2)</f>
        <v>2872.2</v>
      </c>
      <c r="I685" s="3">
        <f ca="1">IFERROR(__xludf.DUMMYFUNCTION("""COMPUTED_VALUE"""),44455.6666666666)</f>
        <v>44455.666666666599</v>
      </c>
      <c r="J685" s="2">
        <f ca="1">IFERROR(__xludf.DUMMYFUNCTION("""COMPUTED_VALUE"""),2887.47)</f>
        <v>2887.47</v>
      </c>
      <c r="K685" s="3">
        <f ca="1">IFERROR(__xludf.DUMMYFUNCTION("""COMPUTED_VALUE"""),44455.6666666666)</f>
        <v>44455.666666666599</v>
      </c>
      <c r="L685" s="2">
        <f ca="1">IFERROR(__xludf.DUMMYFUNCTION("""COMPUTED_VALUE"""),373.06)</f>
        <v>373.06</v>
      </c>
      <c r="M685" s="3">
        <f ca="1">IFERROR(__xludf.DUMMYFUNCTION("""COMPUTED_VALUE"""),44455.6666666666)</f>
        <v>44455.666666666599</v>
      </c>
      <c r="N685" s="2">
        <f ca="1">IFERROR(__xludf.DUMMYFUNCTION("""COMPUTED_VALUE"""),756.99)</f>
        <v>756.99</v>
      </c>
      <c r="O685" s="3">
        <f ca="1">IFERROR(__xludf.DUMMYFUNCTION("""COMPUTED_VALUE"""),44455.6666666666)</f>
        <v>44455.666666666599</v>
      </c>
      <c r="P685" s="2">
        <f ca="1">IFERROR(__xludf.DUMMYFUNCTION("""COMPUTED_VALUE"""),222.42)</f>
        <v>222.42</v>
      </c>
      <c r="Q685" s="3">
        <f ca="1">IFERROR(__xludf.DUMMYFUNCTION("""COMPUTED_VALUE"""),44455.6666666666)</f>
        <v>44455.666666666599</v>
      </c>
      <c r="R685" s="2">
        <f ca="1">IFERROR(__xludf.DUMMYFUNCTION("""COMPUTED_VALUE"""),277.51)</f>
        <v>277.51</v>
      </c>
      <c r="S685" s="3">
        <f ca="1">IFERROR(__xludf.DUMMYFUNCTION("""COMPUTED_VALUE"""),44455.6666666666)</f>
        <v>44455.666666666599</v>
      </c>
      <c r="T685" s="2">
        <f ca="1">IFERROR(__xludf.DUMMYFUNCTION("""COMPUTED_VALUE"""),165.22)</f>
        <v>165.22</v>
      </c>
    </row>
    <row r="686" spans="1:20">
      <c r="A686" s="3">
        <f ca="1">IFERROR(__xludf.DUMMYFUNCTION("""COMPUTED_VALUE"""),44456.6666666666)</f>
        <v>44456.666666666599</v>
      </c>
      <c r="B686" s="2">
        <f ca="1">IFERROR(__xludf.DUMMYFUNCTION("""COMPUTED_VALUE"""),146.06)</f>
        <v>146.06</v>
      </c>
      <c r="C686" s="3">
        <f ca="1">IFERROR(__xludf.DUMMYFUNCTION("""COMPUTED_VALUE"""),44456.6666666666)</f>
        <v>44456.666666666599</v>
      </c>
      <c r="D686" s="2">
        <f ca="1">IFERROR(__xludf.DUMMYFUNCTION("""COMPUTED_VALUE"""),299.87)</f>
        <v>299.87</v>
      </c>
      <c r="E686" s="3">
        <f ca="1">IFERROR(__xludf.DUMMYFUNCTION("""COMPUTED_VALUE"""),44456.6666666666)</f>
        <v>44456.666666666599</v>
      </c>
      <c r="F686" s="2">
        <f ca="1">IFERROR(__xludf.DUMMYFUNCTION("""COMPUTED_VALUE"""),3462.52)</f>
        <v>3462.52</v>
      </c>
      <c r="G686" s="3">
        <f ca="1">IFERROR(__xludf.DUMMYFUNCTION("""COMPUTED_VALUE"""),44456.6666666666)</f>
        <v>44456.666666666599</v>
      </c>
      <c r="H686" s="2">
        <f ca="1">IFERROR(__xludf.DUMMYFUNCTION("""COMPUTED_VALUE"""),2816)</f>
        <v>2816</v>
      </c>
      <c r="I686" s="3">
        <f ca="1">IFERROR(__xludf.DUMMYFUNCTION("""COMPUTED_VALUE"""),44456.6666666666)</f>
        <v>44456.666666666599</v>
      </c>
      <c r="J686" s="2">
        <f ca="1">IFERROR(__xludf.DUMMYFUNCTION("""COMPUTED_VALUE"""),2829.27)</f>
        <v>2829.27</v>
      </c>
      <c r="K686" s="3">
        <f ca="1">IFERROR(__xludf.DUMMYFUNCTION("""COMPUTED_VALUE"""),44456.6666666666)</f>
        <v>44456.666666666599</v>
      </c>
      <c r="L686" s="2">
        <f ca="1">IFERROR(__xludf.DUMMYFUNCTION("""COMPUTED_VALUE"""),364.72)</f>
        <v>364.72</v>
      </c>
      <c r="M686" s="3">
        <f ca="1">IFERROR(__xludf.DUMMYFUNCTION("""COMPUTED_VALUE"""),44456.6666666666)</f>
        <v>44456.666666666599</v>
      </c>
      <c r="N686" s="2">
        <f ca="1">IFERROR(__xludf.DUMMYFUNCTION("""COMPUTED_VALUE"""),759.49)</f>
        <v>759.49</v>
      </c>
      <c r="O686" s="3">
        <f ca="1">IFERROR(__xludf.DUMMYFUNCTION("""COMPUTED_VALUE"""),44456.6666666666)</f>
        <v>44456.666666666599</v>
      </c>
      <c r="P686" s="2">
        <f ca="1">IFERROR(__xludf.DUMMYFUNCTION("""COMPUTED_VALUE"""),219)</f>
        <v>219</v>
      </c>
      <c r="Q686" s="3">
        <f ca="1">IFERROR(__xludf.DUMMYFUNCTION("""COMPUTED_VALUE"""),44456.6666666666)</f>
        <v>44456.666666666599</v>
      </c>
      <c r="R686" s="2">
        <f ca="1">IFERROR(__xludf.DUMMYFUNCTION("""COMPUTED_VALUE"""),276.76)</f>
        <v>276.76</v>
      </c>
      <c r="S686" s="3">
        <f ca="1">IFERROR(__xludf.DUMMYFUNCTION("""COMPUTED_VALUE"""),44456.6666666666)</f>
        <v>44456.666666666599</v>
      </c>
      <c r="T686" s="2">
        <f ca="1">IFERROR(__xludf.DUMMYFUNCTION("""COMPUTED_VALUE"""),164.75)</f>
        <v>164.75</v>
      </c>
    </row>
    <row r="687" spans="1:20">
      <c r="A687" s="3">
        <f ca="1">IFERROR(__xludf.DUMMYFUNCTION("""COMPUTED_VALUE"""),44459.6666666666)</f>
        <v>44459.666666666599</v>
      </c>
      <c r="B687" s="2">
        <f ca="1">IFERROR(__xludf.DUMMYFUNCTION("""COMPUTED_VALUE"""),142.94)</f>
        <v>142.94</v>
      </c>
      <c r="C687" s="3">
        <f ca="1">IFERROR(__xludf.DUMMYFUNCTION("""COMPUTED_VALUE"""),44459.6666666666)</f>
        <v>44459.666666666599</v>
      </c>
      <c r="D687" s="2">
        <f ca="1">IFERROR(__xludf.DUMMYFUNCTION("""COMPUTED_VALUE"""),294.3)</f>
        <v>294.3</v>
      </c>
      <c r="E687" s="3">
        <f ca="1">IFERROR(__xludf.DUMMYFUNCTION("""COMPUTED_VALUE"""),44459.6666666666)</f>
        <v>44459.666666666599</v>
      </c>
      <c r="F687" s="2">
        <f ca="1">IFERROR(__xludf.DUMMYFUNCTION("""COMPUTED_VALUE"""),3355.73)</f>
        <v>3355.73</v>
      </c>
      <c r="G687" s="3">
        <f ca="1">IFERROR(__xludf.DUMMYFUNCTION("""COMPUTED_VALUE"""),44459.6666666666)</f>
        <v>44459.666666666599</v>
      </c>
      <c r="H687" s="2">
        <f ca="1">IFERROR(__xludf.DUMMYFUNCTION("""COMPUTED_VALUE"""),2774.39)</f>
        <v>2774.39</v>
      </c>
      <c r="I687" s="3">
        <f ca="1">IFERROR(__xludf.DUMMYFUNCTION("""COMPUTED_VALUE"""),44459.6666666666)</f>
        <v>44459.666666666599</v>
      </c>
      <c r="J687" s="2">
        <f ca="1">IFERROR(__xludf.DUMMYFUNCTION("""COMPUTED_VALUE"""),2780.34)</f>
        <v>2780.34</v>
      </c>
      <c r="K687" s="3">
        <f ca="1">IFERROR(__xludf.DUMMYFUNCTION("""COMPUTED_VALUE"""),44459.6666666666)</f>
        <v>44459.666666666599</v>
      </c>
      <c r="L687" s="2">
        <f ca="1">IFERROR(__xludf.DUMMYFUNCTION("""COMPUTED_VALUE"""),355.7)</f>
        <v>355.7</v>
      </c>
      <c r="M687" s="3">
        <f ca="1">IFERROR(__xludf.DUMMYFUNCTION("""COMPUTED_VALUE"""),44459.6666666666)</f>
        <v>44459.666666666599</v>
      </c>
      <c r="N687" s="2">
        <f ca="1">IFERROR(__xludf.DUMMYFUNCTION("""COMPUTED_VALUE"""),730.17)</f>
        <v>730.17</v>
      </c>
      <c r="O687" s="3">
        <f ca="1">IFERROR(__xludf.DUMMYFUNCTION("""COMPUTED_VALUE"""),44459.6666666666)</f>
        <v>44459.666666666599</v>
      </c>
      <c r="P687" s="2">
        <f ca="1">IFERROR(__xludf.DUMMYFUNCTION("""COMPUTED_VALUE"""),211.13)</f>
        <v>211.13</v>
      </c>
      <c r="Q687" s="3">
        <f ca="1">IFERROR(__xludf.DUMMYFUNCTION("""COMPUTED_VALUE"""),44459.6666666666)</f>
        <v>44459.666666666599</v>
      </c>
      <c r="R687" s="2">
        <f ca="1">IFERROR(__xludf.DUMMYFUNCTION("""COMPUTED_VALUE"""),274.2)</f>
        <v>274.2</v>
      </c>
      <c r="S687" s="3">
        <f ca="1">IFERROR(__xludf.DUMMYFUNCTION("""COMPUTED_VALUE"""),44459.6666666666)</f>
        <v>44459.666666666599</v>
      </c>
      <c r="T687" s="2">
        <f ca="1">IFERROR(__xludf.DUMMYFUNCTION("""COMPUTED_VALUE"""),163.81)</f>
        <v>163.81</v>
      </c>
    </row>
    <row r="688" spans="1:20">
      <c r="A688" s="3">
        <f ca="1">IFERROR(__xludf.DUMMYFUNCTION("""COMPUTED_VALUE"""),44460.6666666666)</f>
        <v>44460.666666666599</v>
      </c>
      <c r="B688" s="2">
        <f ca="1">IFERROR(__xludf.DUMMYFUNCTION("""COMPUTED_VALUE"""),143.43)</f>
        <v>143.43</v>
      </c>
      <c r="C688" s="3">
        <f ca="1">IFERROR(__xludf.DUMMYFUNCTION("""COMPUTED_VALUE"""),44460.6666666666)</f>
        <v>44460.666666666599</v>
      </c>
      <c r="D688" s="2">
        <f ca="1">IFERROR(__xludf.DUMMYFUNCTION("""COMPUTED_VALUE"""),294.8)</f>
        <v>294.8</v>
      </c>
      <c r="E688" s="3">
        <f ca="1">IFERROR(__xludf.DUMMYFUNCTION("""COMPUTED_VALUE"""),44460.6666666666)</f>
        <v>44460.666666666599</v>
      </c>
      <c r="F688" s="2">
        <f ca="1">IFERROR(__xludf.DUMMYFUNCTION("""COMPUTED_VALUE"""),3343.63)</f>
        <v>3343.63</v>
      </c>
      <c r="G688" s="3">
        <f ca="1">IFERROR(__xludf.DUMMYFUNCTION("""COMPUTED_VALUE"""),44460.6666666666)</f>
        <v>44460.666666666599</v>
      </c>
      <c r="H688" s="2">
        <f ca="1">IFERROR(__xludf.DUMMYFUNCTION("""COMPUTED_VALUE"""),2780.66)</f>
        <v>2780.66</v>
      </c>
      <c r="I688" s="3">
        <f ca="1">IFERROR(__xludf.DUMMYFUNCTION("""COMPUTED_VALUE"""),44460.6666666666)</f>
        <v>44460.666666666599</v>
      </c>
      <c r="J688" s="2">
        <f ca="1">IFERROR(__xludf.DUMMYFUNCTION("""COMPUTED_VALUE"""),2792.93)</f>
        <v>2792.93</v>
      </c>
      <c r="K688" s="3">
        <f ca="1">IFERROR(__xludf.DUMMYFUNCTION("""COMPUTED_VALUE"""),44460.6666666666)</f>
        <v>44460.666666666599</v>
      </c>
      <c r="L688" s="2">
        <f ca="1">IFERROR(__xludf.DUMMYFUNCTION("""COMPUTED_VALUE"""),357.48)</f>
        <v>357.48</v>
      </c>
      <c r="M688" s="3">
        <f ca="1">IFERROR(__xludf.DUMMYFUNCTION("""COMPUTED_VALUE"""),44460.6666666666)</f>
        <v>44460.666666666599</v>
      </c>
      <c r="N688" s="2">
        <f ca="1">IFERROR(__xludf.DUMMYFUNCTION("""COMPUTED_VALUE"""),739.38)</f>
        <v>739.38</v>
      </c>
      <c r="O688" s="3">
        <f ca="1">IFERROR(__xludf.DUMMYFUNCTION("""COMPUTED_VALUE"""),44460.6666666666)</f>
        <v>44460.666666666599</v>
      </c>
      <c r="P688" s="2">
        <f ca="1">IFERROR(__xludf.DUMMYFUNCTION("""COMPUTED_VALUE"""),212.46)</f>
        <v>212.46</v>
      </c>
      <c r="Q688" s="3">
        <f ca="1">IFERROR(__xludf.DUMMYFUNCTION("""COMPUTED_VALUE"""),44460.6666666666)</f>
        <v>44460.666666666599</v>
      </c>
      <c r="R688" s="2">
        <f ca="1">IFERROR(__xludf.DUMMYFUNCTION("""COMPUTED_VALUE"""),273.18)</f>
        <v>273.18</v>
      </c>
      <c r="S688" s="3">
        <f ca="1">IFERROR(__xludf.DUMMYFUNCTION("""COMPUTED_VALUE"""),44460.6666666666)</f>
        <v>44460.666666666599</v>
      </c>
      <c r="T688" s="2">
        <f ca="1">IFERROR(__xludf.DUMMYFUNCTION("""COMPUTED_VALUE"""),164.53)</f>
        <v>164.53</v>
      </c>
    </row>
    <row r="689" spans="1:20">
      <c r="A689" s="3">
        <f ca="1">IFERROR(__xludf.DUMMYFUNCTION("""COMPUTED_VALUE"""),44461.6666666666)</f>
        <v>44461.666666666599</v>
      </c>
      <c r="B689" s="2">
        <f ca="1">IFERROR(__xludf.DUMMYFUNCTION("""COMPUTED_VALUE"""),145.85)</f>
        <v>145.85</v>
      </c>
      <c r="C689" s="3">
        <f ca="1">IFERROR(__xludf.DUMMYFUNCTION("""COMPUTED_VALUE"""),44461.6666666666)</f>
        <v>44461.666666666599</v>
      </c>
      <c r="D689" s="2">
        <f ca="1">IFERROR(__xludf.DUMMYFUNCTION("""COMPUTED_VALUE"""),298.58)</f>
        <v>298.58</v>
      </c>
      <c r="E689" s="3">
        <f ca="1">IFERROR(__xludf.DUMMYFUNCTION("""COMPUTED_VALUE"""),44461.6666666666)</f>
        <v>44461.666666666599</v>
      </c>
      <c r="F689" s="2">
        <f ca="1">IFERROR(__xludf.DUMMYFUNCTION("""COMPUTED_VALUE"""),3380.05)</f>
        <v>3380.05</v>
      </c>
      <c r="G689" s="3">
        <f ca="1">IFERROR(__xludf.DUMMYFUNCTION("""COMPUTED_VALUE"""),44461.6666666666)</f>
        <v>44461.666666666599</v>
      </c>
      <c r="H689" s="2">
        <f ca="1">IFERROR(__xludf.DUMMYFUNCTION("""COMPUTED_VALUE"""),2805.67)</f>
        <v>2805.67</v>
      </c>
      <c r="I689" s="3">
        <f ca="1">IFERROR(__xludf.DUMMYFUNCTION("""COMPUTED_VALUE"""),44461.6666666666)</f>
        <v>44461.666666666599</v>
      </c>
      <c r="J689" s="2">
        <f ca="1">IFERROR(__xludf.DUMMYFUNCTION("""COMPUTED_VALUE"""),2818.77)</f>
        <v>2818.77</v>
      </c>
      <c r="K689" s="3">
        <f ca="1">IFERROR(__xludf.DUMMYFUNCTION("""COMPUTED_VALUE"""),44461.6666666666)</f>
        <v>44461.666666666599</v>
      </c>
      <c r="L689" s="2">
        <f ca="1">IFERROR(__xludf.DUMMYFUNCTION("""COMPUTED_VALUE"""),343.21)</f>
        <v>343.21</v>
      </c>
      <c r="M689" s="3">
        <f ca="1">IFERROR(__xludf.DUMMYFUNCTION("""COMPUTED_VALUE"""),44461.6666666666)</f>
        <v>44461.666666666599</v>
      </c>
      <c r="N689" s="2">
        <f ca="1">IFERROR(__xludf.DUMMYFUNCTION("""COMPUTED_VALUE"""),751.94)</f>
        <v>751.94</v>
      </c>
      <c r="O689" s="3">
        <f ca="1">IFERROR(__xludf.DUMMYFUNCTION("""COMPUTED_VALUE"""),44461.6666666666)</f>
        <v>44461.666666666599</v>
      </c>
      <c r="P689" s="2">
        <f ca="1">IFERROR(__xludf.DUMMYFUNCTION("""COMPUTED_VALUE"""),219.41)</f>
        <v>219.41</v>
      </c>
      <c r="Q689" s="3">
        <f ca="1">IFERROR(__xludf.DUMMYFUNCTION("""COMPUTED_VALUE"""),44461.6666666666)</f>
        <v>44461.666666666599</v>
      </c>
      <c r="R689" s="2">
        <f ca="1">IFERROR(__xludf.DUMMYFUNCTION("""COMPUTED_VALUE"""),274.07)</f>
        <v>274.07</v>
      </c>
      <c r="S689" s="3">
        <f ca="1">IFERROR(__xludf.DUMMYFUNCTION("""COMPUTED_VALUE"""),44461.6666666666)</f>
        <v>44461.666666666599</v>
      </c>
      <c r="T689" s="2">
        <f ca="1">IFERROR(__xludf.DUMMYFUNCTION("""COMPUTED_VALUE"""),163.93)</f>
        <v>163.93</v>
      </c>
    </row>
    <row r="690" spans="1:20">
      <c r="A690" s="3">
        <f ca="1">IFERROR(__xludf.DUMMYFUNCTION("""COMPUTED_VALUE"""),44462.6666666666)</f>
        <v>44462.666666666599</v>
      </c>
      <c r="B690" s="2">
        <f ca="1">IFERROR(__xludf.DUMMYFUNCTION("""COMPUTED_VALUE"""),146.83)</f>
        <v>146.83000000000001</v>
      </c>
      <c r="C690" s="3">
        <f ca="1">IFERROR(__xludf.DUMMYFUNCTION("""COMPUTED_VALUE"""),44462.6666666666)</f>
        <v>44462.666666666599</v>
      </c>
      <c r="D690" s="2">
        <f ca="1">IFERROR(__xludf.DUMMYFUNCTION("""COMPUTED_VALUE"""),299.56)</f>
        <v>299.56</v>
      </c>
      <c r="E690" s="3">
        <f ca="1">IFERROR(__xludf.DUMMYFUNCTION("""COMPUTED_VALUE"""),44462.6666666666)</f>
        <v>44462.666666666599</v>
      </c>
      <c r="F690" s="2">
        <f ca="1">IFERROR(__xludf.DUMMYFUNCTION("""COMPUTED_VALUE"""),3416)</f>
        <v>3416</v>
      </c>
      <c r="G690" s="3">
        <f ca="1">IFERROR(__xludf.DUMMYFUNCTION("""COMPUTED_VALUE"""),44462.6666666666)</f>
        <v>44462.666666666599</v>
      </c>
      <c r="H690" s="2">
        <f ca="1">IFERROR(__xludf.DUMMYFUNCTION("""COMPUTED_VALUE"""),2824.32)</f>
        <v>2824.32</v>
      </c>
      <c r="I690" s="3">
        <f ca="1">IFERROR(__xludf.DUMMYFUNCTION("""COMPUTED_VALUE"""),44462.6666666666)</f>
        <v>44462.666666666599</v>
      </c>
      <c r="J690" s="2">
        <f ca="1">IFERROR(__xludf.DUMMYFUNCTION("""COMPUTED_VALUE"""),2836.53)</f>
        <v>2836.53</v>
      </c>
      <c r="K690" s="3">
        <f ca="1">IFERROR(__xludf.DUMMYFUNCTION("""COMPUTED_VALUE"""),44462.6666666666)</f>
        <v>44462.666666666599</v>
      </c>
      <c r="L690" s="2">
        <f ca="1">IFERROR(__xludf.DUMMYFUNCTION("""COMPUTED_VALUE"""),345.96)</f>
        <v>345.96</v>
      </c>
      <c r="M690" s="3">
        <f ca="1">IFERROR(__xludf.DUMMYFUNCTION("""COMPUTED_VALUE"""),44462.6666666666)</f>
        <v>44462.666666666599</v>
      </c>
      <c r="N690" s="2">
        <f ca="1">IFERROR(__xludf.DUMMYFUNCTION("""COMPUTED_VALUE"""),753.64)</f>
        <v>753.64</v>
      </c>
      <c r="O690" s="3">
        <f ca="1">IFERROR(__xludf.DUMMYFUNCTION("""COMPUTED_VALUE"""),44462.6666666666)</f>
        <v>44462.666666666599</v>
      </c>
      <c r="P690" s="2">
        <f ca="1">IFERROR(__xludf.DUMMYFUNCTION("""COMPUTED_VALUE"""),224.82)</f>
        <v>224.82</v>
      </c>
      <c r="Q690" s="3">
        <f ca="1">IFERROR(__xludf.DUMMYFUNCTION("""COMPUTED_VALUE"""),44462.6666666666)</f>
        <v>44462.666666666599</v>
      </c>
      <c r="R690" s="2">
        <f ca="1">IFERROR(__xludf.DUMMYFUNCTION("""COMPUTED_VALUE"""),278.12)</f>
        <v>278.12</v>
      </c>
      <c r="S690" s="3">
        <f ca="1">IFERROR(__xludf.DUMMYFUNCTION("""COMPUTED_VALUE"""),44462.6666666666)</f>
        <v>44462.666666666599</v>
      </c>
      <c r="T690" s="2">
        <f ca="1">IFERROR(__xludf.DUMMYFUNCTION("""COMPUTED_VALUE"""),164.86)</f>
        <v>164.86</v>
      </c>
    </row>
    <row r="691" spans="1:20">
      <c r="A691" s="3">
        <f ca="1">IFERROR(__xludf.DUMMYFUNCTION("""COMPUTED_VALUE"""),44463.6666666666)</f>
        <v>44463.666666666599</v>
      </c>
      <c r="B691" s="2">
        <f ca="1">IFERROR(__xludf.DUMMYFUNCTION("""COMPUTED_VALUE"""),146.92)</f>
        <v>146.91999999999999</v>
      </c>
      <c r="C691" s="3">
        <f ca="1">IFERROR(__xludf.DUMMYFUNCTION("""COMPUTED_VALUE"""),44463.6666666666)</f>
        <v>44463.666666666599</v>
      </c>
      <c r="D691" s="2">
        <f ca="1">IFERROR(__xludf.DUMMYFUNCTION("""COMPUTED_VALUE"""),299.35)</f>
        <v>299.35000000000002</v>
      </c>
      <c r="E691" s="3">
        <f ca="1">IFERROR(__xludf.DUMMYFUNCTION("""COMPUTED_VALUE"""),44463.6666666666)</f>
        <v>44463.666666666599</v>
      </c>
      <c r="F691" s="2">
        <f ca="1">IFERROR(__xludf.DUMMYFUNCTION("""COMPUTED_VALUE"""),3425.52)</f>
        <v>3425.52</v>
      </c>
      <c r="G691" s="3">
        <f ca="1">IFERROR(__xludf.DUMMYFUNCTION("""COMPUTED_VALUE"""),44463.6666666666)</f>
        <v>44463.666666666599</v>
      </c>
      <c r="H691" s="2">
        <f ca="1">IFERROR(__xludf.DUMMYFUNCTION("""COMPUTED_VALUE"""),2844.3)</f>
        <v>2844.3</v>
      </c>
      <c r="I691" s="3">
        <f ca="1">IFERROR(__xludf.DUMMYFUNCTION("""COMPUTED_VALUE"""),44463.6666666666)</f>
        <v>44463.666666666599</v>
      </c>
      <c r="J691" s="2">
        <f ca="1">IFERROR(__xludf.DUMMYFUNCTION("""COMPUTED_VALUE"""),2852.66)</f>
        <v>2852.66</v>
      </c>
      <c r="K691" s="3">
        <f ca="1">IFERROR(__xludf.DUMMYFUNCTION("""COMPUTED_VALUE"""),44463.6666666666)</f>
        <v>44463.666666666599</v>
      </c>
      <c r="L691" s="2">
        <f ca="1">IFERROR(__xludf.DUMMYFUNCTION("""COMPUTED_VALUE"""),352.96)</f>
        <v>352.96</v>
      </c>
      <c r="M691" s="3">
        <f ca="1">IFERROR(__xludf.DUMMYFUNCTION("""COMPUTED_VALUE"""),44463.6666666666)</f>
        <v>44463.666666666599</v>
      </c>
      <c r="N691" s="2">
        <f ca="1">IFERROR(__xludf.DUMMYFUNCTION("""COMPUTED_VALUE"""),774.39)</f>
        <v>774.39</v>
      </c>
      <c r="O691" s="3">
        <f ca="1">IFERROR(__xludf.DUMMYFUNCTION("""COMPUTED_VALUE"""),44463.6666666666)</f>
        <v>44463.666666666599</v>
      </c>
      <c r="P691" s="2">
        <f ca="1">IFERROR(__xludf.DUMMYFUNCTION("""COMPUTED_VALUE"""),220.81)</f>
        <v>220.81</v>
      </c>
      <c r="Q691" s="3">
        <f ca="1">IFERROR(__xludf.DUMMYFUNCTION("""COMPUTED_VALUE"""),44463.6666666666)</f>
        <v>44463.666666666599</v>
      </c>
      <c r="R691" s="2">
        <f ca="1">IFERROR(__xludf.DUMMYFUNCTION("""COMPUTED_VALUE"""),277.87)</f>
        <v>277.87</v>
      </c>
      <c r="S691" s="3">
        <f ca="1">IFERROR(__xludf.DUMMYFUNCTION("""COMPUTED_VALUE"""),44463.6666666666)</f>
        <v>44463.666666666599</v>
      </c>
      <c r="T691" s="2">
        <f ca="1">IFERROR(__xludf.DUMMYFUNCTION("""COMPUTED_VALUE"""),164.36)</f>
        <v>164.36</v>
      </c>
    </row>
    <row r="692" spans="1:20">
      <c r="A692" s="3">
        <f ca="1">IFERROR(__xludf.DUMMYFUNCTION("""COMPUTED_VALUE"""),44466.6666666666)</f>
        <v>44466.666666666599</v>
      </c>
      <c r="B692" s="2">
        <f ca="1">IFERROR(__xludf.DUMMYFUNCTION("""COMPUTED_VALUE"""),145.37)</f>
        <v>145.37</v>
      </c>
      <c r="C692" s="3">
        <f ca="1">IFERROR(__xludf.DUMMYFUNCTION("""COMPUTED_VALUE"""),44466.6666666666)</f>
        <v>44466.666666666599</v>
      </c>
      <c r="D692" s="2">
        <f ca="1">IFERROR(__xludf.DUMMYFUNCTION("""COMPUTED_VALUE"""),294.17)</f>
        <v>294.17</v>
      </c>
      <c r="E692" s="3">
        <f ca="1">IFERROR(__xludf.DUMMYFUNCTION("""COMPUTED_VALUE"""),44466.6666666666)</f>
        <v>44466.666666666599</v>
      </c>
      <c r="F692" s="2">
        <f ca="1">IFERROR(__xludf.DUMMYFUNCTION("""COMPUTED_VALUE"""),3405.8)</f>
        <v>3405.8</v>
      </c>
      <c r="G692" s="3">
        <f ca="1">IFERROR(__xludf.DUMMYFUNCTION("""COMPUTED_VALUE"""),44466.6666666666)</f>
        <v>44466.666666666599</v>
      </c>
      <c r="H692" s="2">
        <f ca="1">IFERROR(__xludf.DUMMYFUNCTION("""COMPUTED_VALUE"""),2821.44)</f>
        <v>2821.44</v>
      </c>
      <c r="I692" s="3">
        <f ca="1">IFERROR(__xludf.DUMMYFUNCTION("""COMPUTED_VALUE"""),44466.6666666666)</f>
        <v>44466.666666666599</v>
      </c>
      <c r="J692" s="2">
        <f ca="1">IFERROR(__xludf.DUMMYFUNCTION("""COMPUTED_VALUE"""),2830.02)</f>
        <v>2830.02</v>
      </c>
      <c r="K692" s="3">
        <f ca="1">IFERROR(__xludf.DUMMYFUNCTION("""COMPUTED_VALUE"""),44466.6666666666)</f>
        <v>44466.666666666599</v>
      </c>
      <c r="L692" s="2">
        <f ca="1">IFERROR(__xludf.DUMMYFUNCTION("""COMPUTED_VALUE"""),353.58)</f>
        <v>353.58</v>
      </c>
      <c r="M692" s="3">
        <f ca="1">IFERROR(__xludf.DUMMYFUNCTION("""COMPUTED_VALUE"""),44466.6666666666)</f>
        <v>44466.666666666599</v>
      </c>
      <c r="N692" s="2">
        <f ca="1">IFERROR(__xludf.DUMMYFUNCTION("""COMPUTED_VALUE"""),791.36)</f>
        <v>791.36</v>
      </c>
      <c r="O692" s="3">
        <f ca="1">IFERROR(__xludf.DUMMYFUNCTION("""COMPUTED_VALUE"""),44466.6666666666)</f>
        <v>44466.666666666599</v>
      </c>
      <c r="P692" s="2">
        <f ca="1">IFERROR(__xludf.DUMMYFUNCTION("""COMPUTED_VALUE"""),216.6)</f>
        <v>216.6</v>
      </c>
      <c r="Q692" s="3">
        <f ca="1">IFERROR(__xludf.DUMMYFUNCTION("""COMPUTED_VALUE"""),44466.6666666666)</f>
        <v>44466.666666666599</v>
      </c>
      <c r="R692" s="2">
        <f ca="1">IFERROR(__xludf.DUMMYFUNCTION("""COMPUTED_VALUE"""),279.72)</f>
        <v>279.72000000000003</v>
      </c>
      <c r="S692" s="3">
        <f ca="1">IFERROR(__xludf.DUMMYFUNCTION("""COMPUTED_VALUE"""),44466.6666666666)</f>
        <v>44466.666666666599</v>
      </c>
      <c r="T692" s="2">
        <f ca="1">IFERROR(__xludf.DUMMYFUNCTION("""COMPUTED_VALUE"""),163.17)</f>
        <v>163.16999999999999</v>
      </c>
    </row>
    <row r="693" spans="1:20">
      <c r="A693" s="3">
        <f ca="1">IFERROR(__xludf.DUMMYFUNCTION("""COMPUTED_VALUE"""),44467.6666666666)</f>
        <v>44467.666666666599</v>
      </c>
      <c r="B693" s="2">
        <f ca="1">IFERROR(__xludf.DUMMYFUNCTION("""COMPUTED_VALUE"""),141.91)</f>
        <v>141.91</v>
      </c>
      <c r="C693" s="3">
        <f ca="1">IFERROR(__xludf.DUMMYFUNCTION("""COMPUTED_VALUE"""),44467.6666666666)</f>
        <v>44467.666666666599</v>
      </c>
      <c r="D693" s="2">
        <f ca="1">IFERROR(__xludf.DUMMYFUNCTION("""COMPUTED_VALUE"""),283.52)</f>
        <v>283.52</v>
      </c>
      <c r="E693" s="3">
        <f ca="1">IFERROR(__xludf.DUMMYFUNCTION("""COMPUTED_VALUE"""),44467.6666666666)</f>
        <v>44467.666666666599</v>
      </c>
      <c r="F693" s="2">
        <f ca="1">IFERROR(__xludf.DUMMYFUNCTION("""COMPUTED_VALUE"""),3315.96)</f>
        <v>3315.96</v>
      </c>
      <c r="G693" s="3">
        <f ca="1">IFERROR(__xludf.DUMMYFUNCTION("""COMPUTED_VALUE"""),44467.6666666666)</f>
        <v>44467.666666666599</v>
      </c>
      <c r="H693" s="2">
        <f ca="1">IFERROR(__xludf.DUMMYFUNCTION("""COMPUTED_VALUE"""),2716.6)</f>
        <v>2716.6</v>
      </c>
      <c r="I693" s="3">
        <f ca="1">IFERROR(__xludf.DUMMYFUNCTION("""COMPUTED_VALUE"""),44467.6666666666)</f>
        <v>44467.666666666599</v>
      </c>
      <c r="J693" s="2">
        <f ca="1">IFERROR(__xludf.DUMMYFUNCTION("""COMPUTED_VALUE"""),2723.68)</f>
        <v>2723.68</v>
      </c>
      <c r="K693" s="3">
        <f ca="1">IFERROR(__xludf.DUMMYFUNCTION("""COMPUTED_VALUE"""),44467.6666666666)</f>
        <v>44467.666666666599</v>
      </c>
      <c r="L693" s="2">
        <f ca="1">IFERROR(__xludf.DUMMYFUNCTION("""COMPUTED_VALUE"""),340.65)</f>
        <v>340.65</v>
      </c>
      <c r="M693" s="3">
        <f ca="1">IFERROR(__xludf.DUMMYFUNCTION("""COMPUTED_VALUE"""),44467.6666666666)</f>
        <v>44467.666666666599</v>
      </c>
      <c r="N693" s="2">
        <f ca="1">IFERROR(__xludf.DUMMYFUNCTION("""COMPUTED_VALUE"""),777.56)</f>
        <v>777.56</v>
      </c>
      <c r="O693" s="3">
        <f ca="1">IFERROR(__xludf.DUMMYFUNCTION("""COMPUTED_VALUE"""),44467.6666666666)</f>
        <v>44467.666666666599</v>
      </c>
      <c r="P693" s="2">
        <f ca="1">IFERROR(__xludf.DUMMYFUNCTION("""COMPUTED_VALUE"""),206.99)</f>
        <v>206.99</v>
      </c>
      <c r="Q693" s="3">
        <f ca="1">IFERROR(__xludf.DUMMYFUNCTION("""COMPUTED_VALUE"""),44467.6666666666)</f>
        <v>44467.666666666599</v>
      </c>
      <c r="R693" s="2">
        <f ca="1">IFERROR(__xludf.DUMMYFUNCTION("""COMPUTED_VALUE"""),276.79)</f>
        <v>276.79000000000002</v>
      </c>
      <c r="S693" s="3">
        <f ca="1">IFERROR(__xludf.DUMMYFUNCTION("""COMPUTED_VALUE"""),44467.6666666666)</f>
        <v>44467.666666666599</v>
      </c>
      <c r="T693" s="2">
        <f ca="1">IFERROR(__xludf.DUMMYFUNCTION("""COMPUTED_VALUE"""),162.81)</f>
        <v>162.81</v>
      </c>
    </row>
    <row r="694" spans="1:20">
      <c r="A694" s="3">
        <f ca="1">IFERROR(__xludf.DUMMYFUNCTION("""COMPUTED_VALUE"""),44468.6666666666)</f>
        <v>44468.666666666599</v>
      </c>
      <c r="B694" s="2">
        <f ca="1">IFERROR(__xludf.DUMMYFUNCTION("""COMPUTED_VALUE"""),142.83)</f>
        <v>142.83000000000001</v>
      </c>
      <c r="C694" s="3">
        <f ca="1">IFERROR(__xludf.DUMMYFUNCTION("""COMPUTED_VALUE"""),44468.6666666666)</f>
        <v>44468.666666666599</v>
      </c>
      <c r="D694" s="2">
        <f ca="1">IFERROR(__xludf.DUMMYFUNCTION("""COMPUTED_VALUE"""),284)</f>
        <v>284</v>
      </c>
      <c r="E694" s="3">
        <f ca="1">IFERROR(__xludf.DUMMYFUNCTION("""COMPUTED_VALUE"""),44468.6666666666)</f>
        <v>44468.666666666599</v>
      </c>
      <c r="F694" s="2">
        <f ca="1">IFERROR(__xludf.DUMMYFUNCTION("""COMPUTED_VALUE"""),3301.12)</f>
        <v>3301.12</v>
      </c>
      <c r="G694" s="3">
        <f ca="1">IFERROR(__xludf.DUMMYFUNCTION("""COMPUTED_VALUE"""),44468.6666666666)</f>
        <v>44468.666666666599</v>
      </c>
      <c r="H694" s="2">
        <f ca="1">IFERROR(__xludf.DUMMYFUNCTION("""COMPUTED_VALUE"""),2687.07)</f>
        <v>2687.07</v>
      </c>
      <c r="I694" s="3">
        <f ca="1">IFERROR(__xludf.DUMMYFUNCTION("""COMPUTED_VALUE"""),44468.6666666666)</f>
        <v>44468.666666666599</v>
      </c>
      <c r="J694" s="2">
        <f ca="1">IFERROR(__xludf.DUMMYFUNCTION("""COMPUTED_VALUE"""),2690.42)</f>
        <v>2690.42</v>
      </c>
      <c r="K694" s="3">
        <f ca="1">IFERROR(__xludf.DUMMYFUNCTION("""COMPUTED_VALUE"""),44468.6666666666)</f>
        <v>44468.666666666599</v>
      </c>
      <c r="L694" s="2">
        <f ca="1">IFERROR(__xludf.DUMMYFUNCTION("""COMPUTED_VALUE"""),339.61)</f>
        <v>339.61</v>
      </c>
      <c r="M694" s="3">
        <f ca="1">IFERROR(__xludf.DUMMYFUNCTION("""COMPUTED_VALUE"""),44468.6666666666)</f>
        <v>44468.666666666599</v>
      </c>
      <c r="N694" s="2">
        <f ca="1">IFERROR(__xludf.DUMMYFUNCTION("""COMPUTED_VALUE"""),781.31)</f>
        <v>781.31</v>
      </c>
      <c r="O694" s="3">
        <f ca="1">IFERROR(__xludf.DUMMYFUNCTION("""COMPUTED_VALUE"""),44468.6666666666)</f>
        <v>44468.666666666599</v>
      </c>
      <c r="P694" s="2">
        <f ca="1">IFERROR(__xludf.DUMMYFUNCTION("""COMPUTED_VALUE"""),205.17)</f>
        <v>205.17</v>
      </c>
      <c r="Q694" s="3">
        <f ca="1">IFERROR(__xludf.DUMMYFUNCTION("""COMPUTED_VALUE"""),44468.6666666666)</f>
        <v>44468.666666666599</v>
      </c>
      <c r="R694" s="2">
        <f ca="1">IFERROR(__xludf.DUMMYFUNCTION("""COMPUTED_VALUE"""),277.29)</f>
        <v>277.29000000000002</v>
      </c>
      <c r="S694" s="3">
        <f ca="1">IFERROR(__xludf.DUMMYFUNCTION("""COMPUTED_VALUE"""),44468.6666666666)</f>
        <v>44468.666666666599</v>
      </c>
      <c r="T694" s="2">
        <f ca="1">IFERROR(__xludf.DUMMYFUNCTION("""COMPUTED_VALUE"""),164.02)</f>
        <v>164.02</v>
      </c>
    </row>
    <row r="695" spans="1:20">
      <c r="A695" s="3">
        <f ca="1">IFERROR(__xludf.DUMMYFUNCTION("""COMPUTED_VALUE"""),44469.6666666666)</f>
        <v>44469.666666666599</v>
      </c>
      <c r="B695" s="2">
        <f ca="1">IFERROR(__xludf.DUMMYFUNCTION("""COMPUTED_VALUE"""),141.5)</f>
        <v>141.5</v>
      </c>
      <c r="C695" s="3">
        <f ca="1">IFERROR(__xludf.DUMMYFUNCTION("""COMPUTED_VALUE"""),44469.6666666666)</f>
        <v>44469.666666666599</v>
      </c>
      <c r="D695" s="2">
        <f ca="1">IFERROR(__xludf.DUMMYFUNCTION("""COMPUTED_VALUE"""),281.92)</f>
        <v>281.92</v>
      </c>
      <c r="E695" s="3">
        <f ca="1">IFERROR(__xludf.DUMMYFUNCTION("""COMPUTED_VALUE"""),44469.6666666666)</f>
        <v>44469.666666666599</v>
      </c>
      <c r="F695" s="2">
        <f ca="1">IFERROR(__xludf.DUMMYFUNCTION("""COMPUTED_VALUE"""),3285.04)</f>
        <v>3285.04</v>
      </c>
      <c r="G695" s="3">
        <f ca="1">IFERROR(__xludf.DUMMYFUNCTION("""COMPUTED_VALUE"""),44469.6666666666)</f>
        <v>44469.666666666599</v>
      </c>
      <c r="H695" s="2">
        <f ca="1">IFERROR(__xludf.DUMMYFUNCTION("""COMPUTED_VALUE"""),2673.52)</f>
        <v>2673.52</v>
      </c>
      <c r="I695" s="3">
        <f ca="1">IFERROR(__xludf.DUMMYFUNCTION("""COMPUTED_VALUE"""),44469.6666666666)</f>
        <v>44469.666666666599</v>
      </c>
      <c r="J695" s="2">
        <f ca="1">IFERROR(__xludf.DUMMYFUNCTION("""COMPUTED_VALUE"""),2665.31)</f>
        <v>2665.31</v>
      </c>
      <c r="K695" s="3">
        <f ca="1">IFERROR(__xludf.DUMMYFUNCTION("""COMPUTED_VALUE"""),44469.6666666666)</f>
        <v>44469.666666666599</v>
      </c>
      <c r="L695" s="2">
        <f ca="1">IFERROR(__xludf.DUMMYFUNCTION("""COMPUTED_VALUE"""),339.39)</f>
        <v>339.39</v>
      </c>
      <c r="M695" s="3">
        <f ca="1">IFERROR(__xludf.DUMMYFUNCTION("""COMPUTED_VALUE"""),44469.6666666666)</f>
        <v>44469.666666666599</v>
      </c>
      <c r="N695" s="2">
        <f ca="1">IFERROR(__xludf.DUMMYFUNCTION("""COMPUTED_VALUE"""),775.48)</f>
        <v>775.48</v>
      </c>
      <c r="O695" s="3">
        <f ca="1">IFERROR(__xludf.DUMMYFUNCTION("""COMPUTED_VALUE"""),44469.6666666666)</f>
        <v>44469.666666666599</v>
      </c>
      <c r="P695" s="2">
        <f ca="1">IFERROR(__xludf.DUMMYFUNCTION("""COMPUTED_VALUE"""),207.16)</f>
        <v>207.16</v>
      </c>
      <c r="Q695" s="3">
        <f ca="1">IFERROR(__xludf.DUMMYFUNCTION("""COMPUTED_VALUE"""),44469.6666666666)</f>
        <v>44469.666666666599</v>
      </c>
      <c r="R695" s="2">
        <f ca="1">IFERROR(__xludf.DUMMYFUNCTION("""COMPUTED_VALUE"""),272.94)</f>
        <v>272.94</v>
      </c>
      <c r="S695" s="3">
        <f ca="1">IFERROR(__xludf.DUMMYFUNCTION("""COMPUTED_VALUE"""),44469.6666666666)</f>
        <v>44469.666666666599</v>
      </c>
      <c r="T695" s="2">
        <f ca="1">IFERROR(__xludf.DUMMYFUNCTION("""COMPUTED_VALUE"""),161.5)</f>
        <v>161.5</v>
      </c>
    </row>
    <row r="696" spans="1:20">
      <c r="A696" s="3">
        <f ca="1">IFERROR(__xludf.DUMMYFUNCTION("""COMPUTED_VALUE"""),44470.6666666666)</f>
        <v>44470.666666666599</v>
      </c>
      <c r="B696" s="2">
        <f ca="1">IFERROR(__xludf.DUMMYFUNCTION("""COMPUTED_VALUE"""),142.65)</f>
        <v>142.65</v>
      </c>
      <c r="C696" s="3">
        <f ca="1">IFERROR(__xludf.DUMMYFUNCTION("""COMPUTED_VALUE"""),44470.6666666666)</f>
        <v>44470.666666666599</v>
      </c>
      <c r="D696" s="2">
        <f ca="1">IFERROR(__xludf.DUMMYFUNCTION("""COMPUTED_VALUE"""),289.1)</f>
        <v>289.10000000000002</v>
      </c>
      <c r="E696" s="3">
        <f ca="1">IFERROR(__xludf.DUMMYFUNCTION("""COMPUTED_VALUE"""),44470.6666666666)</f>
        <v>44470.666666666599</v>
      </c>
      <c r="F696" s="2">
        <f ca="1">IFERROR(__xludf.DUMMYFUNCTION("""COMPUTED_VALUE"""),3283.26)</f>
        <v>3283.26</v>
      </c>
      <c r="G696" s="3">
        <f ca="1">IFERROR(__xludf.DUMMYFUNCTION("""COMPUTED_VALUE"""),44470.6666666666)</f>
        <v>44470.666666666599</v>
      </c>
      <c r="H696" s="2">
        <f ca="1">IFERROR(__xludf.DUMMYFUNCTION("""COMPUTED_VALUE"""),2730.86)</f>
        <v>2730.86</v>
      </c>
      <c r="I696" s="3">
        <f ca="1">IFERROR(__xludf.DUMMYFUNCTION("""COMPUTED_VALUE"""),44470.6666666666)</f>
        <v>44470.666666666599</v>
      </c>
      <c r="J696" s="2">
        <f ca="1">IFERROR(__xludf.DUMMYFUNCTION("""COMPUTED_VALUE"""),2729.25)</f>
        <v>2729.25</v>
      </c>
      <c r="K696" s="3">
        <f ca="1">IFERROR(__xludf.DUMMYFUNCTION("""COMPUTED_VALUE"""),44470.6666666666)</f>
        <v>44470.666666666599</v>
      </c>
      <c r="L696" s="2">
        <f ca="1">IFERROR(__xludf.DUMMYFUNCTION("""COMPUTED_VALUE"""),343.01)</f>
        <v>343.01</v>
      </c>
      <c r="M696" s="3">
        <f ca="1">IFERROR(__xludf.DUMMYFUNCTION("""COMPUTED_VALUE"""),44470.6666666666)</f>
        <v>44470.666666666599</v>
      </c>
      <c r="N696" s="2">
        <f ca="1">IFERROR(__xludf.DUMMYFUNCTION("""COMPUTED_VALUE"""),775.22)</f>
        <v>775.22</v>
      </c>
      <c r="O696" s="3">
        <f ca="1">IFERROR(__xludf.DUMMYFUNCTION("""COMPUTED_VALUE"""),44470.6666666666)</f>
        <v>44470.666666666599</v>
      </c>
      <c r="P696" s="2">
        <f ca="1">IFERROR(__xludf.DUMMYFUNCTION("""COMPUTED_VALUE"""),207.42)</f>
        <v>207.42</v>
      </c>
      <c r="Q696" s="3">
        <f ca="1">IFERROR(__xludf.DUMMYFUNCTION("""COMPUTED_VALUE"""),44470.6666666666)</f>
        <v>44470.666666666599</v>
      </c>
      <c r="R696" s="2">
        <f ca="1">IFERROR(__xludf.DUMMYFUNCTION("""COMPUTED_VALUE"""),275.71)</f>
        <v>275.70999999999998</v>
      </c>
      <c r="S696" s="3">
        <f ca="1">IFERROR(__xludf.DUMMYFUNCTION("""COMPUTED_VALUE"""),44470.6666666666)</f>
        <v>44470.666666666599</v>
      </c>
      <c r="T696" s="2">
        <f ca="1">IFERROR(__xludf.DUMMYFUNCTION("""COMPUTED_VALUE"""),160.47)</f>
        <v>160.47</v>
      </c>
    </row>
    <row r="697" spans="1:20">
      <c r="A697" s="3">
        <f ca="1">IFERROR(__xludf.DUMMYFUNCTION("""COMPUTED_VALUE"""),44473.6666666666)</f>
        <v>44473.666666666599</v>
      </c>
      <c r="B697" s="2">
        <f ca="1">IFERROR(__xludf.DUMMYFUNCTION("""COMPUTED_VALUE"""),139.14)</f>
        <v>139.13999999999999</v>
      </c>
      <c r="C697" s="3">
        <f ca="1">IFERROR(__xludf.DUMMYFUNCTION("""COMPUTED_VALUE"""),44473.6666666666)</f>
        <v>44473.666666666599</v>
      </c>
      <c r="D697" s="2">
        <f ca="1">IFERROR(__xludf.DUMMYFUNCTION("""COMPUTED_VALUE"""),283.11)</f>
        <v>283.11</v>
      </c>
      <c r="E697" s="3">
        <f ca="1">IFERROR(__xludf.DUMMYFUNCTION("""COMPUTED_VALUE"""),44473.6666666666)</f>
        <v>44473.666666666599</v>
      </c>
      <c r="F697" s="2">
        <f ca="1">IFERROR(__xludf.DUMMYFUNCTION("""COMPUTED_VALUE"""),3189.78)</f>
        <v>3189.78</v>
      </c>
      <c r="G697" s="3">
        <f ca="1">IFERROR(__xludf.DUMMYFUNCTION("""COMPUTED_VALUE"""),44473.6666666666)</f>
        <v>44473.666666666599</v>
      </c>
      <c r="H697" s="2">
        <f ca="1">IFERROR(__xludf.DUMMYFUNCTION("""COMPUTED_VALUE"""),2673.19)</f>
        <v>2673.19</v>
      </c>
      <c r="I697" s="3">
        <f ca="1">IFERROR(__xludf.DUMMYFUNCTION("""COMPUTED_VALUE"""),44473.6666666666)</f>
        <v>44473.666666666599</v>
      </c>
      <c r="J697" s="2">
        <f ca="1">IFERROR(__xludf.DUMMYFUNCTION("""COMPUTED_VALUE"""),2675.3)</f>
        <v>2675.3</v>
      </c>
      <c r="K697" s="3">
        <f ca="1">IFERROR(__xludf.DUMMYFUNCTION("""COMPUTED_VALUE"""),44473.6666666666)</f>
        <v>44473.666666666599</v>
      </c>
      <c r="L697" s="2">
        <f ca="1">IFERROR(__xludf.DUMMYFUNCTION("""COMPUTED_VALUE"""),326.23)</f>
        <v>326.23</v>
      </c>
      <c r="M697" s="3">
        <f ca="1">IFERROR(__xludf.DUMMYFUNCTION("""COMPUTED_VALUE"""),44473.6666666666)</f>
        <v>44473.666666666599</v>
      </c>
      <c r="N697" s="2">
        <f ca="1">IFERROR(__xludf.DUMMYFUNCTION("""COMPUTED_VALUE"""),781.53)</f>
        <v>781.53</v>
      </c>
      <c r="O697" s="3">
        <f ca="1">IFERROR(__xludf.DUMMYFUNCTION("""COMPUTED_VALUE"""),44473.6666666666)</f>
        <v>44473.666666666599</v>
      </c>
      <c r="P697" s="2">
        <f ca="1">IFERROR(__xludf.DUMMYFUNCTION("""COMPUTED_VALUE"""),197.32)</f>
        <v>197.32</v>
      </c>
      <c r="Q697" s="3">
        <f ca="1">IFERROR(__xludf.DUMMYFUNCTION("""COMPUTED_VALUE"""),44473.6666666666)</f>
        <v>44473.666666666599</v>
      </c>
      <c r="R697" s="2">
        <f ca="1">IFERROR(__xludf.DUMMYFUNCTION("""COMPUTED_VALUE"""),273.64)</f>
        <v>273.64</v>
      </c>
      <c r="S697" s="3">
        <f ca="1">IFERROR(__xludf.DUMMYFUNCTION("""COMPUTED_VALUE"""),44473.6666666666)</f>
        <v>44473.666666666599</v>
      </c>
      <c r="T697" s="2">
        <f ca="1">IFERROR(__xludf.DUMMYFUNCTION("""COMPUTED_VALUE"""),159.22)</f>
        <v>159.22</v>
      </c>
    </row>
    <row r="698" spans="1:20">
      <c r="A698" s="3">
        <f ca="1">IFERROR(__xludf.DUMMYFUNCTION("""COMPUTED_VALUE"""),44474.6666666666)</f>
        <v>44474.666666666599</v>
      </c>
      <c r="B698" s="2">
        <f ca="1">IFERROR(__xludf.DUMMYFUNCTION("""COMPUTED_VALUE"""),141.11)</f>
        <v>141.11000000000001</v>
      </c>
      <c r="C698" s="3">
        <f ca="1">IFERROR(__xludf.DUMMYFUNCTION("""COMPUTED_VALUE"""),44474.6666666666)</f>
        <v>44474.666666666599</v>
      </c>
      <c r="D698" s="2">
        <f ca="1">IFERROR(__xludf.DUMMYFUNCTION("""COMPUTED_VALUE"""),288.76)</f>
        <v>288.76</v>
      </c>
      <c r="E698" s="3">
        <f ca="1">IFERROR(__xludf.DUMMYFUNCTION("""COMPUTED_VALUE"""),44474.6666666666)</f>
        <v>44474.666666666599</v>
      </c>
      <c r="F698" s="2">
        <f ca="1">IFERROR(__xludf.DUMMYFUNCTION("""COMPUTED_VALUE"""),3221)</f>
        <v>3221</v>
      </c>
      <c r="G698" s="3">
        <f ca="1">IFERROR(__xludf.DUMMYFUNCTION("""COMPUTED_VALUE"""),44474.6666666666)</f>
        <v>44474.666666666599</v>
      </c>
      <c r="H698" s="2">
        <f ca="1">IFERROR(__xludf.DUMMYFUNCTION("""COMPUTED_VALUE"""),2720.46)</f>
        <v>2720.46</v>
      </c>
      <c r="I698" s="3">
        <f ca="1">IFERROR(__xludf.DUMMYFUNCTION("""COMPUTED_VALUE"""),44474.6666666666)</f>
        <v>44474.666666666599</v>
      </c>
      <c r="J698" s="2">
        <f ca="1">IFERROR(__xludf.DUMMYFUNCTION("""COMPUTED_VALUE"""),2723.54)</f>
        <v>2723.54</v>
      </c>
      <c r="K698" s="3">
        <f ca="1">IFERROR(__xludf.DUMMYFUNCTION("""COMPUTED_VALUE"""),44474.6666666666)</f>
        <v>44474.666666666599</v>
      </c>
      <c r="L698" s="2">
        <f ca="1">IFERROR(__xludf.DUMMYFUNCTION("""COMPUTED_VALUE"""),332.96)</f>
        <v>332.96</v>
      </c>
      <c r="M698" s="3">
        <f ca="1">IFERROR(__xludf.DUMMYFUNCTION("""COMPUTED_VALUE"""),44474.6666666666)</f>
        <v>44474.666666666599</v>
      </c>
      <c r="N698" s="2">
        <f ca="1">IFERROR(__xludf.DUMMYFUNCTION("""COMPUTED_VALUE"""),780.59)</f>
        <v>780.59</v>
      </c>
      <c r="O698" s="3">
        <f ca="1">IFERROR(__xludf.DUMMYFUNCTION("""COMPUTED_VALUE"""),44474.6666666666)</f>
        <v>44474.666666666599</v>
      </c>
      <c r="P698" s="2">
        <f ca="1">IFERROR(__xludf.DUMMYFUNCTION("""COMPUTED_VALUE"""),204.51)</f>
        <v>204.51</v>
      </c>
      <c r="Q698" s="3">
        <f ca="1">IFERROR(__xludf.DUMMYFUNCTION("""COMPUTED_VALUE"""),44474.6666666666)</f>
        <v>44474.666666666599</v>
      </c>
      <c r="R698" s="2">
        <f ca="1">IFERROR(__xludf.DUMMYFUNCTION("""COMPUTED_VALUE"""),278.05)</f>
        <v>278.05</v>
      </c>
      <c r="S698" s="3">
        <f ca="1">IFERROR(__xludf.DUMMYFUNCTION("""COMPUTED_VALUE"""),44474.6666666666)</f>
        <v>44474.666666666599</v>
      </c>
      <c r="T698" s="2">
        <f ca="1">IFERROR(__xludf.DUMMYFUNCTION("""COMPUTED_VALUE"""),159.58)</f>
        <v>159.58000000000001</v>
      </c>
    </row>
    <row r="699" spans="1:20">
      <c r="A699" s="3">
        <f ca="1">IFERROR(__xludf.DUMMYFUNCTION("""COMPUTED_VALUE"""),44475.6666666666)</f>
        <v>44475.666666666599</v>
      </c>
      <c r="B699" s="2">
        <f ca="1">IFERROR(__xludf.DUMMYFUNCTION("""COMPUTED_VALUE"""),142)</f>
        <v>142</v>
      </c>
      <c r="C699" s="3">
        <f ca="1">IFERROR(__xludf.DUMMYFUNCTION("""COMPUTED_VALUE"""),44475.6666666666)</f>
        <v>44475.666666666599</v>
      </c>
      <c r="D699" s="2">
        <f ca="1">IFERROR(__xludf.DUMMYFUNCTION("""COMPUTED_VALUE"""),293.11)</f>
        <v>293.11</v>
      </c>
      <c r="E699" s="3">
        <f ca="1">IFERROR(__xludf.DUMMYFUNCTION("""COMPUTED_VALUE"""),44475.6666666666)</f>
        <v>44475.666666666599</v>
      </c>
      <c r="F699" s="2">
        <f ca="1">IFERROR(__xludf.DUMMYFUNCTION("""COMPUTED_VALUE"""),3262.01)</f>
        <v>3262.01</v>
      </c>
      <c r="G699" s="3">
        <f ca="1">IFERROR(__xludf.DUMMYFUNCTION("""COMPUTED_VALUE"""),44475.6666666666)</f>
        <v>44475.666666666599</v>
      </c>
      <c r="H699" s="2">
        <f ca="1">IFERROR(__xludf.DUMMYFUNCTION("""COMPUTED_VALUE"""),2751.3)</f>
        <v>2751.3</v>
      </c>
      <c r="I699" s="3">
        <f ca="1">IFERROR(__xludf.DUMMYFUNCTION("""COMPUTED_VALUE"""),44475.6666666666)</f>
        <v>44475.666666666599</v>
      </c>
      <c r="J699" s="2">
        <f ca="1">IFERROR(__xludf.DUMMYFUNCTION("""COMPUTED_VALUE"""),2747.08)</f>
        <v>2747.08</v>
      </c>
      <c r="K699" s="3">
        <f ca="1">IFERROR(__xludf.DUMMYFUNCTION("""COMPUTED_VALUE"""),44475.6666666666)</f>
        <v>44475.666666666599</v>
      </c>
      <c r="L699" s="2">
        <f ca="1">IFERROR(__xludf.DUMMYFUNCTION("""COMPUTED_VALUE"""),333.64)</f>
        <v>333.64</v>
      </c>
      <c r="M699" s="3">
        <f ca="1">IFERROR(__xludf.DUMMYFUNCTION("""COMPUTED_VALUE"""),44475.6666666666)</f>
        <v>44475.666666666599</v>
      </c>
      <c r="N699" s="2">
        <f ca="1">IFERROR(__xludf.DUMMYFUNCTION("""COMPUTED_VALUE"""),782.75)</f>
        <v>782.75</v>
      </c>
      <c r="O699" s="3">
        <f ca="1">IFERROR(__xludf.DUMMYFUNCTION("""COMPUTED_VALUE"""),44475.6666666666)</f>
        <v>44475.666666666599</v>
      </c>
      <c r="P699" s="2">
        <f ca="1">IFERROR(__xludf.DUMMYFUNCTION("""COMPUTED_VALUE"""),207)</f>
        <v>207</v>
      </c>
      <c r="Q699" s="3">
        <f ca="1">IFERROR(__xludf.DUMMYFUNCTION("""COMPUTED_VALUE"""),44475.6666666666)</f>
        <v>44475.666666666599</v>
      </c>
      <c r="R699" s="2">
        <f ca="1">IFERROR(__xludf.DUMMYFUNCTION("""COMPUTED_VALUE"""),280.22)</f>
        <v>280.22000000000003</v>
      </c>
      <c r="S699" s="3">
        <f ca="1">IFERROR(__xludf.DUMMYFUNCTION("""COMPUTED_VALUE"""),44475.6666666666)</f>
        <v>44475.666666666599</v>
      </c>
      <c r="T699" s="2">
        <f ca="1">IFERROR(__xludf.DUMMYFUNCTION("""COMPUTED_VALUE"""),159.91)</f>
        <v>159.91</v>
      </c>
    </row>
    <row r="700" spans="1:20">
      <c r="A700" s="3">
        <f ca="1">IFERROR(__xludf.DUMMYFUNCTION("""COMPUTED_VALUE"""),44476.6666666666)</f>
        <v>44476.666666666599</v>
      </c>
      <c r="B700" s="2">
        <f ca="1">IFERROR(__xludf.DUMMYFUNCTION("""COMPUTED_VALUE"""),143.29)</f>
        <v>143.29</v>
      </c>
      <c r="C700" s="3">
        <f ca="1">IFERROR(__xludf.DUMMYFUNCTION("""COMPUTED_VALUE"""),44476.6666666666)</f>
        <v>44476.666666666599</v>
      </c>
      <c r="D700" s="2">
        <f ca="1">IFERROR(__xludf.DUMMYFUNCTION("""COMPUTED_VALUE"""),294.85)</f>
        <v>294.85000000000002</v>
      </c>
      <c r="E700" s="3">
        <f ca="1">IFERROR(__xludf.DUMMYFUNCTION("""COMPUTED_VALUE"""),44476.6666666666)</f>
        <v>44476.666666666599</v>
      </c>
      <c r="F700" s="2">
        <f ca="1">IFERROR(__xludf.DUMMYFUNCTION("""COMPUTED_VALUE"""),3302.43)</f>
        <v>3302.43</v>
      </c>
      <c r="G700" s="3">
        <f ca="1">IFERROR(__xludf.DUMMYFUNCTION("""COMPUTED_VALUE"""),44476.6666666666)</f>
        <v>44476.666666666599</v>
      </c>
      <c r="H700" s="2">
        <f ca="1">IFERROR(__xludf.DUMMYFUNCTION("""COMPUTED_VALUE"""),2784.5)</f>
        <v>2784.5</v>
      </c>
      <c r="I700" s="3">
        <f ca="1">IFERROR(__xludf.DUMMYFUNCTION("""COMPUTED_VALUE"""),44476.6666666666)</f>
        <v>44476.666666666599</v>
      </c>
      <c r="J700" s="2">
        <f ca="1">IFERROR(__xludf.DUMMYFUNCTION("""COMPUTED_VALUE"""),2783.71)</f>
        <v>2783.71</v>
      </c>
      <c r="K700" s="3">
        <f ca="1">IFERROR(__xludf.DUMMYFUNCTION("""COMPUTED_VALUE"""),44476.6666666666)</f>
        <v>44476.666666666599</v>
      </c>
      <c r="L700" s="2">
        <f ca="1">IFERROR(__xludf.DUMMYFUNCTION("""COMPUTED_VALUE"""),329.22)</f>
        <v>329.22</v>
      </c>
      <c r="M700" s="3">
        <f ca="1">IFERROR(__xludf.DUMMYFUNCTION("""COMPUTED_VALUE"""),44476.6666666666)</f>
        <v>44476.666666666599</v>
      </c>
      <c r="N700" s="2">
        <f ca="1">IFERROR(__xludf.DUMMYFUNCTION("""COMPUTED_VALUE"""),793.61)</f>
        <v>793.61</v>
      </c>
      <c r="O700" s="3">
        <f ca="1">IFERROR(__xludf.DUMMYFUNCTION("""COMPUTED_VALUE"""),44476.6666666666)</f>
        <v>44476.666666666599</v>
      </c>
      <c r="P700" s="2">
        <f ca="1">IFERROR(__xludf.DUMMYFUNCTION("""COMPUTED_VALUE"""),210.75)</f>
        <v>210.75</v>
      </c>
      <c r="Q700" s="3">
        <f ca="1">IFERROR(__xludf.DUMMYFUNCTION("""COMPUTED_VALUE"""),44476.6666666666)</f>
        <v>44476.666666666599</v>
      </c>
      <c r="R700" s="2">
        <f ca="1">IFERROR(__xludf.DUMMYFUNCTION("""COMPUTED_VALUE"""),282.95)</f>
        <v>282.95</v>
      </c>
      <c r="S700" s="3">
        <f ca="1">IFERROR(__xludf.DUMMYFUNCTION("""COMPUTED_VALUE"""),44476.6666666666)</f>
        <v>44476.666666666599</v>
      </c>
      <c r="T700" s="2">
        <f ca="1">IFERROR(__xludf.DUMMYFUNCTION("""COMPUTED_VALUE"""),161.34)</f>
        <v>161.34</v>
      </c>
    </row>
    <row r="701" spans="1:20">
      <c r="A701" s="3">
        <f ca="1">IFERROR(__xludf.DUMMYFUNCTION("""COMPUTED_VALUE"""),44477.6666666666)</f>
        <v>44477.666666666599</v>
      </c>
      <c r="B701" s="2">
        <f ca="1">IFERROR(__xludf.DUMMYFUNCTION("""COMPUTED_VALUE"""),142.9)</f>
        <v>142.9</v>
      </c>
      <c r="C701" s="3">
        <f ca="1">IFERROR(__xludf.DUMMYFUNCTION("""COMPUTED_VALUE"""),44477.6666666666)</f>
        <v>44477.666666666599</v>
      </c>
      <c r="D701" s="2">
        <f ca="1">IFERROR(__xludf.DUMMYFUNCTION("""COMPUTED_VALUE"""),294.85)</f>
        <v>294.85000000000002</v>
      </c>
      <c r="E701" s="3">
        <f ca="1">IFERROR(__xludf.DUMMYFUNCTION("""COMPUTED_VALUE"""),44477.6666666666)</f>
        <v>44477.666666666599</v>
      </c>
      <c r="F701" s="2">
        <f ca="1">IFERROR(__xludf.DUMMYFUNCTION("""COMPUTED_VALUE"""),3288.62)</f>
        <v>3288.62</v>
      </c>
      <c r="G701" s="3">
        <f ca="1">IFERROR(__xludf.DUMMYFUNCTION("""COMPUTED_VALUE"""),44477.6666666666)</f>
        <v>44477.666666666599</v>
      </c>
      <c r="H701" s="2">
        <f ca="1">IFERROR(__xludf.DUMMYFUNCTION("""COMPUTED_VALUE"""),2795.71)</f>
        <v>2795.71</v>
      </c>
      <c r="I701" s="3">
        <f ca="1">IFERROR(__xludf.DUMMYFUNCTION("""COMPUTED_VALUE"""),44477.6666666666)</f>
        <v>44477.666666666599</v>
      </c>
      <c r="J701" s="2">
        <f ca="1">IFERROR(__xludf.DUMMYFUNCTION("""COMPUTED_VALUE"""),2801.12)</f>
        <v>2801.12</v>
      </c>
      <c r="K701" s="3">
        <f ca="1">IFERROR(__xludf.DUMMYFUNCTION("""COMPUTED_VALUE"""),44477.6666666666)</f>
        <v>44477.666666666599</v>
      </c>
      <c r="L701" s="2">
        <f ca="1">IFERROR(__xludf.DUMMYFUNCTION("""COMPUTED_VALUE"""),330.05)</f>
        <v>330.05</v>
      </c>
      <c r="M701" s="3">
        <f ca="1">IFERROR(__xludf.DUMMYFUNCTION("""COMPUTED_VALUE"""),44477.6666666666)</f>
        <v>44477.666666666599</v>
      </c>
      <c r="N701" s="2">
        <f ca="1">IFERROR(__xludf.DUMMYFUNCTION("""COMPUTED_VALUE"""),785.49)</f>
        <v>785.49</v>
      </c>
      <c r="O701" s="3">
        <f ca="1">IFERROR(__xludf.DUMMYFUNCTION("""COMPUTED_VALUE"""),44477.6666666666)</f>
        <v>44477.666666666599</v>
      </c>
      <c r="P701" s="2">
        <f ca="1">IFERROR(__xludf.DUMMYFUNCTION("""COMPUTED_VALUE"""),208.31)</f>
        <v>208.31</v>
      </c>
      <c r="Q701" s="3">
        <f ca="1">IFERROR(__xludf.DUMMYFUNCTION("""COMPUTED_VALUE"""),44477.6666666666)</f>
        <v>44477.666666666599</v>
      </c>
      <c r="R701" s="2">
        <f ca="1">IFERROR(__xludf.DUMMYFUNCTION("""COMPUTED_VALUE"""),284.14)</f>
        <v>284.14</v>
      </c>
      <c r="S701" s="3">
        <f ca="1">IFERROR(__xludf.DUMMYFUNCTION("""COMPUTED_VALUE"""),44477.6666666666)</f>
        <v>44477.666666666599</v>
      </c>
      <c r="T701" s="2">
        <f ca="1">IFERROR(__xludf.DUMMYFUNCTION("""COMPUTED_VALUE"""),160.93)</f>
        <v>160.93</v>
      </c>
    </row>
    <row r="702" spans="1:20">
      <c r="A702" s="3">
        <f ca="1">IFERROR(__xludf.DUMMYFUNCTION("""COMPUTED_VALUE"""),44480.6666666666)</f>
        <v>44480.666666666599</v>
      </c>
      <c r="B702" s="2">
        <f ca="1">IFERROR(__xludf.DUMMYFUNCTION("""COMPUTED_VALUE"""),142.81)</f>
        <v>142.81</v>
      </c>
      <c r="C702" s="3">
        <f ca="1">IFERROR(__xludf.DUMMYFUNCTION("""COMPUTED_VALUE"""),44480.6666666666)</f>
        <v>44480.666666666599</v>
      </c>
      <c r="D702" s="2">
        <f ca="1">IFERROR(__xludf.DUMMYFUNCTION("""COMPUTED_VALUE"""),294.23)</f>
        <v>294.23</v>
      </c>
      <c r="E702" s="3">
        <f ca="1">IFERROR(__xludf.DUMMYFUNCTION("""COMPUTED_VALUE"""),44480.6666666666)</f>
        <v>44480.666666666599</v>
      </c>
      <c r="F702" s="2">
        <f ca="1">IFERROR(__xludf.DUMMYFUNCTION("""COMPUTED_VALUE"""),3246.3)</f>
        <v>3246.3</v>
      </c>
      <c r="G702" s="3">
        <f ca="1">IFERROR(__xludf.DUMMYFUNCTION("""COMPUTED_VALUE"""),44480.6666666666)</f>
        <v>44480.666666666599</v>
      </c>
      <c r="H702" s="2">
        <f ca="1">IFERROR(__xludf.DUMMYFUNCTION("""COMPUTED_VALUE"""),2778.28)</f>
        <v>2778.28</v>
      </c>
      <c r="I702" s="3">
        <f ca="1">IFERROR(__xludf.DUMMYFUNCTION("""COMPUTED_VALUE"""),44480.6666666666)</f>
        <v>44480.666666666599</v>
      </c>
      <c r="J702" s="2">
        <f ca="1">IFERROR(__xludf.DUMMYFUNCTION("""COMPUTED_VALUE"""),2776.95)</f>
        <v>2776.95</v>
      </c>
      <c r="K702" s="3">
        <f ca="1">IFERROR(__xludf.DUMMYFUNCTION("""COMPUTED_VALUE"""),44480.6666666666)</f>
        <v>44480.666666666599</v>
      </c>
      <c r="L702" s="2">
        <f ca="1">IFERROR(__xludf.DUMMYFUNCTION("""COMPUTED_VALUE"""),325.45)</f>
        <v>325.45</v>
      </c>
      <c r="M702" s="3">
        <f ca="1">IFERROR(__xludf.DUMMYFUNCTION("""COMPUTED_VALUE"""),44480.6666666666)</f>
        <v>44480.666666666599</v>
      </c>
      <c r="N702" s="2">
        <f ca="1">IFERROR(__xludf.DUMMYFUNCTION("""COMPUTED_VALUE"""),791.94)</f>
        <v>791.94</v>
      </c>
      <c r="O702" s="3">
        <f ca="1">IFERROR(__xludf.DUMMYFUNCTION("""COMPUTED_VALUE"""),44480.6666666666)</f>
        <v>44480.666666666599</v>
      </c>
      <c r="P702" s="2">
        <f ca="1">IFERROR(__xludf.DUMMYFUNCTION("""COMPUTED_VALUE"""),206.95)</f>
        <v>206.95</v>
      </c>
      <c r="Q702" s="3">
        <f ca="1">IFERROR(__xludf.DUMMYFUNCTION("""COMPUTED_VALUE"""),44480.6666666666)</f>
        <v>44480.666666666599</v>
      </c>
      <c r="R702" s="2">
        <f ca="1">IFERROR(__xludf.DUMMYFUNCTION("""COMPUTED_VALUE"""),280.93)</f>
        <v>280.93</v>
      </c>
      <c r="S702" s="3">
        <f ca="1">IFERROR(__xludf.DUMMYFUNCTION("""COMPUTED_VALUE"""),44480.6666666666)</f>
        <v>44480.666666666599</v>
      </c>
      <c r="T702" s="2">
        <f ca="1">IFERROR(__xludf.DUMMYFUNCTION("""COMPUTED_VALUE"""),160.25)</f>
        <v>160.25</v>
      </c>
    </row>
    <row r="703" spans="1:20">
      <c r="A703" s="3">
        <f ca="1">IFERROR(__xludf.DUMMYFUNCTION("""COMPUTED_VALUE"""),44481.6666666666)</f>
        <v>44481.666666666599</v>
      </c>
      <c r="B703" s="2">
        <f ca="1">IFERROR(__xludf.DUMMYFUNCTION("""COMPUTED_VALUE"""),141.51)</f>
        <v>141.51</v>
      </c>
      <c r="C703" s="3">
        <f ca="1">IFERROR(__xludf.DUMMYFUNCTION("""COMPUTED_VALUE"""),44481.6666666666)</f>
        <v>44481.666666666599</v>
      </c>
      <c r="D703" s="2">
        <f ca="1">IFERROR(__xludf.DUMMYFUNCTION("""COMPUTED_VALUE"""),292.88)</f>
        <v>292.88</v>
      </c>
      <c r="E703" s="3">
        <f ca="1">IFERROR(__xludf.DUMMYFUNCTION("""COMPUTED_VALUE"""),44481.6666666666)</f>
        <v>44481.666666666599</v>
      </c>
      <c r="F703" s="2">
        <f ca="1">IFERROR(__xludf.DUMMYFUNCTION("""COMPUTED_VALUE"""),3247.33)</f>
        <v>3247.33</v>
      </c>
      <c r="G703" s="3">
        <f ca="1">IFERROR(__xludf.DUMMYFUNCTION("""COMPUTED_VALUE"""),44481.6666666666)</f>
        <v>44481.666666666599</v>
      </c>
      <c r="H703" s="2">
        <f ca="1">IFERROR(__xludf.DUMMYFUNCTION("""COMPUTED_VALUE"""),2728.98)</f>
        <v>2728.98</v>
      </c>
      <c r="I703" s="3">
        <f ca="1">IFERROR(__xludf.DUMMYFUNCTION("""COMPUTED_VALUE"""),44481.6666666666)</f>
        <v>44481.666666666599</v>
      </c>
      <c r="J703" s="2">
        <f ca="1">IFERROR(__xludf.DUMMYFUNCTION("""COMPUTED_VALUE"""),2734.26)</f>
        <v>2734.26</v>
      </c>
      <c r="K703" s="3">
        <f ca="1">IFERROR(__xludf.DUMMYFUNCTION("""COMPUTED_VALUE"""),44481.6666666666)</f>
        <v>44481.666666666599</v>
      </c>
      <c r="L703" s="2">
        <f ca="1">IFERROR(__xludf.DUMMYFUNCTION("""COMPUTED_VALUE"""),323.77)</f>
        <v>323.77</v>
      </c>
      <c r="M703" s="3">
        <f ca="1">IFERROR(__xludf.DUMMYFUNCTION("""COMPUTED_VALUE"""),44481.6666666666)</f>
        <v>44481.666666666599</v>
      </c>
      <c r="N703" s="2">
        <f ca="1">IFERROR(__xludf.DUMMYFUNCTION("""COMPUTED_VALUE"""),805.72)</f>
        <v>805.72</v>
      </c>
      <c r="O703" s="3">
        <f ca="1">IFERROR(__xludf.DUMMYFUNCTION("""COMPUTED_VALUE"""),44481.6666666666)</f>
        <v>44481.666666666599</v>
      </c>
      <c r="P703" s="2">
        <f ca="1">IFERROR(__xludf.DUMMYFUNCTION("""COMPUTED_VALUE"""),206.71)</f>
        <v>206.71</v>
      </c>
      <c r="Q703" s="3">
        <f ca="1">IFERROR(__xludf.DUMMYFUNCTION("""COMPUTED_VALUE"""),44481.6666666666)</f>
        <v>44481.666666666599</v>
      </c>
      <c r="R703" s="2">
        <f ca="1">IFERROR(__xludf.DUMMYFUNCTION("""COMPUTED_VALUE"""),278.62)</f>
        <v>278.62</v>
      </c>
      <c r="S703" s="3">
        <f ca="1">IFERROR(__xludf.DUMMYFUNCTION("""COMPUTED_VALUE"""),44481.6666666666)</f>
        <v>44481.666666666599</v>
      </c>
      <c r="T703" s="2">
        <f ca="1">IFERROR(__xludf.DUMMYFUNCTION("""COMPUTED_VALUE"""),157.69)</f>
        <v>157.69</v>
      </c>
    </row>
    <row r="704" spans="1:20">
      <c r="A704" s="3">
        <f ca="1">IFERROR(__xludf.DUMMYFUNCTION("""COMPUTED_VALUE"""),44482.6666666666)</f>
        <v>44482.666666666599</v>
      </c>
      <c r="B704" s="2">
        <f ca="1">IFERROR(__xludf.DUMMYFUNCTION("""COMPUTED_VALUE"""),140.91)</f>
        <v>140.91</v>
      </c>
      <c r="C704" s="3">
        <f ca="1">IFERROR(__xludf.DUMMYFUNCTION("""COMPUTED_VALUE"""),44482.6666666666)</f>
        <v>44482.666666666599</v>
      </c>
      <c r="D704" s="2">
        <f ca="1">IFERROR(__xludf.DUMMYFUNCTION("""COMPUTED_VALUE"""),296.31)</f>
        <v>296.31</v>
      </c>
      <c r="E704" s="3">
        <f ca="1">IFERROR(__xludf.DUMMYFUNCTION("""COMPUTED_VALUE"""),44482.6666666666)</f>
        <v>44482.666666666599</v>
      </c>
      <c r="F704" s="2">
        <f ca="1">IFERROR(__xludf.DUMMYFUNCTION("""COMPUTED_VALUE"""),3284.28)</f>
        <v>3284.28</v>
      </c>
      <c r="G704" s="3">
        <f ca="1">IFERROR(__xludf.DUMMYFUNCTION("""COMPUTED_VALUE"""),44482.6666666666)</f>
        <v>44482.666666666599</v>
      </c>
      <c r="H704" s="2">
        <f ca="1">IFERROR(__xludf.DUMMYFUNCTION("""COMPUTED_VALUE"""),2751.64)</f>
        <v>2751.64</v>
      </c>
      <c r="I704" s="3">
        <f ca="1">IFERROR(__xludf.DUMMYFUNCTION("""COMPUTED_VALUE"""),44482.6666666666)</f>
        <v>44482.666666666599</v>
      </c>
      <c r="J704" s="2">
        <f ca="1">IFERROR(__xludf.DUMMYFUNCTION("""COMPUTED_VALUE"""),2758)</f>
        <v>2758</v>
      </c>
      <c r="K704" s="3">
        <f ca="1">IFERROR(__xludf.DUMMYFUNCTION("""COMPUTED_VALUE"""),44482.6666666666)</f>
        <v>44482.666666666599</v>
      </c>
      <c r="L704" s="2">
        <f ca="1">IFERROR(__xludf.DUMMYFUNCTION("""COMPUTED_VALUE"""),324.54)</f>
        <v>324.54000000000002</v>
      </c>
      <c r="M704" s="3">
        <f ca="1">IFERROR(__xludf.DUMMYFUNCTION("""COMPUTED_VALUE"""),44482.6666666666)</f>
        <v>44482.666666666599</v>
      </c>
      <c r="N704" s="2">
        <f ca="1">IFERROR(__xludf.DUMMYFUNCTION("""COMPUTED_VALUE"""),811.08)</f>
        <v>811.08</v>
      </c>
      <c r="O704" s="3">
        <f ca="1">IFERROR(__xludf.DUMMYFUNCTION("""COMPUTED_VALUE"""),44482.6666666666)</f>
        <v>44482.666666666599</v>
      </c>
      <c r="P704" s="2">
        <f ca="1">IFERROR(__xludf.DUMMYFUNCTION("""COMPUTED_VALUE"""),209.39)</f>
        <v>209.39</v>
      </c>
      <c r="Q704" s="3">
        <f ca="1">IFERROR(__xludf.DUMMYFUNCTION("""COMPUTED_VALUE"""),44482.6666666666)</f>
        <v>44482.666666666599</v>
      </c>
      <c r="R704" s="2">
        <f ca="1">IFERROR(__xludf.DUMMYFUNCTION("""COMPUTED_VALUE"""),277.9)</f>
        <v>277.89999999999998</v>
      </c>
      <c r="S704" s="3">
        <f ca="1">IFERROR(__xludf.DUMMYFUNCTION("""COMPUTED_VALUE"""),44482.6666666666)</f>
        <v>44482.666666666599</v>
      </c>
      <c r="T704" s="2">
        <f ca="1">IFERROR(__xludf.DUMMYFUNCTION("""COMPUTED_VALUE"""),159.2)</f>
        <v>159.19999999999999</v>
      </c>
    </row>
    <row r="705" spans="1:20">
      <c r="A705" s="3">
        <f ca="1">IFERROR(__xludf.DUMMYFUNCTION("""COMPUTED_VALUE"""),44483.6666666666)</f>
        <v>44483.666666666599</v>
      </c>
      <c r="B705" s="2">
        <f ca="1">IFERROR(__xludf.DUMMYFUNCTION("""COMPUTED_VALUE"""),143.76)</f>
        <v>143.76</v>
      </c>
      <c r="C705" s="3">
        <f ca="1">IFERROR(__xludf.DUMMYFUNCTION("""COMPUTED_VALUE"""),44483.6666666666)</f>
        <v>44483.666666666599</v>
      </c>
      <c r="D705" s="2">
        <f ca="1">IFERROR(__xludf.DUMMYFUNCTION("""COMPUTED_VALUE"""),302.75)</f>
        <v>302.75</v>
      </c>
      <c r="E705" s="3">
        <f ca="1">IFERROR(__xludf.DUMMYFUNCTION("""COMPUTED_VALUE"""),44483.6666666666)</f>
        <v>44483.666666666599</v>
      </c>
      <c r="F705" s="2">
        <f ca="1">IFERROR(__xludf.DUMMYFUNCTION("""COMPUTED_VALUE"""),3299.86)</f>
        <v>3299.86</v>
      </c>
      <c r="G705" s="3">
        <f ca="1">IFERROR(__xludf.DUMMYFUNCTION("""COMPUTED_VALUE"""),44483.6666666666)</f>
        <v>44483.666666666599</v>
      </c>
      <c r="H705" s="2">
        <f ca="1">IFERROR(__xludf.DUMMYFUNCTION("""COMPUTED_VALUE"""),2823.02)</f>
        <v>2823.02</v>
      </c>
      <c r="I705" s="3">
        <f ca="1">IFERROR(__xludf.DUMMYFUNCTION("""COMPUTED_VALUE"""),44483.6666666666)</f>
        <v>44483.666666666599</v>
      </c>
      <c r="J705" s="2">
        <f ca="1">IFERROR(__xludf.DUMMYFUNCTION("""COMPUTED_VALUE"""),2828.24)</f>
        <v>2828.24</v>
      </c>
      <c r="K705" s="3">
        <f ca="1">IFERROR(__xludf.DUMMYFUNCTION("""COMPUTED_VALUE"""),44483.6666666666)</f>
        <v>44483.666666666599</v>
      </c>
      <c r="L705" s="2">
        <f ca="1">IFERROR(__xludf.DUMMYFUNCTION("""COMPUTED_VALUE"""),328.53)</f>
        <v>328.53</v>
      </c>
      <c r="M705" s="3">
        <f ca="1">IFERROR(__xludf.DUMMYFUNCTION("""COMPUTED_VALUE"""),44483.6666666666)</f>
        <v>44483.666666666599</v>
      </c>
      <c r="N705" s="2">
        <f ca="1">IFERROR(__xludf.DUMMYFUNCTION("""COMPUTED_VALUE"""),818.32)</f>
        <v>818.32</v>
      </c>
      <c r="O705" s="3">
        <f ca="1">IFERROR(__xludf.DUMMYFUNCTION("""COMPUTED_VALUE"""),44483.6666666666)</f>
        <v>44483.666666666599</v>
      </c>
      <c r="P705" s="2">
        <f ca="1">IFERROR(__xludf.DUMMYFUNCTION("""COMPUTED_VALUE"""),217.46)</f>
        <v>217.46</v>
      </c>
      <c r="Q705" s="3">
        <f ca="1">IFERROR(__xludf.DUMMYFUNCTION("""COMPUTED_VALUE"""),44483.6666666666)</f>
        <v>44483.666666666599</v>
      </c>
      <c r="R705" s="2">
        <f ca="1">IFERROR(__xludf.DUMMYFUNCTION("""COMPUTED_VALUE"""),281.64)</f>
        <v>281.64</v>
      </c>
      <c r="S705" s="3">
        <f ca="1">IFERROR(__xludf.DUMMYFUNCTION("""COMPUTED_VALUE"""),44483.6666666666)</f>
        <v>44483.666666666599</v>
      </c>
      <c r="T705" s="2">
        <f ca="1">IFERROR(__xludf.DUMMYFUNCTION("""COMPUTED_VALUE"""),160.11)</f>
        <v>160.11000000000001</v>
      </c>
    </row>
    <row r="706" spans="1:20">
      <c r="A706" s="3">
        <f ca="1">IFERROR(__xludf.DUMMYFUNCTION("""COMPUTED_VALUE"""),44484.6666666666)</f>
        <v>44484.666666666599</v>
      </c>
      <c r="B706" s="2">
        <f ca="1">IFERROR(__xludf.DUMMYFUNCTION("""COMPUTED_VALUE"""),144.84)</f>
        <v>144.84</v>
      </c>
      <c r="C706" s="3">
        <f ca="1">IFERROR(__xludf.DUMMYFUNCTION("""COMPUTED_VALUE"""),44484.6666666666)</f>
        <v>44484.666666666599</v>
      </c>
      <c r="D706" s="2">
        <f ca="1">IFERROR(__xludf.DUMMYFUNCTION("""COMPUTED_VALUE"""),304.21)</f>
        <v>304.20999999999998</v>
      </c>
      <c r="E706" s="3">
        <f ca="1">IFERROR(__xludf.DUMMYFUNCTION("""COMPUTED_VALUE"""),44484.6666666666)</f>
        <v>44484.666666666599</v>
      </c>
      <c r="F706" s="2">
        <f ca="1">IFERROR(__xludf.DUMMYFUNCTION("""COMPUTED_VALUE"""),3409.02)</f>
        <v>3409.02</v>
      </c>
      <c r="G706" s="3">
        <f ca="1">IFERROR(__xludf.DUMMYFUNCTION("""COMPUTED_VALUE"""),44484.6666666666)</f>
        <v>44484.666666666599</v>
      </c>
      <c r="H706" s="2">
        <f ca="1">IFERROR(__xludf.DUMMYFUNCTION("""COMPUTED_VALUE"""),2827.36)</f>
        <v>2827.36</v>
      </c>
      <c r="I706" s="3">
        <f ca="1">IFERROR(__xludf.DUMMYFUNCTION("""COMPUTED_VALUE"""),44484.6666666666)</f>
        <v>44484.666666666599</v>
      </c>
      <c r="J706" s="2">
        <f ca="1">IFERROR(__xludf.DUMMYFUNCTION("""COMPUTED_VALUE"""),2833.5)</f>
        <v>2833.5</v>
      </c>
      <c r="K706" s="3">
        <f ca="1">IFERROR(__xludf.DUMMYFUNCTION("""COMPUTED_VALUE"""),44484.6666666666)</f>
        <v>44484.666666666599</v>
      </c>
      <c r="L706" s="2">
        <f ca="1">IFERROR(__xludf.DUMMYFUNCTION("""COMPUTED_VALUE"""),324.76)</f>
        <v>324.76</v>
      </c>
      <c r="M706" s="3">
        <f ca="1">IFERROR(__xludf.DUMMYFUNCTION("""COMPUTED_VALUE"""),44484.6666666666)</f>
        <v>44484.666666666599</v>
      </c>
      <c r="N706" s="2">
        <f ca="1">IFERROR(__xludf.DUMMYFUNCTION("""COMPUTED_VALUE"""),843.03)</f>
        <v>843.03</v>
      </c>
      <c r="O706" s="3">
        <f ca="1">IFERROR(__xludf.DUMMYFUNCTION("""COMPUTED_VALUE"""),44484.6666666666)</f>
        <v>44484.666666666599</v>
      </c>
      <c r="P706" s="2">
        <f ca="1">IFERROR(__xludf.DUMMYFUNCTION("""COMPUTED_VALUE"""),218.62)</f>
        <v>218.62</v>
      </c>
      <c r="Q706" s="3">
        <f ca="1">IFERROR(__xludf.DUMMYFUNCTION("""COMPUTED_VALUE"""),44484.6666666666)</f>
        <v>44484.666666666599</v>
      </c>
      <c r="R706" s="2">
        <f ca="1">IFERROR(__xludf.DUMMYFUNCTION("""COMPUTED_VALUE"""),284.21)</f>
        <v>284.20999999999998</v>
      </c>
      <c r="S706" s="3">
        <f ca="1">IFERROR(__xludf.DUMMYFUNCTION("""COMPUTED_VALUE"""),44484.6666666666)</f>
        <v>44484.666666666599</v>
      </c>
      <c r="T706" s="2">
        <f ca="1">IFERROR(__xludf.DUMMYFUNCTION("""COMPUTED_VALUE"""),161.3)</f>
        <v>161.30000000000001</v>
      </c>
    </row>
    <row r="707" spans="1:20">
      <c r="A707" s="3">
        <f ca="1">IFERROR(__xludf.DUMMYFUNCTION("""COMPUTED_VALUE"""),44487.6666666666)</f>
        <v>44487.666666666599</v>
      </c>
      <c r="B707" s="2">
        <f ca="1">IFERROR(__xludf.DUMMYFUNCTION("""COMPUTED_VALUE"""),146.55)</f>
        <v>146.55000000000001</v>
      </c>
      <c r="C707" s="3">
        <f ca="1">IFERROR(__xludf.DUMMYFUNCTION("""COMPUTED_VALUE"""),44487.6666666666)</f>
        <v>44487.666666666599</v>
      </c>
      <c r="D707" s="2">
        <f ca="1">IFERROR(__xludf.DUMMYFUNCTION("""COMPUTED_VALUE"""),307.29)</f>
        <v>307.29000000000002</v>
      </c>
      <c r="E707" s="3">
        <f ca="1">IFERROR(__xludf.DUMMYFUNCTION("""COMPUTED_VALUE"""),44487.6666666666)</f>
        <v>44487.666666666599</v>
      </c>
      <c r="F707" s="2">
        <f ca="1">IFERROR(__xludf.DUMMYFUNCTION("""COMPUTED_VALUE"""),3446.74)</f>
        <v>3446.74</v>
      </c>
      <c r="G707" s="3">
        <f ca="1">IFERROR(__xludf.DUMMYFUNCTION("""COMPUTED_VALUE"""),44487.6666666666)</f>
        <v>44487.666666666599</v>
      </c>
      <c r="H707" s="2">
        <f ca="1">IFERROR(__xludf.DUMMYFUNCTION("""COMPUTED_VALUE"""),2855.56)</f>
        <v>2855.56</v>
      </c>
      <c r="I707" s="3">
        <f ca="1">IFERROR(__xludf.DUMMYFUNCTION("""COMPUTED_VALUE"""),44487.6666666666)</f>
        <v>44487.666666666599</v>
      </c>
      <c r="J707" s="2">
        <f ca="1">IFERROR(__xludf.DUMMYFUNCTION("""COMPUTED_VALUE"""),2859.21)</f>
        <v>2859.21</v>
      </c>
      <c r="K707" s="3">
        <f ca="1">IFERROR(__xludf.DUMMYFUNCTION("""COMPUTED_VALUE"""),44487.6666666666)</f>
        <v>44487.666666666599</v>
      </c>
      <c r="L707" s="2">
        <f ca="1">IFERROR(__xludf.DUMMYFUNCTION("""COMPUTED_VALUE"""),335.34)</f>
        <v>335.34</v>
      </c>
      <c r="M707" s="3">
        <f ca="1">IFERROR(__xludf.DUMMYFUNCTION("""COMPUTED_VALUE"""),44487.6666666666)</f>
        <v>44487.666666666599</v>
      </c>
      <c r="N707" s="2">
        <f ca="1">IFERROR(__xludf.DUMMYFUNCTION("""COMPUTED_VALUE"""),870.11)</f>
        <v>870.11</v>
      </c>
      <c r="O707" s="3">
        <f ca="1">IFERROR(__xludf.DUMMYFUNCTION("""COMPUTED_VALUE"""),44487.6666666666)</f>
        <v>44487.666666666599</v>
      </c>
      <c r="P707" s="2">
        <f ca="1">IFERROR(__xludf.DUMMYFUNCTION("""COMPUTED_VALUE"""),222.22)</f>
        <v>222.22</v>
      </c>
      <c r="Q707" s="3">
        <f ca="1">IFERROR(__xludf.DUMMYFUNCTION("""COMPUTED_VALUE"""),44487.6666666666)</f>
        <v>44487.666666666599</v>
      </c>
      <c r="R707" s="2">
        <f ca="1">IFERROR(__xludf.DUMMYFUNCTION("""COMPUTED_VALUE"""),282.59)</f>
        <v>282.58999999999997</v>
      </c>
      <c r="S707" s="3">
        <f ca="1">IFERROR(__xludf.DUMMYFUNCTION("""COMPUTED_VALUE"""),44487.6666666666)</f>
        <v>44487.666666666599</v>
      </c>
      <c r="T707" s="2">
        <f ca="1">IFERROR(__xludf.DUMMYFUNCTION("""COMPUTED_VALUE"""),160.12)</f>
        <v>160.12</v>
      </c>
    </row>
    <row r="708" spans="1:20">
      <c r="A708" s="3">
        <f ca="1">IFERROR(__xludf.DUMMYFUNCTION("""COMPUTED_VALUE"""),44488.6666666666)</f>
        <v>44488.666666666599</v>
      </c>
      <c r="B708" s="2">
        <f ca="1">IFERROR(__xludf.DUMMYFUNCTION("""COMPUTED_VALUE"""),148.76)</f>
        <v>148.76</v>
      </c>
      <c r="C708" s="3">
        <f ca="1">IFERROR(__xludf.DUMMYFUNCTION("""COMPUTED_VALUE"""),44488.6666666666)</f>
        <v>44488.666666666599</v>
      </c>
      <c r="D708" s="2">
        <f ca="1">IFERROR(__xludf.DUMMYFUNCTION("""COMPUTED_VALUE"""),308.23)</f>
        <v>308.23</v>
      </c>
      <c r="E708" s="3">
        <f ca="1">IFERROR(__xludf.DUMMYFUNCTION("""COMPUTED_VALUE"""),44488.6666666666)</f>
        <v>44488.666666666599</v>
      </c>
      <c r="F708" s="2">
        <f ca="1">IFERROR(__xludf.DUMMYFUNCTION("""COMPUTED_VALUE"""),3444.15)</f>
        <v>3444.15</v>
      </c>
      <c r="G708" s="3">
        <f ca="1">IFERROR(__xludf.DUMMYFUNCTION("""COMPUTED_VALUE"""),44488.6666666666)</f>
        <v>44488.666666666599</v>
      </c>
      <c r="H708" s="2">
        <f ca="1">IFERROR(__xludf.DUMMYFUNCTION("""COMPUTED_VALUE"""),2864.74)</f>
        <v>2864.74</v>
      </c>
      <c r="I708" s="3">
        <f ca="1">IFERROR(__xludf.DUMMYFUNCTION("""COMPUTED_VALUE"""),44488.6666666666)</f>
        <v>44488.666666666599</v>
      </c>
      <c r="J708" s="2">
        <f ca="1">IFERROR(__xludf.DUMMYFUNCTION("""COMPUTED_VALUE"""),2876.44)</f>
        <v>2876.44</v>
      </c>
      <c r="K708" s="3">
        <f ca="1">IFERROR(__xludf.DUMMYFUNCTION("""COMPUTED_VALUE"""),44488.6666666666)</f>
        <v>44488.666666666599</v>
      </c>
      <c r="L708" s="2">
        <f ca="1">IFERROR(__xludf.DUMMYFUNCTION("""COMPUTED_VALUE"""),339.99)</f>
        <v>339.99</v>
      </c>
      <c r="M708" s="3">
        <f ca="1">IFERROR(__xludf.DUMMYFUNCTION("""COMPUTED_VALUE"""),44488.6666666666)</f>
        <v>44488.666666666599</v>
      </c>
      <c r="N708" s="2">
        <f ca="1">IFERROR(__xludf.DUMMYFUNCTION("""COMPUTED_VALUE"""),864.27)</f>
        <v>864.27</v>
      </c>
      <c r="O708" s="3">
        <f ca="1">IFERROR(__xludf.DUMMYFUNCTION("""COMPUTED_VALUE"""),44488.6666666666)</f>
        <v>44488.666666666599</v>
      </c>
      <c r="P708" s="2">
        <f ca="1">IFERROR(__xludf.DUMMYFUNCTION("""COMPUTED_VALUE"""),222.9)</f>
        <v>222.9</v>
      </c>
      <c r="Q708" s="3">
        <f ca="1">IFERROR(__xludf.DUMMYFUNCTION("""COMPUTED_VALUE"""),44488.6666666666)</f>
        <v>44488.666666666599</v>
      </c>
      <c r="R708" s="2">
        <f ca="1">IFERROR(__xludf.DUMMYFUNCTION("""COMPUTED_VALUE"""),284.83)</f>
        <v>284.83</v>
      </c>
      <c r="S708" s="3">
        <f ca="1">IFERROR(__xludf.DUMMYFUNCTION("""COMPUTED_VALUE"""),44488.6666666666)</f>
        <v>44488.666666666599</v>
      </c>
      <c r="T708" s="2">
        <f ca="1">IFERROR(__xludf.DUMMYFUNCTION("""COMPUTED_VALUE"""),163.87)</f>
        <v>163.87</v>
      </c>
    </row>
    <row r="709" spans="1:20">
      <c r="A709" s="3">
        <f ca="1">IFERROR(__xludf.DUMMYFUNCTION("""COMPUTED_VALUE"""),44489.6666666666)</f>
        <v>44489.666666666599</v>
      </c>
      <c r="B709" s="2">
        <f ca="1">IFERROR(__xludf.DUMMYFUNCTION("""COMPUTED_VALUE"""),149.26)</f>
        <v>149.26</v>
      </c>
      <c r="C709" s="3">
        <f ca="1">IFERROR(__xludf.DUMMYFUNCTION("""COMPUTED_VALUE"""),44489.6666666666)</f>
        <v>44489.666666666599</v>
      </c>
      <c r="D709" s="2">
        <f ca="1">IFERROR(__xludf.DUMMYFUNCTION("""COMPUTED_VALUE"""),307.41)</f>
        <v>307.41000000000003</v>
      </c>
      <c r="E709" s="3">
        <f ca="1">IFERROR(__xludf.DUMMYFUNCTION("""COMPUTED_VALUE"""),44489.6666666666)</f>
        <v>44489.666666666599</v>
      </c>
      <c r="F709" s="2">
        <f ca="1">IFERROR(__xludf.DUMMYFUNCTION("""COMPUTED_VALUE"""),3415.06)</f>
        <v>3415.06</v>
      </c>
      <c r="G709" s="3">
        <f ca="1">IFERROR(__xludf.DUMMYFUNCTION("""COMPUTED_VALUE"""),44489.6666666666)</f>
        <v>44489.666666666599</v>
      </c>
      <c r="H709" s="2">
        <f ca="1">IFERROR(__xludf.DUMMYFUNCTION("""COMPUTED_VALUE"""),2835.38)</f>
        <v>2835.38</v>
      </c>
      <c r="I709" s="3">
        <f ca="1">IFERROR(__xludf.DUMMYFUNCTION("""COMPUTED_VALUE"""),44489.6666666666)</f>
        <v>44489.666666666599</v>
      </c>
      <c r="J709" s="2">
        <f ca="1">IFERROR(__xludf.DUMMYFUNCTION("""COMPUTED_VALUE"""),2848.3)</f>
        <v>2848.3</v>
      </c>
      <c r="K709" s="3">
        <f ca="1">IFERROR(__xludf.DUMMYFUNCTION("""COMPUTED_VALUE"""),44489.6666666666)</f>
        <v>44489.666666666599</v>
      </c>
      <c r="L709" s="2">
        <f ca="1">IFERROR(__xludf.DUMMYFUNCTION("""COMPUTED_VALUE"""),340.78)</f>
        <v>340.78</v>
      </c>
      <c r="M709" s="3">
        <f ca="1">IFERROR(__xludf.DUMMYFUNCTION("""COMPUTED_VALUE"""),44489.6666666666)</f>
        <v>44489.666666666599</v>
      </c>
      <c r="N709" s="2">
        <f ca="1">IFERROR(__xludf.DUMMYFUNCTION("""COMPUTED_VALUE"""),865.8)</f>
        <v>865.8</v>
      </c>
      <c r="O709" s="3">
        <f ca="1">IFERROR(__xludf.DUMMYFUNCTION("""COMPUTED_VALUE"""),44489.6666666666)</f>
        <v>44489.666666666599</v>
      </c>
      <c r="P709" s="2">
        <f ca="1">IFERROR(__xludf.DUMMYFUNCTION("""COMPUTED_VALUE"""),221.03)</f>
        <v>221.03</v>
      </c>
      <c r="Q709" s="3">
        <f ca="1">IFERROR(__xludf.DUMMYFUNCTION("""COMPUTED_VALUE"""),44489.6666666666)</f>
        <v>44489.666666666599</v>
      </c>
      <c r="R709" s="2">
        <f ca="1">IFERROR(__xludf.DUMMYFUNCTION("""COMPUTED_VALUE"""),287.49)</f>
        <v>287.49</v>
      </c>
      <c r="S709" s="3">
        <f ca="1">IFERROR(__xludf.DUMMYFUNCTION("""COMPUTED_VALUE"""),44489.6666666666)</f>
        <v>44489.666666666599</v>
      </c>
      <c r="T709" s="2">
        <f ca="1">IFERROR(__xludf.DUMMYFUNCTION("""COMPUTED_VALUE"""),163.78)</f>
        <v>163.78</v>
      </c>
    </row>
    <row r="710" spans="1:20">
      <c r="A710" s="3">
        <f ca="1">IFERROR(__xludf.DUMMYFUNCTION("""COMPUTED_VALUE"""),44490.6666666666)</f>
        <v>44490.666666666599</v>
      </c>
      <c r="B710" s="2">
        <f ca="1">IFERROR(__xludf.DUMMYFUNCTION("""COMPUTED_VALUE"""),149.48)</f>
        <v>149.47999999999999</v>
      </c>
      <c r="C710" s="3">
        <f ca="1">IFERROR(__xludf.DUMMYFUNCTION("""COMPUTED_VALUE"""),44490.6666666666)</f>
        <v>44490.666666666599</v>
      </c>
      <c r="D710" s="2">
        <f ca="1">IFERROR(__xludf.DUMMYFUNCTION("""COMPUTED_VALUE"""),310.76)</f>
        <v>310.76</v>
      </c>
      <c r="E710" s="3">
        <f ca="1">IFERROR(__xludf.DUMMYFUNCTION("""COMPUTED_VALUE"""),44490.6666666666)</f>
        <v>44490.666666666599</v>
      </c>
      <c r="F710" s="2">
        <f ca="1">IFERROR(__xludf.DUMMYFUNCTION("""COMPUTED_VALUE"""),3435.01)</f>
        <v>3435.01</v>
      </c>
      <c r="G710" s="3">
        <f ca="1">IFERROR(__xludf.DUMMYFUNCTION("""COMPUTED_VALUE"""),44490.6666666666)</f>
        <v>44490.666666666599</v>
      </c>
      <c r="H710" s="2">
        <f ca="1">IFERROR(__xludf.DUMMYFUNCTION("""COMPUTED_VALUE"""),2837.72)</f>
        <v>2837.72</v>
      </c>
      <c r="I710" s="3">
        <f ca="1">IFERROR(__xludf.DUMMYFUNCTION("""COMPUTED_VALUE"""),44490.6666666666)</f>
        <v>44490.666666666599</v>
      </c>
      <c r="J710" s="2">
        <f ca="1">IFERROR(__xludf.DUMMYFUNCTION("""COMPUTED_VALUE"""),2855.61)</f>
        <v>2855.61</v>
      </c>
      <c r="K710" s="3">
        <f ca="1">IFERROR(__xludf.DUMMYFUNCTION("""COMPUTED_VALUE"""),44490.6666666666)</f>
        <v>44490.666666666599</v>
      </c>
      <c r="L710" s="2">
        <f ca="1">IFERROR(__xludf.DUMMYFUNCTION("""COMPUTED_VALUE"""),341.88)</f>
        <v>341.88</v>
      </c>
      <c r="M710" s="3">
        <f ca="1">IFERROR(__xludf.DUMMYFUNCTION("""COMPUTED_VALUE"""),44490.6666666666)</f>
        <v>44490.666666666599</v>
      </c>
      <c r="N710" s="2">
        <f ca="1">IFERROR(__xludf.DUMMYFUNCTION("""COMPUTED_VALUE"""),894)</f>
        <v>894</v>
      </c>
      <c r="O710" s="3">
        <f ca="1">IFERROR(__xludf.DUMMYFUNCTION("""COMPUTED_VALUE"""),44490.6666666666)</f>
        <v>44490.666666666599</v>
      </c>
      <c r="P710" s="2">
        <f ca="1">IFERROR(__xludf.DUMMYFUNCTION("""COMPUTED_VALUE"""),226.92)</f>
        <v>226.92</v>
      </c>
      <c r="Q710" s="3">
        <f ca="1">IFERROR(__xludf.DUMMYFUNCTION("""COMPUTED_VALUE"""),44490.6666666666)</f>
        <v>44490.666666666599</v>
      </c>
      <c r="R710" s="2">
        <f ca="1">IFERROR(__xludf.DUMMYFUNCTION("""COMPUTED_VALUE"""),286.82)</f>
        <v>286.82</v>
      </c>
      <c r="S710" s="3">
        <f ca="1">IFERROR(__xludf.DUMMYFUNCTION("""COMPUTED_VALUE"""),44490.6666666666)</f>
        <v>44490.666666666599</v>
      </c>
      <c r="T710" s="2">
        <f ca="1">IFERROR(__xludf.DUMMYFUNCTION("""COMPUTED_VALUE"""),163.4)</f>
        <v>163.4</v>
      </c>
    </row>
    <row r="711" spans="1:20">
      <c r="A711" s="3">
        <f ca="1">IFERROR(__xludf.DUMMYFUNCTION("""COMPUTED_VALUE"""),44491.6666666666)</f>
        <v>44491.666666666599</v>
      </c>
      <c r="B711" s="2">
        <f ca="1">IFERROR(__xludf.DUMMYFUNCTION("""COMPUTED_VALUE"""),148.69)</f>
        <v>148.69</v>
      </c>
      <c r="C711" s="3">
        <f ca="1">IFERROR(__xludf.DUMMYFUNCTION("""COMPUTED_VALUE"""),44491.6666666666)</f>
        <v>44491.666666666599</v>
      </c>
      <c r="D711" s="2">
        <f ca="1">IFERROR(__xludf.DUMMYFUNCTION("""COMPUTED_VALUE"""),309.16)</f>
        <v>309.16000000000003</v>
      </c>
      <c r="E711" s="3">
        <f ca="1">IFERROR(__xludf.DUMMYFUNCTION("""COMPUTED_VALUE"""),44491.6666666666)</f>
        <v>44491.666666666599</v>
      </c>
      <c r="F711" s="2">
        <f ca="1">IFERROR(__xludf.DUMMYFUNCTION("""COMPUTED_VALUE"""),3335.55)</f>
        <v>3335.55</v>
      </c>
      <c r="G711" s="3">
        <f ca="1">IFERROR(__xludf.DUMMYFUNCTION("""COMPUTED_VALUE"""),44491.6666666666)</f>
        <v>44491.666666666599</v>
      </c>
      <c r="H711" s="2">
        <f ca="1">IFERROR(__xludf.DUMMYFUNCTION("""COMPUTED_VALUE"""),2751.33)</f>
        <v>2751.33</v>
      </c>
      <c r="I711" s="3">
        <f ca="1">IFERROR(__xludf.DUMMYFUNCTION("""COMPUTED_VALUE"""),44491.6666666666)</f>
        <v>44491.666666666599</v>
      </c>
      <c r="J711" s="2">
        <f ca="1">IFERROR(__xludf.DUMMYFUNCTION("""COMPUTED_VALUE"""),2772.5)</f>
        <v>2772.5</v>
      </c>
      <c r="K711" s="3">
        <f ca="1">IFERROR(__xludf.DUMMYFUNCTION("""COMPUTED_VALUE"""),44491.6666666666)</f>
        <v>44491.666666666599</v>
      </c>
      <c r="L711" s="2">
        <f ca="1">IFERROR(__xludf.DUMMYFUNCTION("""COMPUTED_VALUE"""),324.61)</f>
        <v>324.61</v>
      </c>
      <c r="M711" s="3">
        <f ca="1">IFERROR(__xludf.DUMMYFUNCTION("""COMPUTED_VALUE"""),44491.6666666666)</f>
        <v>44491.666666666599</v>
      </c>
      <c r="N711" s="2">
        <f ca="1">IFERROR(__xludf.DUMMYFUNCTION("""COMPUTED_VALUE"""),909.68)</f>
        <v>909.68</v>
      </c>
      <c r="O711" s="3">
        <f ca="1">IFERROR(__xludf.DUMMYFUNCTION("""COMPUTED_VALUE"""),44491.6666666666)</f>
        <v>44491.666666666599</v>
      </c>
      <c r="P711" s="2">
        <f ca="1">IFERROR(__xludf.DUMMYFUNCTION("""COMPUTED_VALUE"""),227.26)</f>
        <v>227.26</v>
      </c>
      <c r="Q711" s="3">
        <f ca="1">IFERROR(__xludf.DUMMYFUNCTION("""COMPUTED_VALUE"""),44491.6666666666)</f>
        <v>44491.666666666599</v>
      </c>
      <c r="R711" s="2">
        <f ca="1">IFERROR(__xludf.DUMMYFUNCTION("""COMPUTED_VALUE"""),289.24)</f>
        <v>289.24</v>
      </c>
      <c r="S711" s="3">
        <f ca="1">IFERROR(__xludf.DUMMYFUNCTION("""COMPUTED_VALUE"""),44491.6666666666)</f>
        <v>44491.666666666599</v>
      </c>
      <c r="T711" s="2">
        <f ca="1">IFERROR(__xludf.DUMMYFUNCTION("""COMPUTED_VALUE"""),163.72)</f>
        <v>163.72</v>
      </c>
    </row>
    <row r="712" spans="1:20">
      <c r="A712" s="3">
        <f ca="1">IFERROR(__xludf.DUMMYFUNCTION("""COMPUTED_VALUE"""),44494.6666666666)</f>
        <v>44494.666666666599</v>
      </c>
      <c r="B712" s="2">
        <f ca="1">IFERROR(__xludf.DUMMYFUNCTION("""COMPUTED_VALUE"""),148.64)</f>
        <v>148.63999999999999</v>
      </c>
      <c r="C712" s="3">
        <f ca="1">IFERROR(__xludf.DUMMYFUNCTION("""COMPUTED_VALUE"""),44494.6666666666)</f>
        <v>44494.666666666599</v>
      </c>
      <c r="D712" s="2">
        <f ca="1">IFERROR(__xludf.DUMMYFUNCTION("""COMPUTED_VALUE"""),308.13)</f>
        <v>308.13</v>
      </c>
      <c r="E712" s="3">
        <f ca="1">IFERROR(__xludf.DUMMYFUNCTION("""COMPUTED_VALUE"""),44494.6666666666)</f>
        <v>44494.666666666599</v>
      </c>
      <c r="F712" s="2">
        <f ca="1">IFERROR(__xludf.DUMMYFUNCTION("""COMPUTED_VALUE"""),3320.37)</f>
        <v>3320.37</v>
      </c>
      <c r="G712" s="3">
        <f ca="1">IFERROR(__xludf.DUMMYFUNCTION("""COMPUTED_VALUE"""),44494.6666666666)</f>
        <v>44494.666666666599</v>
      </c>
      <c r="H712" s="2">
        <f ca="1">IFERROR(__xludf.DUMMYFUNCTION("""COMPUTED_VALUE"""),2748.94)</f>
        <v>2748.94</v>
      </c>
      <c r="I712" s="3">
        <f ca="1">IFERROR(__xludf.DUMMYFUNCTION("""COMPUTED_VALUE"""),44494.6666666666)</f>
        <v>44494.666666666599</v>
      </c>
      <c r="J712" s="2">
        <f ca="1">IFERROR(__xludf.DUMMYFUNCTION("""COMPUTED_VALUE"""),2775.46)</f>
        <v>2775.46</v>
      </c>
      <c r="K712" s="3">
        <f ca="1">IFERROR(__xludf.DUMMYFUNCTION("""COMPUTED_VALUE"""),44494.6666666666)</f>
        <v>44494.666666666599</v>
      </c>
      <c r="L712" s="2">
        <f ca="1">IFERROR(__xludf.DUMMYFUNCTION("""COMPUTED_VALUE"""),328.69)</f>
        <v>328.69</v>
      </c>
      <c r="M712" s="3">
        <f ca="1">IFERROR(__xludf.DUMMYFUNCTION("""COMPUTED_VALUE"""),44494.6666666666)</f>
        <v>44494.666666666599</v>
      </c>
      <c r="N712" s="2">
        <f ca="1">IFERROR(__xludf.DUMMYFUNCTION("""COMPUTED_VALUE"""),1024.86)</f>
        <v>1024.8599999999999</v>
      </c>
      <c r="O712" s="3">
        <f ca="1">IFERROR(__xludf.DUMMYFUNCTION("""COMPUTED_VALUE"""),44494.6666666666)</f>
        <v>44494.666666666599</v>
      </c>
      <c r="P712" s="2">
        <f ca="1">IFERROR(__xludf.DUMMYFUNCTION("""COMPUTED_VALUE"""),231.66)</f>
        <v>231.66</v>
      </c>
      <c r="Q712" s="3">
        <f ca="1">IFERROR(__xludf.DUMMYFUNCTION("""COMPUTED_VALUE"""),44494.6666666666)</f>
        <v>44494.666666666599</v>
      </c>
      <c r="R712" s="2">
        <f ca="1">IFERROR(__xludf.DUMMYFUNCTION("""COMPUTED_VALUE"""),290.26)</f>
        <v>290.26</v>
      </c>
      <c r="S712" s="3">
        <f ca="1">IFERROR(__xludf.DUMMYFUNCTION("""COMPUTED_VALUE"""),44494.6666666666)</f>
        <v>44494.666666666599</v>
      </c>
      <c r="T712" s="2">
        <f ca="1">IFERROR(__xludf.DUMMYFUNCTION("""COMPUTED_VALUE"""),164.08)</f>
        <v>164.08</v>
      </c>
    </row>
    <row r="713" spans="1:20">
      <c r="A713" s="3">
        <f ca="1">IFERROR(__xludf.DUMMYFUNCTION("""COMPUTED_VALUE"""),44495.6666666666)</f>
        <v>44495.666666666599</v>
      </c>
      <c r="B713" s="2">
        <f ca="1">IFERROR(__xludf.DUMMYFUNCTION("""COMPUTED_VALUE"""),149.32)</f>
        <v>149.32</v>
      </c>
      <c r="C713" s="3">
        <f ca="1">IFERROR(__xludf.DUMMYFUNCTION("""COMPUTED_VALUE"""),44495.6666666666)</f>
        <v>44495.666666666599</v>
      </c>
      <c r="D713" s="2">
        <f ca="1">IFERROR(__xludf.DUMMYFUNCTION("""COMPUTED_VALUE"""),310.11)</f>
        <v>310.11</v>
      </c>
      <c r="E713" s="3">
        <f ca="1">IFERROR(__xludf.DUMMYFUNCTION("""COMPUTED_VALUE"""),44495.6666666666)</f>
        <v>44495.666666666599</v>
      </c>
      <c r="F713" s="2">
        <f ca="1">IFERROR(__xludf.DUMMYFUNCTION("""COMPUTED_VALUE"""),3376.07)</f>
        <v>3376.07</v>
      </c>
      <c r="G713" s="3">
        <f ca="1">IFERROR(__xludf.DUMMYFUNCTION("""COMPUTED_VALUE"""),44495.6666666666)</f>
        <v>44495.666666666599</v>
      </c>
      <c r="H713" s="2">
        <f ca="1">IFERROR(__xludf.DUMMYFUNCTION("""COMPUTED_VALUE"""),2786.17)</f>
        <v>2786.17</v>
      </c>
      <c r="I713" s="3">
        <f ca="1">IFERROR(__xludf.DUMMYFUNCTION("""COMPUTED_VALUE"""),44495.6666666666)</f>
        <v>44495.666666666599</v>
      </c>
      <c r="J713" s="2">
        <f ca="1">IFERROR(__xludf.DUMMYFUNCTION("""COMPUTED_VALUE"""),2793.44)</f>
        <v>2793.44</v>
      </c>
      <c r="K713" s="3">
        <f ca="1">IFERROR(__xludf.DUMMYFUNCTION("""COMPUTED_VALUE"""),44495.6666666666)</f>
        <v>44495.666666666599</v>
      </c>
      <c r="L713" s="2">
        <f ca="1">IFERROR(__xludf.DUMMYFUNCTION("""COMPUTED_VALUE"""),315.81)</f>
        <v>315.81</v>
      </c>
      <c r="M713" s="3">
        <f ca="1">IFERROR(__xludf.DUMMYFUNCTION("""COMPUTED_VALUE"""),44495.6666666666)</f>
        <v>44495.666666666599</v>
      </c>
      <c r="N713" s="2">
        <f ca="1">IFERROR(__xludf.DUMMYFUNCTION("""COMPUTED_VALUE"""),1018.43)</f>
        <v>1018.43</v>
      </c>
      <c r="O713" s="3">
        <f ca="1">IFERROR(__xludf.DUMMYFUNCTION("""COMPUTED_VALUE"""),44495.6666666666)</f>
        <v>44495.666666666599</v>
      </c>
      <c r="P713" s="2">
        <f ca="1">IFERROR(__xludf.DUMMYFUNCTION("""COMPUTED_VALUE"""),247.17)</f>
        <v>247.17</v>
      </c>
      <c r="Q713" s="3">
        <f ca="1">IFERROR(__xludf.DUMMYFUNCTION("""COMPUTED_VALUE"""),44495.6666666666)</f>
        <v>44495.666666666599</v>
      </c>
      <c r="R713" s="2">
        <f ca="1">IFERROR(__xludf.DUMMYFUNCTION("""COMPUTED_VALUE"""),290.85)</f>
        <v>290.85000000000002</v>
      </c>
      <c r="S713" s="3">
        <f ca="1">IFERROR(__xludf.DUMMYFUNCTION("""COMPUTED_VALUE"""),44495.6666666666)</f>
        <v>44495.666666666599</v>
      </c>
      <c r="T713" s="2">
        <f ca="1">IFERROR(__xludf.DUMMYFUNCTION("""COMPUTED_VALUE"""),165.75)</f>
        <v>165.75</v>
      </c>
    </row>
    <row r="714" spans="1:20">
      <c r="A714" s="3">
        <f ca="1">IFERROR(__xludf.DUMMYFUNCTION("""COMPUTED_VALUE"""),44496.6666666666)</f>
        <v>44496.666666666599</v>
      </c>
      <c r="B714" s="2">
        <f ca="1">IFERROR(__xludf.DUMMYFUNCTION("""COMPUTED_VALUE"""),148.85)</f>
        <v>148.85</v>
      </c>
      <c r="C714" s="3">
        <f ca="1">IFERROR(__xludf.DUMMYFUNCTION("""COMPUTED_VALUE"""),44496.6666666666)</f>
        <v>44496.666666666599</v>
      </c>
      <c r="D714" s="2">
        <f ca="1">IFERROR(__xludf.DUMMYFUNCTION("""COMPUTED_VALUE"""),323.17)</f>
        <v>323.17</v>
      </c>
      <c r="E714" s="3">
        <f ca="1">IFERROR(__xludf.DUMMYFUNCTION("""COMPUTED_VALUE"""),44496.6666666666)</f>
        <v>44496.666666666599</v>
      </c>
      <c r="F714" s="2">
        <f ca="1">IFERROR(__xludf.DUMMYFUNCTION("""COMPUTED_VALUE"""),3392.49)</f>
        <v>3392.49</v>
      </c>
      <c r="G714" s="3">
        <f ca="1">IFERROR(__xludf.DUMMYFUNCTION("""COMPUTED_VALUE"""),44496.6666666666)</f>
        <v>44496.666666666599</v>
      </c>
      <c r="H714" s="2">
        <f ca="1">IFERROR(__xludf.DUMMYFUNCTION("""COMPUTED_VALUE"""),2924.35)</f>
        <v>2924.35</v>
      </c>
      <c r="I714" s="3">
        <f ca="1">IFERROR(__xludf.DUMMYFUNCTION("""COMPUTED_VALUE"""),44496.6666666666)</f>
        <v>44496.666666666599</v>
      </c>
      <c r="J714" s="2">
        <f ca="1">IFERROR(__xludf.DUMMYFUNCTION("""COMPUTED_VALUE"""),2928.55)</f>
        <v>2928.55</v>
      </c>
      <c r="K714" s="3">
        <f ca="1">IFERROR(__xludf.DUMMYFUNCTION("""COMPUTED_VALUE"""),44496.6666666666)</f>
        <v>44496.666666666599</v>
      </c>
      <c r="L714" s="2">
        <f ca="1">IFERROR(__xludf.DUMMYFUNCTION("""COMPUTED_VALUE"""),312.22)</f>
        <v>312.22000000000003</v>
      </c>
      <c r="M714" s="3">
        <f ca="1">IFERROR(__xludf.DUMMYFUNCTION("""COMPUTED_VALUE"""),44496.6666666666)</f>
        <v>44496.666666666599</v>
      </c>
      <c r="N714" s="2">
        <f ca="1">IFERROR(__xludf.DUMMYFUNCTION("""COMPUTED_VALUE"""),1037.86)</f>
        <v>1037.8599999999999</v>
      </c>
      <c r="O714" s="3">
        <f ca="1">IFERROR(__xludf.DUMMYFUNCTION("""COMPUTED_VALUE"""),44496.6666666666)</f>
        <v>44496.666666666599</v>
      </c>
      <c r="P714" s="2">
        <f ca="1">IFERROR(__xludf.DUMMYFUNCTION("""COMPUTED_VALUE"""),244.51)</f>
        <v>244.51</v>
      </c>
      <c r="Q714" s="3">
        <f ca="1">IFERROR(__xludf.DUMMYFUNCTION("""COMPUTED_VALUE"""),44496.6666666666)</f>
        <v>44496.666666666599</v>
      </c>
      <c r="R714" s="2">
        <f ca="1">IFERROR(__xludf.DUMMYFUNCTION("""COMPUTED_VALUE"""),287.78)</f>
        <v>287.77999999999997</v>
      </c>
      <c r="S714" s="3">
        <f ca="1">IFERROR(__xludf.DUMMYFUNCTION("""COMPUTED_VALUE"""),44496.6666666666)</f>
        <v>44496.666666666599</v>
      </c>
      <c r="T714" s="2">
        <f ca="1">IFERROR(__xludf.DUMMYFUNCTION("""COMPUTED_VALUE"""),163.74)</f>
        <v>163.74</v>
      </c>
    </row>
    <row r="715" spans="1:20">
      <c r="A715" s="3">
        <f ca="1">IFERROR(__xludf.DUMMYFUNCTION("""COMPUTED_VALUE"""),44497.6666666666)</f>
        <v>44497.666666666599</v>
      </c>
      <c r="B715" s="2">
        <f ca="1">IFERROR(__xludf.DUMMYFUNCTION("""COMPUTED_VALUE"""),152.57)</f>
        <v>152.57</v>
      </c>
      <c r="C715" s="3">
        <f ca="1">IFERROR(__xludf.DUMMYFUNCTION("""COMPUTED_VALUE"""),44497.6666666666)</f>
        <v>44497.666666666599</v>
      </c>
      <c r="D715" s="2">
        <f ca="1">IFERROR(__xludf.DUMMYFUNCTION("""COMPUTED_VALUE"""),324.35)</f>
        <v>324.35000000000002</v>
      </c>
      <c r="E715" s="3">
        <f ca="1">IFERROR(__xludf.DUMMYFUNCTION("""COMPUTED_VALUE"""),44497.6666666666)</f>
        <v>44497.666666666599</v>
      </c>
      <c r="F715" s="2">
        <f ca="1">IFERROR(__xludf.DUMMYFUNCTION("""COMPUTED_VALUE"""),3446.57)</f>
        <v>3446.57</v>
      </c>
      <c r="G715" s="3">
        <f ca="1">IFERROR(__xludf.DUMMYFUNCTION("""COMPUTED_VALUE"""),44497.6666666666)</f>
        <v>44497.666666666599</v>
      </c>
      <c r="H715" s="2">
        <f ca="1">IFERROR(__xludf.DUMMYFUNCTION("""COMPUTED_VALUE"""),2916.98)</f>
        <v>2916.98</v>
      </c>
      <c r="I715" s="3">
        <f ca="1">IFERROR(__xludf.DUMMYFUNCTION("""COMPUTED_VALUE"""),44497.6666666666)</f>
        <v>44497.666666666599</v>
      </c>
      <c r="J715" s="2">
        <f ca="1">IFERROR(__xludf.DUMMYFUNCTION("""COMPUTED_VALUE"""),2922.58)</f>
        <v>2922.58</v>
      </c>
      <c r="K715" s="3">
        <f ca="1">IFERROR(__xludf.DUMMYFUNCTION("""COMPUTED_VALUE"""),44497.6666666666)</f>
        <v>44497.666666666599</v>
      </c>
      <c r="L715" s="2">
        <f ca="1">IFERROR(__xludf.DUMMYFUNCTION("""COMPUTED_VALUE"""),316.92)</f>
        <v>316.92</v>
      </c>
      <c r="M715" s="3">
        <f ca="1">IFERROR(__xludf.DUMMYFUNCTION("""COMPUTED_VALUE"""),44497.6666666666)</f>
        <v>44497.666666666599</v>
      </c>
      <c r="N715" s="2">
        <f ca="1">IFERROR(__xludf.DUMMYFUNCTION("""COMPUTED_VALUE"""),1077.04)</f>
        <v>1077.04</v>
      </c>
      <c r="O715" s="3">
        <f ca="1">IFERROR(__xludf.DUMMYFUNCTION("""COMPUTED_VALUE"""),44497.6666666666)</f>
        <v>44497.666666666599</v>
      </c>
      <c r="P715" s="2">
        <f ca="1">IFERROR(__xludf.DUMMYFUNCTION("""COMPUTED_VALUE"""),249.41)</f>
        <v>249.41</v>
      </c>
      <c r="Q715" s="3">
        <f ca="1">IFERROR(__xludf.DUMMYFUNCTION("""COMPUTED_VALUE"""),44497.6666666666)</f>
        <v>44497.666666666599</v>
      </c>
      <c r="R715" s="2">
        <f ca="1">IFERROR(__xludf.DUMMYFUNCTION("""COMPUTED_VALUE"""),289.72)</f>
        <v>289.72000000000003</v>
      </c>
      <c r="S715" s="3">
        <f ca="1">IFERROR(__xludf.DUMMYFUNCTION("""COMPUTED_VALUE"""),44497.6666666666)</f>
        <v>44497.666666666599</v>
      </c>
      <c r="T715" s="2">
        <f ca="1">IFERROR(__xludf.DUMMYFUNCTION("""COMPUTED_VALUE"""),162.85)</f>
        <v>162.85</v>
      </c>
    </row>
    <row r="716" spans="1:20">
      <c r="A716" s="3">
        <f ca="1">IFERROR(__xludf.DUMMYFUNCTION("""COMPUTED_VALUE"""),44498.6666666666)</f>
        <v>44498.666666666599</v>
      </c>
      <c r="B716" s="2">
        <f ca="1">IFERROR(__xludf.DUMMYFUNCTION("""COMPUTED_VALUE"""),149.8)</f>
        <v>149.80000000000001</v>
      </c>
      <c r="C716" s="3">
        <f ca="1">IFERROR(__xludf.DUMMYFUNCTION("""COMPUTED_VALUE"""),44498.6666666666)</f>
        <v>44498.666666666599</v>
      </c>
      <c r="D716" s="2">
        <f ca="1">IFERROR(__xludf.DUMMYFUNCTION("""COMPUTED_VALUE"""),331.62)</f>
        <v>331.62</v>
      </c>
      <c r="E716" s="3">
        <f ca="1">IFERROR(__xludf.DUMMYFUNCTION("""COMPUTED_VALUE"""),44498.6666666666)</f>
        <v>44498.666666666599</v>
      </c>
      <c r="F716" s="2">
        <f ca="1">IFERROR(__xludf.DUMMYFUNCTION("""COMPUTED_VALUE"""),3372.43)</f>
        <v>3372.43</v>
      </c>
      <c r="G716" s="3">
        <f ca="1">IFERROR(__xludf.DUMMYFUNCTION("""COMPUTED_VALUE"""),44498.6666666666)</f>
        <v>44498.666666666599</v>
      </c>
      <c r="H716" s="2">
        <f ca="1">IFERROR(__xludf.DUMMYFUNCTION("""COMPUTED_VALUE"""),2960.92)</f>
        <v>2960.92</v>
      </c>
      <c r="I716" s="3">
        <f ca="1">IFERROR(__xludf.DUMMYFUNCTION("""COMPUTED_VALUE"""),44498.6666666666)</f>
        <v>44498.666666666599</v>
      </c>
      <c r="J716" s="2">
        <f ca="1">IFERROR(__xludf.DUMMYFUNCTION("""COMPUTED_VALUE"""),2965.41)</f>
        <v>2965.41</v>
      </c>
      <c r="K716" s="3">
        <f ca="1">IFERROR(__xludf.DUMMYFUNCTION("""COMPUTED_VALUE"""),44498.6666666666)</f>
        <v>44498.666666666599</v>
      </c>
      <c r="L716" s="2">
        <f ca="1">IFERROR(__xludf.DUMMYFUNCTION("""COMPUTED_VALUE"""),323.57)</f>
        <v>323.57</v>
      </c>
      <c r="M716" s="3">
        <f ca="1">IFERROR(__xludf.DUMMYFUNCTION("""COMPUTED_VALUE"""),44498.6666666666)</f>
        <v>44498.666666666599</v>
      </c>
      <c r="N716" s="2">
        <f ca="1">IFERROR(__xludf.DUMMYFUNCTION("""COMPUTED_VALUE"""),1114)</f>
        <v>1114</v>
      </c>
      <c r="O716" s="3">
        <f ca="1">IFERROR(__xludf.DUMMYFUNCTION("""COMPUTED_VALUE"""),44498.6666666666)</f>
        <v>44498.666666666599</v>
      </c>
      <c r="P716" s="2">
        <f ca="1">IFERROR(__xludf.DUMMYFUNCTION("""COMPUTED_VALUE"""),255.67)</f>
        <v>255.67</v>
      </c>
      <c r="Q716" s="3">
        <f ca="1">IFERROR(__xludf.DUMMYFUNCTION("""COMPUTED_VALUE"""),44498.6666666666)</f>
        <v>44498.666666666599</v>
      </c>
      <c r="R716" s="2">
        <f ca="1">IFERROR(__xludf.DUMMYFUNCTION("""COMPUTED_VALUE"""),287.01)</f>
        <v>287.01</v>
      </c>
      <c r="S716" s="3">
        <f ca="1">IFERROR(__xludf.DUMMYFUNCTION("""COMPUTED_VALUE"""),44498.6666666666)</f>
        <v>44498.666666666599</v>
      </c>
      <c r="T716" s="2">
        <f ca="1">IFERROR(__xludf.DUMMYFUNCTION("""COMPUTED_VALUE"""),162.88)</f>
        <v>162.88</v>
      </c>
    </row>
    <row r="717" spans="1:20">
      <c r="A717" s="3">
        <f ca="1">IFERROR(__xludf.DUMMYFUNCTION("""COMPUTED_VALUE"""),44501.6666666666)</f>
        <v>44501.666666666599</v>
      </c>
      <c r="B717" s="2">
        <f ca="1">IFERROR(__xludf.DUMMYFUNCTION("""COMPUTED_VALUE"""),148.96)</f>
        <v>148.96</v>
      </c>
      <c r="C717" s="3">
        <f ca="1">IFERROR(__xludf.DUMMYFUNCTION("""COMPUTED_VALUE"""),44501.6666666666)</f>
        <v>44501.666666666599</v>
      </c>
      <c r="D717" s="2">
        <f ca="1">IFERROR(__xludf.DUMMYFUNCTION("""COMPUTED_VALUE"""),329.37)</f>
        <v>329.37</v>
      </c>
      <c r="E717" s="3">
        <f ca="1">IFERROR(__xludf.DUMMYFUNCTION("""COMPUTED_VALUE"""),44501.6666666666)</f>
        <v>44501.666666666599</v>
      </c>
      <c r="F717" s="2">
        <f ca="1">IFERROR(__xludf.DUMMYFUNCTION("""COMPUTED_VALUE"""),3318.11)</f>
        <v>3318.11</v>
      </c>
      <c r="G717" s="3">
        <f ca="1">IFERROR(__xludf.DUMMYFUNCTION("""COMPUTED_VALUE"""),44501.6666666666)</f>
        <v>44501.666666666599</v>
      </c>
      <c r="H717" s="2">
        <f ca="1">IFERROR(__xludf.DUMMYFUNCTION("""COMPUTED_VALUE"""),2869.94)</f>
        <v>2869.94</v>
      </c>
      <c r="I717" s="3">
        <f ca="1">IFERROR(__xludf.DUMMYFUNCTION("""COMPUTED_VALUE"""),44501.6666666666)</f>
        <v>44501.666666666599</v>
      </c>
      <c r="J717" s="2">
        <f ca="1">IFERROR(__xludf.DUMMYFUNCTION("""COMPUTED_VALUE"""),2875.48)</f>
        <v>2875.48</v>
      </c>
      <c r="K717" s="3">
        <f ca="1">IFERROR(__xludf.DUMMYFUNCTION("""COMPUTED_VALUE"""),44501.6666666666)</f>
        <v>44501.666666666599</v>
      </c>
      <c r="L717" s="2">
        <f ca="1">IFERROR(__xludf.DUMMYFUNCTION("""COMPUTED_VALUE"""),329.98)</f>
        <v>329.98</v>
      </c>
      <c r="M717" s="3">
        <f ca="1">IFERROR(__xludf.DUMMYFUNCTION("""COMPUTED_VALUE"""),44501.6666666666)</f>
        <v>44501.666666666599</v>
      </c>
      <c r="N717" s="2">
        <f ca="1">IFERROR(__xludf.DUMMYFUNCTION("""COMPUTED_VALUE"""),1208.59)</f>
        <v>1208.5899999999999</v>
      </c>
      <c r="O717" s="3">
        <f ca="1">IFERROR(__xludf.DUMMYFUNCTION("""COMPUTED_VALUE"""),44501.6666666666)</f>
        <v>44501.666666666599</v>
      </c>
      <c r="P717" s="2">
        <f ca="1">IFERROR(__xludf.DUMMYFUNCTION("""COMPUTED_VALUE"""),258.27)</f>
        <v>258.27</v>
      </c>
      <c r="Q717" s="3">
        <f ca="1">IFERROR(__xludf.DUMMYFUNCTION("""COMPUTED_VALUE"""),44501.6666666666)</f>
        <v>44501.666666666599</v>
      </c>
      <c r="R717" s="2">
        <f ca="1">IFERROR(__xludf.DUMMYFUNCTION("""COMPUTED_VALUE"""),286.24)</f>
        <v>286.24</v>
      </c>
      <c r="S717" s="3">
        <f ca="1">IFERROR(__xludf.DUMMYFUNCTION("""COMPUTED_VALUE"""),44501.6666666666)</f>
        <v>44501.666666666599</v>
      </c>
      <c r="T717" s="2">
        <f ca="1">IFERROR(__xludf.DUMMYFUNCTION("""COMPUTED_VALUE"""),163.02)</f>
        <v>163.02000000000001</v>
      </c>
    </row>
    <row r="718" spans="1:20">
      <c r="A718" s="3">
        <f ca="1">IFERROR(__xludf.DUMMYFUNCTION("""COMPUTED_VALUE"""),44502.6666666666)</f>
        <v>44502.666666666599</v>
      </c>
      <c r="B718" s="2">
        <f ca="1">IFERROR(__xludf.DUMMYFUNCTION("""COMPUTED_VALUE"""),150.02)</f>
        <v>150.02000000000001</v>
      </c>
      <c r="C718" s="3">
        <f ca="1">IFERROR(__xludf.DUMMYFUNCTION("""COMPUTED_VALUE"""),44502.6666666666)</f>
        <v>44502.666666666599</v>
      </c>
      <c r="D718" s="2">
        <f ca="1">IFERROR(__xludf.DUMMYFUNCTION("""COMPUTED_VALUE"""),333.13)</f>
        <v>333.13</v>
      </c>
      <c r="E718" s="3">
        <f ca="1">IFERROR(__xludf.DUMMYFUNCTION("""COMPUTED_VALUE"""),44502.6666666666)</f>
        <v>44502.666666666599</v>
      </c>
      <c r="F718" s="2">
        <f ca="1">IFERROR(__xludf.DUMMYFUNCTION("""COMPUTED_VALUE"""),3312.75)</f>
        <v>3312.75</v>
      </c>
      <c r="G718" s="3">
        <f ca="1">IFERROR(__xludf.DUMMYFUNCTION("""COMPUTED_VALUE"""),44502.6666666666)</f>
        <v>44502.666666666599</v>
      </c>
      <c r="H718" s="2">
        <f ca="1">IFERROR(__xludf.DUMMYFUNCTION("""COMPUTED_VALUE"""),2908.65)</f>
        <v>2908.65</v>
      </c>
      <c r="I718" s="3">
        <f ca="1">IFERROR(__xludf.DUMMYFUNCTION("""COMPUTED_VALUE"""),44502.6666666666)</f>
        <v>44502.666666666599</v>
      </c>
      <c r="J718" s="2">
        <f ca="1">IFERROR(__xludf.DUMMYFUNCTION("""COMPUTED_VALUE"""),2917.26)</f>
        <v>2917.26</v>
      </c>
      <c r="K718" s="3">
        <f ca="1">IFERROR(__xludf.DUMMYFUNCTION("""COMPUTED_VALUE"""),44502.6666666666)</f>
        <v>44502.666666666599</v>
      </c>
      <c r="L718" s="2">
        <f ca="1">IFERROR(__xludf.DUMMYFUNCTION("""COMPUTED_VALUE"""),328.08)</f>
        <v>328.08</v>
      </c>
      <c r="M718" s="3">
        <f ca="1">IFERROR(__xludf.DUMMYFUNCTION("""COMPUTED_VALUE"""),44502.6666666666)</f>
        <v>44502.666666666599</v>
      </c>
      <c r="N718" s="2">
        <f ca="1">IFERROR(__xludf.DUMMYFUNCTION("""COMPUTED_VALUE"""),1172)</f>
        <v>1172</v>
      </c>
      <c r="O718" s="3">
        <f ca="1">IFERROR(__xludf.DUMMYFUNCTION("""COMPUTED_VALUE"""),44502.6666666666)</f>
        <v>44502.666666666599</v>
      </c>
      <c r="P718" s="2">
        <f ca="1">IFERROR(__xludf.DUMMYFUNCTION("""COMPUTED_VALUE"""),264.01)</f>
        <v>264.01</v>
      </c>
      <c r="Q718" s="3">
        <f ca="1">IFERROR(__xludf.DUMMYFUNCTION("""COMPUTED_VALUE"""),44502.6666666666)</f>
        <v>44502.666666666599</v>
      </c>
      <c r="R718" s="2">
        <f ca="1">IFERROR(__xludf.DUMMYFUNCTION("""COMPUTED_VALUE"""),287.93)</f>
        <v>287.93</v>
      </c>
      <c r="S718" s="3">
        <f ca="1">IFERROR(__xludf.DUMMYFUNCTION("""COMPUTED_VALUE"""),44502.6666666666)</f>
        <v>44502.666666666599</v>
      </c>
      <c r="T718" s="2">
        <f ca="1">IFERROR(__xludf.DUMMYFUNCTION("""COMPUTED_VALUE"""),165.59)</f>
        <v>165.59</v>
      </c>
    </row>
    <row r="719" spans="1:20">
      <c r="A719" s="3">
        <f ca="1">IFERROR(__xludf.DUMMYFUNCTION("""COMPUTED_VALUE"""),44503.6666666666)</f>
        <v>44503.666666666599</v>
      </c>
      <c r="B719" s="2">
        <f ca="1">IFERROR(__xludf.DUMMYFUNCTION("""COMPUTED_VALUE"""),151.49)</f>
        <v>151.49</v>
      </c>
      <c r="C719" s="3">
        <f ca="1">IFERROR(__xludf.DUMMYFUNCTION("""COMPUTED_VALUE"""),44503.6666666666)</f>
        <v>44503.666666666599</v>
      </c>
      <c r="D719" s="2">
        <f ca="1">IFERROR(__xludf.DUMMYFUNCTION("""COMPUTED_VALUE"""),334)</f>
        <v>334</v>
      </c>
      <c r="E719" s="3">
        <f ca="1">IFERROR(__xludf.DUMMYFUNCTION("""COMPUTED_VALUE"""),44503.6666666666)</f>
        <v>44503.666666666599</v>
      </c>
      <c r="F719" s="2">
        <f ca="1">IFERROR(__xludf.DUMMYFUNCTION("""COMPUTED_VALUE"""),3384)</f>
        <v>3384</v>
      </c>
      <c r="G719" s="3">
        <f ca="1">IFERROR(__xludf.DUMMYFUNCTION("""COMPUTED_VALUE"""),44503.6666666666)</f>
        <v>44503.666666666599</v>
      </c>
      <c r="H719" s="2">
        <f ca="1">IFERROR(__xludf.DUMMYFUNCTION("""COMPUTED_VALUE"""),2931.96)</f>
        <v>2931.96</v>
      </c>
      <c r="I719" s="3">
        <f ca="1">IFERROR(__xludf.DUMMYFUNCTION("""COMPUTED_VALUE"""),44503.6666666666)</f>
        <v>44503.666666666599</v>
      </c>
      <c r="J719" s="2">
        <f ca="1">IFERROR(__xludf.DUMMYFUNCTION("""COMPUTED_VALUE"""),2935.8)</f>
        <v>2935.8</v>
      </c>
      <c r="K719" s="3">
        <f ca="1">IFERROR(__xludf.DUMMYFUNCTION("""COMPUTED_VALUE"""),44503.6666666666)</f>
        <v>44503.666666666599</v>
      </c>
      <c r="L719" s="2">
        <f ca="1">IFERROR(__xludf.DUMMYFUNCTION("""COMPUTED_VALUE"""),331.62)</f>
        <v>331.62</v>
      </c>
      <c r="M719" s="3">
        <f ca="1">IFERROR(__xludf.DUMMYFUNCTION("""COMPUTED_VALUE"""),44503.6666666666)</f>
        <v>44503.666666666599</v>
      </c>
      <c r="N719" s="2">
        <f ca="1">IFERROR(__xludf.DUMMYFUNCTION("""COMPUTED_VALUE"""),1213.86)</f>
        <v>1213.8599999999999</v>
      </c>
      <c r="O719" s="3">
        <f ca="1">IFERROR(__xludf.DUMMYFUNCTION("""COMPUTED_VALUE"""),44503.6666666666)</f>
        <v>44503.666666666599</v>
      </c>
      <c r="P719" s="2">
        <f ca="1">IFERROR(__xludf.DUMMYFUNCTION("""COMPUTED_VALUE"""),265.98)</f>
        <v>265.98</v>
      </c>
      <c r="Q719" s="3">
        <f ca="1">IFERROR(__xludf.DUMMYFUNCTION("""COMPUTED_VALUE"""),44503.6666666666)</f>
        <v>44503.666666666599</v>
      </c>
      <c r="R719" s="2">
        <f ca="1">IFERROR(__xludf.DUMMYFUNCTION("""COMPUTED_VALUE"""),288.72)</f>
        <v>288.72000000000003</v>
      </c>
      <c r="S719" s="3">
        <f ca="1">IFERROR(__xludf.DUMMYFUNCTION("""COMPUTED_VALUE"""),44503.6666666666)</f>
        <v>44503.666666666599</v>
      </c>
      <c r="T719" s="2">
        <f ca="1">IFERROR(__xludf.DUMMYFUNCTION("""COMPUTED_VALUE"""),165.06)</f>
        <v>165.06</v>
      </c>
    </row>
    <row r="720" spans="1:20">
      <c r="A720" s="3">
        <f ca="1">IFERROR(__xludf.DUMMYFUNCTION("""COMPUTED_VALUE"""),44504.6666666666)</f>
        <v>44504.666666666599</v>
      </c>
      <c r="B720" s="2">
        <f ca="1">IFERROR(__xludf.DUMMYFUNCTION("""COMPUTED_VALUE"""),150.96)</f>
        <v>150.96</v>
      </c>
      <c r="C720" s="3">
        <f ca="1">IFERROR(__xludf.DUMMYFUNCTION("""COMPUTED_VALUE"""),44504.6666666666)</f>
        <v>44504.666666666599</v>
      </c>
      <c r="D720" s="2">
        <f ca="1">IFERROR(__xludf.DUMMYFUNCTION("""COMPUTED_VALUE"""),336.44)</f>
        <v>336.44</v>
      </c>
      <c r="E720" s="3">
        <f ca="1">IFERROR(__xludf.DUMMYFUNCTION("""COMPUTED_VALUE"""),44504.6666666666)</f>
        <v>44504.666666666599</v>
      </c>
      <c r="F720" s="2">
        <f ca="1">IFERROR(__xludf.DUMMYFUNCTION("""COMPUTED_VALUE"""),3477)</f>
        <v>3477</v>
      </c>
      <c r="G720" s="3">
        <f ca="1">IFERROR(__xludf.DUMMYFUNCTION("""COMPUTED_VALUE"""),44504.6666666666)</f>
        <v>44504.666666666599</v>
      </c>
      <c r="H720" s="2">
        <f ca="1">IFERROR(__xludf.DUMMYFUNCTION("""COMPUTED_VALUE"""),2965.35)</f>
        <v>2965.35</v>
      </c>
      <c r="I720" s="3">
        <f ca="1">IFERROR(__xludf.DUMMYFUNCTION("""COMPUTED_VALUE"""),44504.6666666666)</f>
        <v>44504.666666666599</v>
      </c>
      <c r="J720" s="2">
        <f ca="1">IFERROR(__xludf.DUMMYFUNCTION("""COMPUTED_VALUE"""),2973.66)</f>
        <v>2973.66</v>
      </c>
      <c r="K720" s="3">
        <f ca="1">IFERROR(__xludf.DUMMYFUNCTION("""COMPUTED_VALUE"""),44504.6666666666)</f>
        <v>44504.666666666599</v>
      </c>
      <c r="L720" s="2">
        <f ca="1">IFERROR(__xludf.DUMMYFUNCTION("""COMPUTED_VALUE"""),335.85)</f>
        <v>335.85</v>
      </c>
      <c r="M720" s="3">
        <f ca="1">IFERROR(__xludf.DUMMYFUNCTION("""COMPUTED_VALUE"""),44504.6666666666)</f>
        <v>44504.666666666599</v>
      </c>
      <c r="N720" s="2">
        <f ca="1">IFERROR(__xludf.DUMMYFUNCTION("""COMPUTED_VALUE"""),1229.91)</f>
        <v>1229.9100000000001</v>
      </c>
      <c r="O720" s="3">
        <f ca="1">IFERROR(__xludf.DUMMYFUNCTION("""COMPUTED_VALUE"""),44504.6666666666)</f>
        <v>44504.666666666599</v>
      </c>
      <c r="P720" s="2">
        <f ca="1">IFERROR(__xludf.DUMMYFUNCTION("""COMPUTED_VALUE"""),298.01)</f>
        <v>298.01</v>
      </c>
      <c r="Q720" s="3">
        <f ca="1">IFERROR(__xludf.DUMMYFUNCTION("""COMPUTED_VALUE"""),44504.6666666666)</f>
        <v>44504.666666666599</v>
      </c>
      <c r="R720" s="2">
        <f ca="1">IFERROR(__xludf.DUMMYFUNCTION("""COMPUTED_VALUE"""),287.69)</f>
        <v>287.69</v>
      </c>
      <c r="S720" s="3">
        <f ca="1">IFERROR(__xludf.DUMMYFUNCTION("""COMPUTED_VALUE"""),44504.6666666666)</f>
        <v>44504.666666666599</v>
      </c>
      <c r="T720" s="2">
        <f ca="1">IFERROR(__xludf.DUMMYFUNCTION("""COMPUTED_VALUE"""),164.6)</f>
        <v>164.6</v>
      </c>
    </row>
    <row r="721" spans="1:20">
      <c r="A721" s="3">
        <f ca="1">IFERROR(__xludf.DUMMYFUNCTION("""COMPUTED_VALUE"""),44505.6666666666)</f>
        <v>44505.666666666599</v>
      </c>
      <c r="B721" s="2">
        <f ca="1">IFERROR(__xludf.DUMMYFUNCTION("""COMPUTED_VALUE"""),151.28)</f>
        <v>151.28</v>
      </c>
      <c r="C721" s="3">
        <f ca="1">IFERROR(__xludf.DUMMYFUNCTION("""COMPUTED_VALUE"""),44505.6666666666)</f>
        <v>44505.666666666599</v>
      </c>
      <c r="D721" s="2">
        <f ca="1">IFERROR(__xludf.DUMMYFUNCTION("""COMPUTED_VALUE"""),336.06)</f>
        <v>336.06</v>
      </c>
      <c r="E721" s="3">
        <f ca="1">IFERROR(__xludf.DUMMYFUNCTION("""COMPUTED_VALUE"""),44505.6666666666)</f>
        <v>44505.666666666599</v>
      </c>
      <c r="F721" s="2">
        <f ca="1">IFERROR(__xludf.DUMMYFUNCTION("""COMPUTED_VALUE"""),3518.99)</f>
        <v>3518.99</v>
      </c>
      <c r="G721" s="3">
        <f ca="1">IFERROR(__xludf.DUMMYFUNCTION("""COMPUTED_VALUE"""),44505.6666666666)</f>
        <v>44505.666666666599</v>
      </c>
      <c r="H721" s="2">
        <f ca="1">IFERROR(__xludf.DUMMYFUNCTION("""COMPUTED_VALUE"""),2977.04)</f>
        <v>2977.04</v>
      </c>
      <c r="I721" s="3">
        <f ca="1">IFERROR(__xludf.DUMMYFUNCTION("""COMPUTED_VALUE"""),44505.6666666666)</f>
        <v>44505.666666666599</v>
      </c>
      <c r="J721" s="2">
        <f ca="1">IFERROR(__xludf.DUMMYFUNCTION("""COMPUTED_VALUE"""),2984.82)</f>
        <v>2984.82</v>
      </c>
      <c r="K721" s="3">
        <f ca="1">IFERROR(__xludf.DUMMYFUNCTION("""COMPUTED_VALUE"""),44505.6666666666)</f>
        <v>44505.666666666599</v>
      </c>
      <c r="L721" s="2">
        <f ca="1">IFERROR(__xludf.DUMMYFUNCTION("""COMPUTED_VALUE"""),341.13)</f>
        <v>341.13</v>
      </c>
      <c r="M721" s="3">
        <f ca="1">IFERROR(__xludf.DUMMYFUNCTION("""COMPUTED_VALUE"""),44505.6666666666)</f>
        <v>44505.666666666599</v>
      </c>
      <c r="N721" s="2">
        <f ca="1">IFERROR(__xludf.DUMMYFUNCTION("""COMPUTED_VALUE"""),1222.09)</f>
        <v>1222.0899999999999</v>
      </c>
      <c r="O721" s="3">
        <f ca="1">IFERROR(__xludf.DUMMYFUNCTION("""COMPUTED_VALUE"""),44505.6666666666)</f>
        <v>44505.666666666599</v>
      </c>
      <c r="P721" s="2">
        <f ca="1">IFERROR(__xludf.DUMMYFUNCTION("""COMPUTED_VALUE"""),297.52)</f>
        <v>297.52</v>
      </c>
      <c r="Q721" s="3">
        <f ca="1">IFERROR(__xludf.DUMMYFUNCTION("""COMPUTED_VALUE"""),44505.6666666666)</f>
        <v>44505.666666666599</v>
      </c>
      <c r="R721" s="2">
        <f ca="1">IFERROR(__xludf.DUMMYFUNCTION("""COMPUTED_VALUE"""),287.88)</f>
        <v>287.88</v>
      </c>
      <c r="S721" s="3">
        <f ca="1">IFERROR(__xludf.DUMMYFUNCTION("""COMPUTED_VALUE"""),44505.6666666666)</f>
        <v>44505.666666666599</v>
      </c>
      <c r="T721" s="2">
        <f ca="1">IFERROR(__xludf.DUMMYFUNCTION("""COMPUTED_VALUE"""),163.43)</f>
        <v>163.43</v>
      </c>
    </row>
    <row r="722" spans="1:20">
      <c r="A722" s="3">
        <f ca="1">IFERROR(__xludf.DUMMYFUNCTION("""COMPUTED_VALUE"""),44508.6666666666)</f>
        <v>44508.666666666599</v>
      </c>
      <c r="B722" s="2">
        <f ca="1">IFERROR(__xludf.DUMMYFUNCTION("""COMPUTED_VALUE"""),150.44)</f>
        <v>150.44</v>
      </c>
      <c r="C722" s="3">
        <f ca="1">IFERROR(__xludf.DUMMYFUNCTION("""COMPUTED_VALUE"""),44508.6666666666)</f>
        <v>44508.666666666599</v>
      </c>
      <c r="D722" s="2">
        <f ca="1">IFERROR(__xludf.DUMMYFUNCTION("""COMPUTED_VALUE"""),336.99)</f>
        <v>336.99</v>
      </c>
      <c r="E722" s="3">
        <f ca="1">IFERROR(__xludf.DUMMYFUNCTION("""COMPUTED_VALUE"""),44508.6666666666)</f>
        <v>44508.666666666599</v>
      </c>
      <c r="F722" s="2">
        <f ca="1">IFERROR(__xludf.DUMMYFUNCTION("""COMPUTED_VALUE"""),3488.98)</f>
        <v>3488.98</v>
      </c>
      <c r="G722" s="3">
        <f ca="1">IFERROR(__xludf.DUMMYFUNCTION("""COMPUTED_VALUE"""),44508.6666666666)</f>
        <v>44508.666666666599</v>
      </c>
      <c r="H722" s="2">
        <f ca="1">IFERROR(__xludf.DUMMYFUNCTION("""COMPUTED_VALUE"""),2980.62)</f>
        <v>2980.62</v>
      </c>
      <c r="I722" s="3">
        <f ca="1">IFERROR(__xludf.DUMMYFUNCTION("""COMPUTED_VALUE"""),44508.6666666666)</f>
        <v>44508.666666666599</v>
      </c>
      <c r="J722" s="2">
        <f ca="1">IFERROR(__xludf.DUMMYFUNCTION("""COMPUTED_VALUE"""),2987.03)</f>
        <v>2987.03</v>
      </c>
      <c r="K722" s="3">
        <f ca="1">IFERROR(__xludf.DUMMYFUNCTION("""COMPUTED_VALUE"""),44508.6666666666)</f>
        <v>44508.666666666599</v>
      </c>
      <c r="L722" s="2">
        <f ca="1">IFERROR(__xludf.DUMMYFUNCTION("""COMPUTED_VALUE"""),338.62)</f>
        <v>338.62</v>
      </c>
      <c r="M722" s="3">
        <f ca="1">IFERROR(__xludf.DUMMYFUNCTION("""COMPUTED_VALUE"""),44508.6666666666)</f>
        <v>44508.666666666599</v>
      </c>
      <c r="N722" s="2">
        <f ca="1">IFERROR(__xludf.DUMMYFUNCTION("""COMPUTED_VALUE"""),1162.94)</f>
        <v>1162.94</v>
      </c>
      <c r="O722" s="3">
        <f ca="1">IFERROR(__xludf.DUMMYFUNCTION("""COMPUTED_VALUE"""),44508.6666666666)</f>
        <v>44508.666666666599</v>
      </c>
      <c r="P722" s="2">
        <f ca="1">IFERROR(__xludf.DUMMYFUNCTION("""COMPUTED_VALUE"""),308.04)</f>
        <v>308.04000000000002</v>
      </c>
      <c r="Q722" s="3">
        <f ca="1">IFERROR(__xludf.DUMMYFUNCTION("""COMPUTED_VALUE"""),44508.6666666666)</f>
        <v>44508.666666666599</v>
      </c>
      <c r="R722" s="2">
        <f ca="1">IFERROR(__xludf.DUMMYFUNCTION("""COMPUTED_VALUE"""),288.8)</f>
        <v>288.8</v>
      </c>
      <c r="S722" s="3">
        <f ca="1">IFERROR(__xludf.DUMMYFUNCTION("""COMPUTED_VALUE"""),44508.6666666666)</f>
        <v>44508.666666666599</v>
      </c>
      <c r="T722" s="2">
        <f ca="1">IFERROR(__xludf.DUMMYFUNCTION("""COMPUTED_VALUE"""),162.87)</f>
        <v>162.87</v>
      </c>
    </row>
    <row r="723" spans="1:20">
      <c r="A723" s="3">
        <f ca="1">IFERROR(__xludf.DUMMYFUNCTION("""COMPUTED_VALUE"""),44509.6666666666)</f>
        <v>44509.666666666599</v>
      </c>
      <c r="B723" s="2">
        <f ca="1">IFERROR(__xludf.DUMMYFUNCTION("""COMPUTED_VALUE"""),150.81)</f>
        <v>150.81</v>
      </c>
      <c r="C723" s="3">
        <f ca="1">IFERROR(__xludf.DUMMYFUNCTION("""COMPUTED_VALUE"""),44509.6666666666)</f>
        <v>44509.666666666599</v>
      </c>
      <c r="D723" s="2">
        <f ca="1">IFERROR(__xludf.DUMMYFUNCTION("""COMPUTED_VALUE"""),335.95)</f>
        <v>335.95</v>
      </c>
      <c r="E723" s="3">
        <f ca="1">IFERROR(__xludf.DUMMYFUNCTION("""COMPUTED_VALUE"""),44509.6666666666)</f>
        <v>44509.666666666599</v>
      </c>
      <c r="F723" s="2">
        <f ca="1">IFERROR(__xludf.DUMMYFUNCTION("""COMPUTED_VALUE"""),3576.23)</f>
        <v>3576.23</v>
      </c>
      <c r="G723" s="3">
        <f ca="1">IFERROR(__xludf.DUMMYFUNCTION("""COMPUTED_VALUE"""),44509.6666666666)</f>
        <v>44509.666666666599</v>
      </c>
      <c r="H723" s="2">
        <f ca="1">IFERROR(__xludf.DUMMYFUNCTION("""COMPUTED_VALUE"""),2978.37)</f>
        <v>2978.37</v>
      </c>
      <c r="I723" s="3">
        <f ca="1">IFERROR(__xludf.DUMMYFUNCTION("""COMPUTED_VALUE"""),44509.6666666666)</f>
        <v>44509.666666666599</v>
      </c>
      <c r="J723" s="2">
        <f ca="1">IFERROR(__xludf.DUMMYFUNCTION("""COMPUTED_VALUE"""),2984.97)</f>
        <v>2984.97</v>
      </c>
      <c r="K723" s="3">
        <f ca="1">IFERROR(__xludf.DUMMYFUNCTION("""COMPUTED_VALUE"""),44509.6666666666)</f>
        <v>44509.666666666599</v>
      </c>
      <c r="L723" s="2">
        <f ca="1">IFERROR(__xludf.DUMMYFUNCTION("""COMPUTED_VALUE"""),335.37)</f>
        <v>335.37</v>
      </c>
      <c r="M723" s="3">
        <f ca="1">IFERROR(__xludf.DUMMYFUNCTION("""COMPUTED_VALUE"""),44509.6666666666)</f>
        <v>44509.666666666599</v>
      </c>
      <c r="N723" s="2">
        <f ca="1">IFERROR(__xludf.DUMMYFUNCTION("""COMPUTED_VALUE"""),1023.5)</f>
        <v>1023.5</v>
      </c>
      <c r="O723" s="3">
        <f ca="1">IFERROR(__xludf.DUMMYFUNCTION("""COMPUTED_VALUE"""),44509.6666666666)</f>
        <v>44509.666666666599</v>
      </c>
      <c r="P723" s="2">
        <f ca="1">IFERROR(__xludf.DUMMYFUNCTION("""COMPUTED_VALUE"""),306.57)</f>
        <v>306.57</v>
      </c>
      <c r="Q723" s="3">
        <f ca="1">IFERROR(__xludf.DUMMYFUNCTION("""COMPUTED_VALUE"""),44509.6666666666)</f>
        <v>44509.666666666599</v>
      </c>
      <c r="R723" s="2">
        <f ca="1">IFERROR(__xludf.DUMMYFUNCTION("""COMPUTED_VALUE"""),286.35)</f>
        <v>286.35000000000002</v>
      </c>
      <c r="S723" s="3">
        <f ca="1">IFERROR(__xludf.DUMMYFUNCTION("""COMPUTED_VALUE"""),44509.6666666666)</f>
        <v>44509.666666666599</v>
      </c>
      <c r="T723" s="2">
        <f ca="1">IFERROR(__xludf.DUMMYFUNCTION("""COMPUTED_VALUE"""),162.51)</f>
        <v>162.51</v>
      </c>
    </row>
    <row r="724" spans="1:20">
      <c r="A724" s="3">
        <f ca="1">IFERROR(__xludf.DUMMYFUNCTION("""COMPUTED_VALUE"""),44510.6666666666)</f>
        <v>44510.666666666599</v>
      </c>
      <c r="B724" s="2">
        <f ca="1">IFERROR(__xludf.DUMMYFUNCTION("""COMPUTED_VALUE"""),147.92)</f>
        <v>147.91999999999999</v>
      </c>
      <c r="C724" s="3">
        <f ca="1">IFERROR(__xludf.DUMMYFUNCTION("""COMPUTED_VALUE"""),44510.6666666666)</f>
        <v>44510.666666666599</v>
      </c>
      <c r="D724" s="2">
        <f ca="1">IFERROR(__xludf.DUMMYFUNCTION("""COMPUTED_VALUE"""),330.8)</f>
        <v>330.8</v>
      </c>
      <c r="E724" s="3">
        <f ca="1">IFERROR(__xludf.DUMMYFUNCTION("""COMPUTED_VALUE"""),44510.6666666666)</f>
        <v>44510.666666666599</v>
      </c>
      <c r="F724" s="2">
        <f ca="1">IFERROR(__xludf.DUMMYFUNCTION("""COMPUTED_VALUE"""),3482.05)</f>
        <v>3482.05</v>
      </c>
      <c r="G724" s="3">
        <f ca="1">IFERROR(__xludf.DUMMYFUNCTION("""COMPUTED_VALUE"""),44510.6666666666)</f>
        <v>44510.666666666599</v>
      </c>
      <c r="H724" s="2">
        <f ca="1">IFERROR(__xludf.DUMMYFUNCTION("""COMPUTED_VALUE"""),2917.87)</f>
        <v>2917.87</v>
      </c>
      <c r="I724" s="3">
        <f ca="1">IFERROR(__xludf.DUMMYFUNCTION("""COMPUTED_VALUE"""),44510.6666666666)</f>
        <v>44510.666666666599</v>
      </c>
      <c r="J724" s="2">
        <f ca="1">IFERROR(__xludf.DUMMYFUNCTION("""COMPUTED_VALUE"""),2932.52)</f>
        <v>2932.52</v>
      </c>
      <c r="K724" s="3">
        <f ca="1">IFERROR(__xludf.DUMMYFUNCTION("""COMPUTED_VALUE"""),44510.6666666666)</f>
        <v>44510.666666666599</v>
      </c>
      <c r="L724" s="2">
        <f ca="1">IFERROR(__xludf.DUMMYFUNCTION("""COMPUTED_VALUE"""),327.64)</f>
        <v>327.64</v>
      </c>
      <c r="M724" s="3">
        <f ca="1">IFERROR(__xludf.DUMMYFUNCTION("""COMPUTED_VALUE"""),44510.6666666666)</f>
        <v>44510.666666666599</v>
      </c>
      <c r="N724" s="2">
        <f ca="1">IFERROR(__xludf.DUMMYFUNCTION("""COMPUTED_VALUE"""),1067.95)</f>
        <v>1067.95</v>
      </c>
      <c r="O724" s="3">
        <f ca="1">IFERROR(__xludf.DUMMYFUNCTION("""COMPUTED_VALUE"""),44510.6666666666)</f>
        <v>44510.666666666599</v>
      </c>
      <c r="P724" s="2">
        <f ca="1">IFERROR(__xludf.DUMMYFUNCTION("""COMPUTED_VALUE"""),294.59)</f>
        <v>294.58999999999997</v>
      </c>
      <c r="Q724" s="3">
        <f ca="1">IFERROR(__xludf.DUMMYFUNCTION("""COMPUTED_VALUE"""),44510.6666666666)</f>
        <v>44510.666666666599</v>
      </c>
      <c r="R724" s="2">
        <f ca="1">IFERROR(__xludf.DUMMYFUNCTION("""COMPUTED_VALUE"""),285.32)</f>
        <v>285.32</v>
      </c>
      <c r="S724" s="3">
        <f ca="1">IFERROR(__xludf.DUMMYFUNCTION("""COMPUTED_VALUE"""),44510.6666666666)</f>
        <v>44510.666666666599</v>
      </c>
      <c r="T724" s="2">
        <f ca="1">IFERROR(__xludf.DUMMYFUNCTION("""COMPUTED_VALUE"""),164.27)</f>
        <v>164.27</v>
      </c>
    </row>
    <row r="725" spans="1:20">
      <c r="A725" s="3">
        <f ca="1">IFERROR(__xludf.DUMMYFUNCTION("""COMPUTED_VALUE"""),44511.6666666666)</f>
        <v>44511.666666666599</v>
      </c>
      <c r="B725" s="2">
        <f ca="1">IFERROR(__xludf.DUMMYFUNCTION("""COMPUTED_VALUE"""),147.87)</f>
        <v>147.87</v>
      </c>
      <c r="C725" s="3">
        <f ca="1">IFERROR(__xludf.DUMMYFUNCTION("""COMPUTED_VALUE"""),44511.6666666666)</f>
        <v>44511.666666666599</v>
      </c>
      <c r="D725" s="2">
        <f ca="1">IFERROR(__xludf.DUMMYFUNCTION("""COMPUTED_VALUE"""),332.43)</f>
        <v>332.43</v>
      </c>
      <c r="E725" s="3">
        <f ca="1">IFERROR(__xludf.DUMMYFUNCTION("""COMPUTED_VALUE"""),44511.6666666666)</f>
        <v>44511.666666666599</v>
      </c>
      <c r="F725" s="2">
        <f ca="1">IFERROR(__xludf.DUMMYFUNCTION("""COMPUTED_VALUE"""),3472.5)</f>
        <v>3472.5</v>
      </c>
      <c r="G725" s="3">
        <f ca="1">IFERROR(__xludf.DUMMYFUNCTION("""COMPUTED_VALUE"""),44511.6666666666)</f>
        <v>44511.666666666599</v>
      </c>
      <c r="H725" s="2">
        <f ca="1">IFERROR(__xludf.DUMMYFUNCTION("""COMPUTED_VALUE"""),2915.33)</f>
        <v>2915.33</v>
      </c>
      <c r="I725" s="3">
        <f ca="1">IFERROR(__xludf.DUMMYFUNCTION("""COMPUTED_VALUE"""),44511.6666666666)</f>
        <v>44511.666666666599</v>
      </c>
      <c r="J725" s="2">
        <f ca="1">IFERROR(__xludf.DUMMYFUNCTION("""COMPUTED_VALUE"""),2934.96)</f>
        <v>2934.96</v>
      </c>
      <c r="K725" s="3">
        <f ca="1">IFERROR(__xludf.DUMMYFUNCTION("""COMPUTED_VALUE"""),44511.6666666666)</f>
        <v>44511.666666666599</v>
      </c>
      <c r="L725" s="2">
        <f ca="1">IFERROR(__xludf.DUMMYFUNCTION("""COMPUTED_VALUE"""),327.74)</f>
        <v>327.74</v>
      </c>
      <c r="M725" s="3">
        <f ca="1">IFERROR(__xludf.DUMMYFUNCTION("""COMPUTED_VALUE"""),44511.6666666666)</f>
        <v>44511.666666666599</v>
      </c>
      <c r="N725" s="2">
        <f ca="1">IFERROR(__xludf.DUMMYFUNCTION("""COMPUTED_VALUE"""),1063.51)</f>
        <v>1063.51</v>
      </c>
      <c r="O725" s="3">
        <f ca="1">IFERROR(__xludf.DUMMYFUNCTION("""COMPUTED_VALUE"""),44511.6666666666)</f>
        <v>44511.666666666599</v>
      </c>
      <c r="P725" s="2">
        <f ca="1">IFERROR(__xludf.DUMMYFUNCTION("""COMPUTED_VALUE"""),303.9)</f>
        <v>303.89999999999998</v>
      </c>
      <c r="Q725" s="3">
        <f ca="1">IFERROR(__xludf.DUMMYFUNCTION("""COMPUTED_VALUE"""),44511.6666666666)</f>
        <v>44511.666666666599</v>
      </c>
      <c r="R725" s="2">
        <f ca="1">IFERROR(__xludf.DUMMYFUNCTION("""COMPUTED_VALUE"""),284.65)</f>
        <v>284.64999999999998</v>
      </c>
      <c r="S725" s="3">
        <f ca="1">IFERROR(__xludf.DUMMYFUNCTION("""COMPUTED_VALUE"""),44511.6666666666)</f>
        <v>44511.666666666599</v>
      </c>
      <c r="T725" s="2">
        <f ca="1">IFERROR(__xludf.DUMMYFUNCTION("""COMPUTED_VALUE"""),163.06)</f>
        <v>163.06</v>
      </c>
    </row>
    <row r="726" spans="1:20">
      <c r="A726" s="3">
        <f ca="1">IFERROR(__xludf.DUMMYFUNCTION("""COMPUTED_VALUE"""),44512.6666666666)</f>
        <v>44512.666666666599</v>
      </c>
      <c r="B726" s="2">
        <f ca="1">IFERROR(__xludf.DUMMYFUNCTION("""COMPUTED_VALUE"""),149.99)</f>
        <v>149.99</v>
      </c>
      <c r="C726" s="3">
        <f ca="1">IFERROR(__xludf.DUMMYFUNCTION("""COMPUTED_VALUE"""),44512.6666666666)</f>
        <v>44512.666666666599</v>
      </c>
      <c r="D726" s="2">
        <f ca="1">IFERROR(__xludf.DUMMYFUNCTION("""COMPUTED_VALUE"""),336.72)</f>
        <v>336.72</v>
      </c>
      <c r="E726" s="3">
        <f ca="1">IFERROR(__xludf.DUMMYFUNCTION("""COMPUTED_VALUE"""),44512.6666666666)</f>
        <v>44512.666666666599</v>
      </c>
      <c r="F726" s="2">
        <f ca="1">IFERROR(__xludf.DUMMYFUNCTION("""COMPUTED_VALUE"""),3525.15)</f>
        <v>3525.15</v>
      </c>
      <c r="G726" s="3">
        <f ca="1">IFERROR(__xludf.DUMMYFUNCTION("""COMPUTED_VALUE"""),44512.6666666666)</f>
        <v>44512.666666666599</v>
      </c>
      <c r="H726" s="2">
        <f ca="1">IFERROR(__xludf.DUMMYFUNCTION("""COMPUTED_VALUE"""),2973.56)</f>
        <v>2973.56</v>
      </c>
      <c r="I726" s="3">
        <f ca="1">IFERROR(__xludf.DUMMYFUNCTION("""COMPUTED_VALUE"""),44512.6666666666)</f>
        <v>44512.666666666599</v>
      </c>
      <c r="J726" s="2">
        <f ca="1">IFERROR(__xludf.DUMMYFUNCTION("""COMPUTED_VALUE"""),2992.91)</f>
        <v>2992.91</v>
      </c>
      <c r="K726" s="3">
        <f ca="1">IFERROR(__xludf.DUMMYFUNCTION("""COMPUTED_VALUE"""),44512.6666666666)</f>
        <v>44512.666666666599</v>
      </c>
      <c r="L726" s="2">
        <f ca="1">IFERROR(__xludf.DUMMYFUNCTION("""COMPUTED_VALUE"""),340.89)</f>
        <v>340.89</v>
      </c>
      <c r="M726" s="3">
        <f ca="1">IFERROR(__xludf.DUMMYFUNCTION("""COMPUTED_VALUE"""),44512.6666666666)</f>
        <v>44512.666666666599</v>
      </c>
      <c r="N726" s="2">
        <f ca="1">IFERROR(__xludf.DUMMYFUNCTION("""COMPUTED_VALUE"""),1033.42)</f>
        <v>1033.42</v>
      </c>
      <c r="O726" s="3">
        <f ca="1">IFERROR(__xludf.DUMMYFUNCTION("""COMPUTED_VALUE"""),44512.6666666666)</f>
        <v>44512.666666666599</v>
      </c>
      <c r="P726" s="2">
        <f ca="1">IFERROR(__xludf.DUMMYFUNCTION("""COMPUTED_VALUE"""),303.9)</f>
        <v>303.89999999999998</v>
      </c>
      <c r="Q726" s="3">
        <f ca="1">IFERROR(__xludf.DUMMYFUNCTION("""COMPUTED_VALUE"""),44512.6666666666)</f>
        <v>44512.666666666599</v>
      </c>
      <c r="R726" s="2">
        <f ca="1">IFERROR(__xludf.DUMMYFUNCTION("""COMPUTED_VALUE"""),285.99)</f>
        <v>285.99</v>
      </c>
      <c r="S726" s="3">
        <f ca="1">IFERROR(__xludf.DUMMYFUNCTION("""COMPUTED_VALUE"""),44512.6666666666)</f>
        <v>44512.666666666599</v>
      </c>
      <c r="T726" s="2">
        <f ca="1">IFERROR(__xludf.DUMMYFUNCTION("""COMPUTED_VALUE"""),165.01)</f>
        <v>165.01</v>
      </c>
    </row>
    <row r="727" spans="1:20">
      <c r="A727" s="3">
        <f ca="1">IFERROR(__xludf.DUMMYFUNCTION("""COMPUTED_VALUE"""),44515.6666666666)</f>
        <v>44515.666666666599</v>
      </c>
      <c r="B727" s="2">
        <f ca="1">IFERROR(__xludf.DUMMYFUNCTION("""COMPUTED_VALUE"""),150)</f>
        <v>150</v>
      </c>
      <c r="C727" s="3">
        <f ca="1">IFERROR(__xludf.DUMMYFUNCTION("""COMPUTED_VALUE"""),44515.6666666666)</f>
        <v>44515.666666666599</v>
      </c>
      <c r="D727" s="2">
        <f ca="1">IFERROR(__xludf.DUMMYFUNCTION("""COMPUTED_VALUE"""),336.07)</f>
        <v>336.07</v>
      </c>
      <c r="E727" s="3">
        <f ca="1">IFERROR(__xludf.DUMMYFUNCTION("""COMPUTED_VALUE"""),44515.6666666666)</f>
        <v>44515.666666666599</v>
      </c>
      <c r="F727" s="2">
        <f ca="1">IFERROR(__xludf.DUMMYFUNCTION("""COMPUTED_VALUE"""),3545.68)</f>
        <v>3545.68</v>
      </c>
      <c r="G727" s="3">
        <f ca="1">IFERROR(__xludf.DUMMYFUNCTION("""COMPUTED_VALUE"""),44515.6666666666)</f>
        <v>44515.666666666599</v>
      </c>
      <c r="H727" s="2">
        <f ca="1">IFERROR(__xludf.DUMMYFUNCTION("""COMPUTED_VALUE"""),2969.04)</f>
        <v>2969.04</v>
      </c>
      <c r="I727" s="3">
        <f ca="1">IFERROR(__xludf.DUMMYFUNCTION("""COMPUTED_VALUE"""),44515.6666666666)</f>
        <v>44515.666666666599</v>
      </c>
      <c r="J727" s="2">
        <f ca="1">IFERROR(__xludf.DUMMYFUNCTION("""COMPUTED_VALUE"""),2987.76)</f>
        <v>2987.76</v>
      </c>
      <c r="K727" s="3">
        <f ca="1">IFERROR(__xludf.DUMMYFUNCTION("""COMPUTED_VALUE"""),44515.6666666666)</f>
        <v>44515.666666666599</v>
      </c>
      <c r="L727" s="2">
        <f ca="1">IFERROR(__xludf.DUMMYFUNCTION("""COMPUTED_VALUE"""),347.56)</f>
        <v>347.56</v>
      </c>
      <c r="M727" s="3">
        <f ca="1">IFERROR(__xludf.DUMMYFUNCTION("""COMPUTED_VALUE"""),44515.6666666666)</f>
        <v>44515.666666666599</v>
      </c>
      <c r="N727" s="2">
        <f ca="1">IFERROR(__xludf.DUMMYFUNCTION("""COMPUTED_VALUE"""),1013.39)</f>
        <v>1013.39</v>
      </c>
      <c r="O727" s="3">
        <f ca="1">IFERROR(__xludf.DUMMYFUNCTION("""COMPUTED_VALUE"""),44515.6666666666)</f>
        <v>44515.666666666599</v>
      </c>
      <c r="P727" s="2">
        <f ca="1">IFERROR(__xludf.DUMMYFUNCTION("""COMPUTED_VALUE"""),300.25)</f>
        <v>300.25</v>
      </c>
      <c r="Q727" s="3">
        <f ca="1">IFERROR(__xludf.DUMMYFUNCTION("""COMPUTED_VALUE"""),44515.6666666666)</f>
        <v>44515.666666666599</v>
      </c>
      <c r="R727" s="2">
        <f ca="1">IFERROR(__xludf.DUMMYFUNCTION("""COMPUTED_VALUE"""),284.67)</f>
        <v>284.67</v>
      </c>
      <c r="S727" s="3">
        <f ca="1">IFERROR(__xludf.DUMMYFUNCTION("""COMPUTED_VALUE"""),44515.6666666666)</f>
        <v>44515.666666666599</v>
      </c>
      <c r="T727" s="2">
        <f ca="1">IFERROR(__xludf.DUMMYFUNCTION("""COMPUTED_VALUE"""),163.52)</f>
        <v>163.52000000000001</v>
      </c>
    </row>
    <row r="728" spans="1:20">
      <c r="A728" s="3">
        <f ca="1">IFERROR(__xludf.DUMMYFUNCTION("""COMPUTED_VALUE"""),44516.6666666666)</f>
        <v>44516.666666666599</v>
      </c>
      <c r="B728" s="2">
        <f ca="1">IFERROR(__xludf.DUMMYFUNCTION("""COMPUTED_VALUE"""),151)</f>
        <v>151</v>
      </c>
      <c r="C728" s="3">
        <f ca="1">IFERROR(__xludf.DUMMYFUNCTION("""COMPUTED_VALUE"""),44516.6666666666)</f>
        <v>44516.666666666599</v>
      </c>
      <c r="D728" s="2">
        <f ca="1">IFERROR(__xludf.DUMMYFUNCTION("""COMPUTED_VALUE"""),339.51)</f>
        <v>339.51</v>
      </c>
      <c r="E728" s="3">
        <f ca="1">IFERROR(__xludf.DUMMYFUNCTION("""COMPUTED_VALUE"""),44516.6666666666)</f>
        <v>44516.666666666599</v>
      </c>
      <c r="F728" s="2">
        <f ca="1">IFERROR(__xludf.DUMMYFUNCTION("""COMPUTED_VALUE"""),3540.7)</f>
        <v>3540.7</v>
      </c>
      <c r="G728" s="3">
        <f ca="1">IFERROR(__xludf.DUMMYFUNCTION("""COMPUTED_VALUE"""),44516.6666666666)</f>
        <v>44516.666666666599</v>
      </c>
      <c r="H728" s="2">
        <f ca="1">IFERROR(__xludf.DUMMYFUNCTION("""COMPUTED_VALUE"""),2957.52)</f>
        <v>2957.52</v>
      </c>
      <c r="I728" s="3">
        <f ca="1">IFERROR(__xludf.DUMMYFUNCTION("""COMPUTED_VALUE"""),44516.6666666666)</f>
        <v>44516.666666666599</v>
      </c>
      <c r="J728" s="2">
        <f ca="1">IFERROR(__xludf.DUMMYFUNCTION("""COMPUTED_VALUE"""),2981.52)</f>
        <v>2981.52</v>
      </c>
      <c r="K728" s="3">
        <f ca="1">IFERROR(__xludf.DUMMYFUNCTION("""COMPUTED_VALUE"""),44516.6666666666)</f>
        <v>44516.666666666599</v>
      </c>
      <c r="L728" s="2">
        <f ca="1">IFERROR(__xludf.DUMMYFUNCTION("""COMPUTED_VALUE"""),342.96)</f>
        <v>342.96</v>
      </c>
      <c r="M728" s="3">
        <f ca="1">IFERROR(__xludf.DUMMYFUNCTION("""COMPUTED_VALUE"""),44516.6666666666)</f>
        <v>44516.666666666599</v>
      </c>
      <c r="N728" s="2">
        <f ca="1">IFERROR(__xludf.DUMMYFUNCTION("""COMPUTED_VALUE"""),1054.73)</f>
        <v>1054.73</v>
      </c>
      <c r="O728" s="3">
        <f ca="1">IFERROR(__xludf.DUMMYFUNCTION("""COMPUTED_VALUE"""),44516.6666666666)</f>
        <v>44516.666666666599</v>
      </c>
      <c r="P728" s="2">
        <f ca="1">IFERROR(__xludf.DUMMYFUNCTION("""COMPUTED_VALUE"""),302.03)</f>
        <v>302.02999999999997</v>
      </c>
      <c r="Q728" s="3">
        <f ca="1">IFERROR(__xludf.DUMMYFUNCTION("""COMPUTED_VALUE"""),44516.6666666666)</f>
        <v>44516.666666666599</v>
      </c>
      <c r="R728" s="2">
        <f ca="1">IFERROR(__xludf.DUMMYFUNCTION("""COMPUTED_VALUE"""),283.36)</f>
        <v>283.36</v>
      </c>
      <c r="S728" s="3">
        <f ca="1">IFERROR(__xludf.DUMMYFUNCTION("""COMPUTED_VALUE"""),44516.6666666666)</f>
        <v>44516.666666666599</v>
      </c>
      <c r="T728" s="2">
        <f ca="1">IFERROR(__xludf.DUMMYFUNCTION("""COMPUTED_VALUE"""),162.67)</f>
        <v>162.66999999999999</v>
      </c>
    </row>
    <row r="729" spans="1:20">
      <c r="A729" s="3">
        <f ca="1">IFERROR(__xludf.DUMMYFUNCTION("""COMPUTED_VALUE"""),44517.6666666666)</f>
        <v>44517.666666666599</v>
      </c>
      <c r="B729" s="2">
        <f ca="1">IFERROR(__xludf.DUMMYFUNCTION("""COMPUTED_VALUE"""),153.49)</f>
        <v>153.49</v>
      </c>
      <c r="C729" s="3">
        <f ca="1">IFERROR(__xludf.DUMMYFUNCTION("""COMPUTED_VALUE"""),44517.6666666666)</f>
        <v>44517.666666666599</v>
      </c>
      <c r="D729" s="2">
        <f ca="1">IFERROR(__xludf.DUMMYFUNCTION("""COMPUTED_VALUE"""),339.12)</f>
        <v>339.12</v>
      </c>
      <c r="E729" s="3">
        <f ca="1">IFERROR(__xludf.DUMMYFUNCTION("""COMPUTED_VALUE"""),44517.6666666666)</f>
        <v>44517.666666666599</v>
      </c>
      <c r="F729" s="2">
        <f ca="1">IFERROR(__xludf.DUMMYFUNCTION("""COMPUTED_VALUE"""),3549)</f>
        <v>3549</v>
      </c>
      <c r="G729" s="3">
        <f ca="1">IFERROR(__xludf.DUMMYFUNCTION("""COMPUTED_VALUE"""),44517.6666666666)</f>
        <v>44517.666666666599</v>
      </c>
      <c r="H729" s="2">
        <f ca="1">IFERROR(__xludf.DUMMYFUNCTION("""COMPUTED_VALUE"""),2960.94)</f>
        <v>2960.94</v>
      </c>
      <c r="I729" s="3">
        <f ca="1">IFERROR(__xludf.DUMMYFUNCTION("""COMPUTED_VALUE"""),44517.6666666666)</f>
        <v>44517.666666666599</v>
      </c>
      <c r="J729" s="2">
        <f ca="1">IFERROR(__xludf.DUMMYFUNCTION("""COMPUTED_VALUE"""),2981.24)</f>
        <v>2981.24</v>
      </c>
      <c r="K729" s="3">
        <f ca="1">IFERROR(__xludf.DUMMYFUNCTION("""COMPUTED_VALUE"""),44517.6666666666)</f>
        <v>44517.666666666599</v>
      </c>
      <c r="L729" s="2">
        <f ca="1">IFERROR(__xludf.DUMMYFUNCTION("""COMPUTED_VALUE"""),340.77)</f>
        <v>340.77</v>
      </c>
      <c r="M729" s="3">
        <f ca="1">IFERROR(__xludf.DUMMYFUNCTION("""COMPUTED_VALUE"""),44517.6666666666)</f>
        <v>44517.666666666599</v>
      </c>
      <c r="N729" s="2">
        <f ca="1">IFERROR(__xludf.DUMMYFUNCTION("""COMPUTED_VALUE"""),1089.01)</f>
        <v>1089.01</v>
      </c>
      <c r="O729" s="3">
        <f ca="1">IFERROR(__xludf.DUMMYFUNCTION("""COMPUTED_VALUE"""),44517.6666666666)</f>
        <v>44517.666666666599</v>
      </c>
      <c r="P729" s="2">
        <f ca="1">IFERROR(__xludf.DUMMYFUNCTION("""COMPUTED_VALUE"""),292.61)</f>
        <v>292.61</v>
      </c>
      <c r="Q729" s="3">
        <f ca="1">IFERROR(__xludf.DUMMYFUNCTION("""COMPUTED_VALUE"""),44517.6666666666)</f>
        <v>44517.666666666599</v>
      </c>
      <c r="R729" s="2">
        <f ca="1">IFERROR(__xludf.DUMMYFUNCTION("""COMPUTED_VALUE"""),281.59)</f>
        <v>281.58999999999997</v>
      </c>
      <c r="S729" s="3">
        <f ca="1">IFERROR(__xludf.DUMMYFUNCTION("""COMPUTED_VALUE"""),44517.6666666666)</f>
        <v>44517.666666666599</v>
      </c>
      <c r="T729" s="2">
        <f ca="1">IFERROR(__xludf.DUMMYFUNCTION("""COMPUTED_VALUE"""),163.28)</f>
        <v>163.28</v>
      </c>
    </row>
    <row r="730" spans="1:20">
      <c r="A730" s="3">
        <f ca="1">IFERROR(__xludf.DUMMYFUNCTION("""COMPUTED_VALUE"""),44518.6666666666)</f>
        <v>44518.666666666599</v>
      </c>
      <c r="B730" s="2">
        <f ca="1">IFERROR(__xludf.DUMMYFUNCTION("""COMPUTED_VALUE"""),157.87)</f>
        <v>157.87</v>
      </c>
      <c r="C730" s="3">
        <f ca="1">IFERROR(__xludf.DUMMYFUNCTION("""COMPUTED_VALUE"""),44518.6666666666)</f>
        <v>44518.666666666599</v>
      </c>
      <c r="D730" s="2">
        <f ca="1">IFERROR(__xludf.DUMMYFUNCTION("""COMPUTED_VALUE"""),341.27)</f>
        <v>341.27</v>
      </c>
      <c r="E730" s="3">
        <f ca="1">IFERROR(__xludf.DUMMYFUNCTION("""COMPUTED_VALUE"""),44518.6666666666)</f>
        <v>44518.666666666599</v>
      </c>
      <c r="F730" s="2">
        <f ca="1">IFERROR(__xludf.DUMMYFUNCTION("""COMPUTED_VALUE"""),3696.06)</f>
        <v>3696.06</v>
      </c>
      <c r="G730" s="3">
        <f ca="1">IFERROR(__xludf.DUMMYFUNCTION("""COMPUTED_VALUE"""),44518.6666666666)</f>
        <v>44518.666666666599</v>
      </c>
      <c r="H730" s="2">
        <f ca="1">IFERROR(__xludf.DUMMYFUNCTION("""COMPUTED_VALUE"""),2996.77)</f>
        <v>2996.77</v>
      </c>
      <c r="I730" s="3">
        <f ca="1">IFERROR(__xludf.DUMMYFUNCTION("""COMPUTED_VALUE"""),44518.6666666666)</f>
        <v>44518.666666666599</v>
      </c>
      <c r="J730" s="2">
        <f ca="1">IFERROR(__xludf.DUMMYFUNCTION("""COMPUTED_VALUE"""),3014.18)</f>
        <v>3014.18</v>
      </c>
      <c r="K730" s="3">
        <f ca="1">IFERROR(__xludf.DUMMYFUNCTION("""COMPUTED_VALUE"""),44518.6666666666)</f>
        <v>44518.666666666599</v>
      </c>
      <c r="L730" s="2">
        <f ca="1">IFERROR(__xludf.DUMMYFUNCTION("""COMPUTED_VALUE"""),338.69)</f>
        <v>338.69</v>
      </c>
      <c r="M730" s="3">
        <f ca="1">IFERROR(__xludf.DUMMYFUNCTION("""COMPUTED_VALUE"""),44518.6666666666)</f>
        <v>44518.666666666599</v>
      </c>
      <c r="N730" s="2">
        <f ca="1">IFERROR(__xludf.DUMMYFUNCTION("""COMPUTED_VALUE"""),1096.38)</f>
        <v>1096.3800000000001</v>
      </c>
      <c r="O730" s="3">
        <f ca="1">IFERROR(__xludf.DUMMYFUNCTION("""COMPUTED_VALUE"""),44518.6666666666)</f>
        <v>44518.666666666599</v>
      </c>
      <c r="P730" s="2">
        <f ca="1">IFERROR(__xludf.DUMMYFUNCTION("""COMPUTED_VALUE"""),316.75)</f>
        <v>316.75</v>
      </c>
      <c r="Q730" s="3">
        <f ca="1">IFERROR(__xludf.DUMMYFUNCTION("""COMPUTED_VALUE"""),44518.6666666666)</f>
        <v>44518.666666666599</v>
      </c>
      <c r="R730" s="2">
        <f ca="1">IFERROR(__xludf.DUMMYFUNCTION("""COMPUTED_VALUE"""),280.63)</f>
        <v>280.63</v>
      </c>
      <c r="S730" s="3">
        <f ca="1">IFERROR(__xludf.DUMMYFUNCTION("""COMPUTED_VALUE"""),44518.6666666666)</f>
        <v>44518.666666666599</v>
      </c>
      <c r="T730" s="2">
        <f ca="1">IFERROR(__xludf.DUMMYFUNCTION("""COMPUTED_VALUE"""),162.4)</f>
        <v>162.4</v>
      </c>
    </row>
    <row r="731" spans="1:20">
      <c r="A731" s="3">
        <f ca="1">IFERROR(__xludf.DUMMYFUNCTION("""COMPUTED_VALUE"""),44519.6666666666)</f>
        <v>44519.666666666599</v>
      </c>
      <c r="B731" s="2">
        <f ca="1">IFERROR(__xludf.DUMMYFUNCTION("""COMPUTED_VALUE"""),160.55)</f>
        <v>160.55000000000001</v>
      </c>
      <c r="C731" s="3">
        <f ca="1">IFERROR(__xludf.DUMMYFUNCTION("""COMPUTED_VALUE"""),44519.6666666666)</f>
        <v>44519.666666666599</v>
      </c>
      <c r="D731" s="2">
        <f ca="1">IFERROR(__xludf.DUMMYFUNCTION("""COMPUTED_VALUE"""),343.11)</f>
        <v>343.11</v>
      </c>
      <c r="E731" s="3">
        <f ca="1">IFERROR(__xludf.DUMMYFUNCTION("""COMPUTED_VALUE"""),44519.6666666666)</f>
        <v>44519.666666666599</v>
      </c>
      <c r="F731" s="2">
        <f ca="1">IFERROR(__xludf.DUMMYFUNCTION("""COMPUTED_VALUE"""),3676.57)</f>
        <v>3676.57</v>
      </c>
      <c r="G731" s="3">
        <f ca="1">IFERROR(__xludf.DUMMYFUNCTION("""COMPUTED_VALUE"""),44519.6666666666)</f>
        <v>44519.666666666599</v>
      </c>
      <c r="H731" s="2">
        <f ca="1">IFERROR(__xludf.DUMMYFUNCTION("""COMPUTED_VALUE"""),2978.53)</f>
        <v>2978.53</v>
      </c>
      <c r="I731" s="3">
        <f ca="1">IFERROR(__xludf.DUMMYFUNCTION("""COMPUTED_VALUE"""),44519.6666666666)</f>
        <v>44519.666666666599</v>
      </c>
      <c r="J731" s="2">
        <f ca="1">IFERROR(__xludf.DUMMYFUNCTION("""COMPUTED_VALUE"""),2999.05)</f>
        <v>2999.05</v>
      </c>
      <c r="K731" s="3">
        <f ca="1">IFERROR(__xludf.DUMMYFUNCTION("""COMPUTED_VALUE"""),44519.6666666666)</f>
        <v>44519.666666666599</v>
      </c>
      <c r="L731" s="2">
        <f ca="1">IFERROR(__xludf.DUMMYFUNCTION("""COMPUTED_VALUE"""),345.3)</f>
        <v>345.3</v>
      </c>
      <c r="M731" s="3">
        <f ca="1">IFERROR(__xludf.DUMMYFUNCTION("""COMPUTED_VALUE"""),44519.6666666666)</f>
        <v>44519.666666666599</v>
      </c>
      <c r="N731" s="2">
        <f ca="1">IFERROR(__xludf.DUMMYFUNCTION("""COMPUTED_VALUE"""),1137.06)</f>
        <v>1137.06</v>
      </c>
      <c r="O731" s="3">
        <f ca="1">IFERROR(__xludf.DUMMYFUNCTION("""COMPUTED_VALUE"""),44519.6666666666)</f>
        <v>44519.666666666599</v>
      </c>
      <c r="P731" s="2">
        <f ca="1">IFERROR(__xludf.DUMMYFUNCTION("""COMPUTED_VALUE"""),329.85)</f>
        <v>329.85</v>
      </c>
      <c r="Q731" s="3">
        <f ca="1">IFERROR(__xludf.DUMMYFUNCTION("""COMPUTED_VALUE"""),44519.6666666666)</f>
        <v>44519.666666666599</v>
      </c>
      <c r="R731" s="2">
        <f ca="1">IFERROR(__xludf.DUMMYFUNCTION("""COMPUTED_VALUE"""),279.99)</f>
        <v>279.99</v>
      </c>
      <c r="S731" s="3">
        <f ca="1">IFERROR(__xludf.DUMMYFUNCTION("""COMPUTED_VALUE"""),44519.6666666666)</f>
        <v>44519.666666666599</v>
      </c>
      <c r="T731" s="2">
        <f ca="1">IFERROR(__xludf.DUMMYFUNCTION("""COMPUTED_VALUE"""),162.89)</f>
        <v>162.88999999999999</v>
      </c>
    </row>
    <row r="732" spans="1:20">
      <c r="A732" s="3">
        <f ca="1">IFERROR(__xludf.DUMMYFUNCTION("""COMPUTED_VALUE"""),44522.6666666666)</f>
        <v>44522.666666666599</v>
      </c>
      <c r="B732" s="2">
        <f ca="1">IFERROR(__xludf.DUMMYFUNCTION("""COMPUTED_VALUE"""),161.02)</f>
        <v>161.02000000000001</v>
      </c>
      <c r="C732" s="3">
        <f ca="1">IFERROR(__xludf.DUMMYFUNCTION("""COMPUTED_VALUE"""),44522.6666666666)</f>
        <v>44522.666666666599</v>
      </c>
      <c r="D732" s="2">
        <f ca="1">IFERROR(__xludf.DUMMYFUNCTION("""COMPUTED_VALUE"""),339.83)</f>
        <v>339.83</v>
      </c>
      <c r="E732" s="3">
        <f ca="1">IFERROR(__xludf.DUMMYFUNCTION("""COMPUTED_VALUE"""),44522.6666666666)</f>
        <v>44522.666666666599</v>
      </c>
      <c r="F732" s="2">
        <f ca="1">IFERROR(__xludf.DUMMYFUNCTION("""COMPUTED_VALUE"""),3572.57)</f>
        <v>3572.57</v>
      </c>
      <c r="G732" s="3">
        <f ca="1">IFERROR(__xludf.DUMMYFUNCTION("""COMPUTED_VALUE"""),44522.6666666666)</f>
        <v>44522.666666666599</v>
      </c>
      <c r="H732" s="2">
        <f ca="1">IFERROR(__xludf.DUMMYFUNCTION("""COMPUTED_VALUE"""),2926.04)</f>
        <v>2926.04</v>
      </c>
      <c r="I732" s="3">
        <f ca="1">IFERROR(__xludf.DUMMYFUNCTION("""COMPUTED_VALUE"""),44522.6666666666)</f>
        <v>44522.666666666599</v>
      </c>
      <c r="J732" s="2">
        <f ca="1">IFERROR(__xludf.DUMMYFUNCTION("""COMPUTED_VALUE"""),2941.57)</f>
        <v>2941.57</v>
      </c>
      <c r="K732" s="3">
        <f ca="1">IFERROR(__xludf.DUMMYFUNCTION("""COMPUTED_VALUE"""),44522.6666666666)</f>
        <v>44522.666666666599</v>
      </c>
      <c r="L732" s="2">
        <f ca="1">IFERROR(__xludf.DUMMYFUNCTION("""COMPUTED_VALUE"""),341.01)</f>
        <v>341.01</v>
      </c>
      <c r="M732" s="3">
        <f ca="1">IFERROR(__xludf.DUMMYFUNCTION("""COMPUTED_VALUE"""),44522.6666666666)</f>
        <v>44522.666666666599</v>
      </c>
      <c r="N732" s="2">
        <f ca="1">IFERROR(__xludf.DUMMYFUNCTION("""COMPUTED_VALUE"""),1156.87)</f>
        <v>1156.8699999999999</v>
      </c>
      <c r="O732" s="3">
        <f ca="1">IFERROR(__xludf.DUMMYFUNCTION("""COMPUTED_VALUE"""),44522.6666666666)</f>
        <v>44522.666666666599</v>
      </c>
      <c r="P732" s="2">
        <f ca="1">IFERROR(__xludf.DUMMYFUNCTION("""COMPUTED_VALUE"""),319.56)</f>
        <v>319.56</v>
      </c>
      <c r="Q732" s="3">
        <f ca="1">IFERROR(__xludf.DUMMYFUNCTION("""COMPUTED_VALUE"""),44522.6666666666)</f>
        <v>44522.666666666599</v>
      </c>
      <c r="R732" s="2">
        <f ca="1">IFERROR(__xludf.DUMMYFUNCTION("""COMPUTED_VALUE"""),284.97)</f>
        <v>284.97000000000003</v>
      </c>
      <c r="S732" s="3">
        <f ca="1">IFERROR(__xludf.DUMMYFUNCTION("""COMPUTED_VALUE"""),44522.6666666666)</f>
        <v>44522.666666666599</v>
      </c>
      <c r="T732" s="2">
        <f ca="1">IFERROR(__xludf.DUMMYFUNCTION("""COMPUTED_VALUE"""),159.7)</f>
        <v>159.69999999999999</v>
      </c>
    </row>
    <row r="733" spans="1:20">
      <c r="A733" s="3">
        <f ca="1">IFERROR(__xludf.DUMMYFUNCTION("""COMPUTED_VALUE"""),44523.6666666666)</f>
        <v>44523.666666666599</v>
      </c>
      <c r="B733" s="2">
        <f ca="1">IFERROR(__xludf.DUMMYFUNCTION("""COMPUTED_VALUE"""),161.41)</f>
        <v>161.41</v>
      </c>
      <c r="C733" s="3">
        <f ca="1">IFERROR(__xludf.DUMMYFUNCTION("""COMPUTED_VALUE"""),44523.6666666666)</f>
        <v>44523.666666666599</v>
      </c>
      <c r="D733" s="2">
        <f ca="1">IFERROR(__xludf.DUMMYFUNCTION("""COMPUTED_VALUE"""),337.68)</f>
        <v>337.68</v>
      </c>
      <c r="E733" s="3">
        <f ca="1">IFERROR(__xludf.DUMMYFUNCTION("""COMPUTED_VALUE"""),44523.6666666666)</f>
        <v>44523.666666666599</v>
      </c>
      <c r="F733" s="2">
        <f ca="1">IFERROR(__xludf.DUMMYFUNCTION("""COMPUTED_VALUE"""),3580.04)</f>
        <v>3580.04</v>
      </c>
      <c r="G733" s="3">
        <f ca="1">IFERROR(__xludf.DUMMYFUNCTION("""COMPUTED_VALUE"""),44523.6666666666)</f>
        <v>44523.666666666599</v>
      </c>
      <c r="H733" s="2">
        <f ca="1">IFERROR(__xludf.DUMMYFUNCTION("""COMPUTED_VALUE"""),2915.64)</f>
        <v>2915.64</v>
      </c>
      <c r="I733" s="3">
        <f ca="1">IFERROR(__xludf.DUMMYFUNCTION("""COMPUTED_VALUE"""),44523.6666666666)</f>
        <v>44523.666666666599</v>
      </c>
      <c r="J733" s="2">
        <f ca="1">IFERROR(__xludf.DUMMYFUNCTION("""COMPUTED_VALUE"""),2935.14)</f>
        <v>2935.14</v>
      </c>
      <c r="K733" s="3">
        <f ca="1">IFERROR(__xludf.DUMMYFUNCTION("""COMPUTED_VALUE"""),44523.6666666666)</f>
        <v>44523.666666666599</v>
      </c>
      <c r="L733" s="2">
        <f ca="1">IFERROR(__xludf.DUMMYFUNCTION("""COMPUTED_VALUE"""),337.25)</f>
        <v>337.25</v>
      </c>
      <c r="M733" s="3">
        <f ca="1">IFERROR(__xludf.DUMMYFUNCTION("""COMPUTED_VALUE"""),44523.6666666666)</f>
        <v>44523.666666666599</v>
      </c>
      <c r="N733" s="2">
        <f ca="1">IFERROR(__xludf.DUMMYFUNCTION("""COMPUTED_VALUE"""),1109.03)</f>
        <v>1109.03</v>
      </c>
      <c r="O733" s="3">
        <f ca="1">IFERROR(__xludf.DUMMYFUNCTION("""COMPUTED_VALUE"""),44523.6666666666)</f>
        <v>44523.666666666599</v>
      </c>
      <c r="P733" s="2">
        <f ca="1">IFERROR(__xludf.DUMMYFUNCTION("""COMPUTED_VALUE"""),317.46)</f>
        <v>317.45999999999998</v>
      </c>
      <c r="Q733" s="3">
        <f ca="1">IFERROR(__xludf.DUMMYFUNCTION("""COMPUTED_VALUE"""),44523.6666666666)</f>
        <v>44523.666666666599</v>
      </c>
      <c r="R733" s="2">
        <f ca="1">IFERROR(__xludf.DUMMYFUNCTION("""COMPUTED_VALUE"""),288.56)</f>
        <v>288.56</v>
      </c>
      <c r="S733" s="3">
        <f ca="1">IFERROR(__xludf.DUMMYFUNCTION("""COMPUTED_VALUE"""),44523.6666666666)</f>
        <v>44523.666666666599</v>
      </c>
      <c r="T733" s="2">
        <f ca="1">IFERROR(__xludf.DUMMYFUNCTION("""COMPUTED_VALUE"""),160.69)</f>
        <v>160.69</v>
      </c>
    </row>
    <row r="734" spans="1:20">
      <c r="A734" s="3">
        <f ca="1">IFERROR(__xludf.DUMMYFUNCTION("""COMPUTED_VALUE"""),44524.6666666666)</f>
        <v>44524.666666666599</v>
      </c>
      <c r="B734" s="2">
        <f ca="1">IFERROR(__xludf.DUMMYFUNCTION("""COMPUTED_VALUE"""),161.94)</f>
        <v>161.94</v>
      </c>
      <c r="C734" s="3">
        <f ca="1">IFERROR(__xludf.DUMMYFUNCTION("""COMPUTED_VALUE"""),44524.6666666666)</f>
        <v>44524.666666666599</v>
      </c>
      <c r="D734" s="2">
        <f ca="1">IFERROR(__xludf.DUMMYFUNCTION("""COMPUTED_VALUE"""),337.91)</f>
        <v>337.91</v>
      </c>
      <c r="E734" s="3">
        <f ca="1">IFERROR(__xludf.DUMMYFUNCTION("""COMPUTED_VALUE"""),44524.6666666666)</f>
        <v>44524.666666666599</v>
      </c>
      <c r="F734" s="2">
        <f ca="1">IFERROR(__xludf.DUMMYFUNCTION("""COMPUTED_VALUE"""),3580.41)</f>
        <v>3580.41</v>
      </c>
      <c r="G734" s="3">
        <f ca="1">IFERROR(__xludf.DUMMYFUNCTION("""COMPUTED_VALUE"""),44524.6666666666)</f>
        <v>44524.666666666599</v>
      </c>
      <c r="H734" s="2">
        <f ca="1">IFERROR(__xludf.DUMMYFUNCTION("""COMPUTED_VALUE"""),2922.4)</f>
        <v>2922.4</v>
      </c>
      <c r="I734" s="3">
        <f ca="1">IFERROR(__xludf.DUMMYFUNCTION("""COMPUTED_VALUE"""),44524.6666666666)</f>
        <v>44524.666666666599</v>
      </c>
      <c r="J734" s="2">
        <f ca="1">IFERROR(__xludf.DUMMYFUNCTION("""COMPUTED_VALUE"""),2934.35)</f>
        <v>2934.35</v>
      </c>
      <c r="K734" s="3">
        <f ca="1">IFERROR(__xludf.DUMMYFUNCTION("""COMPUTED_VALUE"""),44524.6666666666)</f>
        <v>44524.666666666599</v>
      </c>
      <c r="L734" s="2">
        <f ca="1">IFERROR(__xludf.DUMMYFUNCTION("""COMPUTED_VALUE"""),341.06)</f>
        <v>341.06</v>
      </c>
      <c r="M734" s="3">
        <f ca="1">IFERROR(__xludf.DUMMYFUNCTION("""COMPUTED_VALUE"""),44524.6666666666)</f>
        <v>44524.666666666599</v>
      </c>
      <c r="N734" s="2">
        <f ca="1">IFERROR(__xludf.DUMMYFUNCTION("""COMPUTED_VALUE"""),1116)</f>
        <v>1116</v>
      </c>
      <c r="O734" s="3">
        <f ca="1">IFERROR(__xludf.DUMMYFUNCTION("""COMPUTED_VALUE"""),44524.6666666666)</f>
        <v>44524.666666666599</v>
      </c>
      <c r="P734" s="2">
        <f ca="1">IFERROR(__xludf.DUMMYFUNCTION("""COMPUTED_VALUE"""),326.74)</f>
        <v>326.74</v>
      </c>
      <c r="Q734" s="3">
        <f ca="1">IFERROR(__xludf.DUMMYFUNCTION("""COMPUTED_VALUE"""),44524.6666666666)</f>
        <v>44524.666666666599</v>
      </c>
      <c r="R734" s="2">
        <f ca="1">IFERROR(__xludf.DUMMYFUNCTION("""COMPUTED_VALUE"""),287.28)</f>
        <v>287.27999999999997</v>
      </c>
      <c r="S734" s="3">
        <f ca="1">IFERROR(__xludf.DUMMYFUNCTION("""COMPUTED_VALUE"""),44524.6666666666)</f>
        <v>44524.666666666599</v>
      </c>
      <c r="T734" s="2">
        <f ca="1">IFERROR(__xludf.DUMMYFUNCTION("""COMPUTED_VALUE"""),160.24)</f>
        <v>160.24</v>
      </c>
    </row>
    <row r="735" spans="1:20">
      <c r="A735" s="3">
        <f ca="1">IFERROR(__xludf.DUMMYFUNCTION("""COMPUTED_VALUE"""),44526.5416666666)</f>
        <v>44526.541666666599</v>
      </c>
      <c r="B735" s="2">
        <f ca="1">IFERROR(__xludf.DUMMYFUNCTION("""COMPUTED_VALUE"""),156.81)</f>
        <v>156.81</v>
      </c>
      <c r="C735" s="3">
        <f ca="1">IFERROR(__xludf.DUMMYFUNCTION("""COMPUTED_VALUE"""),44526.5416666666)</f>
        <v>44526.541666666599</v>
      </c>
      <c r="D735" s="2">
        <f ca="1">IFERROR(__xludf.DUMMYFUNCTION("""COMPUTED_VALUE"""),329.68)</f>
        <v>329.68</v>
      </c>
      <c r="E735" s="3">
        <f ca="1">IFERROR(__xludf.DUMMYFUNCTION("""COMPUTED_VALUE"""),44526.5416666666)</f>
        <v>44526.541666666599</v>
      </c>
      <c r="F735" s="2">
        <f ca="1">IFERROR(__xludf.DUMMYFUNCTION("""COMPUTED_VALUE"""),3504.56)</f>
        <v>3504.56</v>
      </c>
      <c r="G735" s="3">
        <f ca="1">IFERROR(__xludf.DUMMYFUNCTION("""COMPUTED_VALUE"""),44526.5416666666)</f>
        <v>44526.541666666599</v>
      </c>
      <c r="H735" s="2">
        <f ca="1">IFERROR(__xludf.DUMMYFUNCTION("""COMPUTED_VALUE"""),2843.66)</f>
        <v>2843.66</v>
      </c>
      <c r="I735" s="3">
        <f ca="1">IFERROR(__xludf.DUMMYFUNCTION("""COMPUTED_VALUE"""),44526.5416666666)</f>
        <v>44526.541666666599</v>
      </c>
      <c r="J735" s="2">
        <f ca="1">IFERROR(__xludf.DUMMYFUNCTION("""COMPUTED_VALUE"""),2856.12)</f>
        <v>2856.12</v>
      </c>
      <c r="K735" s="3">
        <f ca="1">IFERROR(__xludf.DUMMYFUNCTION("""COMPUTED_VALUE"""),44526.5416666666)</f>
        <v>44526.541666666599</v>
      </c>
      <c r="L735" s="2">
        <f ca="1">IFERROR(__xludf.DUMMYFUNCTION("""COMPUTED_VALUE"""),333.12)</f>
        <v>333.12</v>
      </c>
      <c r="M735" s="3">
        <f ca="1">IFERROR(__xludf.DUMMYFUNCTION("""COMPUTED_VALUE"""),44526.5416666666)</f>
        <v>44526.541666666599</v>
      </c>
      <c r="N735" s="2">
        <f ca="1">IFERROR(__xludf.DUMMYFUNCTION("""COMPUTED_VALUE"""),1081.92)</f>
        <v>1081.92</v>
      </c>
      <c r="O735" s="3">
        <f ca="1">IFERROR(__xludf.DUMMYFUNCTION("""COMPUTED_VALUE"""),44526.5416666666)</f>
        <v>44526.541666666599</v>
      </c>
      <c r="P735" s="2">
        <f ca="1">IFERROR(__xludf.DUMMYFUNCTION("""COMPUTED_VALUE"""),315.03)</f>
        <v>315.02999999999997</v>
      </c>
      <c r="Q735" s="3">
        <f ca="1">IFERROR(__xludf.DUMMYFUNCTION("""COMPUTED_VALUE"""),44526.5416666666)</f>
        <v>44526.541666666599</v>
      </c>
      <c r="R735" s="2">
        <f ca="1">IFERROR(__xludf.DUMMYFUNCTION("""COMPUTED_VALUE"""),283.09)</f>
        <v>283.08999999999997</v>
      </c>
      <c r="S735" s="3">
        <f ca="1">IFERROR(__xludf.DUMMYFUNCTION("""COMPUTED_VALUE"""),44526.5416666666)</f>
        <v>44526.541666666599</v>
      </c>
      <c r="T735" s="2">
        <f ca="1">IFERROR(__xludf.DUMMYFUNCTION("""COMPUTED_VALUE"""),159.2)</f>
        <v>159.19999999999999</v>
      </c>
    </row>
    <row r="736" spans="1:20">
      <c r="A736" s="3">
        <f ca="1">IFERROR(__xludf.DUMMYFUNCTION("""COMPUTED_VALUE"""),44529.6666666666)</f>
        <v>44529.666666666599</v>
      </c>
      <c r="B736" s="2">
        <f ca="1">IFERROR(__xludf.DUMMYFUNCTION("""COMPUTED_VALUE"""),160.24)</f>
        <v>160.24</v>
      </c>
      <c r="C736" s="3">
        <f ca="1">IFERROR(__xludf.DUMMYFUNCTION("""COMPUTED_VALUE"""),44529.6666666666)</f>
        <v>44529.666666666599</v>
      </c>
      <c r="D736" s="2">
        <f ca="1">IFERROR(__xludf.DUMMYFUNCTION("""COMPUTED_VALUE"""),336.63)</f>
        <v>336.63</v>
      </c>
      <c r="E736" s="3">
        <f ca="1">IFERROR(__xludf.DUMMYFUNCTION("""COMPUTED_VALUE"""),44529.6666666666)</f>
        <v>44529.666666666599</v>
      </c>
      <c r="F736" s="2">
        <f ca="1">IFERROR(__xludf.DUMMYFUNCTION("""COMPUTED_VALUE"""),3561.57)</f>
        <v>3561.57</v>
      </c>
      <c r="G736" s="3">
        <f ca="1">IFERROR(__xludf.DUMMYFUNCTION("""COMPUTED_VALUE"""),44529.6666666666)</f>
        <v>44529.666666666599</v>
      </c>
      <c r="H736" s="2">
        <f ca="1">IFERROR(__xludf.DUMMYFUNCTION("""COMPUTED_VALUE"""),2910.61)</f>
        <v>2910.61</v>
      </c>
      <c r="I736" s="3">
        <f ca="1">IFERROR(__xludf.DUMMYFUNCTION("""COMPUTED_VALUE"""),44529.6666666666)</f>
        <v>44529.666666666599</v>
      </c>
      <c r="J736" s="2">
        <f ca="1">IFERROR(__xludf.DUMMYFUNCTION("""COMPUTED_VALUE"""),2922.28)</f>
        <v>2922.28</v>
      </c>
      <c r="K736" s="3">
        <f ca="1">IFERROR(__xludf.DUMMYFUNCTION("""COMPUTED_VALUE"""),44529.6666666666)</f>
        <v>44529.666666666599</v>
      </c>
      <c r="L736" s="2">
        <f ca="1">IFERROR(__xludf.DUMMYFUNCTION("""COMPUTED_VALUE"""),338.03)</f>
        <v>338.03</v>
      </c>
      <c r="M736" s="3">
        <f ca="1">IFERROR(__xludf.DUMMYFUNCTION("""COMPUTED_VALUE"""),44529.6666666666)</f>
        <v>44529.666666666599</v>
      </c>
      <c r="N736" s="2">
        <f ca="1">IFERROR(__xludf.DUMMYFUNCTION("""COMPUTED_VALUE"""),1136.99)</f>
        <v>1136.99</v>
      </c>
      <c r="O736" s="3">
        <f ca="1">IFERROR(__xludf.DUMMYFUNCTION("""COMPUTED_VALUE"""),44529.6666666666)</f>
        <v>44529.666666666599</v>
      </c>
      <c r="P736" s="2">
        <f ca="1">IFERROR(__xludf.DUMMYFUNCTION("""COMPUTED_VALUE"""),333.76)</f>
        <v>333.76</v>
      </c>
      <c r="Q736" s="3">
        <f ca="1">IFERROR(__xludf.DUMMYFUNCTION("""COMPUTED_VALUE"""),44529.6666666666)</f>
        <v>44529.666666666599</v>
      </c>
      <c r="R736" s="2">
        <f ca="1">IFERROR(__xludf.DUMMYFUNCTION("""COMPUTED_VALUE"""),282.12)</f>
        <v>282.12</v>
      </c>
      <c r="S736" s="3">
        <f ca="1">IFERROR(__xludf.DUMMYFUNCTION("""COMPUTED_VALUE"""),44529.6666666666)</f>
        <v>44529.666666666599</v>
      </c>
      <c r="T736" s="2">
        <f ca="1">IFERROR(__xludf.DUMMYFUNCTION("""COMPUTED_VALUE"""),159.75)</f>
        <v>159.75</v>
      </c>
    </row>
    <row r="737" spans="1:20">
      <c r="A737" s="3">
        <f ca="1">IFERROR(__xludf.DUMMYFUNCTION("""COMPUTED_VALUE"""),44530.6666666666)</f>
        <v>44530.666666666599</v>
      </c>
      <c r="B737" s="2">
        <f ca="1">IFERROR(__xludf.DUMMYFUNCTION("""COMPUTED_VALUE"""),165.3)</f>
        <v>165.3</v>
      </c>
      <c r="C737" s="3">
        <f ca="1">IFERROR(__xludf.DUMMYFUNCTION("""COMPUTED_VALUE"""),44530.6666666666)</f>
        <v>44530.666666666599</v>
      </c>
      <c r="D737" s="2">
        <f ca="1">IFERROR(__xludf.DUMMYFUNCTION("""COMPUTED_VALUE"""),330.59)</f>
        <v>330.59</v>
      </c>
      <c r="E737" s="3">
        <f ca="1">IFERROR(__xludf.DUMMYFUNCTION("""COMPUTED_VALUE"""),44530.6666666666)</f>
        <v>44530.666666666599</v>
      </c>
      <c r="F737" s="2">
        <f ca="1">IFERROR(__xludf.DUMMYFUNCTION("""COMPUTED_VALUE"""),3507.07)</f>
        <v>3507.07</v>
      </c>
      <c r="G737" s="3">
        <f ca="1">IFERROR(__xludf.DUMMYFUNCTION("""COMPUTED_VALUE"""),44530.6666666666)</f>
        <v>44530.666666666599</v>
      </c>
      <c r="H737" s="2">
        <f ca="1">IFERROR(__xludf.DUMMYFUNCTION("""COMPUTED_VALUE"""),2837.95)</f>
        <v>2837.95</v>
      </c>
      <c r="I737" s="3">
        <f ca="1">IFERROR(__xludf.DUMMYFUNCTION("""COMPUTED_VALUE"""),44530.6666666666)</f>
        <v>44530.666666666599</v>
      </c>
      <c r="J737" s="2">
        <f ca="1">IFERROR(__xludf.DUMMYFUNCTION("""COMPUTED_VALUE"""),2849.04)</f>
        <v>2849.04</v>
      </c>
      <c r="K737" s="3">
        <f ca="1">IFERROR(__xludf.DUMMYFUNCTION("""COMPUTED_VALUE"""),44530.6666666666)</f>
        <v>44530.666666666599</v>
      </c>
      <c r="L737" s="2">
        <f ca="1">IFERROR(__xludf.DUMMYFUNCTION("""COMPUTED_VALUE"""),324.46)</f>
        <v>324.45999999999998</v>
      </c>
      <c r="M737" s="3">
        <f ca="1">IFERROR(__xludf.DUMMYFUNCTION("""COMPUTED_VALUE"""),44530.6666666666)</f>
        <v>44530.666666666599</v>
      </c>
      <c r="N737" s="2">
        <f ca="1">IFERROR(__xludf.DUMMYFUNCTION("""COMPUTED_VALUE"""),1144.76)</f>
        <v>1144.76</v>
      </c>
      <c r="O737" s="3">
        <f ca="1">IFERROR(__xludf.DUMMYFUNCTION("""COMPUTED_VALUE"""),44530.6666666666)</f>
        <v>44530.666666666599</v>
      </c>
      <c r="P737" s="2">
        <f ca="1">IFERROR(__xludf.DUMMYFUNCTION("""COMPUTED_VALUE"""),326.76)</f>
        <v>326.76</v>
      </c>
      <c r="Q737" s="3">
        <f ca="1">IFERROR(__xludf.DUMMYFUNCTION("""COMPUTED_VALUE"""),44530.6666666666)</f>
        <v>44530.666666666599</v>
      </c>
      <c r="R737" s="2">
        <f ca="1">IFERROR(__xludf.DUMMYFUNCTION("""COMPUTED_VALUE"""),276.69)</f>
        <v>276.69</v>
      </c>
      <c r="S737" s="3">
        <f ca="1">IFERROR(__xludf.DUMMYFUNCTION("""COMPUTED_VALUE"""),44530.6666666666)</f>
        <v>44530.666666666599</v>
      </c>
      <c r="T737" s="2">
        <f ca="1">IFERROR(__xludf.DUMMYFUNCTION("""COMPUTED_VALUE"""),155.93)</f>
        <v>155.93</v>
      </c>
    </row>
    <row r="738" spans="1:20">
      <c r="A738" s="3">
        <f ca="1">IFERROR(__xludf.DUMMYFUNCTION("""COMPUTED_VALUE"""),44531.6666666666)</f>
        <v>44531.666666666599</v>
      </c>
      <c r="B738" s="2">
        <f ca="1">IFERROR(__xludf.DUMMYFUNCTION("""COMPUTED_VALUE"""),164.77)</f>
        <v>164.77</v>
      </c>
      <c r="C738" s="3">
        <f ca="1">IFERROR(__xludf.DUMMYFUNCTION("""COMPUTED_VALUE"""),44531.6666666666)</f>
        <v>44531.666666666599</v>
      </c>
      <c r="D738" s="2">
        <f ca="1">IFERROR(__xludf.DUMMYFUNCTION("""COMPUTED_VALUE"""),330.08)</f>
        <v>330.08</v>
      </c>
      <c r="E738" s="3">
        <f ca="1">IFERROR(__xludf.DUMMYFUNCTION("""COMPUTED_VALUE"""),44531.6666666666)</f>
        <v>44531.666666666599</v>
      </c>
      <c r="F738" s="2">
        <f ca="1">IFERROR(__xludf.DUMMYFUNCTION("""COMPUTED_VALUE"""),3443.72)</f>
        <v>3443.72</v>
      </c>
      <c r="G738" s="3">
        <f ca="1">IFERROR(__xludf.DUMMYFUNCTION("""COMPUTED_VALUE"""),44531.6666666666)</f>
        <v>44531.666666666599</v>
      </c>
      <c r="H738" s="2">
        <f ca="1">IFERROR(__xludf.DUMMYFUNCTION("""COMPUTED_VALUE"""),2821.03)</f>
        <v>2821.03</v>
      </c>
      <c r="I738" s="3">
        <f ca="1">IFERROR(__xludf.DUMMYFUNCTION("""COMPUTED_VALUE"""),44531.6666666666)</f>
        <v>44531.666666666599</v>
      </c>
      <c r="J738" s="2">
        <f ca="1">IFERROR(__xludf.DUMMYFUNCTION("""COMPUTED_VALUE"""),2832.36)</f>
        <v>2832.36</v>
      </c>
      <c r="K738" s="3">
        <f ca="1">IFERROR(__xludf.DUMMYFUNCTION("""COMPUTED_VALUE"""),44531.6666666666)</f>
        <v>44531.666666666599</v>
      </c>
      <c r="L738" s="2">
        <f ca="1">IFERROR(__xludf.DUMMYFUNCTION("""COMPUTED_VALUE"""),310.6)</f>
        <v>310.60000000000002</v>
      </c>
      <c r="M738" s="3">
        <f ca="1">IFERROR(__xludf.DUMMYFUNCTION("""COMPUTED_VALUE"""),44531.6666666666)</f>
        <v>44531.666666666599</v>
      </c>
      <c r="N738" s="2">
        <f ca="1">IFERROR(__xludf.DUMMYFUNCTION("""COMPUTED_VALUE"""),1095)</f>
        <v>1095</v>
      </c>
      <c r="O738" s="3">
        <f ca="1">IFERROR(__xludf.DUMMYFUNCTION("""COMPUTED_VALUE"""),44531.6666666666)</f>
        <v>44531.666666666599</v>
      </c>
      <c r="P738" s="2">
        <f ca="1">IFERROR(__xludf.DUMMYFUNCTION("""COMPUTED_VALUE"""),314.35)</f>
        <v>314.35000000000002</v>
      </c>
      <c r="Q738" s="3">
        <f ca="1">IFERROR(__xludf.DUMMYFUNCTION("""COMPUTED_VALUE"""),44531.6666666666)</f>
        <v>44531.666666666599</v>
      </c>
      <c r="R738" s="2">
        <f ca="1">IFERROR(__xludf.DUMMYFUNCTION("""COMPUTED_VALUE"""),275)</f>
        <v>275</v>
      </c>
      <c r="S738" s="3">
        <f ca="1">IFERROR(__xludf.DUMMYFUNCTION("""COMPUTED_VALUE"""),44531.6666666666)</f>
        <v>44531.666666666599</v>
      </c>
      <c r="T738" s="2">
        <f ca="1">IFERROR(__xludf.DUMMYFUNCTION("""COMPUTED_VALUE"""),158.08)</f>
        <v>158.08000000000001</v>
      </c>
    </row>
    <row r="739" spans="1:20">
      <c r="A739" s="3">
        <f ca="1">IFERROR(__xludf.DUMMYFUNCTION("""COMPUTED_VALUE"""),44532.6666666666)</f>
        <v>44532.666666666599</v>
      </c>
      <c r="B739" s="2">
        <f ca="1">IFERROR(__xludf.DUMMYFUNCTION("""COMPUTED_VALUE"""),163.76)</f>
        <v>163.76</v>
      </c>
      <c r="C739" s="3">
        <f ca="1">IFERROR(__xludf.DUMMYFUNCTION("""COMPUTED_VALUE"""),44532.6666666666)</f>
        <v>44532.666666666599</v>
      </c>
      <c r="D739" s="2">
        <f ca="1">IFERROR(__xludf.DUMMYFUNCTION("""COMPUTED_VALUE"""),329.49)</f>
        <v>329.49</v>
      </c>
      <c r="E739" s="3">
        <f ca="1">IFERROR(__xludf.DUMMYFUNCTION("""COMPUTED_VALUE"""),44532.6666666666)</f>
        <v>44532.666666666599</v>
      </c>
      <c r="F739" s="2">
        <f ca="1">IFERROR(__xludf.DUMMYFUNCTION("""COMPUTED_VALUE"""),3437.36)</f>
        <v>3437.36</v>
      </c>
      <c r="G739" s="3">
        <f ca="1">IFERROR(__xludf.DUMMYFUNCTION("""COMPUTED_VALUE"""),44532.6666666666)</f>
        <v>44532.666666666599</v>
      </c>
      <c r="H739" s="2">
        <f ca="1">IFERROR(__xludf.DUMMYFUNCTION("""COMPUTED_VALUE"""),2859.32)</f>
        <v>2859.32</v>
      </c>
      <c r="I739" s="3">
        <f ca="1">IFERROR(__xludf.DUMMYFUNCTION("""COMPUTED_VALUE"""),44532.6666666666)</f>
        <v>44532.666666666599</v>
      </c>
      <c r="J739" s="2">
        <f ca="1">IFERROR(__xludf.DUMMYFUNCTION("""COMPUTED_VALUE"""),2875.53)</f>
        <v>2875.53</v>
      </c>
      <c r="K739" s="3">
        <f ca="1">IFERROR(__xludf.DUMMYFUNCTION("""COMPUTED_VALUE"""),44532.6666666666)</f>
        <v>44532.666666666599</v>
      </c>
      <c r="L739" s="2">
        <f ca="1">IFERROR(__xludf.DUMMYFUNCTION("""COMPUTED_VALUE"""),310.39)</f>
        <v>310.39</v>
      </c>
      <c r="M739" s="3">
        <f ca="1">IFERROR(__xludf.DUMMYFUNCTION("""COMPUTED_VALUE"""),44532.6666666666)</f>
        <v>44532.666666666599</v>
      </c>
      <c r="N739" s="2">
        <f ca="1">IFERROR(__xludf.DUMMYFUNCTION("""COMPUTED_VALUE"""),1084.6)</f>
        <v>1084.5999999999999</v>
      </c>
      <c r="O739" s="3">
        <f ca="1">IFERROR(__xludf.DUMMYFUNCTION("""COMPUTED_VALUE"""),44532.6666666666)</f>
        <v>44532.666666666599</v>
      </c>
      <c r="P739" s="2">
        <f ca="1">IFERROR(__xludf.DUMMYFUNCTION("""COMPUTED_VALUE"""),321.26)</f>
        <v>321.26</v>
      </c>
      <c r="Q739" s="3">
        <f ca="1">IFERROR(__xludf.DUMMYFUNCTION("""COMPUTED_VALUE"""),44532.6666666666)</f>
        <v>44532.666666666599</v>
      </c>
      <c r="R739" s="2">
        <f ca="1">IFERROR(__xludf.DUMMYFUNCTION("""COMPUTED_VALUE"""),279.09)</f>
        <v>279.08999999999997</v>
      </c>
      <c r="S739" s="3">
        <f ca="1">IFERROR(__xludf.DUMMYFUNCTION("""COMPUTED_VALUE"""),44532.6666666666)</f>
        <v>44532.666666666599</v>
      </c>
      <c r="T739" s="2">
        <f ca="1">IFERROR(__xludf.DUMMYFUNCTION("""COMPUTED_VALUE"""),157.09)</f>
        <v>157.09</v>
      </c>
    </row>
    <row r="740" spans="1:20">
      <c r="A740" s="3">
        <f ca="1">IFERROR(__xludf.DUMMYFUNCTION("""COMPUTED_VALUE"""),44533.6666666666)</f>
        <v>44533.666666666599</v>
      </c>
      <c r="B740" s="2">
        <f ca="1">IFERROR(__xludf.DUMMYFUNCTION("""COMPUTED_VALUE"""),161.84)</f>
        <v>161.84</v>
      </c>
      <c r="C740" s="3">
        <f ca="1">IFERROR(__xludf.DUMMYFUNCTION("""COMPUTED_VALUE"""),44533.6666666666)</f>
        <v>44533.666666666599</v>
      </c>
      <c r="D740" s="2">
        <f ca="1">IFERROR(__xludf.DUMMYFUNCTION("""COMPUTED_VALUE"""),323.01)</f>
        <v>323.01</v>
      </c>
      <c r="E740" s="3">
        <f ca="1">IFERROR(__xludf.DUMMYFUNCTION("""COMPUTED_VALUE"""),44533.6666666666)</f>
        <v>44533.666666666599</v>
      </c>
      <c r="F740" s="2">
        <f ca="1">IFERROR(__xludf.DUMMYFUNCTION("""COMPUTED_VALUE"""),3389.79)</f>
        <v>3389.79</v>
      </c>
      <c r="G740" s="3">
        <f ca="1">IFERROR(__xludf.DUMMYFUNCTION("""COMPUTED_VALUE"""),44533.6666666666)</f>
        <v>44533.666666666599</v>
      </c>
      <c r="H740" s="2">
        <f ca="1">IFERROR(__xludf.DUMMYFUNCTION("""COMPUTED_VALUE"""),2840.03)</f>
        <v>2840.03</v>
      </c>
      <c r="I740" s="3">
        <f ca="1">IFERROR(__xludf.DUMMYFUNCTION("""COMPUTED_VALUE"""),44533.6666666666)</f>
        <v>44533.666666666599</v>
      </c>
      <c r="J740" s="2">
        <f ca="1">IFERROR(__xludf.DUMMYFUNCTION("""COMPUTED_VALUE"""),2850.41)</f>
        <v>2850.41</v>
      </c>
      <c r="K740" s="3">
        <f ca="1">IFERROR(__xludf.DUMMYFUNCTION("""COMPUTED_VALUE"""),44533.6666666666)</f>
        <v>44533.666666666599</v>
      </c>
      <c r="L740" s="2">
        <f ca="1">IFERROR(__xludf.DUMMYFUNCTION("""COMPUTED_VALUE"""),306.84)</f>
        <v>306.83999999999997</v>
      </c>
      <c r="M740" s="3">
        <f ca="1">IFERROR(__xludf.DUMMYFUNCTION("""COMPUTED_VALUE"""),44533.6666666666)</f>
        <v>44533.666666666599</v>
      </c>
      <c r="N740" s="2">
        <f ca="1">IFERROR(__xludf.DUMMYFUNCTION("""COMPUTED_VALUE"""),1014.97)</f>
        <v>1014.97</v>
      </c>
      <c r="O740" s="3">
        <f ca="1">IFERROR(__xludf.DUMMYFUNCTION("""COMPUTED_VALUE"""),44533.6666666666)</f>
        <v>44533.666666666599</v>
      </c>
      <c r="P740" s="2">
        <f ca="1">IFERROR(__xludf.DUMMYFUNCTION("""COMPUTED_VALUE"""),306.93)</f>
        <v>306.93</v>
      </c>
      <c r="Q740" s="3">
        <f ca="1">IFERROR(__xludf.DUMMYFUNCTION("""COMPUTED_VALUE"""),44533.6666666666)</f>
        <v>44533.666666666599</v>
      </c>
      <c r="R740" s="2">
        <f ca="1">IFERROR(__xludf.DUMMYFUNCTION("""COMPUTED_VALUE"""),277.43)</f>
        <v>277.43</v>
      </c>
      <c r="S740" s="3">
        <f ca="1">IFERROR(__xludf.DUMMYFUNCTION("""COMPUTED_VALUE"""),44533.6666666666)</f>
        <v>44533.666666666599</v>
      </c>
      <c r="T740" s="2">
        <f ca="1">IFERROR(__xludf.DUMMYFUNCTION("""COMPUTED_VALUE"""),159.38)</f>
        <v>159.38</v>
      </c>
    </row>
    <row r="741" spans="1:20">
      <c r="A741" s="3">
        <f ca="1">IFERROR(__xludf.DUMMYFUNCTION("""COMPUTED_VALUE"""),44536.6666666666)</f>
        <v>44536.666666666599</v>
      </c>
      <c r="B741" s="2">
        <f ca="1">IFERROR(__xludf.DUMMYFUNCTION("""COMPUTED_VALUE"""),165.32)</f>
        <v>165.32</v>
      </c>
      <c r="C741" s="3">
        <f ca="1">IFERROR(__xludf.DUMMYFUNCTION("""COMPUTED_VALUE"""),44536.6666666666)</f>
        <v>44536.666666666599</v>
      </c>
      <c r="D741" s="2">
        <f ca="1">IFERROR(__xludf.DUMMYFUNCTION("""COMPUTED_VALUE"""),326.19)</f>
        <v>326.19</v>
      </c>
      <c r="E741" s="3">
        <f ca="1">IFERROR(__xludf.DUMMYFUNCTION("""COMPUTED_VALUE"""),44536.6666666666)</f>
        <v>44536.666666666599</v>
      </c>
      <c r="F741" s="2">
        <f ca="1">IFERROR(__xludf.DUMMYFUNCTION("""COMPUTED_VALUE"""),3427.37)</f>
        <v>3427.37</v>
      </c>
      <c r="G741" s="3">
        <f ca="1">IFERROR(__xludf.DUMMYFUNCTION("""COMPUTED_VALUE"""),44536.6666666666)</f>
        <v>44536.666666666599</v>
      </c>
      <c r="H741" s="2">
        <f ca="1">IFERROR(__xludf.DUMMYFUNCTION("""COMPUTED_VALUE"""),2863.1)</f>
        <v>2863.1</v>
      </c>
      <c r="I741" s="3">
        <f ca="1">IFERROR(__xludf.DUMMYFUNCTION("""COMPUTED_VALUE"""),44536.6666666666)</f>
        <v>44536.666666666599</v>
      </c>
      <c r="J741" s="2">
        <f ca="1">IFERROR(__xludf.DUMMYFUNCTION("""COMPUTED_VALUE"""),2875.93)</f>
        <v>2875.93</v>
      </c>
      <c r="K741" s="3">
        <f ca="1">IFERROR(__xludf.DUMMYFUNCTION("""COMPUTED_VALUE"""),44536.6666666666)</f>
        <v>44536.666666666599</v>
      </c>
      <c r="L741" s="2">
        <f ca="1">IFERROR(__xludf.DUMMYFUNCTION("""COMPUTED_VALUE"""),317.87)</f>
        <v>317.87</v>
      </c>
      <c r="M741" s="3">
        <f ca="1">IFERROR(__xludf.DUMMYFUNCTION("""COMPUTED_VALUE"""),44536.6666666666)</f>
        <v>44536.666666666599</v>
      </c>
      <c r="N741" s="2">
        <f ca="1">IFERROR(__xludf.DUMMYFUNCTION("""COMPUTED_VALUE"""),1009.01)</f>
        <v>1009.01</v>
      </c>
      <c r="O741" s="3">
        <f ca="1">IFERROR(__xludf.DUMMYFUNCTION("""COMPUTED_VALUE"""),44536.6666666666)</f>
        <v>44536.666666666599</v>
      </c>
      <c r="P741" s="2">
        <f ca="1">IFERROR(__xludf.DUMMYFUNCTION("""COMPUTED_VALUE"""),300.37)</f>
        <v>300.37</v>
      </c>
      <c r="Q741" s="3">
        <f ca="1">IFERROR(__xludf.DUMMYFUNCTION("""COMPUTED_VALUE"""),44536.6666666666)</f>
        <v>44536.666666666599</v>
      </c>
      <c r="R741" s="2">
        <f ca="1">IFERROR(__xludf.DUMMYFUNCTION("""COMPUTED_VALUE"""),281.38)</f>
        <v>281.38</v>
      </c>
      <c r="S741" s="3">
        <f ca="1">IFERROR(__xludf.DUMMYFUNCTION("""COMPUTED_VALUE"""),44536.6666666666)</f>
        <v>44536.666666666599</v>
      </c>
      <c r="T741" s="2">
        <f ca="1">IFERROR(__xludf.DUMMYFUNCTION("""COMPUTED_VALUE"""),162.94)</f>
        <v>162.94</v>
      </c>
    </row>
    <row r="742" spans="1:20">
      <c r="A742" s="3">
        <f ca="1">IFERROR(__xludf.DUMMYFUNCTION("""COMPUTED_VALUE"""),44537.6666666666)</f>
        <v>44537.666666666599</v>
      </c>
      <c r="B742" s="2">
        <f ca="1">IFERROR(__xludf.DUMMYFUNCTION("""COMPUTED_VALUE"""),171.18)</f>
        <v>171.18</v>
      </c>
      <c r="C742" s="3">
        <f ca="1">IFERROR(__xludf.DUMMYFUNCTION("""COMPUTED_VALUE"""),44537.6666666666)</f>
        <v>44537.666666666599</v>
      </c>
      <c r="D742" s="2">
        <f ca="1">IFERROR(__xludf.DUMMYFUNCTION("""COMPUTED_VALUE"""),334.92)</f>
        <v>334.92</v>
      </c>
      <c r="E742" s="3">
        <f ca="1">IFERROR(__xludf.DUMMYFUNCTION("""COMPUTED_VALUE"""),44537.6666666666)</f>
        <v>44537.666666666599</v>
      </c>
      <c r="F742" s="2">
        <f ca="1">IFERROR(__xludf.DUMMYFUNCTION("""COMPUTED_VALUE"""),3523.29)</f>
        <v>3523.29</v>
      </c>
      <c r="G742" s="3">
        <f ca="1">IFERROR(__xludf.DUMMYFUNCTION("""COMPUTED_VALUE"""),44537.6666666666)</f>
        <v>44537.666666666599</v>
      </c>
      <c r="H742" s="2">
        <f ca="1">IFERROR(__xludf.DUMMYFUNCTION("""COMPUTED_VALUE"""),2945.39)</f>
        <v>2945.39</v>
      </c>
      <c r="I742" s="3">
        <f ca="1">IFERROR(__xludf.DUMMYFUNCTION("""COMPUTED_VALUE"""),44537.6666666666)</f>
        <v>44537.666666666599</v>
      </c>
      <c r="J742" s="2">
        <f ca="1">IFERROR(__xludf.DUMMYFUNCTION("""COMPUTED_VALUE"""),2960.73)</f>
        <v>2960.73</v>
      </c>
      <c r="K742" s="3">
        <f ca="1">IFERROR(__xludf.DUMMYFUNCTION("""COMPUTED_VALUE"""),44537.6666666666)</f>
        <v>44537.666666666599</v>
      </c>
      <c r="L742" s="2">
        <f ca="1">IFERROR(__xludf.DUMMYFUNCTION("""COMPUTED_VALUE"""),322.81)</f>
        <v>322.81</v>
      </c>
      <c r="M742" s="3">
        <f ca="1">IFERROR(__xludf.DUMMYFUNCTION("""COMPUTED_VALUE"""),44537.6666666666)</f>
        <v>44537.666666666599</v>
      </c>
      <c r="N742" s="2">
        <f ca="1">IFERROR(__xludf.DUMMYFUNCTION("""COMPUTED_VALUE"""),1051.75)</f>
        <v>1051.75</v>
      </c>
      <c r="O742" s="3">
        <f ca="1">IFERROR(__xludf.DUMMYFUNCTION("""COMPUTED_VALUE"""),44537.6666666666)</f>
        <v>44537.666666666599</v>
      </c>
      <c r="P742" s="2">
        <f ca="1">IFERROR(__xludf.DUMMYFUNCTION("""COMPUTED_VALUE"""),324.27)</f>
        <v>324.27</v>
      </c>
      <c r="Q742" s="3">
        <f ca="1">IFERROR(__xludf.DUMMYFUNCTION("""COMPUTED_VALUE"""),44537.6666666666)</f>
        <v>44537.666666666599</v>
      </c>
      <c r="R742" s="2">
        <f ca="1">IFERROR(__xludf.DUMMYFUNCTION("""COMPUTED_VALUE"""),284.97)</f>
        <v>284.97000000000003</v>
      </c>
      <c r="S742" s="3">
        <f ca="1">IFERROR(__xludf.DUMMYFUNCTION("""COMPUTED_VALUE"""),44537.6666666666)</f>
        <v>44537.666666666599</v>
      </c>
      <c r="T742" s="2">
        <f ca="1">IFERROR(__xludf.DUMMYFUNCTION("""COMPUTED_VALUE"""),163.36)</f>
        <v>163.36000000000001</v>
      </c>
    </row>
    <row r="743" spans="1:20">
      <c r="A743" s="3">
        <f ca="1">IFERROR(__xludf.DUMMYFUNCTION("""COMPUTED_VALUE"""),44538.6666666666)</f>
        <v>44538.666666666599</v>
      </c>
      <c r="B743" s="2">
        <f ca="1">IFERROR(__xludf.DUMMYFUNCTION("""COMPUTED_VALUE"""),175.08)</f>
        <v>175.08</v>
      </c>
      <c r="C743" s="3">
        <f ca="1">IFERROR(__xludf.DUMMYFUNCTION("""COMPUTED_VALUE"""),44538.6666666666)</f>
        <v>44538.666666666599</v>
      </c>
      <c r="D743" s="2">
        <f ca="1">IFERROR(__xludf.DUMMYFUNCTION("""COMPUTED_VALUE"""),334.97)</f>
        <v>334.97</v>
      </c>
      <c r="E743" s="3">
        <f ca="1">IFERROR(__xludf.DUMMYFUNCTION("""COMPUTED_VALUE"""),44538.6666666666)</f>
        <v>44538.666666666599</v>
      </c>
      <c r="F743" s="2">
        <f ca="1">IFERROR(__xludf.DUMMYFUNCTION("""COMPUTED_VALUE"""),3523.16)</f>
        <v>3523.16</v>
      </c>
      <c r="G743" s="3">
        <f ca="1">IFERROR(__xludf.DUMMYFUNCTION("""COMPUTED_VALUE"""),44538.6666666666)</f>
        <v>44538.666666666599</v>
      </c>
      <c r="H743" s="2">
        <f ca="1">IFERROR(__xludf.DUMMYFUNCTION("""COMPUTED_VALUE"""),2963.73)</f>
        <v>2963.73</v>
      </c>
      <c r="I743" s="3">
        <f ca="1">IFERROR(__xludf.DUMMYFUNCTION("""COMPUTED_VALUE"""),44538.6666666666)</f>
        <v>44538.666666666599</v>
      </c>
      <c r="J743" s="2">
        <f ca="1">IFERROR(__xludf.DUMMYFUNCTION("""COMPUTED_VALUE"""),2974.41)</f>
        <v>2974.41</v>
      </c>
      <c r="K743" s="3">
        <f ca="1">IFERROR(__xludf.DUMMYFUNCTION("""COMPUTED_VALUE"""),44538.6666666666)</f>
        <v>44538.666666666599</v>
      </c>
      <c r="L743" s="2">
        <f ca="1">IFERROR(__xludf.DUMMYFUNCTION("""COMPUTED_VALUE"""),330.56)</f>
        <v>330.56</v>
      </c>
      <c r="M743" s="3">
        <f ca="1">IFERROR(__xludf.DUMMYFUNCTION("""COMPUTED_VALUE"""),44538.6666666666)</f>
        <v>44538.666666666599</v>
      </c>
      <c r="N743" s="2">
        <f ca="1">IFERROR(__xludf.DUMMYFUNCTION("""COMPUTED_VALUE"""),1068.96)</f>
        <v>1068.96</v>
      </c>
      <c r="O743" s="3">
        <f ca="1">IFERROR(__xludf.DUMMYFUNCTION("""COMPUTED_VALUE"""),44538.6666666666)</f>
        <v>44538.666666666599</v>
      </c>
      <c r="P743" s="2">
        <f ca="1">IFERROR(__xludf.DUMMYFUNCTION("""COMPUTED_VALUE"""),318.26)</f>
        <v>318.26</v>
      </c>
      <c r="Q743" s="3">
        <f ca="1">IFERROR(__xludf.DUMMYFUNCTION("""COMPUTED_VALUE"""),44538.6666666666)</f>
        <v>44538.666666666599</v>
      </c>
      <c r="R743" s="2">
        <f ca="1">IFERROR(__xludf.DUMMYFUNCTION("""COMPUTED_VALUE"""),283.72)</f>
        <v>283.72000000000003</v>
      </c>
      <c r="S743" s="3">
        <f ca="1">IFERROR(__xludf.DUMMYFUNCTION("""COMPUTED_VALUE"""),44538.6666666666)</f>
        <v>44538.666666666599</v>
      </c>
      <c r="T743" s="2">
        <f ca="1">IFERROR(__xludf.DUMMYFUNCTION("""COMPUTED_VALUE"""),164.34)</f>
        <v>164.34</v>
      </c>
    </row>
    <row r="744" spans="1:20">
      <c r="A744" s="3">
        <f ca="1">IFERROR(__xludf.DUMMYFUNCTION("""COMPUTED_VALUE"""),44539.6666666666)</f>
        <v>44539.666666666599</v>
      </c>
      <c r="B744" s="2">
        <f ca="1">IFERROR(__xludf.DUMMYFUNCTION("""COMPUTED_VALUE"""),174.56)</f>
        <v>174.56</v>
      </c>
      <c r="C744" s="3">
        <f ca="1">IFERROR(__xludf.DUMMYFUNCTION("""COMPUTED_VALUE"""),44539.6666666666)</f>
        <v>44539.666666666599</v>
      </c>
      <c r="D744" s="2">
        <f ca="1">IFERROR(__xludf.DUMMYFUNCTION("""COMPUTED_VALUE"""),333.1)</f>
        <v>333.1</v>
      </c>
      <c r="E744" s="3">
        <f ca="1">IFERROR(__xludf.DUMMYFUNCTION("""COMPUTED_VALUE"""),44539.6666666666)</f>
        <v>44539.666666666599</v>
      </c>
      <c r="F744" s="2">
        <f ca="1">IFERROR(__xludf.DUMMYFUNCTION("""COMPUTED_VALUE"""),3483.42)</f>
        <v>3483.42</v>
      </c>
      <c r="G744" s="3">
        <f ca="1">IFERROR(__xludf.DUMMYFUNCTION("""COMPUTED_VALUE"""),44539.6666666666)</f>
        <v>44539.666666666599</v>
      </c>
      <c r="H744" s="2">
        <f ca="1">IFERROR(__xludf.DUMMYFUNCTION("""COMPUTED_VALUE"""),2952.77)</f>
        <v>2952.77</v>
      </c>
      <c r="I744" s="3">
        <f ca="1">IFERROR(__xludf.DUMMYFUNCTION("""COMPUTED_VALUE"""),44539.6666666666)</f>
        <v>44539.666666666599</v>
      </c>
      <c r="J744" s="2">
        <f ca="1">IFERROR(__xludf.DUMMYFUNCTION("""COMPUTED_VALUE"""),2962.12)</f>
        <v>2962.12</v>
      </c>
      <c r="K744" s="3">
        <f ca="1">IFERROR(__xludf.DUMMYFUNCTION("""COMPUTED_VALUE"""),44539.6666666666)</f>
        <v>44539.666666666599</v>
      </c>
      <c r="L744" s="2">
        <f ca="1">IFERROR(__xludf.DUMMYFUNCTION("""COMPUTED_VALUE"""),329.82)</f>
        <v>329.82</v>
      </c>
      <c r="M744" s="3">
        <f ca="1">IFERROR(__xludf.DUMMYFUNCTION("""COMPUTED_VALUE"""),44539.6666666666)</f>
        <v>44539.666666666599</v>
      </c>
      <c r="N744" s="2">
        <f ca="1">IFERROR(__xludf.DUMMYFUNCTION("""COMPUTED_VALUE"""),1003.8)</f>
        <v>1003.8</v>
      </c>
      <c r="O744" s="3">
        <f ca="1">IFERROR(__xludf.DUMMYFUNCTION("""COMPUTED_VALUE"""),44539.6666666666)</f>
        <v>44539.666666666599</v>
      </c>
      <c r="P744" s="2">
        <f ca="1">IFERROR(__xludf.DUMMYFUNCTION("""COMPUTED_VALUE"""),304.9)</f>
        <v>304.89999999999998</v>
      </c>
      <c r="Q744" s="3">
        <f ca="1">IFERROR(__xludf.DUMMYFUNCTION("""COMPUTED_VALUE"""),44539.6666666666)</f>
        <v>44539.666666666599</v>
      </c>
      <c r="R744" s="2">
        <f ca="1">IFERROR(__xludf.DUMMYFUNCTION("""COMPUTED_VALUE"""),284.52)</f>
        <v>284.52</v>
      </c>
      <c r="S744" s="3">
        <f ca="1">IFERROR(__xludf.DUMMYFUNCTION("""COMPUTED_VALUE"""),44539.6666666666)</f>
        <v>44539.666666666599</v>
      </c>
      <c r="T744" s="2">
        <f ca="1">IFERROR(__xludf.DUMMYFUNCTION("""COMPUTED_VALUE"""),165.9)</f>
        <v>165.9</v>
      </c>
    </row>
    <row r="745" spans="1:20">
      <c r="A745" s="3">
        <f ca="1">IFERROR(__xludf.DUMMYFUNCTION("""COMPUTED_VALUE"""),44540.6666666666)</f>
        <v>44540.666666666599</v>
      </c>
      <c r="B745" s="2">
        <f ca="1">IFERROR(__xludf.DUMMYFUNCTION("""COMPUTED_VALUE"""),179.45)</f>
        <v>179.45</v>
      </c>
      <c r="C745" s="3">
        <f ca="1">IFERROR(__xludf.DUMMYFUNCTION("""COMPUTED_VALUE"""),44540.6666666666)</f>
        <v>44540.666666666599</v>
      </c>
      <c r="D745" s="2">
        <f ca="1">IFERROR(__xludf.DUMMYFUNCTION("""COMPUTED_VALUE"""),342.54)</f>
        <v>342.54</v>
      </c>
      <c r="E745" s="3">
        <f ca="1">IFERROR(__xludf.DUMMYFUNCTION("""COMPUTED_VALUE"""),44540.6666666666)</f>
        <v>44540.666666666599</v>
      </c>
      <c r="F745" s="2">
        <f ca="1">IFERROR(__xludf.DUMMYFUNCTION("""COMPUTED_VALUE"""),3444.24)</f>
        <v>3444.24</v>
      </c>
      <c r="G745" s="3">
        <f ca="1">IFERROR(__xludf.DUMMYFUNCTION("""COMPUTED_VALUE"""),44540.6666666666)</f>
        <v>44540.666666666599</v>
      </c>
      <c r="H745" s="2">
        <f ca="1">IFERROR(__xludf.DUMMYFUNCTION("""COMPUTED_VALUE"""),2960.03)</f>
        <v>2960.03</v>
      </c>
      <c r="I745" s="3">
        <f ca="1">IFERROR(__xludf.DUMMYFUNCTION("""COMPUTED_VALUE"""),44540.6666666666)</f>
        <v>44540.666666666599</v>
      </c>
      <c r="J745" s="2">
        <f ca="1">IFERROR(__xludf.DUMMYFUNCTION("""COMPUTED_VALUE"""),2973.5)</f>
        <v>2973.5</v>
      </c>
      <c r="K745" s="3">
        <f ca="1">IFERROR(__xludf.DUMMYFUNCTION("""COMPUTED_VALUE"""),44540.6666666666)</f>
        <v>44540.666666666599</v>
      </c>
      <c r="L745" s="2">
        <f ca="1">IFERROR(__xludf.DUMMYFUNCTION("""COMPUTED_VALUE"""),329.75)</f>
        <v>329.75</v>
      </c>
      <c r="M745" s="3">
        <f ca="1">IFERROR(__xludf.DUMMYFUNCTION("""COMPUTED_VALUE"""),44540.6666666666)</f>
        <v>44540.666666666599</v>
      </c>
      <c r="N745" s="2">
        <f ca="1">IFERROR(__xludf.DUMMYFUNCTION("""COMPUTED_VALUE"""),1017.03)</f>
        <v>1017.03</v>
      </c>
      <c r="O745" s="3">
        <f ca="1">IFERROR(__xludf.DUMMYFUNCTION("""COMPUTED_VALUE"""),44540.6666666666)</f>
        <v>44540.666666666599</v>
      </c>
      <c r="P745" s="2">
        <f ca="1">IFERROR(__xludf.DUMMYFUNCTION("""COMPUTED_VALUE"""),301.98)</f>
        <v>301.98</v>
      </c>
      <c r="Q745" s="3">
        <f ca="1">IFERROR(__xludf.DUMMYFUNCTION("""COMPUTED_VALUE"""),44540.6666666666)</f>
        <v>44540.666666666599</v>
      </c>
      <c r="R745" s="2">
        <f ca="1">IFERROR(__xludf.DUMMYFUNCTION("""COMPUTED_VALUE"""),288.23)</f>
        <v>288.23</v>
      </c>
      <c r="S745" s="3">
        <f ca="1">IFERROR(__xludf.DUMMYFUNCTION("""COMPUTED_VALUE"""),44540.6666666666)</f>
        <v>44540.666666666599</v>
      </c>
      <c r="T745" s="2">
        <f ca="1">IFERROR(__xludf.DUMMYFUNCTION("""COMPUTED_VALUE"""),165.49)</f>
        <v>165.49</v>
      </c>
    </row>
    <row r="746" spans="1:20">
      <c r="A746" s="3">
        <f ca="1">IFERROR(__xludf.DUMMYFUNCTION("""COMPUTED_VALUE"""),44543.6666666666)</f>
        <v>44543.666666666599</v>
      </c>
      <c r="B746" s="2">
        <f ca="1">IFERROR(__xludf.DUMMYFUNCTION("""COMPUTED_VALUE"""),175.74)</f>
        <v>175.74</v>
      </c>
      <c r="C746" s="3">
        <f ca="1">IFERROR(__xludf.DUMMYFUNCTION("""COMPUTED_VALUE"""),44543.6666666666)</f>
        <v>44543.666666666599</v>
      </c>
      <c r="D746" s="2">
        <f ca="1">IFERROR(__xludf.DUMMYFUNCTION("""COMPUTED_VALUE"""),339.4)</f>
        <v>339.4</v>
      </c>
      <c r="E746" s="3">
        <f ca="1">IFERROR(__xludf.DUMMYFUNCTION("""COMPUTED_VALUE"""),44543.6666666666)</f>
        <v>44543.666666666599</v>
      </c>
      <c r="F746" s="2">
        <f ca="1">IFERROR(__xludf.DUMMYFUNCTION("""COMPUTED_VALUE"""),3391.35)</f>
        <v>3391.35</v>
      </c>
      <c r="G746" s="3">
        <f ca="1">IFERROR(__xludf.DUMMYFUNCTION("""COMPUTED_VALUE"""),44543.6666666666)</f>
        <v>44543.666666666599</v>
      </c>
      <c r="H746" s="2">
        <f ca="1">IFERROR(__xludf.DUMMYFUNCTION("""COMPUTED_VALUE"""),2916.53)</f>
        <v>2916.53</v>
      </c>
      <c r="I746" s="3">
        <f ca="1">IFERROR(__xludf.DUMMYFUNCTION("""COMPUTED_VALUE"""),44543.6666666666)</f>
        <v>44543.666666666599</v>
      </c>
      <c r="J746" s="2">
        <f ca="1">IFERROR(__xludf.DUMMYFUNCTION("""COMPUTED_VALUE"""),2934.09)</f>
        <v>2934.09</v>
      </c>
      <c r="K746" s="3">
        <f ca="1">IFERROR(__xludf.DUMMYFUNCTION("""COMPUTED_VALUE"""),44543.6666666666)</f>
        <v>44543.666666666599</v>
      </c>
      <c r="L746" s="2">
        <f ca="1">IFERROR(__xludf.DUMMYFUNCTION("""COMPUTED_VALUE"""),334.49)</f>
        <v>334.49</v>
      </c>
      <c r="M746" s="3">
        <f ca="1">IFERROR(__xludf.DUMMYFUNCTION("""COMPUTED_VALUE"""),44543.6666666666)</f>
        <v>44543.666666666599</v>
      </c>
      <c r="N746" s="2">
        <f ca="1">IFERROR(__xludf.DUMMYFUNCTION("""COMPUTED_VALUE"""),966.41)</f>
        <v>966.41</v>
      </c>
      <c r="O746" s="3">
        <f ca="1">IFERROR(__xludf.DUMMYFUNCTION("""COMPUTED_VALUE"""),44543.6666666666)</f>
        <v>44543.666666666599</v>
      </c>
      <c r="P746" s="2">
        <f ca="1">IFERROR(__xludf.DUMMYFUNCTION("""COMPUTED_VALUE"""),281.61)</f>
        <v>281.61</v>
      </c>
      <c r="Q746" s="3">
        <f ca="1">IFERROR(__xludf.DUMMYFUNCTION("""COMPUTED_VALUE"""),44543.6666666666)</f>
        <v>44543.666666666599</v>
      </c>
      <c r="R746" s="2">
        <f ca="1">IFERROR(__xludf.DUMMYFUNCTION("""COMPUTED_VALUE"""),290.01)</f>
        <v>290.01</v>
      </c>
      <c r="S746" s="3">
        <f ca="1">IFERROR(__xludf.DUMMYFUNCTION("""COMPUTED_VALUE"""),44543.6666666666)</f>
        <v>44543.666666666599</v>
      </c>
      <c r="T746" s="2">
        <f ca="1">IFERROR(__xludf.DUMMYFUNCTION("""COMPUTED_VALUE"""),168.45)</f>
        <v>168.45</v>
      </c>
    </row>
    <row r="747" spans="1:20">
      <c r="A747" s="3">
        <f ca="1">IFERROR(__xludf.DUMMYFUNCTION("""COMPUTED_VALUE"""),44544.6666666666)</f>
        <v>44544.666666666599</v>
      </c>
      <c r="B747" s="2">
        <f ca="1">IFERROR(__xludf.DUMMYFUNCTION("""COMPUTED_VALUE"""),174.33)</f>
        <v>174.33</v>
      </c>
      <c r="C747" s="3">
        <f ca="1">IFERROR(__xludf.DUMMYFUNCTION("""COMPUTED_VALUE"""),44544.6666666666)</f>
        <v>44544.666666666599</v>
      </c>
      <c r="D747" s="2">
        <f ca="1">IFERROR(__xludf.DUMMYFUNCTION("""COMPUTED_VALUE"""),328.34)</f>
        <v>328.34</v>
      </c>
      <c r="E747" s="3">
        <f ca="1">IFERROR(__xludf.DUMMYFUNCTION("""COMPUTED_VALUE"""),44544.6666666666)</f>
        <v>44544.666666666599</v>
      </c>
      <c r="F747" s="2">
        <f ca="1">IFERROR(__xludf.DUMMYFUNCTION("""COMPUTED_VALUE"""),3381.83)</f>
        <v>3381.83</v>
      </c>
      <c r="G747" s="3">
        <f ca="1">IFERROR(__xludf.DUMMYFUNCTION("""COMPUTED_VALUE"""),44544.6666666666)</f>
        <v>44544.666666666599</v>
      </c>
      <c r="H747" s="2">
        <f ca="1">IFERROR(__xludf.DUMMYFUNCTION("""COMPUTED_VALUE"""),2878.14)</f>
        <v>2878.14</v>
      </c>
      <c r="I747" s="3">
        <f ca="1">IFERROR(__xludf.DUMMYFUNCTION("""COMPUTED_VALUE"""),44544.6666666666)</f>
        <v>44544.666666666599</v>
      </c>
      <c r="J747" s="2">
        <f ca="1">IFERROR(__xludf.DUMMYFUNCTION("""COMPUTED_VALUE"""),2899.41)</f>
        <v>2899.41</v>
      </c>
      <c r="K747" s="3">
        <f ca="1">IFERROR(__xludf.DUMMYFUNCTION("""COMPUTED_VALUE"""),44544.6666666666)</f>
        <v>44544.666666666599</v>
      </c>
      <c r="L747" s="2">
        <f ca="1">IFERROR(__xludf.DUMMYFUNCTION("""COMPUTED_VALUE"""),333.74)</f>
        <v>333.74</v>
      </c>
      <c r="M747" s="3">
        <f ca="1">IFERROR(__xludf.DUMMYFUNCTION("""COMPUTED_VALUE"""),44544.6666666666)</f>
        <v>44544.666666666599</v>
      </c>
      <c r="N747" s="2">
        <f ca="1">IFERROR(__xludf.DUMMYFUNCTION("""COMPUTED_VALUE"""),958.51)</f>
        <v>958.51</v>
      </c>
      <c r="O747" s="3">
        <f ca="1">IFERROR(__xludf.DUMMYFUNCTION("""COMPUTED_VALUE"""),44544.6666666666)</f>
        <v>44544.666666666599</v>
      </c>
      <c r="P747" s="2">
        <f ca="1">IFERROR(__xludf.DUMMYFUNCTION("""COMPUTED_VALUE"""),283.37)</f>
        <v>283.37</v>
      </c>
      <c r="Q747" s="3">
        <f ca="1">IFERROR(__xludf.DUMMYFUNCTION("""COMPUTED_VALUE"""),44544.6666666666)</f>
        <v>44544.666666666599</v>
      </c>
      <c r="R747" s="2">
        <f ca="1">IFERROR(__xludf.DUMMYFUNCTION("""COMPUTED_VALUE"""),295.03)</f>
        <v>295.02999999999997</v>
      </c>
      <c r="S747" s="3">
        <f ca="1">IFERROR(__xludf.DUMMYFUNCTION("""COMPUTED_VALUE"""),44544.6666666666)</f>
        <v>44544.666666666599</v>
      </c>
      <c r="T747" s="2">
        <f ca="1">IFERROR(__xludf.DUMMYFUNCTION("""COMPUTED_VALUE"""),170.29)</f>
        <v>170.29</v>
      </c>
    </row>
    <row r="748" spans="1:20">
      <c r="A748" s="3">
        <f ca="1">IFERROR(__xludf.DUMMYFUNCTION("""COMPUTED_VALUE"""),44545.6666666666)</f>
        <v>44545.666666666599</v>
      </c>
      <c r="B748" s="2">
        <f ca="1">IFERROR(__xludf.DUMMYFUNCTION("""COMPUTED_VALUE"""),179.3)</f>
        <v>179.3</v>
      </c>
      <c r="C748" s="3">
        <f ca="1">IFERROR(__xludf.DUMMYFUNCTION("""COMPUTED_VALUE"""),44545.6666666666)</f>
        <v>44545.666666666599</v>
      </c>
      <c r="D748" s="2">
        <f ca="1">IFERROR(__xludf.DUMMYFUNCTION("""COMPUTED_VALUE"""),334.65)</f>
        <v>334.65</v>
      </c>
      <c r="E748" s="3">
        <f ca="1">IFERROR(__xludf.DUMMYFUNCTION("""COMPUTED_VALUE"""),44545.6666666666)</f>
        <v>44545.666666666599</v>
      </c>
      <c r="F748" s="2">
        <f ca="1">IFERROR(__xludf.DUMMYFUNCTION("""COMPUTED_VALUE"""),3466.3)</f>
        <v>3466.3</v>
      </c>
      <c r="G748" s="3">
        <f ca="1">IFERROR(__xludf.DUMMYFUNCTION("""COMPUTED_VALUE"""),44545.6666666666)</f>
        <v>44545.666666666599</v>
      </c>
      <c r="H748" s="2">
        <f ca="1">IFERROR(__xludf.DUMMYFUNCTION("""COMPUTED_VALUE"""),2928.82)</f>
        <v>2928.82</v>
      </c>
      <c r="I748" s="3">
        <f ca="1">IFERROR(__xludf.DUMMYFUNCTION("""COMPUTED_VALUE"""),44545.6666666666)</f>
        <v>44545.666666666599</v>
      </c>
      <c r="J748" s="2">
        <f ca="1">IFERROR(__xludf.DUMMYFUNCTION("""COMPUTED_VALUE"""),2947.37)</f>
        <v>2947.37</v>
      </c>
      <c r="K748" s="3">
        <f ca="1">IFERROR(__xludf.DUMMYFUNCTION("""COMPUTED_VALUE"""),44545.6666666666)</f>
        <v>44545.666666666599</v>
      </c>
      <c r="L748" s="2">
        <f ca="1">IFERROR(__xludf.DUMMYFUNCTION("""COMPUTED_VALUE"""),341.66)</f>
        <v>341.66</v>
      </c>
      <c r="M748" s="3">
        <f ca="1">IFERROR(__xludf.DUMMYFUNCTION("""COMPUTED_VALUE"""),44545.6666666666)</f>
        <v>44545.666666666599</v>
      </c>
      <c r="N748" s="2">
        <f ca="1">IFERROR(__xludf.DUMMYFUNCTION("""COMPUTED_VALUE"""),975.99)</f>
        <v>975.99</v>
      </c>
      <c r="O748" s="3">
        <f ca="1">IFERROR(__xludf.DUMMYFUNCTION("""COMPUTED_VALUE"""),44545.6666666666)</f>
        <v>44545.666666666599</v>
      </c>
      <c r="P748" s="2">
        <f ca="1">IFERROR(__xludf.DUMMYFUNCTION("""COMPUTED_VALUE"""),304.59)</f>
        <v>304.58999999999997</v>
      </c>
      <c r="Q748" s="3">
        <f ca="1">IFERROR(__xludf.DUMMYFUNCTION("""COMPUTED_VALUE"""),44545.6666666666)</f>
        <v>44545.666666666599</v>
      </c>
      <c r="R748" s="2">
        <f ca="1">IFERROR(__xludf.DUMMYFUNCTION("""COMPUTED_VALUE"""),294.58)</f>
        <v>294.58</v>
      </c>
      <c r="S748" s="3">
        <f ca="1">IFERROR(__xludf.DUMMYFUNCTION("""COMPUTED_VALUE"""),44545.6666666666)</f>
        <v>44545.666666666599</v>
      </c>
      <c r="T748" s="2">
        <f ca="1">IFERROR(__xludf.DUMMYFUNCTION("""COMPUTED_VALUE"""),171.14)</f>
        <v>171.14</v>
      </c>
    </row>
    <row r="749" spans="1:20">
      <c r="A749" s="3">
        <f ca="1">IFERROR(__xludf.DUMMYFUNCTION("""COMPUTED_VALUE"""),44546.6666666666)</f>
        <v>44546.666666666599</v>
      </c>
      <c r="B749" s="2">
        <f ca="1">IFERROR(__xludf.DUMMYFUNCTION("""COMPUTED_VALUE"""),172.26)</f>
        <v>172.26</v>
      </c>
      <c r="C749" s="3">
        <f ca="1">IFERROR(__xludf.DUMMYFUNCTION("""COMPUTED_VALUE"""),44546.6666666666)</f>
        <v>44546.666666666599</v>
      </c>
      <c r="D749" s="2">
        <f ca="1">IFERROR(__xludf.DUMMYFUNCTION("""COMPUTED_VALUE"""),324.9)</f>
        <v>324.89999999999998</v>
      </c>
      <c r="E749" s="3">
        <f ca="1">IFERROR(__xludf.DUMMYFUNCTION("""COMPUTED_VALUE"""),44546.6666666666)</f>
        <v>44546.666666666599</v>
      </c>
      <c r="F749" s="2">
        <f ca="1">IFERROR(__xludf.DUMMYFUNCTION("""COMPUTED_VALUE"""),3377.42)</f>
        <v>3377.42</v>
      </c>
      <c r="G749" s="3">
        <f ca="1">IFERROR(__xludf.DUMMYFUNCTION("""COMPUTED_VALUE"""),44546.6666666666)</f>
        <v>44546.666666666599</v>
      </c>
      <c r="H749" s="2">
        <f ca="1">IFERROR(__xludf.DUMMYFUNCTION("""COMPUTED_VALUE"""),2888.9)</f>
        <v>2888.9</v>
      </c>
      <c r="I749" s="3">
        <f ca="1">IFERROR(__xludf.DUMMYFUNCTION("""COMPUTED_VALUE"""),44546.6666666666)</f>
        <v>44546.666666666599</v>
      </c>
      <c r="J749" s="2">
        <f ca="1">IFERROR(__xludf.DUMMYFUNCTION("""COMPUTED_VALUE"""),2896.77)</f>
        <v>2896.77</v>
      </c>
      <c r="K749" s="3">
        <f ca="1">IFERROR(__xludf.DUMMYFUNCTION("""COMPUTED_VALUE"""),44546.6666666666)</f>
        <v>44546.666666666599</v>
      </c>
      <c r="L749" s="2">
        <f ca="1">IFERROR(__xludf.DUMMYFUNCTION("""COMPUTED_VALUE"""),334.9)</f>
        <v>334.9</v>
      </c>
      <c r="M749" s="3">
        <f ca="1">IFERROR(__xludf.DUMMYFUNCTION("""COMPUTED_VALUE"""),44546.6666666666)</f>
        <v>44546.666666666599</v>
      </c>
      <c r="N749" s="2">
        <f ca="1">IFERROR(__xludf.DUMMYFUNCTION("""COMPUTED_VALUE"""),926.92)</f>
        <v>926.92</v>
      </c>
      <c r="O749" s="3">
        <f ca="1">IFERROR(__xludf.DUMMYFUNCTION("""COMPUTED_VALUE"""),44546.6666666666)</f>
        <v>44546.666666666599</v>
      </c>
      <c r="P749" s="2">
        <f ca="1">IFERROR(__xludf.DUMMYFUNCTION("""COMPUTED_VALUE"""),283.87)</f>
        <v>283.87</v>
      </c>
      <c r="Q749" s="3">
        <f ca="1">IFERROR(__xludf.DUMMYFUNCTION("""COMPUTED_VALUE"""),44546.6666666666)</f>
        <v>44546.666666666599</v>
      </c>
      <c r="R749" s="2">
        <f ca="1">IFERROR(__xludf.DUMMYFUNCTION("""COMPUTED_VALUE"""),300.17)</f>
        <v>300.17</v>
      </c>
      <c r="S749" s="3">
        <f ca="1">IFERROR(__xludf.DUMMYFUNCTION("""COMPUTED_VALUE"""),44546.6666666666)</f>
        <v>44546.666666666599</v>
      </c>
      <c r="T749" s="2">
        <f ca="1">IFERROR(__xludf.DUMMYFUNCTION("""COMPUTED_VALUE"""),173.01)</f>
        <v>173.01</v>
      </c>
    </row>
    <row r="750" spans="1:20">
      <c r="A750" s="3">
        <f ca="1">IFERROR(__xludf.DUMMYFUNCTION("""COMPUTED_VALUE"""),44547.6666666666)</f>
        <v>44547.666666666599</v>
      </c>
      <c r="B750" s="2">
        <f ca="1">IFERROR(__xludf.DUMMYFUNCTION("""COMPUTED_VALUE"""),171.14)</f>
        <v>171.14</v>
      </c>
      <c r="C750" s="3">
        <f ca="1">IFERROR(__xludf.DUMMYFUNCTION("""COMPUTED_VALUE"""),44547.6666666666)</f>
        <v>44547.666666666599</v>
      </c>
      <c r="D750" s="2">
        <f ca="1">IFERROR(__xludf.DUMMYFUNCTION("""COMPUTED_VALUE"""),323.8)</f>
        <v>323.8</v>
      </c>
      <c r="E750" s="3">
        <f ca="1">IFERROR(__xludf.DUMMYFUNCTION("""COMPUTED_VALUE"""),44547.6666666666)</f>
        <v>44547.666666666599</v>
      </c>
      <c r="F750" s="2">
        <f ca="1">IFERROR(__xludf.DUMMYFUNCTION("""COMPUTED_VALUE"""),3400.35)</f>
        <v>3400.35</v>
      </c>
      <c r="G750" s="3">
        <f ca="1">IFERROR(__xludf.DUMMYFUNCTION("""COMPUTED_VALUE"""),44547.6666666666)</f>
        <v>44547.666666666599</v>
      </c>
      <c r="H750" s="2">
        <f ca="1">IFERROR(__xludf.DUMMYFUNCTION("""COMPUTED_VALUE"""),2834.5)</f>
        <v>2834.5</v>
      </c>
      <c r="I750" s="3">
        <f ca="1">IFERROR(__xludf.DUMMYFUNCTION("""COMPUTED_VALUE"""),44547.6666666666)</f>
        <v>44547.666666666599</v>
      </c>
      <c r="J750" s="2">
        <f ca="1">IFERROR(__xludf.DUMMYFUNCTION("""COMPUTED_VALUE"""),2856.06)</f>
        <v>2856.06</v>
      </c>
      <c r="K750" s="3">
        <f ca="1">IFERROR(__xludf.DUMMYFUNCTION("""COMPUTED_VALUE"""),44547.6666666666)</f>
        <v>44547.666666666599</v>
      </c>
      <c r="L750" s="2">
        <f ca="1">IFERROR(__xludf.DUMMYFUNCTION("""COMPUTED_VALUE"""),333.79)</f>
        <v>333.79</v>
      </c>
      <c r="M750" s="3">
        <f ca="1">IFERROR(__xludf.DUMMYFUNCTION("""COMPUTED_VALUE"""),44547.6666666666)</f>
        <v>44547.666666666599</v>
      </c>
      <c r="N750" s="2">
        <f ca="1">IFERROR(__xludf.DUMMYFUNCTION("""COMPUTED_VALUE"""),932.57)</f>
        <v>932.57</v>
      </c>
      <c r="O750" s="3">
        <f ca="1">IFERROR(__xludf.DUMMYFUNCTION("""COMPUTED_VALUE"""),44547.6666666666)</f>
        <v>44547.666666666599</v>
      </c>
      <c r="P750" s="2">
        <f ca="1">IFERROR(__xludf.DUMMYFUNCTION("""COMPUTED_VALUE"""),278.01)</f>
        <v>278.01</v>
      </c>
      <c r="Q750" s="3">
        <f ca="1">IFERROR(__xludf.DUMMYFUNCTION("""COMPUTED_VALUE"""),44547.6666666666)</f>
        <v>44547.666666666599</v>
      </c>
      <c r="R750" s="2">
        <f ca="1">IFERROR(__xludf.DUMMYFUNCTION("""COMPUTED_VALUE"""),293.66)</f>
        <v>293.66000000000003</v>
      </c>
      <c r="S750" s="3">
        <f ca="1">IFERROR(__xludf.DUMMYFUNCTION("""COMPUTED_VALUE"""),44547.6666666666)</f>
        <v>44547.666666666599</v>
      </c>
      <c r="T750" s="2">
        <f ca="1">IFERROR(__xludf.DUMMYFUNCTION("""COMPUTED_VALUE"""),168.23)</f>
        <v>168.23</v>
      </c>
    </row>
    <row r="751" spans="1:20">
      <c r="A751" s="3">
        <f ca="1">IFERROR(__xludf.DUMMYFUNCTION("""COMPUTED_VALUE"""),44550.6666666666)</f>
        <v>44550.666666666599</v>
      </c>
      <c r="B751" s="2">
        <f ca="1">IFERROR(__xludf.DUMMYFUNCTION("""COMPUTED_VALUE"""),169.75)</f>
        <v>169.75</v>
      </c>
      <c r="C751" s="3">
        <f ca="1">IFERROR(__xludf.DUMMYFUNCTION("""COMPUTED_VALUE"""),44550.6666666666)</f>
        <v>44550.666666666599</v>
      </c>
      <c r="D751" s="2">
        <f ca="1">IFERROR(__xludf.DUMMYFUNCTION("""COMPUTED_VALUE"""),319.91)</f>
        <v>319.91000000000003</v>
      </c>
      <c r="E751" s="3">
        <f ca="1">IFERROR(__xludf.DUMMYFUNCTION("""COMPUTED_VALUE"""),44550.6666666666)</f>
        <v>44550.666666666599</v>
      </c>
      <c r="F751" s="2">
        <f ca="1">IFERROR(__xludf.DUMMYFUNCTION("""COMPUTED_VALUE"""),3341.58)</f>
        <v>3341.58</v>
      </c>
      <c r="G751" s="3">
        <f ca="1">IFERROR(__xludf.DUMMYFUNCTION("""COMPUTED_VALUE"""),44550.6666666666)</f>
        <v>44550.666666666599</v>
      </c>
      <c r="H751" s="2">
        <f ca="1">IFERROR(__xludf.DUMMYFUNCTION("""COMPUTED_VALUE"""),2832.14)</f>
        <v>2832.14</v>
      </c>
      <c r="I751" s="3">
        <f ca="1">IFERROR(__xludf.DUMMYFUNCTION("""COMPUTED_VALUE"""),44550.6666666666)</f>
        <v>44550.666666666599</v>
      </c>
      <c r="J751" s="2">
        <f ca="1">IFERROR(__xludf.DUMMYFUNCTION("""COMPUTED_VALUE"""),2848.03)</f>
        <v>2848.03</v>
      </c>
      <c r="K751" s="3">
        <f ca="1">IFERROR(__xludf.DUMMYFUNCTION("""COMPUTED_VALUE"""),44550.6666666666)</f>
        <v>44550.666666666599</v>
      </c>
      <c r="L751" s="2">
        <f ca="1">IFERROR(__xludf.DUMMYFUNCTION("""COMPUTED_VALUE"""),325.45)</f>
        <v>325.45</v>
      </c>
      <c r="M751" s="3">
        <f ca="1">IFERROR(__xludf.DUMMYFUNCTION("""COMPUTED_VALUE"""),44550.6666666666)</f>
        <v>44550.666666666599</v>
      </c>
      <c r="N751" s="2">
        <f ca="1">IFERROR(__xludf.DUMMYFUNCTION("""COMPUTED_VALUE"""),899.94)</f>
        <v>899.94</v>
      </c>
      <c r="O751" s="3">
        <f ca="1">IFERROR(__xludf.DUMMYFUNCTION("""COMPUTED_VALUE"""),44550.6666666666)</f>
        <v>44550.666666666599</v>
      </c>
      <c r="P751" s="2">
        <f ca="1">IFERROR(__xludf.DUMMYFUNCTION("""COMPUTED_VALUE"""),277.19)</f>
        <v>277.19</v>
      </c>
      <c r="Q751" s="3">
        <f ca="1">IFERROR(__xludf.DUMMYFUNCTION("""COMPUTED_VALUE"""),44550.6666666666)</f>
        <v>44550.666666666599</v>
      </c>
      <c r="R751" s="2">
        <f ca="1">IFERROR(__xludf.DUMMYFUNCTION("""COMPUTED_VALUE"""),289.61)</f>
        <v>289.61</v>
      </c>
      <c r="S751" s="3">
        <f ca="1">IFERROR(__xludf.DUMMYFUNCTION("""COMPUTED_VALUE"""),44550.6666666666)</f>
        <v>44550.666666666599</v>
      </c>
      <c r="T751" s="2">
        <f ca="1">IFERROR(__xludf.DUMMYFUNCTION("""COMPUTED_VALUE"""),167.75)</f>
        <v>167.75</v>
      </c>
    </row>
    <row r="752" spans="1:20">
      <c r="A752" s="3">
        <f ca="1">IFERROR(__xludf.DUMMYFUNCTION("""COMPUTED_VALUE"""),44551.6666666666)</f>
        <v>44551.666666666599</v>
      </c>
      <c r="B752" s="2">
        <f ca="1">IFERROR(__xludf.DUMMYFUNCTION("""COMPUTED_VALUE"""),172.99)</f>
        <v>172.99</v>
      </c>
      <c r="C752" s="3">
        <f ca="1">IFERROR(__xludf.DUMMYFUNCTION("""COMPUTED_VALUE"""),44551.6666666666)</f>
        <v>44551.666666666599</v>
      </c>
      <c r="D752" s="2">
        <f ca="1">IFERROR(__xludf.DUMMYFUNCTION("""COMPUTED_VALUE"""),327.29)</f>
        <v>327.29000000000002</v>
      </c>
      <c r="E752" s="3">
        <f ca="1">IFERROR(__xludf.DUMMYFUNCTION("""COMPUTED_VALUE"""),44551.6666666666)</f>
        <v>44551.666666666599</v>
      </c>
      <c r="F752" s="2">
        <f ca="1">IFERROR(__xludf.DUMMYFUNCTION("""COMPUTED_VALUE"""),3408.34)</f>
        <v>3408.34</v>
      </c>
      <c r="G752" s="3">
        <f ca="1">IFERROR(__xludf.DUMMYFUNCTION("""COMPUTED_VALUE"""),44551.6666666666)</f>
        <v>44551.666666666599</v>
      </c>
      <c r="H752" s="2">
        <f ca="1">IFERROR(__xludf.DUMMYFUNCTION("""COMPUTED_VALUE"""),2869.45)</f>
        <v>2869.45</v>
      </c>
      <c r="I752" s="3">
        <f ca="1">IFERROR(__xludf.DUMMYFUNCTION("""COMPUTED_VALUE"""),44551.6666666666)</f>
        <v>44551.666666666599</v>
      </c>
      <c r="J752" s="2">
        <f ca="1">IFERROR(__xludf.DUMMYFUNCTION("""COMPUTED_VALUE"""),2884.41)</f>
        <v>2884.41</v>
      </c>
      <c r="K752" s="3">
        <f ca="1">IFERROR(__xludf.DUMMYFUNCTION("""COMPUTED_VALUE"""),44551.6666666666)</f>
        <v>44551.666666666599</v>
      </c>
      <c r="L752" s="2">
        <f ca="1">IFERROR(__xludf.DUMMYFUNCTION("""COMPUTED_VALUE"""),334.2)</f>
        <v>334.2</v>
      </c>
      <c r="M752" s="3">
        <f ca="1">IFERROR(__xludf.DUMMYFUNCTION("""COMPUTED_VALUE"""),44551.6666666666)</f>
        <v>44551.666666666599</v>
      </c>
      <c r="N752" s="2">
        <f ca="1">IFERROR(__xludf.DUMMYFUNCTION("""COMPUTED_VALUE"""),938.53)</f>
        <v>938.53</v>
      </c>
      <c r="O752" s="3">
        <f ca="1">IFERROR(__xludf.DUMMYFUNCTION("""COMPUTED_VALUE"""),44551.6666666666)</f>
        <v>44551.666666666599</v>
      </c>
      <c r="P752" s="2">
        <f ca="1">IFERROR(__xludf.DUMMYFUNCTION("""COMPUTED_VALUE"""),290.75)</f>
        <v>290.75</v>
      </c>
      <c r="Q752" s="3">
        <f ca="1">IFERROR(__xludf.DUMMYFUNCTION("""COMPUTED_VALUE"""),44551.6666666666)</f>
        <v>44551.666666666599</v>
      </c>
      <c r="R752" s="2">
        <f ca="1">IFERROR(__xludf.DUMMYFUNCTION("""COMPUTED_VALUE"""),293.24)</f>
        <v>293.24</v>
      </c>
      <c r="S752" s="3">
        <f ca="1">IFERROR(__xludf.DUMMYFUNCTION("""COMPUTED_VALUE"""),44551.6666666666)</f>
        <v>44551.666666666599</v>
      </c>
      <c r="T752" s="2">
        <f ca="1">IFERROR(__xludf.DUMMYFUNCTION("""COMPUTED_VALUE"""),167.21)</f>
        <v>167.21</v>
      </c>
    </row>
    <row r="753" spans="1:20">
      <c r="A753" s="3">
        <f ca="1">IFERROR(__xludf.DUMMYFUNCTION("""COMPUTED_VALUE"""),44552.6666666666)</f>
        <v>44552.666666666599</v>
      </c>
      <c r="B753" s="2">
        <f ca="1">IFERROR(__xludf.DUMMYFUNCTION("""COMPUTED_VALUE"""),175.64)</f>
        <v>175.64</v>
      </c>
      <c r="C753" s="3">
        <f ca="1">IFERROR(__xludf.DUMMYFUNCTION("""COMPUTED_VALUE"""),44552.6666666666)</f>
        <v>44552.666666666599</v>
      </c>
      <c r="D753" s="2">
        <f ca="1">IFERROR(__xludf.DUMMYFUNCTION("""COMPUTED_VALUE"""),333.2)</f>
        <v>333.2</v>
      </c>
      <c r="E753" s="3">
        <f ca="1">IFERROR(__xludf.DUMMYFUNCTION("""COMPUTED_VALUE"""),44552.6666666666)</f>
        <v>44552.666666666599</v>
      </c>
      <c r="F753" s="2">
        <f ca="1">IFERROR(__xludf.DUMMYFUNCTION("""COMPUTED_VALUE"""),3420.74)</f>
        <v>3420.74</v>
      </c>
      <c r="G753" s="3">
        <f ca="1">IFERROR(__xludf.DUMMYFUNCTION("""COMPUTED_VALUE"""),44552.6666666666)</f>
        <v>44552.666666666599</v>
      </c>
      <c r="H753" s="2">
        <f ca="1">IFERROR(__xludf.DUMMYFUNCTION("""COMPUTED_VALUE"""),2928.3)</f>
        <v>2928.3</v>
      </c>
      <c r="I753" s="3">
        <f ca="1">IFERROR(__xludf.DUMMYFUNCTION("""COMPUTED_VALUE"""),44552.6666666666)</f>
        <v>44552.666666666599</v>
      </c>
      <c r="J753" s="2">
        <f ca="1">IFERROR(__xludf.DUMMYFUNCTION("""COMPUTED_VALUE"""),2938.98)</f>
        <v>2938.98</v>
      </c>
      <c r="K753" s="3">
        <f ca="1">IFERROR(__xludf.DUMMYFUNCTION("""COMPUTED_VALUE"""),44552.6666666666)</f>
        <v>44552.666666666599</v>
      </c>
      <c r="L753" s="2">
        <f ca="1">IFERROR(__xludf.DUMMYFUNCTION("""COMPUTED_VALUE"""),330.45)</f>
        <v>330.45</v>
      </c>
      <c r="M753" s="3">
        <f ca="1">IFERROR(__xludf.DUMMYFUNCTION("""COMPUTED_VALUE"""),44552.6666666666)</f>
        <v>44552.666666666599</v>
      </c>
      <c r="N753" s="2">
        <f ca="1">IFERROR(__xludf.DUMMYFUNCTION("""COMPUTED_VALUE"""),1008.87)</f>
        <v>1008.87</v>
      </c>
      <c r="O753" s="3">
        <f ca="1">IFERROR(__xludf.DUMMYFUNCTION("""COMPUTED_VALUE"""),44552.6666666666)</f>
        <v>44552.666666666599</v>
      </c>
      <c r="P753" s="2">
        <f ca="1">IFERROR(__xludf.DUMMYFUNCTION("""COMPUTED_VALUE"""),294)</f>
        <v>294</v>
      </c>
      <c r="Q753" s="3">
        <f ca="1">IFERROR(__xludf.DUMMYFUNCTION("""COMPUTED_VALUE"""),44552.6666666666)</f>
        <v>44552.666666666599</v>
      </c>
      <c r="R753" s="2">
        <f ca="1">IFERROR(__xludf.DUMMYFUNCTION("""COMPUTED_VALUE"""),294.41)</f>
        <v>294.41000000000003</v>
      </c>
      <c r="S753" s="3">
        <f ca="1">IFERROR(__xludf.DUMMYFUNCTION("""COMPUTED_VALUE"""),44552.6666666666)</f>
        <v>44552.666666666599</v>
      </c>
      <c r="T753" s="2">
        <f ca="1">IFERROR(__xludf.DUMMYFUNCTION("""COMPUTED_VALUE"""),167.93)</f>
        <v>167.93</v>
      </c>
    </row>
    <row r="754" spans="1:20">
      <c r="A754" s="3">
        <f ca="1">IFERROR(__xludf.DUMMYFUNCTION("""COMPUTED_VALUE"""),44553.6666666666)</f>
        <v>44553.666666666599</v>
      </c>
      <c r="B754" s="2">
        <f ca="1">IFERROR(__xludf.DUMMYFUNCTION("""COMPUTED_VALUE"""),176.28)</f>
        <v>176.28</v>
      </c>
      <c r="C754" s="3">
        <f ca="1">IFERROR(__xludf.DUMMYFUNCTION("""COMPUTED_VALUE"""),44553.6666666666)</f>
        <v>44553.666666666599</v>
      </c>
      <c r="D754" s="2">
        <f ca="1">IFERROR(__xludf.DUMMYFUNCTION("""COMPUTED_VALUE"""),334.69)</f>
        <v>334.69</v>
      </c>
      <c r="E754" s="3">
        <f ca="1">IFERROR(__xludf.DUMMYFUNCTION("""COMPUTED_VALUE"""),44553.6666666666)</f>
        <v>44553.666666666599</v>
      </c>
      <c r="F754" s="2">
        <f ca="1">IFERROR(__xludf.DUMMYFUNCTION("""COMPUTED_VALUE"""),3421.37)</f>
        <v>3421.37</v>
      </c>
      <c r="G754" s="3">
        <f ca="1">IFERROR(__xludf.DUMMYFUNCTION("""COMPUTED_VALUE"""),44553.6666666666)</f>
        <v>44553.666666666599</v>
      </c>
      <c r="H754" s="2">
        <f ca="1">IFERROR(__xludf.DUMMYFUNCTION("""COMPUTED_VALUE"""),2938.33)</f>
        <v>2938.33</v>
      </c>
      <c r="I754" s="3">
        <f ca="1">IFERROR(__xludf.DUMMYFUNCTION("""COMPUTED_VALUE"""),44553.6666666666)</f>
        <v>44553.666666666599</v>
      </c>
      <c r="J754" s="2">
        <f ca="1">IFERROR(__xludf.DUMMYFUNCTION("""COMPUTED_VALUE"""),2942.85)</f>
        <v>2942.85</v>
      </c>
      <c r="K754" s="3">
        <f ca="1">IFERROR(__xludf.DUMMYFUNCTION("""COMPUTED_VALUE"""),44553.6666666666)</f>
        <v>44553.666666666599</v>
      </c>
      <c r="L754" s="2">
        <f ca="1">IFERROR(__xludf.DUMMYFUNCTION("""COMPUTED_VALUE"""),335.24)</f>
        <v>335.24</v>
      </c>
      <c r="M754" s="3">
        <f ca="1">IFERROR(__xludf.DUMMYFUNCTION("""COMPUTED_VALUE"""),44553.6666666666)</f>
        <v>44553.666666666599</v>
      </c>
      <c r="N754" s="2">
        <f ca="1">IFERROR(__xludf.DUMMYFUNCTION("""COMPUTED_VALUE"""),1067)</f>
        <v>1067</v>
      </c>
      <c r="O754" s="3">
        <f ca="1">IFERROR(__xludf.DUMMYFUNCTION("""COMPUTED_VALUE"""),44553.6666666666)</f>
        <v>44553.666666666599</v>
      </c>
      <c r="P754" s="2">
        <f ca="1">IFERROR(__xludf.DUMMYFUNCTION("""COMPUTED_VALUE"""),296.4)</f>
        <v>296.39999999999998</v>
      </c>
      <c r="Q754" s="3">
        <f ca="1">IFERROR(__xludf.DUMMYFUNCTION("""COMPUTED_VALUE"""),44553.6666666666)</f>
        <v>44553.666666666599</v>
      </c>
      <c r="R754" s="2">
        <f ca="1">IFERROR(__xludf.DUMMYFUNCTION("""COMPUTED_VALUE"""),294.49)</f>
        <v>294.49</v>
      </c>
      <c r="S754" s="3">
        <f ca="1">IFERROR(__xludf.DUMMYFUNCTION("""COMPUTED_VALUE"""),44553.6666666666)</f>
        <v>44553.666666666599</v>
      </c>
      <c r="T754" s="2">
        <f ca="1">IFERROR(__xludf.DUMMYFUNCTION("""COMPUTED_VALUE"""),168.25)</f>
        <v>168.25</v>
      </c>
    </row>
    <row r="755" spans="1:20">
      <c r="A755" s="3">
        <f ca="1">IFERROR(__xludf.DUMMYFUNCTION("""COMPUTED_VALUE"""),44557.6666666666)</f>
        <v>44557.666666666599</v>
      </c>
      <c r="B755" s="2">
        <f ca="1">IFERROR(__xludf.DUMMYFUNCTION("""COMPUTED_VALUE"""),180.33)</f>
        <v>180.33</v>
      </c>
      <c r="C755" s="3">
        <f ca="1">IFERROR(__xludf.DUMMYFUNCTION("""COMPUTED_VALUE"""),44557.6666666666)</f>
        <v>44557.666666666599</v>
      </c>
      <c r="D755" s="2">
        <f ca="1">IFERROR(__xludf.DUMMYFUNCTION("""COMPUTED_VALUE"""),342.45)</f>
        <v>342.45</v>
      </c>
      <c r="E755" s="3">
        <f ca="1">IFERROR(__xludf.DUMMYFUNCTION("""COMPUTED_VALUE"""),44557.6666666666)</f>
        <v>44557.666666666599</v>
      </c>
      <c r="F755" s="2">
        <f ca="1">IFERROR(__xludf.DUMMYFUNCTION("""COMPUTED_VALUE"""),3393.39)</f>
        <v>3393.39</v>
      </c>
      <c r="G755" s="3">
        <f ca="1">IFERROR(__xludf.DUMMYFUNCTION("""COMPUTED_VALUE"""),44557.6666666666)</f>
        <v>44557.666666666599</v>
      </c>
      <c r="H755" s="2">
        <f ca="1">IFERROR(__xludf.DUMMYFUNCTION("""COMPUTED_VALUE"""),2958.13)</f>
        <v>2958.13</v>
      </c>
      <c r="I755" s="3">
        <f ca="1">IFERROR(__xludf.DUMMYFUNCTION("""COMPUTED_VALUE"""),44557.6666666666)</f>
        <v>44557.666666666599</v>
      </c>
      <c r="J755" s="2">
        <f ca="1">IFERROR(__xludf.DUMMYFUNCTION("""COMPUTED_VALUE"""),2961.28)</f>
        <v>2961.28</v>
      </c>
      <c r="K755" s="3">
        <f ca="1">IFERROR(__xludf.DUMMYFUNCTION("""COMPUTED_VALUE"""),44557.6666666666)</f>
        <v>44557.666666666599</v>
      </c>
      <c r="L755" s="2">
        <f ca="1">IFERROR(__xludf.DUMMYFUNCTION("""COMPUTED_VALUE"""),346.18)</f>
        <v>346.18</v>
      </c>
      <c r="M755" s="3">
        <f ca="1">IFERROR(__xludf.DUMMYFUNCTION("""COMPUTED_VALUE"""),44557.6666666666)</f>
        <v>44557.666666666599</v>
      </c>
      <c r="N755" s="2">
        <f ca="1">IFERROR(__xludf.DUMMYFUNCTION("""COMPUTED_VALUE"""),1093.94)</f>
        <v>1093.94</v>
      </c>
      <c r="O755" s="3">
        <f ca="1">IFERROR(__xludf.DUMMYFUNCTION("""COMPUTED_VALUE"""),44557.6666666666)</f>
        <v>44557.666666666599</v>
      </c>
      <c r="P755" s="2">
        <f ca="1">IFERROR(__xludf.DUMMYFUNCTION("""COMPUTED_VALUE"""),309.45)</f>
        <v>309.45</v>
      </c>
      <c r="Q755" s="3">
        <f ca="1">IFERROR(__xludf.DUMMYFUNCTION("""COMPUTED_VALUE"""),44557.6666666666)</f>
        <v>44557.666666666599</v>
      </c>
      <c r="R755" s="2">
        <f ca="1">IFERROR(__xludf.DUMMYFUNCTION("""COMPUTED_VALUE"""),296.67)</f>
        <v>296.67</v>
      </c>
      <c r="S755" s="3">
        <f ca="1">IFERROR(__xludf.DUMMYFUNCTION("""COMPUTED_VALUE"""),44557.6666666666)</f>
        <v>44557.666666666599</v>
      </c>
      <c r="T755" s="2">
        <f ca="1">IFERROR(__xludf.DUMMYFUNCTION("""COMPUTED_VALUE"""),169.67)</f>
        <v>169.67</v>
      </c>
    </row>
    <row r="756" spans="1:20">
      <c r="A756" s="3">
        <f ca="1">IFERROR(__xludf.DUMMYFUNCTION("""COMPUTED_VALUE"""),44558.6666666666)</f>
        <v>44558.666666666599</v>
      </c>
      <c r="B756" s="2">
        <f ca="1">IFERROR(__xludf.DUMMYFUNCTION("""COMPUTED_VALUE"""),179.29)</f>
        <v>179.29</v>
      </c>
      <c r="C756" s="3">
        <f ca="1">IFERROR(__xludf.DUMMYFUNCTION("""COMPUTED_VALUE"""),44558.6666666666)</f>
        <v>44558.666666666599</v>
      </c>
      <c r="D756" s="2">
        <f ca="1">IFERROR(__xludf.DUMMYFUNCTION("""COMPUTED_VALUE"""),341.25)</f>
        <v>341.25</v>
      </c>
      <c r="E756" s="3">
        <f ca="1">IFERROR(__xludf.DUMMYFUNCTION("""COMPUTED_VALUE"""),44558.6666666666)</f>
        <v>44558.666666666599</v>
      </c>
      <c r="F756" s="2">
        <f ca="1">IFERROR(__xludf.DUMMYFUNCTION("""COMPUTED_VALUE"""),3413.22)</f>
        <v>3413.22</v>
      </c>
      <c r="G756" s="3">
        <f ca="1">IFERROR(__xludf.DUMMYFUNCTION("""COMPUTED_VALUE"""),44558.6666666666)</f>
        <v>44558.666666666599</v>
      </c>
      <c r="H756" s="2">
        <f ca="1">IFERROR(__xludf.DUMMYFUNCTION("""COMPUTED_VALUE"""),2933.74)</f>
        <v>2933.74</v>
      </c>
      <c r="I756" s="3">
        <f ca="1">IFERROR(__xludf.DUMMYFUNCTION("""COMPUTED_VALUE"""),44558.6666666666)</f>
        <v>44558.666666666599</v>
      </c>
      <c r="J756" s="2">
        <f ca="1">IFERROR(__xludf.DUMMYFUNCTION("""COMPUTED_VALUE"""),2928.96)</f>
        <v>2928.96</v>
      </c>
      <c r="K756" s="3">
        <f ca="1">IFERROR(__xludf.DUMMYFUNCTION("""COMPUTED_VALUE"""),44558.6666666666)</f>
        <v>44558.666666666599</v>
      </c>
      <c r="L756" s="2">
        <f ca="1">IFERROR(__xludf.DUMMYFUNCTION("""COMPUTED_VALUE"""),346.22)</f>
        <v>346.22</v>
      </c>
      <c r="M756" s="3">
        <f ca="1">IFERROR(__xludf.DUMMYFUNCTION("""COMPUTED_VALUE"""),44558.6666666666)</f>
        <v>44558.666666666599</v>
      </c>
      <c r="N756" s="2">
        <f ca="1">IFERROR(__xludf.DUMMYFUNCTION("""COMPUTED_VALUE"""),1088.47)</f>
        <v>1088.47</v>
      </c>
      <c r="O756" s="3">
        <f ca="1">IFERROR(__xludf.DUMMYFUNCTION("""COMPUTED_VALUE"""),44558.6666666666)</f>
        <v>44558.666666666599</v>
      </c>
      <c r="P756" s="2">
        <f ca="1">IFERROR(__xludf.DUMMYFUNCTION("""COMPUTED_VALUE"""),303.22)</f>
        <v>303.22000000000003</v>
      </c>
      <c r="Q756" s="3">
        <f ca="1">IFERROR(__xludf.DUMMYFUNCTION("""COMPUTED_VALUE"""),44558.6666666666)</f>
        <v>44558.666666666599</v>
      </c>
      <c r="R756" s="2">
        <f ca="1">IFERROR(__xludf.DUMMYFUNCTION("""COMPUTED_VALUE"""),298.29)</f>
        <v>298.29000000000002</v>
      </c>
      <c r="S756" s="3">
        <f ca="1">IFERROR(__xludf.DUMMYFUNCTION("""COMPUTED_VALUE"""),44558.6666666666)</f>
        <v>44558.666666666599</v>
      </c>
      <c r="T756" s="2">
        <f ca="1">IFERROR(__xludf.DUMMYFUNCTION("""COMPUTED_VALUE"""),170.35)</f>
        <v>170.35</v>
      </c>
    </row>
    <row r="757" spans="1:20">
      <c r="A757" s="3">
        <f ca="1">IFERROR(__xludf.DUMMYFUNCTION("""COMPUTED_VALUE"""),44559.6666666666)</f>
        <v>44559.666666666599</v>
      </c>
      <c r="B757" s="2">
        <f ca="1">IFERROR(__xludf.DUMMYFUNCTION("""COMPUTED_VALUE"""),179.38)</f>
        <v>179.38</v>
      </c>
      <c r="C757" s="3">
        <f ca="1">IFERROR(__xludf.DUMMYFUNCTION("""COMPUTED_VALUE"""),44559.6666666666)</f>
        <v>44559.666666666599</v>
      </c>
      <c r="D757" s="2">
        <f ca="1">IFERROR(__xludf.DUMMYFUNCTION("""COMPUTED_VALUE"""),341.95)</f>
        <v>341.95</v>
      </c>
      <c r="E757" s="3">
        <f ca="1">IFERROR(__xludf.DUMMYFUNCTION("""COMPUTED_VALUE"""),44559.6666666666)</f>
        <v>44559.666666666599</v>
      </c>
      <c r="F757" s="2">
        <f ca="1">IFERROR(__xludf.DUMMYFUNCTION("""COMPUTED_VALUE"""),3384.02)</f>
        <v>3384.02</v>
      </c>
      <c r="G757" s="3">
        <f ca="1">IFERROR(__xludf.DUMMYFUNCTION("""COMPUTED_VALUE"""),44559.6666666666)</f>
        <v>44559.666666666599</v>
      </c>
      <c r="H757" s="2">
        <f ca="1">IFERROR(__xludf.DUMMYFUNCTION("""COMPUTED_VALUE"""),2933.1)</f>
        <v>2933.1</v>
      </c>
      <c r="I757" s="3">
        <f ca="1">IFERROR(__xludf.DUMMYFUNCTION("""COMPUTED_VALUE"""),44559.6666666666)</f>
        <v>44559.666666666599</v>
      </c>
      <c r="J757" s="2">
        <f ca="1">IFERROR(__xludf.DUMMYFUNCTION("""COMPUTED_VALUE"""),2930.09)</f>
        <v>2930.09</v>
      </c>
      <c r="K757" s="3">
        <f ca="1">IFERROR(__xludf.DUMMYFUNCTION("""COMPUTED_VALUE"""),44559.6666666666)</f>
        <v>44559.666666666599</v>
      </c>
      <c r="L757" s="2">
        <f ca="1">IFERROR(__xludf.DUMMYFUNCTION("""COMPUTED_VALUE"""),342.94)</f>
        <v>342.94</v>
      </c>
      <c r="M757" s="3">
        <f ca="1">IFERROR(__xludf.DUMMYFUNCTION("""COMPUTED_VALUE"""),44559.6666666666)</f>
        <v>44559.666666666599</v>
      </c>
      <c r="N757" s="2">
        <f ca="1">IFERROR(__xludf.DUMMYFUNCTION("""COMPUTED_VALUE"""),1086.19)</f>
        <v>1086.19</v>
      </c>
      <c r="O757" s="3">
        <f ca="1">IFERROR(__xludf.DUMMYFUNCTION("""COMPUTED_VALUE"""),44559.6666666666)</f>
        <v>44559.666666666599</v>
      </c>
      <c r="P757" s="2">
        <f ca="1">IFERROR(__xludf.DUMMYFUNCTION("""COMPUTED_VALUE"""),300.01)</f>
        <v>300.01</v>
      </c>
      <c r="Q757" s="3">
        <f ca="1">IFERROR(__xludf.DUMMYFUNCTION("""COMPUTED_VALUE"""),44559.6666666666)</f>
        <v>44559.666666666599</v>
      </c>
      <c r="R757" s="2">
        <f ca="1">IFERROR(__xludf.DUMMYFUNCTION("""COMPUTED_VALUE"""),299.46)</f>
        <v>299.45999999999998</v>
      </c>
      <c r="S757" s="3">
        <f ca="1">IFERROR(__xludf.DUMMYFUNCTION("""COMPUTED_VALUE"""),44559.6666666666)</f>
        <v>44559.666666666599</v>
      </c>
      <c r="T757" s="2">
        <f ca="1">IFERROR(__xludf.DUMMYFUNCTION("""COMPUTED_VALUE"""),171.55)</f>
        <v>171.55</v>
      </c>
    </row>
    <row r="758" spans="1:20">
      <c r="A758" s="3">
        <f ca="1">IFERROR(__xludf.DUMMYFUNCTION("""COMPUTED_VALUE"""),44560.6666666666)</f>
        <v>44560.666666666599</v>
      </c>
      <c r="B758" s="2">
        <f ca="1">IFERROR(__xludf.DUMMYFUNCTION("""COMPUTED_VALUE"""),178.2)</f>
        <v>178.2</v>
      </c>
      <c r="C758" s="3">
        <f ca="1">IFERROR(__xludf.DUMMYFUNCTION("""COMPUTED_VALUE"""),44560.6666666666)</f>
        <v>44560.666666666599</v>
      </c>
      <c r="D758" s="2">
        <f ca="1">IFERROR(__xludf.DUMMYFUNCTION("""COMPUTED_VALUE"""),339.32)</f>
        <v>339.32</v>
      </c>
      <c r="E758" s="3">
        <f ca="1">IFERROR(__xludf.DUMMYFUNCTION("""COMPUTED_VALUE"""),44560.6666666666)</f>
        <v>44560.666666666599</v>
      </c>
      <c r="F758" s="2">
        <f ca="1">IFERROR(__xludf.DUMMYFUNCTION("""COMPUTED_VALUE"""),3372.89)</f>
        <v>3372.89</v>
      </c>
      <c r="G758" s="3">
        <f ca="1">IFERROR(__xludf.DUMMYFUNCTION("""COMPUTED_VALUE"""),44560.6666666666)</f>
        <v>44560.666666666599</v>
      </c>
      <c r="H758" s="2">
        <f ca="1">IFERROR(__xludf.DUMMYFUNCTION("""COMPUTED_VALUE"""),2924.01)</f>
        <v>2924.01</v>
      </c>
      <c r="I758" s="3">
        <f ca="1">IFERROR(__xludf.DUMMYFUNCTION("""COMPUTED_VALUE"""),44560.6666666666)</f>
        <v>44560.666666666599</v>
      </c>
      <c r="J758" s="2">
        <f ca="1">IFERROR(__xludf.DUMMYFUNCTION("""COMPUTED_VALUE"""),2920.05)</f>
        <v>2920.05</v>
      </c>
      <c r="K758" s="3">
        <f ca="1">IFERROR(__xludf.DUMMYFUNCTION("""COMPUTED_VALUE"""),44560.6666666666)</f>
        <v>44560.666666666599</v>
      </c>
      <c r="L758" s="2">
        <f ca="1">IFERROR(__xludf.DUMMYFUNCTION("""COMPUTED_VALUE"""),344.36)</f>
        <v>344.36</v>
      </c>
      <c r="M758" s="3">
        <f ca="1">IFERROR(__xludf.DUMMYFUNCTION("""COMPUTED_VALUE"""),44560.6666666666)</f>
        <v>44560.666666666599</v>
      </c>
      <c r="N758" s="2">
        <f ca="1">IFERROR(__xludf.DUMMYFUNCTION("""COMPUTED_VALUE"""),1070.34)</f>
        <v>1070.3399999999999</v>
      </c>
      <c r="O758" s="3">
        <f ca="1">IFERROR(__xludf.DUMMYFUNCTION("""COMPUTED_VALUE"""),44560.6666666666)</f>
        <v>44560.666666666599</v>
      </c>
      <c r="P758" s="2">
        <f ca="1">IFERROR(__xludf.DUMMYFUNCTION("""COMPUTED_VALUE"""),295.86)</f>
        <v>295.86</v>
      </c>
      <c r="Q758" s="3">
        <f ca="1">IFERROR(__xludf.DUMMYFUNCTION("""COMPUTED_VALUE"""),44560.6666666666)</f>
        <v>44560.666666666599</v>
      </c>
      <c r="R758" s="2">
        <f ca="1">IFERROR(__xludf.DUMMYFUNCTION("""COMPUTED_VALUE"""),299.98)</f>
        <v>299.98</v>
      </c>
      <c r="S758" s="3">
        <f ca="1">IFERROR(__xludf.DUMMYFUNCTION("""COMPUTED_VALUE"""),44560.6666666666)</f>
        <v>44560.666666666599</v>
      </c>
      <c r="T758" s="2">
        <f ca="1">IFERROR(__xludf.DUMMYFUNCTION("""COMPUTED_VALUE"""),172.31)</f>
        <v>172.31</v>
      </c>
    </row>
    <row r="759" spans="1:20">
      <c r="A759" s="3">
        <f ca="1">IFERROR(__xludf.DUMMYFUNCTION("""COMPUTED_VALUE"""),44561.6666666666)</f>
        <v>44561.666666666599</v>
      </c>
      <c r="B759" s="2">
        <f ca="1">IFERROR(__xludf.DUMMYFUNCTION("""COMPUTED_VALUE"""),177.57)</f>
        <v>177.57</v>
      </c>
      <c r="C759" s="3">
        <f ca="1">IFERROR(__xludf.DUMMYFUNCTION("""COMPUTED_VALUE"""),44561.6666666666)</f>
        <v>44561.666666666599</v>
      </c>
      <c r="D759" s="2">
        <f ca="1">IFERROR(__xludf.DUMMYFUNCTION("""COMPUTED_VALUE"""),336.32)</f>
        <v>336.32</v>
      </c>
      <c r="E759" s="3">
        <f ca="1">IFERROR(__xludf.DUMMYFUNCTION("""COMPUTED_VALUE"""),44561.6666666666)</f>
        <v>44561.666666666599</v>
      </c>
      <c r="F759" s="2">
        <f ca="1">IFERROR(__xludf.DUMMYFUNCTION("""COMPUTED_VALUE"""),3334.34)</f>
        <v>3334.34</v>
      </c>
      <c r="G759" s="3">
        <f ca="1">IFERROR(__xludf.DUMMYFUNCTION("""COMPUTED_VALUE"""),44561.6666666666)</f>
        <v>44561.666666666599</v>
      </c>
      <c r="H759" s="2">
        <f ca="1">IFERROR(__xludf.DUMMYFUNCTION("""COMPUTED_VALUE"""),2897.04)</f>
        <v>2897.04</v>
      </c>
      <c r="I759" s="3">
        <f ca="1">IFERROR(__xludf.DUMMYFUNCTION("""COMPUTED_VALUE"""),44561.6666666666)</f>
        <v>44561.666666666599</v>
      </c>
      <c r="J759" s="2">
        <f ca="1">IFERROR(__xludf.DUMMYFUNCTION("""COMPUTED_VALUE"""),2893.59)</f>
        <v>2893.59</v>
      </c>
      <c r="K759" s="3">
        <f ca="1">IFERROR(__xludf.DUMMYFUNCTION("""COMPUTED_VALUE"""),44561.6666666666)</f>
        <v>44561.666666666599</v>
      </c>
      <c r="L759" s="2">
        <f ca="1">IFERROR(__xludf.DUMMYFUNCTION("""COMPUTED_VALUE"""),336.35)</f>
        <v>336.35</v>
      </c>
      <c r="M759" s="3">
        <f ca="1">IFERROR(__xludf.DUMMYFUNCTION("""COMPUTED_VALUE"""),44561.6666666666)</f>
        <v>44561.666666666599</v>
      </c>
      <c r="N759" s="2">
        <f ca="1">IFERROR(__xludf.DUMMYFUNCTION("""COMPUTED_VALUE"""),1056.78)</f>
        <v>1056.78</v>
      </c>
      <c r="O759" s="3">
        <f ca="1">IFERROR(__xludf.DUMMYFUNCTION("""COMPUTED_VALUE"""),44561.6666666666)</f>
        <v>44561.666666666599</v>
      </c>
      <c r="P759" s="2">
        <f ca="1">IFERROR(__xludf.DUMMYFUNCTION("""COMPUTED_VALUE"""),294.11)</f>
        <v>294.11</v>
      </c>
      <c r="Q759" s="3">
        <f ca="1">IFERROR(__xludf.DUMMYFUNCTION("""COMPUTED_VALUE"""),44561.6666666666)</f>
        <v>44561.666666666599</v>
      </c>
      <c r="R759" s="2">
        <f ca="1">IFERROR(__xludf.DUMMYFUNCTION("""COMPUTED_VALUE"""),299)</f>
        <v>299</v>
      </c>
      <c r="S759" s="3">
        <f ca="1">IFERROR(__xludf.DUMMYFUNCTION("""COMPUTED_VALUE"""),44561.6666666666)</f>
        <v>44561.666666666599</v>
      </c>
      <c r="T759" s="2">
        <f ca="1">IFERROR(__xludf.DUMMYFUNCTION("""COMPUTED_VALUE"""),171.07)</f>
        <v>171.07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758"/>
  <sheetViews>
    <sheetView tabSelected="1" topLeftCell="N1" workbookViewId="0">
      <selection activeCell="V44" sqref="V44"/>
    </sheetView>
  </sheetViews>
  <sheetFormatPr defaultColWidth="14.42578125" defaultRowHeight="15.75" customHeight="1"/>
  <cols>
    <col min="8" max="8" width="14.42578125" style="9"/>
    <col min="9" max="9" width="14.42578125" style="17"/>
    <col min="10" max="13" width="17.140625" style="16" customWidth="1"/>
    <col min="14" max="14" width="17.140625" customWidth="1"/>
    <col min="15" max="19" width="14.42578125" style="16"/>
  </cols>
  <sheetData>
    <row r="1" spans="1:29" ht="12.75"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7" t="s">
        <v>29</v>
      </c>
      <c r="H1" s="8"/>
      <c r="I1" s="14" t="s">
        <v>14</v>
      </c>
      <c r="J1" s="15" t="s">
        <v>15</v>
      </c>
      <c r="K1" s="15" t="s">
        <v>16</v>
      </c>
      <c r="L1" s="15" t="s">
        <v>22</v>
      </c>
      <c r="M1" s="15" t="s">
        <v>23</v>
      </c>
      <c r="O1" s="14" t="s">
        <v>14</v>
      </c>
      <c r="P1" s="15" t="s">
        <v>15</v>
      </c>
      <c r="Q1" s="15" t="s">
        <v>16</v>
      </c>
      <c r="R1" s="15" t="s">
        <v>22</v>
      </c>
      <c r="S1" s="15" t="s">
        <v>23</v>
      </c>
      <c r="U1" t="s">
        <v>30</v>
      </c>
    </row>
    <row r="2" spans="1:29" ht="13.5" thickBot="1">
      <c r="A2" s="6">
        <v>20190102</v>
      </c>
      <c r="B2" s="5">
        <v>0.23</v>
      </c>
      <c r="C2" s="5">
        <v>0.74</v>
      </c>
      <c r="D2" s="5">
        <v>1.1299999999999999</v>
      </c>
      <c r="E2" s="5">
        <v>-0.13</v>
      </c>
      <c r="F2" s="5">
        <v>0.27</v>
      </c>
      <c r="G2" s="7">
        <v>0.01</v>
      </c>
      <c r="H2" s="8"/>
      <c r="I2" s="14">
        <v>39.479999999999997</v>
      </c>
      <c r="J2" s="15">
        <v>101.12</v>
      </c>
      <c r="K2" s="15">
        <v>1539.13</v>
      </c>
      <c r="L2" s="15">
        <v>202.8</v>
      </c>
      <c r="M2" s="15">
        <v>127.75</v>
      </c>
    </row>
    <row r="3" spans="1:29" ht="12.75">
      <c r="A3" s="6">
        <v>20190103</v>
      </c>
      <c r="B3" s="5">
        <v>-2.4500000000000002</v>
      </c>
      <c r="C3" s="5">
        <v>0.49</v>
      </c>
      <c r="D3" s="5">
        <v>1.2</v>
      </c>
      <c r="E3" s="5">
        <v>-0.23</v>
      </c>
      <c r="F3" s="5">
        <v>0.89</v>
      </c>
      <c r="G3" s="7">
        <v>0.01</v>
      </c>
      <c r="H3" s="8"/>
      <c r="I3" s="14">
        <v>35.549999999999997</v>
      </c>
      <c r="J3" s="15">
        <v>97.4</v>
      </c>
      <c r="K3" s="15">
        <v>1500.28</v>
      </c>
      <c r="L3" s="15">
        <v>191.66</v>
      </c>
      <c r="M3" s="15">
        <v>125.72</v>
      </c>
      <c r="O3" s="15">
        <f>(I3/I2-1)*100</f>
        <v>-9.9544072948328228</v>
      </c>
      <c r="P3" s="15">
        <f t="shared" ref="P3:S18" si="0">(J3/J2-1)*100</f>
        <v>-3.6787974683544333</v>
      </c>
      <c r="Q3" s="15">
        <f t="shared" si="0"/>
        <v>-2.5241532554105328</v>
      </c>
      <c r="R3" s="15">
        <f t="shared" si="0"/>
        <v>-5.4930966469428082</v>
      </c>
      <c r="S3" s="15">
        <f t="shared" si="0"/>
        <v>-1.5890410958904089</v>
      </c>
      <c r="U3" s="13" t="s">
        <v>31</v>
      </c>
      <c r="V3" s="13"/>
    </row>
    <row r="4" spans="1:29" ht="12.75">
      <c r="A4" s="6">
        <v>20190104</v>
      </c>
      <c r="B4" s="5">
        <v>3.55</v>
      </c>
      <c r="C4" s="5">
        <v>0.36</v>
      </c>
      <c r="D4" s="5">
        <v>-0.7</v>
      </c>
      <c r="E4" s="5">
        <v>-0.1</v>
      </c>
      <c r="F4" s="5">
        <v>-0.6</v>
      </c>
      <c r="G4" s="7">
        <v>0.01</v>
      </c>
      <c r="H4" s="8"/>
      <c r="I4" s="14">
        <v>37.07</v>
      </c>
      <c r="J4" s="15">
        <v>101.93</v>
      </c>
      <c r="K4" s="15">
        <v>1575.39</v>
      </c>
      <c r="L4" s="15">
        <v>195.2</v>
      </c>
      <c r="M4" s="15">
        <v>127.83</v>
      </c>
      <c r="O4" s="15">
        <f>(I4/I3-1)*100</f>
        <v>4.2756680731364405</v>
      </c>
      <c r="P4" s="15">
        <f t="shared" si="0"/>
        <v>4.650924024640668</v>
      </c>
      <c r="Q4" s="15">
        <f t="shared" si="0"/>
        <v>5.0063988055563113</v>
      </c>
      <c r="R4" s="15">
        <f t="shared" si="0"/>
        <v>1.8470207659396776</v>
      </c>
      <c r="S4" s="15">
        <f t="shared" si="0"/>
        <v>1.6783328030544054</v>
      </c>
      <c r="U4" s="10" t="s">
        <v>32</v>
      </c>
      <c r="V4" s="10">
        <v>0.86230960780882282</v>
      </c>
    </row>
    <row r="5" spans="1:29" ht="12.75">
      <c r="A5" s="6">
        <v>20190107</v>
      </c>
      <c r="B5" s="5">
        <v>0.94</v>
      </c>
      <c r="C5" s="5">
        <v>0.87</v>
      </c>
      <c r="D5" s="5">
        <v>-0.74</v>
      </c>
      <c r="E5" s="5">
        <v>-0.73</v>
      </c>
      <c r="F5" s="5">
        <v>-0.46</v>
      </c>
      <c r="G5" s="7">
        <v>0.01</v>
      </c>
      <c r="H5" s="8"/>
      <c r="I5" s="14">
        <v>36.979999999999997</v>
      </c>
      <c r="J5" s="15">
        <v>102.06</v>
      </c>
      <c r="K5" s="15">
        <v>1629.51</v>
      </c>
      <c r="L5" s="15">
        <v>196.91</v>
      </c>
      <c r="M5" s="15">
        <v>127.01</v>
      </c>
      <c r="O5" s="15">
        <f t="shared" ref="O5:S68" si="1">(I5/I4-1)*100</f>
        <v>-0.24278392230915324</v>
      </c>
      <c r="P5" s="15">
        <f t="shared" si="0"/>
        <v>0.12753850681839207</v>
      </c>
      <c r="Q5" s="15">
        <f t="shared" si="0"/>
        <v>3.4353398206158348</v>
      </c>
      <c r="R5" s="15">
        <f t="shared" si="0"/>
        <v>0.87602459016393741</v>
      </c>
      <c r="S5" s="15">
        <f t="shared" si="0"/>
        <v>-0.64147696158960432</v>
      </c>
      <c r="U5" s="19" t="s">
        <v>33</v>
      </c>
      <c r="V5" s="19">
        <v>0.74357785971940582</v>
      </c>
    </row>
    <row r="6" spans="1:29" ht="12.75">
      <c r="A6" s="6">
        <v>20190108</v>
      </c>
      <c r="B6" s="5">
        <v>1.01</v>
      </c>
      <c r="C6" s="5">
        <v>0.45</v>
      </c>
      <c r="D6" s="5">
        <v>-0.63</v>
      </c>
      <c r="E6" s="5">
        <v>0.31</v>
      </c>
      <c r="F6" s="5">
        <v>-7.0000000000000007E-2</v>
      </c>
      <c r="G6" s="7">
        <v>0.01</v>
      </c>
      <c r="H6" s="8"/>
      <c r="I6" s="14">
        <v>37.69</v>
      </c>
      <c r="J6" s="15">
        <v>102.8</v>
      </c>
      <c r="K6" s="15">
        <v>1656.58</v>
      </c>
      <c r="L6" s="15">
        <v>196.31</v>
      </c>
      <c r="M6" s="15">
        <v>129.96</v>
      </c>
      <c r="O6" s="15">
        <f t="shared" si="1"/>
        <v>1.919956733369399</v>
      </c>
      <c r="P6" s="15">
        <f t="shared" si="0"/>
        <v>0.72506368802665033</v>
      </c>
      <c r="Q6" s="15">
        <f t="shared" si="0"/>
        <v>1.6612355861578054</v>
      </c>
      <c r="R6" s="15">
        <f t="shared" si="0"/>
        <v>-0.30470773449798871</v>
      </c>
      <c r="S6" s="15">
        <f t="shared" si="0"/>
        <v>2.3226517597039642</v>
      </c>
      <c r="U6" s="19" t="s">
        <v>34</v>
      </c>
      <c r="V6" s="19">
        <v>0.74186837878420198</v>
      </c>
    </row>
    <row r="7" spans="1:29" ht="12.75">
      <c r="A7" s="6">
        <v>20190109</v>
      </c>
      <c r="B7" s="5">
        <v>0.56000000000000005</v>
      </c>
      <c r="C7" s="5">
        <v>0.5</v>
      </c>
      <c r="D7" s="5">
        <v>0.1</v>
      </c>
      <c r="E7" s="5">
        <v>0.08</v>
      </c>
      <c r="F7" s="5">
        <v>-0.19</v>
      </c>
      <c r="G7" s="7">
        <v>0.01</v>
      </c>
      <c r="H7" s="8"/>
      <c r="I7" s="14">
        <v>38.33</v>
      </c>
      <c r="J7" s="15">
        <v>104.27</v>
      </c>
      <c r="K7" s="15">
        <v>1659.42</v>
      </c>
      <c r="L7" s="15">
        <v>196.37</v>
      </c>
      <c r="M7" s="15">
        <v>128.93</v>
      </c>
      <c r="O7" s="15">
        <f t="shared" si="1"/>
        <v>1.6980631467232721</v>
      </c>
      <c r="P7" s="15">
        <f t="shared" si="0"/>
        <v>1.4299610894941583</v>
      </c>
      <c r="Q7" s="15">
        <f t="shared" si="0"/>
        <v>0.17143753999204758</v>
      </c>
      <c r="R7" s="15">
        <f t="shared" si="0"/>
        <v>3.0563904029334843E-2</v>
      </c>
      <c r="S7" s="15">
        <f t="shared" si="0"/>
        <v>-0.79255155432440549</v>
      </c>
      <c r="U7" s="10" t="s">
        <v>35</v>
      </c>
      <c r="V7" s="10">
        <v>1.0923379184551567</v>
      </c>
    </row>
    <row r="8" spans="1:29" ht="13.5" thickBot="1">
      <c r="A8" s="6">
        <v>20190110</v>
      </c>
      <c r="B8" s="5">
        <v>0.42</v>
      </c>
      <c r="C8" s="5">
        <v>-0.01</v>
      </c>
      <c r="D8" s="5">
        <v>-0.46</v>
      </c>
      <c r="E8" s="5">
        <v>-0.05</v>
      </c>
      <c r="F8" s="5">
        <v>-0.04</v>
      </c>
      <c r="G8" s="7">
        <v>0.01</v>
      </c>
      <c r="H8" s="8"/>
      <c r="I8" s="14">
        <v>38.450000000000003</v>
      </c>
      <c r="J8" s="15">
        <v>103.6</v>
      </c>
      <c r="K8" s="15">
        <v>1656.22</v>
      </c>
      <c r="L8" s="15">
        <v>196.58</v>
      </c>
      <c r="M8" s="15">
        <v>129.71</v>
      </c>
      <c r="O8" s="15">
        <f t="shared" si="1"/>
        <v>0.31307070180017771</v>
      </c>
      <c r="P8" s="15">
        <f t="shared" si="0"/>
        <v>-0.64256257792270066</v>
      </c>
      <c r="Q8" s="15">
        <f t="shared" si="0"/>
        <v>-0.19283846163117291</v>
      </c>
      <c r="R8" s="15">
        <f t="shared" si="0"/>
        <v>0.10694097876458031</v>
      </c>
      <c r="S8" s="15">
        <f t="shared" si="0"/>
        <v>0.60497944621111799</v>
      </c>
      <c r="U8" s="11" t="s">
        <v>36</v>
      </c>
      <c r="V8" s="11">
        <v>756</v>
      </c>
    </row>
    <row r="9" spans="1:29" ht="12.75">
      <c r="A9" s="6">
        <v>20190111</v>
      </c>
      <c r="B9" s="5">
        <v>-0.01</v>
      </c>
      <c r="C9" s="5">
        <v>0.2</v>
      </c>
      <c r="D9" s="5">
        <v>0.22</v>
      </c>
      <c r="E9" s="5">
        <v>0.23</v>
      </c>
      <c r="F9" s="5">
        <v>0.25</v>
      </c>
      <c r="G9" s="7">
        <v>0.01</v>
      </c>
      <c r="H9" s="8"/>
      <c r="I9" s="14">
        <v>38.07</v>
      </c>
      <c r="J9" s="15">
        <v>102.8</v>
      </c>
      <c r="K9" s="15">
        <v>1640.56</v>
      </c>
      <c r="L9" s="15">
        <v>196.29</v>
      </c>
      <c r="M9" s="15">
        <v>129.75</v>
      </c>
      <c r="O9" s="15">
        <f t="shared" si="1"/>
        <v>-0.98829648894669386</v>
      </c>
      <c r="P9" s="15">
        <f t="shared" si="0"/>
        <v>-0.77220077220077066</v>
      </c>
      <c r="Q9" s="15">
        <f t="shared" si="0"/>
        <v>-0.94552656048110251</v>
      </c>
      <c r="R9" s="15">
        <f t="shared" si="0"/>
        <v>-0.14752263709432167</v>
      </c>
      <c r="S9" s="15">
        <f t="shared" si="0"/>
        <v>3.0838023282697691E-2</v>
      </c>
    </row>
    <row r="10" spans="1:29" ht="13.5" thickBot="1">
      <c r="A10" s="6">
        <v>20190114</v>
      </c>
      <c r="B10" s="5">
        <v>-0.6</v>
      </c>
      <c r="C10" s="5">
        <v>-0.46</v>
      </c>
      <c r="D10" s="5">
        <v>0.94</v>
      </c>
      <c r="E10" s="5">
        <v>0.25</v>
      </c>
      <c r="F10" s="5">
        <v>0</v>
      </c>
      <c r="G10" s="7">
        <v>0.01</v>
      </c>
      <c r="H10" s="8"/>
      <c r="I10" s="14">
        <v>37.5</v>
      </c>
      <c r="J10" s="15">
        <v>102.05</v>
      </c>
      <c r="K10" s="15">
        <v>1617.21</v>
      </c>
      <c r="L10" s="15">
        <v>195.78</v>
      </c>
      <c r="M10" s="15">
        <v>128.28</v>
      </c>
      <c r="O10" s="15">
        <f t="shared" si="1"/>
        <v>-1.4972419227738398</v>
      </c>
      <c r="P10" s="15">
        <f t="shared" si="0"/>
        <v>-0.72957198443579507</v>
      </c>
      <c r="Q10" s="15">
        <f t="shared" si="0"/>
        <v>-1.4232944848100559</v>
      </c>
      <c r="R10" s="15">
        <f t="shared" si="0"/>
        <v>-0.25981965459268563</v>
      </c>
      <c r="S10" s="15">
        <f t="shared" si="0"/>
        <v>-1.1329479768786066</v>
      </c>
      <c r="U10" t="s">
        <v>37</v>
      </c>
    </row>
    <row r="11" spans="1:29" ht="12.75">
      <c r="A11" s="6">
        <v>20190115</v>
      </c>
      <c r="B11" s="5">
        <v>1.06</v>
      </c>
      <c r="C11" s="5">
        <v>-0.14000000000000001</v>
      </c>
      <c r="D11" s="5">
        <v>-0.88</v>
      </c>
      <c r="E11" s="5">
        <v>-0.31</v>
      </c>
      <c r="F11" s="5">
        <v>-0.56999999999999995</v>
      </c>
      <c r="G11" s="7">
        <v>0.01</v>
      </c>
      <c r="H11" s="8"/>
      <c r="I11" s="14">
        <v>38.270000000000003</v>
      </c>
      <c r="J11" s="15">
        <v>105.01</v>
      </c>
      <c r="K11" s="15">
        <v>1674.56</v>
      </c>
      <c r="L11" s="15">
        <v>196.94</v>
      </c>
      <c r="M11" s="15">
        <v>129.36000000000001</v>
      </c>
      <c r="O11" s="15">
        <f t="shared" si="1"/>
        <v>2.0533333333333514</v>
      </c>
      <c r="P11" s="15">
        <f t="shared" si="0"/>
        <v>2.9005389514943802</v>
      </c>
      <c r="Q11" s="15">
        <f t="shared" si="0"/>
        <v>3.5462308543726451</v>
      </c>
      <c r="R11" s="15">
        <f t="shared" si="0"/>
        <v>0.59250178772090045</v>
      </c>
      <c r="S11" s="15">
        <f t="shared" si="0"/>
        <v>0.84190832553789896</v>
      </c>
      <c r="U11" s="12"/>
      <c r="V11" s="12" t="s">
        <v>42</v>
      </c>
      <c r="W11" s="12" t="s">
        <v>43</v>
      </c>
      <c r="X11" s="12" t="s">
        <v>44</v>
      </c>
      <c r="Y11" s="12" t="s">
        <v>45</v>
      </c>
      <c r="Z11" s="12" t="s">
        <v>46</v>
      </c>
    </row>
    <row r="12" spans="1:29" ht="12.75">
      <c r="A12" s="6">
        <v>20190116</v>
      </c>
      <c r="B12" s="5">
        <v>0.28000000000000003</v>
      </c>
      <c r="C12" s="5">
        <v>0.25</v>
      </c>
      <c r="D12" s="5">
        <v>0.92</v>
      </c>
      <c r="E12" s="5">
        <v>-0.1</v>
      </c>
      <c r="F12" s="5">
        <v>-0.23</v>
      </c>
      <c r="G12" s="7">
        <v>0.01</v>
      </c>
      <c r="H12" s="8"/>
      <c r="I12" s="14">
        <v>38.74</v>
      </c>
      <c r="J12" s="15">
        <v>105.38</v>
      </c>
      <c r="K12" s="15">
        <v>1683.78</v>
      </c>
      <c r="L12" s="15">
        <v>198.41</v>
      </c>
      <c r="M12" s="15">
        <v>128.04</v>
      </c>
      <c r="O12" s="15">
        <f t="shared" si="1"/>
        <v>1.228116017768488</v>
      </c>
      <c r="P12" s="15">
        <f t="shared" si="0"/>
        <v>0.35234739548613003</v>
      </c>
      <c r="Q12" s="15">
        <f t="shared" si="0"/>
        <v>0.55059239442003527</v>
      </c>
      <c r="R12" s="15">
        <f t="shared" si="0"/>
        <v>0.74642022951152409</v>
      </c>
      <c r="S12" s="15">
        <f t="shared" si="0"/>
        <v>-1.0204081632653184</v>
      </c>
      <c r="U12" s="10" t="s">
        <v>38</v>
      </c>
      <c r="V12" s="10">
        <v>5</v>
      </c>
      <c r="W12" s="10">
        <v>2595.0528793572689</v>
      </c>
      <c r="X12" s="10">
        <v>519.01057587145374</v>
      </c>
      <c r="Y12" s="10">
        <v>434.97288820637726</v>
      </c>
      <c r="Z12" s="10">
        <v>8.0442513031641528E-219</v>
      </c>
    </row>
    <row r="13" spans="1:29" ht="12.75">
      <c r="A13" s="6">
        <v>20190117</v>
      </c>
      <c r="B13" s="5">
        <v>0.75</v>
      </c>
      <c r="C13" s="5">
        <v>0.08</v>
      </c>
      <c r="D13" s="5">
        <v>-0.24</v>
      </c>
      <c r="E13" s="5">
        <v>7.0000000000000007E-2</v>
      </c>
      <c r="F13" s="5">
        <v>0</v>
      </c>
      <c r="G13" s="7">
        <v>0.01</v>
      </c>
      <c r="H13" s="8"/>
      <c r="I13" s="14">
        <v>38.97</v>
      </c>
      <c r="J13" s="15">
        <v>106.12</v>
      </c>
      <c r="K13" s="15">
        <v>1693.22</v>
      </c>
      <c r="L13" s="15">
        <v>198.78</v>
      </c>
      <c r="M13" s="15">
        <v>129.09</v>
      </c>
      <c r="O13" s="15">
        <f t="shared" si="1"/>
        <v>0.59370160041301023</v>
      </c>
      <c r="P13" s="15">
        <f t="shared" si="0"/>
        <v>0.70222053520592187</v>
      </c>
      <c r="Q13" s="15">
        <f t="shared" si="0"/>
        <v>0.56064331444725113</v>
      </c>
      <c r="R13" s="15">
        <f t="shared" si="0"/>
        <v>0.18648253616249111</v>
      </c>
      <c r="S13" s="15">
        <f t="shared" si="0"/>
        <v>0.82005623242737968</v>
      </c>
      <c r="U13" s="10" t="s">
        <v>39</v>
      </c>
      <c r="V13" s="10">
        <v>750</v>
      </c>
      <c r="W13" s="10">
        <v>894.90159607120847</v>
      </c>
      <c r="X13" s="10">
        <v>1.1932021280949445</v>
      </c>
      <c r="Y13" s="10"/>
      <c r="Z13" s="10"/>
    </row>
    <row r="14" spans="1:29" ht="13.5" thickBot="1">
      <c r="A14" s="6">
        <v>20190118</v>
      </c>
      <c r="B14" s="5">
        <v>1.29</v>
      </c>
      <c r="C14" s="5">
        <v>-0.3</v>
      </c>
      <c r="D14" s="5">
        <v>0.11</v>
      </c>
      <c r="E14" s="5">
        <v>0.19</v>
      </c>
      <c r="F14" s="5">
        <v>-0.27</v>
      </c>
      <c r="G14" s="7">
        <v>0.01</v>
      </c>
      <c r="H14" s="8"/>
      <c r="I14" s="14">
        <v>39.21</v>
      </c>
      <c r="J14" s="15">
        <v>107.71</v>
      </c>
      <c r="K14" s="15">
        <v>1696.2</v>
      </c>
      <c r="L14" s="15">
        <v>204.48</v>
      </c>
      <c r="M14" s="15">
        <v>130.69</v>
      </c>
      <c r="O14" s="15">
        <f t="shared" si="1"/>
        <v>0.61585835257891297</v>
      </c>
      <c r="P14" s="15">
        <f t="shared" si="0"/>
        <v>1.4983038070109256</v>
      </c>
      <c r="Q14" s="15">
        <f t="shared" si="0"/>
        <v>0.17599603123044094</v>
      </c>
      <c r="R14" s="15">
        <f t="shared" si="0"/>
        <v>2.8674916993661315</v>
      </c>
      <c r="S14" s="15">
        <f t="shared" si="0"/>
        <v>1.2394453482066803</v>
      </c>
      <c r="U14" s="11" t="s">
        <v>40</v>
      </c>
      <c r="V14" s="11">
        <v>755</v>
      </c>
      <c r="W14" s="11">
        <v>3489.9544754284775</v>
      </c>
      <c r="X14" s="11"/>
      <c r="Y14" s="11"/>
      <c r="Z14" s="11"/>
    </row>
    <row r="15" spans="1:29" ht="13.5" thickBot="1">
      <c r="A15" s="6">
        <v>20190122</v>
      </c>
      <c r="B15" s="5">
        <v>-1.53</v>
      </c>
      <c r="C15" s="5">
        <v>-0.36</v>
      </c>
      <c r="D15" s="5">
        <v>0.32</v>
      </c>
      <c r="E15" s="5">
        <v>0.26</v>
      </c>
      <c r="F15" s="5">
        <v>0.34</v>
      </c>
      <c r="G15" s="7">
        <v>0.01</v>
      </c>
      <c r="H15" s="8"/>
      <c r="I15" s="14">
        <v>38.33</v>
      </c>
      <c r="J15" s="15">
        <v>105.68</v>
      </c>
      <c r="K15" s="15">
        <v>1632.17</v>
      </c>
      <c r="L15" s="15">
        <v>200.72</v>
      </c>
      <c r="M15" s="15">
        <v>128.80000000000001</v>
      </c>
      <c r="O15" s="15">
        <f t="shared" si="1"/>
        <v>-2.2443254271869439</v>
      </c>
      <c r="P15" s="15">
        <f t="shared" si="0"/>
        <v>-1.8846903722959718</v>
      </c>
      <c r="Q15" s="15">
        <f t="shared" si="0"/>
        <v>-3.7749086192665926</v>
      </c>
      <c r="R15" s="15">
        <f t="shared" si="0"/>
        <v>-1.8388106416275418</v>
      </c>
      <c r="S15" s="15">
        <f t="shared" si="0"/>
        <v>-1.4461703267273585</v>
      </c>
    </row>
    <row r="16" spans="1:29" ht="12.75">
      <c r="A16" s="6">
        <v>20190123</v>
      </c>
      <c r="B16" s="5">
        <v>0.15</v>
      </c>
      <c r="C16" s="5">
        <v>-0.41</v>
      </c>
      <c r="D16" s="5">
        <v>-0.14000000000000001</v>
      </c>
      <c r="E16" s="5">
        <v>0.35</v>
      </c>
      <c r="F16" s="5">
        <v>0.28999999999999998</v>
      </c>
      <c r="G16" s="7">
        <v>0.01</v>
      </c>
      <c r="H16" s="8"/>
      <c r="I16" s="14">
        <v>38.479999999999997</v>
      </c>
      <c r="J16" s="15">
        <v>106.71</v>
      </c>
      <c r="K16" s="15">
        <v>1640.02</v>
      </c>
      <c r="L16" s="15">
        <v>201.15</v>
      </c>
      <c r="M16" s="15">
        <v>128.80000000000001</v>
      </c>
      <c r="O16" s="15">
        <f t="shared" si="1"/>
        <v>0.39133837725018328</v>
      </c>
      <c r="P16" s="15">
        <f t="shared" si="0"/>
        <v>0.97464042392125805</v>
      </c>
      <c r="Q16" s="15">
        <f t="shared" si="0"/>
        <v>0.48095480250218703</v>
      </c>
      <c r="R16" s="15">
        <f t="shared" si="0"/>
        <v>0.21422877640495663</v>
      </c>
      <c r="S16" s="15">
        <f t="shared" si="0"/>
        <v>0</v>
      </c>
      <c r="U16" s="12"/>
      <c r="V16" s="12" t="s">
        <v>47</v>
      </c>
      <c r="W16" s="12" t="s">
        <v>35</v>
      </c>
      <c r="X16" s="12" t="s">
        <v>48</v>
      </c>
      <c r="Y16" s="12" t="s">
        <v>49</v>
      </c>
      <c r="Z16" s="12" t="s">
        <v>50</v>
      </c>
      <c r="AA16" s="12" t="s">
        <v>51</v>
      </c>
      <c r="AB16" s="12" t="s">
        <v>52</v>
      </c>
      <c r="AC16" s="12" t="s">
        <v>53</v>
      </c>
    </row>
    <row r="17" spans="1:29" ht="12.75">
      <c r="A17" s="6">
        <v>20190124</v>
      </c>
      <c r="B17" s="5">
        <v>0.23</v>
      </c>
      <c r="C17" s="5">
        <v>0.48</v>
      </c>
      <c r="D17" s="5">
        <v>0</v>
      </c>
      <c r="E17" s="5">
        <v>-0.14000000000000001</v>
      </c>
      <c r="F17" s="5">
        <v>-0.19</v>
      </c>
      <c r="G17" s="7">
        <v>0.01</v>
      </c>
      <c r="H17" s="8"/>
      <c r="I17" s="14">
        <v>38.17</v>
      </c>
      <c r="J17" s="15">
        <v>106.2</v>
      </c>
      <c r="K17" s="15">
        <v>1654.93</v>
      </c>
      <c r="L17" s="15">
        <v>201.02</v>
      </c>
      <c r="M17" s="15">
        <v>127.03</v>
      </c>
      <c r="O17" s="15">
        <f t="shared" si="1"/>
        <v>-0.80561330561329525</v>
      </c>
      <c r="P17" s="15">
        <f t="shared" si="0"/>
        <v>-0.477930840595997</v>
      </c>
      <c r="Q17" s="15">
        <f t="shared" si="0"/>
        <v>0.90913525444811238</v>
      </c>
      <c r="R17" s="15">
        <f t="shared" si="0"/>
        <v>-6.4628386776033331E-2</v>
      </c>
      <c r="S17" s="15">
        <f t="shared" si="0"/>
        <v>-1.3742236024844812</v>
      </c>
      <c r="U17" s="10" t="s">
        <v>41</v>
      </c>
      <c r="V17" s="10">
        <v>5.6576150838513133E-2</v>
      </c>
      <c r="W17" s="10">
        <v>3.9986682854306552E-2</v>
      </c>
      <c r="X17" s="10">
        <v>1.4148748233168309</v>
      </c>
      <c r="Y17" s="10">
        <v>0.15752024235114262</v>
      </c>
      <c r="Z17" s="10">
        <v>-2.1922987313569862E-2</v>
      </c>
      <c r="AA17" s="10">
        <v>0.13507528899059612</v>
      </c>
      <c r="AB17" s="10">
        <v>-2.1922987313569862E-2</v>
      </c>
      <c r="AC17" s="10">
        <v>0.13507528899059612</v>
      </c>
    </row>
    <row r="18" spans="1:29" ht="12.75">
      <c r="A18" s="6">
        <v>20190125</v>
      </c>
      <c r="B18" s="5">
        <v>0.9</v>
      </c>
      <c r="C18" s="5">
        <v>0.41</v>
      </c>
      <c r="D18" s="5">
        <v>-0.35</v>
      </c>
      <c r="E18" s="5">
        <v>-0.34</v>
      </c>
      <c r="F18" s="5">
        <v>-0.57999999999999996</v>
      </c>
      <c r="G18" s="7">
        <v>0.01</v>
      </c>
      <c r="H18" s="8"/>
      <c r="I18" s="14">
        <v>39.44</v>
      </c>
      <c r="J18" s="15">
        <v>107.17</v>
      </c>
      <c r="K18" s="15">
        <v>1670.57</v>
      </c>
      <c r="L18" s="15">
        <v>202.75</v>
      </c>
      <c r="M18" s="15">
        <v>128.22999999999999</v>
      </c>
      <c r="O18" s="15">
        <f t="shared" si="1"/>
        <v>3.3272203301021541</v>
      </c>
      <c r="P18" s="15">
        <f t="shared" si="0"/>
        <v>0.91337099811676925</v>
      </c>
      <c r="Q18" s="15">
        <f t="shared" si="0"/>
        <v>0.94505507785827003</v>
      </c>
      <c r="R18" s="15">
        <f t="shared" si="0"/>
        <v>0.86061088448909917</v>
      </c>
      <c r="S18" s="15">
        <f t="shared" si="0"/>
        <v>0.94465874202942501</v>
      </c>
      <c r="U18" s="10" t="s">
        <v>54</v>
      </c>
      <c r="V18" s="10">
        <v>1.3281482799321622</v>
      </c>
      <c r="W18" s="10">
        <v>2.935895037444268E-2</v>
      </c>
      <c r="X18" s="10">
        <v>45.238275312741813</v>
      </c>
      <c r="Y18" s="10">
        <v>1.5819006533690149E-216</v>
      </c>
      <c r="Z18" s="10">
        <v>1.2705127838886259</v>
      </c>
      <c r="AA18" s="10">
        <v>1.3857837759756986</v>
      </c>
      <c r="AB18" s="10">
        <v>1.2705127838886259</v>
      </c>
      <c r="AC18" s="10">
        <v>1.3857837759756986</v>
      </c>
    </row>
    <row r="19" spans="1:29" ht="12.75">
      <c r="A19" s="6">
        <v>20190128</v>
      </c>
      <c r="B19" s="5">
        <v>-0.8</v>
      </c>
      <c r="C19" s="5">
        <v>-0.08</v>
      </c>
      <c r="D19" s="5">
        <v>0.62</v>
      </c>
      <c r="E19" s="5">
        <v>0.28999999999999998</v>
      </c>
      <c r="F19" s="5">
        <v>0.17</v>
      </c>
      <c r="G19" s="7">
        <v>0.01</v>
      </c>
      <c r="H19" s="8"/>
      <c r="I19" s="14">
        <v>39.08</v>
      </c>
      <c r="J19" s="15">
        <v>105.08</v>
      </c>
      <c r="K19" s="15">
        <v>1637.89</v>
      </c>
      <c r="L19" s="15">
        <v>200.95</v>
      </c>
      <c r="M19" s="15">
        <v>128.99</v>
      </c>
      <c r="O19" s="15">
        <f t="shared" si="1"/>
        <v>-0.91277890466531231</v>
      </c>
      <c r="P19" s="15">
        <f t="shared" si="1"/>
        <v>-1.950172622935531</v>
      </c>
      <c r="Q19" s="15">
        <f t="shared" si="1"/>
        <v>-1.9562185361882367</v>
      </c>
      <c r="R19" s="15">
        <f t="shared" si="1"/>
        <v>-0.88779284833538918</v>
      </c>
      <c r="S19" s="15">
        <f t="shared" si="1"/>
        <v>0.59268501910629823</v>
      </c>
      <c r="U19" s="10" t="s">
        <v>55</v>
      </c>
      <c r="V19" s="10">
        <v>-0.16089527891321223</v>
      </c>
      <c r="W19" s="10">
        <v>5.9758766835977736E-2</v>
      </c>
      <c r="X19" s="10">
        <v>-2.6924129702145279</v>
      </c>
      <c r="Y19" s="10">
        <v>7.2519711783100311E-3</v>
      </c>
      <c r="Z19" s="10">
        <v>-0.27820962856175557</v>
      </c>
      <c r="AA19" s="10">
        <v>-4.3580929264668888E-2</v>
      </c>
      <c r="AB19" s="10">
        <v>-0.27820962856175557</v>
      </c>
      <c r="AC19" s="10">
        <v>-4.3580929264668888E-2</v>
      </c>
    </row>
    <row r="20" spans="1:29" ht="12.75">
      <c r="A20" s="6">
        <v>20190129</v>
      </c>
      <c r="B20" s="5">
        <v>-0.19</v>
      </c>
      <c r="C20" s="5">
        <v>0.03</v>
      </c>
      <c r="D20" s="5">
        <v>0.17</v>
      </c>
      <c r="E20" s="5">
        <v>0.03</v>
      </c>
      <c r="F20" s="5">
        <v>0.46</v>
      </c>
      <c r="G20" s="7">
        <v>0.01</v>
      </c>
      <c r="H20" s="8"/>
      <c r="I20" s="14">
        <v>38.67</v>
      </c>
      <c r="J20" s="15">
        <v>102.94</v>
      </c>
      <c r="K20" s="15">
        <v>1593.88</v>
      </c>
      <c r="L20" s="15">
        <v>202.05</v>
      </c>
      <c r="M20" s="15">
        <v>130.33000000000001</v>
      </c>
      <c r="O20" s="15">
        <f t="shared" si="1"/>
        <v>-1.0491299897645745</v>
      </c>
      <c r="P20" s="15">
        <f t="shared" si="1"/>
        <v>-2.0365435858393566</v>
      </c>
      <c r="Q20" s="15">
        <f t="shared" si="1"/>
        <v>-2.6869936320509935</v>
      </c>
      <c r="R20" s="15">
        <f t="shared" si="1"/>
        <v>0.54739985070915154</v>
      </c>
      <c r="S20" s="15">
        <f t="shared" si="1"/>
        <v>1.0388402201721103</v>
      </c>
      <c r="U20" s="10" t="s">
        <v>56</v>
      </c>
      <c r="V20" s="10">
        <v>-0.77033003220531149</v>
      </c>
      <c r="W20" s="10">
        <v>5.0909893747827298E-2</v>
      </c>
      <c r="X20" s="10">
        <v>-15.131244155035919</v>
      </c>
      <c r="Y20" s="10">
        <v>2.4542847276902622E-45</v>
      </c>
      <c r="Z20" s="10">
        <v>-0.87027287560594013</v>
      </c>
      <c r="AA20" s="10">
        <v>-0.67038718880468284</v>
      </c>
      <c r="AB20" s="10">
        <v>-0.87027287560594013</v>
      </c>
      <c r="AC20" s="10">
        <v>-0.67038718880468284</v>
      </c>
    </row>
    <row r="21" spans="1:29" ht="12.75">
      <c r="A21" s="6">
        <v>20190130</v>
      </c>
      <c r="B21" s="5">
        <v>1.51</v>
      </c>
      <c r="C21" s="5">
        <v>-0.36</v>
      </c>
      <c r="D21" s="5">
        <v>-0.94</v>
      </c>
      <c r="E21" s="5">
        <v>-0.24</v>
      </c>
      <c r="F21" s="5">
        <v>-0.89</v>
      </c>
      <c r="G21" s="7">
        <v>0.01</v>
      </c>
      <c r="H21" s="8"/>
      <c r="I21" s="14">
        <v>41.31</v>
      </c>
      <c r="J21" s="15">
        <v>106.38</v>
      </c>
      <c r="K21" s="15">
        <v>1670.43</v>
      </c>
      <c r="L21" s="15">
        <v>205.96</v>
      </c>
      <c r="M21" s="15">
        <v>131.63999999999999</v>
      </c>
      <c r="O21" s="15">
        <f t="shared" si="1"/>
        <v>6.8269976726144321</v>
      </c>
      <c r="P21" s="15">
        <f t="shared" si="1"/>
        <v>3.3417524771711671</v>
      </c>
      <c r="Q21" s="15">
        <f t="shared" si="1"/>
        <v>4.802745501543404</v>
      </c>
      <c r="R21" s="15">
        <f t="shared" si="1"/>
        <v>1.9351645632269321</v>
      </c>
      <c r="S21" s="15">
        <f t="shared" si="1"/>
        <v>1.0051407964397852</v>
      </c>
      <c r="U21" s="10" t="s">
        <v>57</v>
      </c>
      <c r="V21" s="10">
        <v>0.5780969186106969</v>
      </c>
      <c r="W21" s="10">
        <v>8.7067125660738737E-2</v>
      </c>
      <c r="X21" s="10">
        <v>6.6396692692403727</v>
      </c>
      <c r="Y21" s="10">
        <v>6.0330420064268454E-11</v>
      </c>
      <c r="Z21" s="10">
        <v>0.40717265488395449</v>
      </c>
      <c r="AA21" s="10">
        <v>0.74902118233743931</v>
      </c>
      <c r="AB21" s="10">
        <v>0.40717265488395449</v>
      </c>
      <c r="AC21" s="10">
        <v>0.74902118233743931</v>
      </c>
    </row>
    <row r="22" spans="1:29" ht="13.5" thickBot="1">
      <c r="A22" s="6">
        <v>20190131</v>
      </c>
      <c r="B22" s="5">
        <v>0.92</v>
      </c>
      <c r="C22" s="5">
        <v>-0.06</v>
      </c>
      <c r="D22" s="5">
        <v>-1.08</v>
      </c>
      <c r="E22" s="5">
        <v>-0.37</v>
      </c>
      <c r="F22" s="5">
        <v>-0.01</v>
      </c>
      <c r="G22" s="7">
        <v>0.01</v>
      </c>
      <c r="H22" s="8"/>
      <c r="I22" s="14">
        <v>41.61</v>
      </c>
      <c r="J22" s="15">
        <v>104.43</v>
      </c>
      <c r="K22" s="15">
        <v>1718.73</v>
      </c>
      <c r="L22" s="15">
        <v>205.54</v>
      </c>
      <c r="M22" s="15">
        <v>133.08000000000001</v>
      </c>
      <c r="O22" s="15">
        <f t="shared" si="1"/>
        <v>0.72621641249090985</v>
      </c>
      <c r="P22" s="15">
        <f t="shared" si="1"/>
        <v>-1.8330513254370961</v>
      </c>
      <c r="Q22" s="15">
        <f t="shared" si="1"/>
        <v>2.8914710583502368</v>
      </c>
      <c r="R22" s="15">
        <f t="shared" si="1"/>
        <v>-0.20392309186250124</v>
      </c>
      <c r="S22" s="15">
        <f t="shared" si="1"/>
        <v>1.0938924339106926</v>
      </c>
      <c r="U22" s="11" t="s">
        <v>58</v>
      </c>
      <c r="V22" s="11">
        <v>1.0852996571923004</v>
      </c>
      <c r="W22" s="11">
        <v>0.113365866544231</v>
      </c>
      <c r="X22" s="11">
        <v>9.573425319947237</v>
      </c>
      <c r="Y22" s="11">
        <v>1.4612296214263706E-20</v>
      </c>
      <c r="Z22" s="11">
        <v>0.86274749271267637</v>
      </c>
      <c r="AA22" s="11">
        <v>1.3078518216719244</v>
      </c>
      <c r="AB22" s="11">
        <v>0.86274749271267637</v>
      </c>
      <c r="AC22" s="11">
        <v>1.3078518216719244</v>
      </c>
    </row>
    <row r="23" spans="1:29" ht="12.75">
      <c r="A23" s="6">
        <v>20190201</v>
      </c>
      <c r="B23" s="5">
        <v>0.14000000000000001</v>
      </c>
      <c r="C23" s="5">
        <v>-0.16</v>
      </c>
      <c r="D23" s="5">
        <v>0.42</v>
      </c>
      <c r="E23" s="5">
        <v>-0.73</v>
      </c>
      <c r="F23" s="5">
        <v>0.3</v>
      </c>
      <c r="G23" s="7">
        <v>0.01</v>
      </c>
      <c r="H23" s="8"/>
      <c r="I23" s="14">
        <v>41.63</v>
      </c>
      <c r="J23" s="15">
        <v>102.78</v>
      </c>
      <c r="K23" s="15">
        <v>1626.23</v>
      </c>
      <c r="L23" s="15">
        <v>209.19</v>
      </c>
      <c r="M23" s="15">
        <v>134.19999999999999</v>
      </c>
      <c r="O23" s="15">
        <f t="shared" si="1"/>
        <v>4.806536890171742E-2</v>
      </c>
      <c r="P23" s="15">
        <f t="shared" si="1"/>
        <v>-1.5800057454754435</v>
      </c>
      <c r="Q23" s="15">
        <f t="shared" si="1"/>
        <v>-5.3818808073403002</v>
      </c>
      <c r="R23" s="15">
        <f t="shared" si="1"/>
        <v>1.7758100613019412</v>
      </c>
      <c r="S23" s="15">
        <f t="shared" si="1"/>
        <v>0.84159903817251358</v>
      </c>
    </row>
    <row r="24" spans="1:29" ht="12.75">
      <c r="A24" s="6">
        <v>20190204</v>
      </c>
      <c r="B24" s="5">
        <v>0.72</v>
      </c>
      <c r="C24" s="5">
        <v>0.42</v>
      </c>
      <c r="D24" s="5">
        <v>-0.45</v>
      </c>
      <c r="E24" s="5">
        <v>0.18</v>
      </c>
      <c r="F24" s="5">
        <v>-0.21</v>
      </c>
      <c r="G24" s="7">
        <v>0.01</v>
      </c>
      <c r="H24" s="8"/>
      <c r="I24" s="14">
        <v>42.81</v>
      </c>
      <c r="J24" s="15">
        <v>105.74</v>
      </c>
      <c r="K24" s="15">
        <v>1633.31</v>
      </c>
      <c r="L24" s="15">
        <v>208.52</v>
      </c>
      <c r="M24" s="15">
        <v>132.88</v>
      </c>
      <c r="O24" s="15">
        <f t="shared" si="1"/>
        <v>2.8344943550324242</v>
      </c>
      <c r="P24" s="15">
        <f t="shared" si="1"/>
        <v>2.8799377310760876</v>
      </c>
      <c r="Q24" s="15">
        <f t="shared" si="1"/>
        <v>0.43536277156366321</v>
      </c>
      <c r="R24" s="15">
        <f t="shared" si="1"/>
        <v>-0.32028299631913226</v>
      </c>
      <c r="S24" s="15">
        <f t="shared" si="1"/>
        <v>-0.98360655737704805</v>
      </c>
    </row>
    <row r="25" spans="1:29" ht="12.75">
      <c r="A25" s="6">
        <v>20190205</v>
      </c>
      <c r="B25" s="5">
        <v>0.43</v>
      </c>
      <c r="C25" s="5">
        <v>-0.13</v>
      </c>
      <c r="D25" s="5">
        <v>-0.6</v>
      </c>
      <c r="E25" s="5">
        <v>0.61</v>
      </c>
      <c r="F25" s="5">
        <v>-0.34</v>
      </c>
      <c r="G25" s="7">
        <v>0.01</v>
      </c>
      <c r="H25" s="8"/>
      <c r="I25" s="14">
        <v>43.55</v>
      </c>
      <c r="J25" s="15">
        <v>107.22</v>
      </c>
      <c r="K25" s="15">
        <v>1658.81</v>
      </c>
      <c r="L25" s="15">
        <v>207.82</v>
      </c>
      <c r="M25" s="15">
        <v>132.88</v>
      </c>
      <c r="O25" s="15">
        <f t="shared" si="1"/>
        <v>1.728568091567384</v>
      </c>
      <c r="P25" s="15">
        <f t="shared" si="1"/>
        <v>1.3996595422735014</v>
      </c>
      <c r="Q25" s="15">
        <f t="shared" si="1"/>
        <v>1.5612467933215468</v>
      </c>
      <c r="R25" s="15">
        <f t="shared" si="1"/>
        <v>-0.33569921350470322</v>
      </c>
      <c r="S25" s="15">
        <f t="shared" si="1"/>
        <v>0</v>
      </c>
    </row>
    <row r="26" spans="1:29" ht="12.75">
      <c r="A26" s="6">
        <v>20190206</v>
      </c>
      <c r="B26" s="5">
        <v>-0.22</v>
      </c>
      <c r="C26" s="5">
        <v>-0.03</v>
      </c>
      <c r="D26" s="5">
        <v>0.06</v>
      </c>
      <c r="E26" s="5">
        <v>-0.05</v>
      </c>
      <c r="F26" s="5">
        <v>7.0000000000000007E-2</v>
      </c>
      <c r="G26" s="7">
        <v>0.01</v>
      </c>
      <c r="H26" s="8"/>
      <c r="I26" s="14">
        <v>43.56</v>
      </c>
      <c r="J26" s="15">
        <v>106.03</v>
      </c>
      <c r="K26" s="15">
        <v>1640.26</v>
      </c>
      <c r="L26" s="15">
        <v>206.01</v>
      </c>
      <c r="M26" s="15">
        <v>133</v>
      </c>
      <c r="O26" s="15">
        <f t="shared" si="1"/>
        <v>2.2962112514357536E-2</v>
      </c>
      <c r="P26" s="15">
        <f t="shared" si="1"/>
        <v>-1.1098675620220044</v>
      </c>
      <c r="Q26" s="15">
        <f t="shared" si="1"/>
        <v>-1.1182715320018577</v>
      </c>
      <c r="R26" s="15">
        <f t="shared" si="1"/>
        <v>-0.87094601097102986</v>
      </c>
      <c r="S26" s="15">
        <f t="shared" si="1"/>
        <v>9.0307043949433563E-2</v>
      </c>
      <c r="U26" s="18" t="s">
        <v>59</v>
      </c>
    </row>
    <row r="27" spans="1:29" ht="12.75">
      <c r="A27" s="6">
        <v>20190207</v>
      </c>
      <c r="B27" s="5">
        <v>-0.93</v>
      </c>
      <c r="C27" s="5">
        <v>-0.14000000000000001</v>
      </c>
      <c r="D27" s="5">
        <v>0.39</v>
      </c>
      <c r="E27" s="5">
        <v>0.54</v>
      </c>
      <c r="F27" s="5">
        <v>0.3</v>
      </c>
      <c r="G27" s="7">
        <v>0.01</v>
      </c>
      <c r="H27" s="8"/>
      <c r="I27" s="14">
        <v>42.74</v>
      </c>
      <c r="J27" s="15">
        <v>105.27</v>
      </c>
      <c r="K27" s="15">
        <v>1614.37</v>
      </c>
      <c r="L27" s="15">
        <v>201.73</v>
      </c>
      <c r="M27" s="15">
        <v>132.05000000000001</v>
      </c>
      <c r="O27" s="15">
        <f t="shared" si="1"/>
        <v>-1.8824609733700703</v>
      </c>
      <c r="P27" s="15">
        <f t="shared" si="1"/>
        <v>-0.71677827030086627</v>
      </c>
      <c r="Q27" s="15">
        <f t="shared" si="1"/>
        <v>-1.5784083011230021</v>
      </c>
      <c r="R27" s="15">
        <f t="shared" si="1"/>
        <v>-2.077569050046113</v>
      </c>
      <c r="S27" s="15">
        <f t="shared" si="1"/>
        <v>-0.71428571428570065</v>
      </c>
    </row>
    <row r="28" spans="1:29" ht="12.75">
      <c r="A28" s="6">
        <v>20190208</v>
      </c>
      <c r="B28" s="5">
        <v>0.09</v>
      </c>
      <c r="C28" s="5">
        <v>-0.08</v>
      </c>
      <c r="D28" s="5">
        <v>-0.68</v>
      </c>
      <c r="E28" s="5">
        <v>-0.35</v>
      </c>
      <c r="F28" s="5">
        <v>-0.12</v>
      </c>
      <c r="G28" s="7">
        <v>0.01</v>
      </c>
      <c r="H28" s="8"/>
      <c r="I28" s="14">
        <v>42.6</v>
      </c>
      <c r="J28" s="15">
        <v>105.67</v>
      </c>
      <c r="K28" s="15">
        <v>1588.22</v>
      </c>
      <c r="L28" s="15">
        <v>200.92</v>
      </c>
      <c r="M28" s="15">
        <v>132.4</v>
      </c>
      <c r="O28" s="15">
        <f t="shared" si="1"/>
        <v>-0.32756200280767978</v>
      </c>
      <c r="P28" s="15">
        <f t="shared" si="1"/>
        <v>0.37997530160540638</v>
      </c>
      <c r="Q28" s="15">
        <f t="shared" si="1"/>
        <v>-1.6198269293904</v>
      </c>
      <c r="R28" s="15">
        <f t="shared" si="1"/>
        <v>-0.40152679323849361</v>
      </c>
      <c r="S28" s="15">
        <f t="shared" si="1"/>
        <v>0.26505111700112494</v>
      </c>
    </row>
    <row r="29" spans="1:29" ht="12.75">
      <c r="A29" s="6">
        <v>20190211</v>
      </c>
      <c r="B29" s="5">
        <v>0.14000000000000001</v>
      </c>
      <c r="C29" s="5">
        <v>0.67</v>
      </c>
      <c r="D29" s="5">
        <v>0.22</v>
      </c>
      <c r="E29" s="5">
        <v>-0.08</v>
      </c>
      <c r="F29" s="5">
        <v>-0.03</v>
      </c>
      <c r="G29" s="7">
        <v>0.01</v>
      </c>
      <c r="H29" s="8"/>
      <c r="I29" s="14">
        <v>42.36</v>
      </c>
      <c r="J29" s="15">
        <v>105.25</v>
      </c>
      <c r="K29" s="15">
        <v>1591</v>
      </c>
      <c r="L29" s="15">
        <v>203.05</v>
      </c>
      <c r="M29" s="15">
        <v>132</v>
      </c>
      <c r="O29" s="15">
        <f t="shared" si="1"/>
        <v>-0.56338028169014009</v>
      </c>
      <c r="P29" s="15">
        <f t="shared" si="1"/>
        <v>-0.39746380240370804</v>
      </c>
      <c r="Q29" s="15">
        <f t="shared" si="1"/>
        <v>0.1750387225951</v>
      </c>
      <c r="R29" s="15">
        <f t="shared" si="1"/>
        <v>1.0601234322118458</v>
      </c>
      <c r="S29" s="15">
        <f t="shared" si="1"/>
        <v>-0.30211480362538623</v>
      </c>
    </row>
    <row r="30" spans="1:29" ht="12.75">
      <c r="A30" s="6">
        <v>20190212</v>
      </c>
      <c r="B30" s="5">
        <v>1.36</v>
      </c>
      <c r="C30" s="5">
        <v>0.04</v>
      </c>
      <c r="D30" s="5">
        <v>-0.17</v>
      </c>
      <c r="E30" s="5">
        <v>-0.12</v>
      </c>
      <c r="F30" s="5">
        <v>-0.28000000000000003</v>
      </c>
      <c r="G30" s="7">
        <v>0.01</v>
      </c>
      <c r="H30" s="8"/>
      <c r="I30" s="14">
        <v>42.72</v>
      </c>
      <c r="J30" s="15">
        <v>106.89</v>
      </c>
      <c r="K30" s="15">
        <v>1638.01</v>
      </c>
      <c r="L30" s="15">
        <v>206.15</v>
      </c>
      <c r="M30" s="15">
        <v>134.16</v>
      </c>
      <c r="O30" s="15">
        <f t="shared" si="1"/>
        <v>0.84985835694051381</v>
      </c>
      <c r="P30" s="15">
        <f t="shared" si="1"/>
        <v>1.5581947743467994</v>
      </c>
      <c r="Q30" s="15">
        <f t="shared" si="1"/>
        <v>2.9547454431175346</v>
      </c>
      <c r="R30" s="15">
        <f t="shared" si="1"/>
        <v>1.5267175572519109</v>
      </c>
      <c r="S30" s="15">
        <f t="shared" si="1"/>
        <v>1.6363636363636358</v>
      </c>
    </row>
    <row r="31" spans="1:29" ht="12.75">
      <c r="A31" s="6">
        <v>20190213</v>
      </c>
      <c r="B31" s="5">
        <v>0.28000000000000003</v>
      </c>
      <c r="C31" s="5">
        <v>0.06</v>
      </c>
      <c r="D31" s="5">
        <v>7.0000000000000007E-2</v>
      </c>
      <c r="E31" s="5">
        <v>0.11</v>
      </c>
      <c r="F31" s="5">
        <v>0.22</v>
      </c>
      <c r="G31" s="7">
        <v>0.01</v>
      </c>
      <c r="H31" s="8"/>
      <c r="I31" s="14">
        <v>42.55</v>
      </c>
      <c r="J31" s="15">
        <v>106.81</v>
      </c>
      <c r="K31" s="15">
        <v>1640</v>
      </c>
      <c r="L31" s="15">
        <v>205.8</v>
      </c>
      <c r="M31" s="15">
        <v>134.44999999999999</v>
      </c>
      <c r="O31" s="15">
        <f t="shared" si="1"/>
        <v>-0.39794007490636663</v>
      </c>
      <c r="P31" s="15">
        <f t="shared" si="1"/>
        <v>-7.4843296847226792E-2</v>
      </c>
      <c r="Q31" s="15">
        <f t="shared" si="1"/>
        <v>0.1214888797992586</v>
      </c>
      <c r="R31" s="15">
        <f t="shared" si="1"/>
        <v>-0.16977928692699651</v>
      </c>
      <c r="S31" s="15">
        <f t="shared" si="1"/>
        <v>0.21615980918305855</v>
      </c>
      <c r="U31" s="18" t="s">
        <v>60</v>
      </c>
    </row>
    <row r="32" spans="1:29" ht="12.75">
      <c r="A32" s="6">
        <v>20190214</v>
      </c>
      <c r="B32" s="5">
        <v>-0.21</v>
      </c>
      <c r="C32" s="5">
        <v>0.51</v>
      </c>
      <c r="D32" s="5">
        <v>-0.57999999999999996</v>
      </c>
      <c r="E32" s="5">
        <v>0.42</v>
      </c>
      <c r="F32" s="5">
        <v>-0.18</v>
      </c>
      <c r="G32" s="7">
        <v>0.01</v>
      </c>
      <c r="H32" s="8"/>
      <c r="I32" s="14">
        <v>42.7</v>
      </c>
      <c r="J32" s="15">
        <v>106.9</v>
      </c>
      <c r="K32" s="15">
        <v>1622.65</v>
      </c>
      <c r="L32" s="15">
        <v>202.78</v>
      </c>
      <c r="M32" s="15">
        <v>134.31</v>
      </c>
      <c r="O32" s="15">
        <f t="shared" si="1"/>
        <v>0.35252643948298079</v>
      </c>
      <c r="P32" s="15">
        <f t="shared" si="1"/>
        <v>8.4261773242211291E-2</v>
      </c>
      <c r="Q32" s="15">
        <f t="shared" si="1"/>
        <v>-1.0579268292682853</v>
      </c>
      <c r="R32" s="15">
        <f t="shared" si="1"/>
        <v>-1.4674441205053457</v>
      </c>
      <c r="S32" s="15">
        <f t="shared" si="1"/>
        <v>-0.1041279285979857</v>
      </c>
      <c r="V32" s="5" t="s">
        <v>24</v>
      </c>
      <c r="W32" s="5" t="s">
        <v>25</v>
      </c>
      <c r="X32" s="5" t="s">
        <v>26</v>
      </c>
      <c r="Y32" s="5" t="s">
        <v>27</v>
      </c>
      <c r="Z32" s="5" t="s">
        <v>28</v>
      </c>
    </row>
    <row r="33" spans="1:26" ht="12.75">
      <c r="A33" s="6">
        <v>20190215</v>
      </c>
      <c r="B33" s="5">
        <v>1.1299999999999999</v>
      </c>
      <c r="C33" s="5">
        <v>0.38</v>
      </c>
      <c r="D33" s="5">
        <v>0.48</v>
      </c>
      <c r="E33" s="5">
        <v>-0.2</v>
      </c>
      <c r="F33" s="5">
        <v>0</v>
      </c>
      <c r="G33" s="7">
        <v>0.01</v>
      </c>
      <c r="H33" s="8"/>
      <c r="I33" s="14">
        <v>42.61</v>
      </c>
      <c r="J33" s="15">
        <v>108.22</v>
      </c>
      <c r="K33" s="15">
        <v>1607.95</v>
      </c>
      <c r="L33" s="15">
        <v>205.29</v>
      </c>
      <c r="M33" s="15">
        <v>136.38</v>
      </c>
      <c r="O33" s="15">
        <f t="shared" si="1"/>
        <v>-0.21077283372366029</v>
      </c>
      <c r="P33" s="15">
        <f t="shared" si="1"/>
        <v>1.2347988774555674</v>
      </c>
      <c r="Q33" s="15">
        <f t="shared" si="1"/>
        <v>-0.90592549225033681</v>
      </c>
      <c r="R33" s="15">
        <f t="shared" si="1"/>
        <v>1.2377946543051577</v>
      </c>
      <c r="S33" s="15">
        <f t="shared" si="1"/>
        <v>1.5412106321197161</v>
      </c>
      <c r="U33" s="18" t="s">
        <v>14</v>
      </c>
      <c r="V33" cm="1">
        <f t="array" ref="V33:Z33">TRANSPOSE(V18:V22)</f>
        <v>1.3281482799321622</v>
      </c>
      <c r="W33">
        <v>-0.16089527891321223</v>
      </c>
      <c r="X33">
        <v>-0.77033003220531149</v>
      </c>
      <c r="Y33">
        <v>0.5780969186106969</v>
      </c>
      <c r="Z33">
        <v>1.0852996571923004</v>
      </c>
    </row>
    <row r="34" spans="1:26" ht="12.75">
      <c r="A34" s="6">
        <v>20190219</v>
      </c>
      <c r="B34" s="5">
        <v>0.19</v>
      </c>
      <c r="C34" s="5">
        <v>0.3</v>
      </c>
      <c r="D34" s="5">
        <v>0.28000000000000003</v>
      </c>
      <c r="E34" s="5">
        <v>0.04</v>
      </c>
      <c r="F34" s="5">
        <v>0.22</v>
      </c>
      <c r="G34" s="7">
        <v>0.01</v>
      </c>
      <c r="H34" s="8"/>
      <c r="I34" s="14">
        <v>42.73</v>
      </c>
      <c r="J34" s="15">
        <v>108.17</v>
      </c>
      <c r="K34" s="15">
        <v>1627.58</v>
      </c>
      <c r="L34" s="15">
        <v>205.69</v>
      </c>
      <c r="M34" s="15">
        <v>135.69</v>
      </c>
      <c r="O34" s="15">
        <f t="shared" si="1"/>
        <v>0.28162403191738239</v>
      </c>
      <c r="P34" s="15">
        <f t="shared" si="1"/>
        <v>-4.6202180742926924E-2</v>
      </c>
      <c r="Q34" s="15">
        <f t="shared" si="1"/>
        <v>1.2208091047607228</v>
      </c>
      <c r="R34" s="15">
        <f t="shared" si="1"/>
        <v>0.19484631496906601</v>
      </c>
      <c r="S34" s="15">
        <f t="shared" si="1"/>
        <v>-0.50593928728552839</v>
      </c>
      <c r="U34" s="18" t="s">
        <v>15</v>
      </c>
    </row>
    <row r="35" spans="1:26" ht="12.75">
      <c r="A35" s="6">
        <v>20190220</v>
      </c>
      <c r="B35" s="5">
        <v>0.19</v>
      </c>
      <c r="C35" s="5">
        <v>0.28999999999999998</v>
      </c>
      <c r="D35" s="5">
        <v>0.56000000000000005</v>
      </c>
      <c r="E35" s="5">
        <v>0.01</v>
      </c>
      <c r="F35" s="5">
        <v>-0.28000000000000003</v>
      </c>
      <c r="G35" s="7">
        <v>0.01</v>
      </c>
      <c r="H35" s="8"/>
      <c r="I35" s="14">
        <v>43.01</v>
      </c>
      <c r="J35" s="15">
        <v>107.15</v>
      </c>
      <c r="K35" s="15">
        <v>1622.1</v>
      </c>
      <c r="L35" s="15">
        <v>206.16</v>
      </c>
      <c r="M35" s="15">
        <v>136.35</v>
      </c>
      <c r="O35" s="15">
        <f t="shared" si="1"/>
        <v>0.65527732272407935</v>
      </c>
      <c r="P35" s="15">
        <f t="shared" si="1"/>
        <v>-0.94296015531107891</v>
      </c>
      <c r="Q35" s="15">
        <f t="shared" si="1"/>
        <v>-0.33669619926516292</v>
      </c>
      <c r="R35" s="15">
        <f t="shared" si="1"/>
        <v>0.22849919782197414</v>
      </c>
      <c r="S35" s="15">
        <f t="shared" si="1"/>
        <v>0.48640282998009265</v>
      </c>
      <c r="U35" s="20" t="s">
        <v>16</v>
      </c>
    </row>
    <row r="36" spans="1:26" ht="12.75">
      <c r="A36" s="6">
        <v>20190221</v>
      </c>
      <c r="B36" s="5">
        <v>-0.37</v>
      </c>
      <c r="C36" s="5">
        <v>-0.03</v>
      </c>
      <c r="D36" s="5">
        <v>-0.23</v>
      </c>
      <c r="E36" s="5">
        <v>0.57999999999999996</v>
      </c>
      <c r="F36" s="5">
        <v>0.14000000000000001</v>
      </c>
      <c r="G36" s="7">
        <v>0.01</v>
      </c>
      <c r="H36" s="8"/>
      <c r="I36" s="14">
        <v>42.77</v>
      </c>
      <c r="J36" s="15">
        <v>109.41</v>
      </c>
      <c r="K36" s="15">
        <v>1619.44</v>
      </c>
      <c r="L36" s="15">
        <v>205.33</v>
      </c>
      <c r="M36" s="15">
        <v>135.41999999999999</v>
      </c>
      <c r="O36" s="15">
        <f t="shared" si="1"/>
        <v>-0.55800976517087486</v>
      </c>
      <c r="P36" s="15">
        <f t="shared" si="1"/>
        <v>2.1091927204852867</v>
      </c>
      <c r="Q36" s="15">
        <f t="shared" si="1"/>
        <v>-0.1639849577707797</v>
      </c>
      <c r="R36" s="15">
        <f t="shared" si="1"/>
        <v>-0.40259992239036757</v>
      </c>
      <c r="S36" s="15">
        <f t="shared" si="1"/>
        <v>-0.68206820682068514</v>
      </c>
      <c r="U36" s="20" t="s">
        <v>22</v>
      </c>
    </row>
    <row r="37" spans="1:26" ht="12.75">
      <c r="A37" s="6">
        <v>20190222</v>
      </c>
      <c r="B37" s="5">
        <v>0.65</v>
      </c>
      <c r="C37" s="5">
        <v>0.38</v>
      </c>
      <c r="D37" s="5">
        <v>-1.47</v>
      </c>
      <c r="E37" s="5">
        <v>0.28999999999999998</v>
      </c>
      <c r="F37" s="5">
        <v>-0.63</v>
      </c>
      <c r="G37" s="7">
        <v>0.01</v>
      </c>
      <c r="H37" s="8"/>
      <c r="I37" s="14">
        <v>43.24</v>
      </c>
      <c r="J37" s="15">
        <v>110.97</v>
      </c>
      <c r="K37" s="15">
        <v>1631.56</v>
      </c>
      <c r="L37" s="15">
        <v>201.91</v>
      </c>
      <c r="M37" s="15">
        <v>136.6</v>
      </c>
      <c r="O37" s="15">
        <f t="shared" si="1"/>
        <v>1.098901098901095</v>
      </c>
      <c r="P37" s="15">
        <f t="shared" si="1"/>
        <v>1.4258294488620704</v>
      </c>
      <c r="Q37" s="15">
        <f t="shared" si="1"/>
        <v>0.74840685669119722</v>
      </c>
      <c r="R37" s="15">
        <f t="shared" si="1"/>
        <v>-1.6656114547314194</v>
      </c>
      <c r="S37" s="15">
        <f t="shared" si="1"/>
        <v>0.87136316644513823</v>
      </c>
      <c r="U37" s="20" t="s">
        <v>23</v>
      </c>
    </row>
    <row r="38" spans="1:26" ht="12.75">
      <c r="A38" s="6">
        <v>20190225</v>
      </c>
      <c r="B38" s="5">
        <v>0.15</v>
      </c>
      <c r="C38" s="5">
        <v>-0.27</v>
      </c>
      <c r="D38" s="5">
        <v>-0.18</v>
      </c>
      <c r="E38" s="5">
        <v>-0.86</v>
      </c>
      <c r="F38" s="5">
        <v>-0.5</v>
      </c>
      <c r="G38" s="7">
        <v>0.01</v>
      </c>
      <c r="H38" s="8"/>
      <c r="I38" s="14">
        <v>43.56</v>
      </c>
      <c r="J38" s="15">
        <v>111.59</v>
      </c>
      <c r="K38" s="15">
        <v>1633</v>
      </c>
      <c r="L38" s="15">
        <v>202.31</v>
      </c>
      <c r="M38" s="15">
        <v>136.19999999999999</v>
      </c>
      <c r="O38" s="15">
        <f t="shared" si="1"/>
        <v>0.74005550416280652</v>
      </c>
      <c r="P38" s="15">
        <f t="shared" si="1"/>
        <v>0.55870956114265624</v>
      </c>
      <c r="Q38" s="15">
        <f t="shared" si="1"/>
        <v>8.8259089460396289E-2</v>
      </c>
      <c r="R38" s="15">
        <f t="shared" si="1"/>
        <v>0.19810806795106384</v>
      </c>
      <c r="S38" s="15">
        <f t="shared" si="1"/>
        <v>-0.29282576866764831</v>
      </c>
      <c r="U38" s="20" t="s">
        <v>61</v>
      </c>
    </row>
    <row r="39" spans="1:26" ht="12.75">
      <c r="A39" s="6">
        <v>20190226</v>
      </c>
      <c r="B39" s="5">
        <v>-0.16</v>
      </c>
      <c r="C39" s="5">
        <v>-0.67</v>
      </c>
      <c r="D39" s="5">
        <v>-0.32</v>
      </c>
      <c r="E39" s="5">
        <v>0.09</v>
      </c>
      <c r="F39" s="5">
        <v>-0.15</v>
      </c>
      <c r="G39" s="7">
        <v>0.01</v>
      </c>
      <c r="H39" s="8"/>
      <c r="I39" s="14">
        <v>43.58</v>
      </c>
      <c r="J39" s="15">
        <v>112.36</v>
      </c>
      <c r="K39" s="15">
        <v>1636.4</v>
      </c>
      <c r="L39" s="15">
        <v>201.9</v>
      </c>
      <c r="M39" s="15">
        <v>136.11000000000001</v>
      </c>
      <c r="O39" s="15">
        <f t="shared" si="1"/>
        <v>4.5913682277309853E-2</v>
      </c>
      <c r="P39" s="15">
        <f t="shared" si="1"/>
        <v>0.69002598799174919</v>
      </c>
      <c r="Q39" s="15">
        <f t="shared" si="1"/>
        <v>0.20820575627680249</v>
      </c>
      <c r="R39" s="15">
        <f t="shared" si="1"/>
        <v>-0.20265928525530219</v>
      </c>
      <c r="S39" s="15">
        <f t="shared" si="1"/>
        <v>-6.6079295154164441E-2</v>
      </c>
    </row>
    <row r="40" spans="1:26" ht="12.75">
      <c r="A40" s="6">
        <v>20190227</v>
      </c>
      <c r="B40" s="5">
        <v>0.09</v>
      </c>
      <c r="C40" s="5">
        <v>0.15</v>
      </c>
      <c r="D40" s="5">
        <v>-0.12</v>
      </c>
      <c r="E40" s="5">
        <v>-0.68</v>
      </c>
      <c r="F40" s="5">
        <v>-7.0000000000000007E-2</v>
      </c>
      <c r="G40" s="7">
        <v>0.01</v>
      </c>
      <c r="H40" s="8"/>
      <c r="I40" s="14">
        <v>43.72</v>
      </c>
      <c r="J40" s="15">
        <v>112.17</v>
      </c>
      <c r="K40" s="15">
        <v>1641.09</v>
      </c>
      <c r="L40" s="15">
        <v>202.29</v>
      </c>
      <c r="M40" s="15">
        <v>135.87</v>
      </c>
      <c r="O40" s="15">
        <f t="shared" si="1"/>
        <v>0.32124827902708653</v>
      </c>
      <c r="P40" s="15">
        <f t="shared" si="1"/>
        <v>-0.16909932360270608</v>
      </c>
      <c r="Q40" s="15">
        <f t="shared" si="1"/>
        <v>0.28660474211683606</v>
      </c>
      <c r="R40" s="15">
        <f t="shared" si="1"/>
        <v>0.19316493313521477</v>
      </c>
      <c r="S40" s="15">
        <f t="shared" si="1"/>
        <v>-0.17632797002424816</v>
      </c>
      <c r="U40" s="18" t="s">
        <v>62</v>
      </c>
    </row>
    <row r="41" spans="1:26" ht="12.75">
      <c r="A41" s="6">
        <v>20190228</v>
      </c>
      <c r="B41" s="5">
        <v>-0.31</v>
      </c>
      <c r="C41" s="5">
        <v>-0.02</v>
      </c>
      <c r="D41" s="5">
        <v>-0.25</v>
      </c>
      <c r="E41" s="5">
        <v>0.28999999999999998</v>
      </c>
      <c r="F41" s="5">
        <v>0.16</v>
      </c>
      <c r="G41" s="7">
        <v>0.01</v>
      </c>
      <c r="H41" s="8"/>
      <c r="I41" s="14">
        <v>43.29</v>
      </c>
      <c r="J41" s="15">
        <v>112.03</v>
      </c>
      <c r="K41" s="15">
        <v>1639.83</v>
      </c>
      <c r="L41" s="15">
        <v>201.3</v>
      </c>
      <c r="M41" s="15">
        <v>136.63999999999999</v>
      </c>
      <c r="O41" s="15">
        <f t="shared" si="1"/>
        <v>-0.98353156450137202</v>
      </c>
      <c r="P41" s="15">
        <f t="shared" si="1"/>
        <v>-0.12481055540697339</v>
      </c>
      <c r="Q41" s="15">
        <f t="shared" si="1"/>
        <v>-7.67782388534477E-2</v>
      </c>
      <c r="R41" s="15">
        <f t="shared" si="1"/>
        <v>-0.48939641109297938</v>
      </c>
      <c r="S41" s="15">
        <f t="shared" si="1"/>
        <v>0.56671818650178007</v>
      </c>
      <c r="V41" s="5" t="s">
        <v>24</v>
      </c>
      <c r="W41" s="5" t="s">
        <v>25</v>
      </c>
      <c r="X41" s="5" t="s">
        <v>26</v>
      </c>
      <c r="Y41" s="5" t="s">
        <v>27</v>
      </c>
      <c r="Z41" s="5" t="s">
        <v>28</v>
      </c>
    </row>
    <row r="42" spans="1:26" ht="12.75">
      <c r="A42" s="6">
        <v>20190301</v>
      </c>
      <c r="B42" s="5">
        <v>0.72</v>
      </c>
      <c r="C42" s="5">
        <v>0.25</v>
      </c>
      <c r="D42" s="5">
        <v>-0.41</v>
      </c>
      <c r="E42" s="5">
        <v>-0.35</v>
      </c>
      <c r="F42" s="5">
        <v>-0.18</v>
      </c>
      <c r="G42" s="7">
        <v>8.9999999999999993E-3</v>
      </c>
      <c r="H42" s="8"/>
      <c r="I42" s="14">
        <v>43.74</v>
      </c>
      <c r="J42" s="15">
        <v>112.53</v>
      </c>
      <c r="K42" s="15">
        <v>1671.73</v>
      </c>
      <c r="L42" s="15">
        <v>203.13</v>
      </c>
      <c r="M42" s="15">
        <v>138.35</v>
      </c>
      <c r="O42" s="15">
        <f t="shared" si="1"/>
        <v>1.0395010395010562</v>
      </c>
      <c r="P42" s="15">
        <f t="shared" si="1"/>
        <v>0.44630902436846309</v>
      </c>
      <c r="Q42" s="15">
        <f t="shared" si="1"/>
        <v>1.9453236006171437</v>
      </c>
      <c r="R42" s="15">
        <f t="shared" si="1"/>
        <v>0.90909090909090384</v>
      </c>
      <c r="S42" s="15">
        <f t="shared" si="1"/>
        <v>1.25146370023419</v>
      </c>
      <c r="U42" s="21" t="str" cm="1">
        <f t="array" ref="U42:U46">TRANSPOSE(V41:Z41)</f>
        <v>Mkt-RF</v>
      </c>
      <c r="V42">
        <f>_xlfn.VAR.S(B2:B758,B2:B758)</f>
        <v>2.0548282127331543</v>
      </c>
    </row>
    <row r="43" spans="1:26" ht="12.75">
      <c r="A43" s="6">
        <v>20190304</v>
      </c>
      <c r="B43" s="5">
        <v>-0.52</v>
      </c>
      <c r="C43" s="5">
        <v>-0.38</v>
      </c>
      <c r="D43" s="5">
        <v>0.39</v>
      </c>
      <c r="E43" s="5">
        <v>0.14000000000000001</v>
      </c>
      <c r="F43" s="5">
        <v>-0.09</v>
      </c>
      <c r="G43" s="7">
        <v>8.9999999999999993E-3</v>
      </c>
      <c r="H43" s="8"/>
      <c r="I43" s="14">
        <v>43.96</v>
      </c>
      <c r="J43" s="15">
        <v>112.26</v>
      </c>
      <c r="K43" s="15">
        <v>1696.17</v>
      </c>
      <c r="L43" s="15">
        <v>201.81</v>
      </c>
      <c r="M43" s="15">
        <v>138.47999999999999</v>
      </c>
      <c r="O43" s="15">
        <f t="shared" si="1"/>
        <v>0.50297210791037106</v>
      </c>
      <c r="P43" s="15">
        <f t="shared" si="1"/>
        <v>-0.23993601706211454</v>
      </c>
      <c r="Q43" s="15">
        <f t="shared" si="1"/>
        <v>1.4619585698647519</v>
      </c>
      <c r="R43" s="15">
        <f t="shared" si="1"/>
        <v>-0.64983015802687616</v>
      </c>
      <c r="S43" s="15">
        <f t="shared" si="1"/>
        <v>9.3964582580419176E-2</v>
      </c>
      <c r="U43" t="str">
        <v>SMB</v>
      </c>
      <c r="V43">
        <f>_xlfn.COVARIANCE.S(B2:B758,C2:C758)</f>
        <v>0.25784995264655086</v>
      </c>
    </row>
    <row r="44" spans="1:26" ht="12.75">
      <c r="A44" s="6">
        <v>20190305</v>
      </c>
      <c r="B44" s="5">
        <v>-0.17</v>
      </c>
      <c r="C44" s="5">
        <v>-0.32</v>
      </c>
      <c r="D44" s="5">
        <v>-0.23</v>
      </c>
      <c r="E44" s="5">
        <v>0.28000000000000003</v>
      </c>
      <c r="F44" s="5">
        <v>0</v>
      </c>
      <c r="G44" s="7">
        <v>8.9999999999999993E-3</v>
      </c>
      <c r="H44" s="8"/>
      <c r="I44" s="14">
        <v>43.88</v>
      </c>
      <c r="J44" s="15">
        <v>111.7</v>
      </c>
      <c r="K44" s="15">
        <v>1692.43</v>
      </c>
      <c r="L44" s="15">
        <v>201.47</v>
      </c>
      <c r="M44" s="15">
        <v>138.77000000000001</v>
      </c>
      <c r="O44" s="15">
        <f t="shared" si="1"/>
        <v>-0.18198362147406888</v>
      </c>
      <c r="P44" s="15">
        <f t="shared" si="1"/>
        <v>-0.49884197398896157</v>
      </c>
      <c r="Q44" s="15">
        <f t="shared" si="1"/>
        <v>-0.22049676624394943</v>
      </c>
      <c r="R44" s="15">
        <f t="shared" si="1"/>
        <v>-0.16847529854814303</v>
      </c>
      <c r="S44" s="15">
        <f t="shared" si="1"/>
        <v>0.2094165222414901</v>
      </c>
      <c r="U44" t="str">
        <v>HML</v>
      </c>
    </row>
    <row r="45" spans="1:26" ht="12.75">
      <c r="A45" s="6">
        <v>20190306</v>
      </c>
      <c r="B45" s="5">
        <v>-0.84</v>
      </c>
      <c r="C45" s="5">
        <v>-1.23</v>
      </c>
      <c r="D45" s="5">
        <v>0.05</v>
      </c>
      <c r="E45" s="5">
        <v>0.55000000000000004</v>
      </c>
      <c r="F45" s="5">
        <v>0.12</v>
      </c>
      <c r="G45" s="7">
        <v>8.9999999999999993E-3</v>
      </c>
      <c r="H45" s="8"/>
      <c r="I45" s="14">
        <v>43.63</v>
      </c>
      <c r="J45" s="15">
        <v>111.75</v>
      </c>
      <c r="K45" s="15">
        <v>1668.95</v>
      </c>
      <c r="L45" s="15">
        <v>200.67</v>
      </c>
      <c r="M45" s="15">
        <v>139.09</v>
      </c>
      <c r="O45" s="15">
        <f t="shared" si="1"/>
        <v>-0.5697356426618061</v>
      </c>
      <c r="P45" s="15">
        <f t="shared" si="1"/>
        <v>4.4762757385852225E-2</v>
      </c>
      <c r="Q45" s="15">
        <f t="shared" si="1"/>
        <v>-1.387354277577213</v>
      </c>
      <c r="R45" s="15">
        <f t="shared" si="1"/>
        <v>-0.39708145133271477</v>
      </c>
      <c r="S45" s="15">
        <f t="shared" si="1"/>
        <v>0.23059739136701563</v>
      </c>
      <c r="U45" t="str">
        <v>RMW</v>
      </c>
    </row>
    <row r="46" spans="1:26" ht="12.75">
      <c r="A46" s="6">
        <v>20190307</v>
      </c>
      <c r="B46" s="5">
        <v>-0.82</v>
      </c>
      <c r="C46" s="5">
        <v>-0.05</v>
      </c>
      <c r="D46" s="5">
        <v>-0.34</v>
      </c>
      <c r="E46" s="5">
        <v>-0.38</v>
      </c>
      <c r="F46" s="5">
        <v>0.13</v>
      </c>
      <c r="G46" s="7">
        <v>8.9999999999999993E-3</v>
      </c>
      <c r="H46" s="8"/>
      <c r="I46" s="14">
        <v>43.13</v>
      </c>
      <c r="J46" s="15">
        <v>110.39</v>
      </c>
      <c r="K46" s="15">
        <v>1625.95</v>
      </c>
      <c r="L46" s="15">
        <v>199.3</v>
      </c>
      <c r="M46" s="15">
        <v>138.24</v>
      </c>
      <c r="O46" s="15">
        <f t="shared" si="1"/>
        <v>-1.146000458400187</v>
      </c>
      <c r="P46" s="15">
        <f t="shared" si="1"/>
        <v>-1.2170022371364664</v>
      </c>
      <c r="Q46" s="15">
        <f t="shared" si="1"/>
        <v>-2.5764702357769842</v>
      </c>
      <c r="R46" s="15">
        <f t="shared" si="1"/>
        <v>-0.68271291174564208</v>
      </c>
      <c r="S46" s="15">
        <f t="shared" si="1"/>
        <v>-0.61111510532748659</v>
      </c>
      <c r="U46" t="str">
        <v>CMA</v>
      </c>
    </row>
    <row r="47" spans="1:26" ht="12.75">
      <c r="A47" s="6">
        <v>20190308</v>
      </c>
      <c r="B47" s="5">
        <v>-0.22</v>
      </c>
      <c r="C47" s="5">
        <v>7.0000000000000007E-2</v>
      </c>
      <c r="D47" s="5">
        <v>-0.14000000000000001</v>
      </c>
      <c r="E47" s="5">
        <v>-0.12</v>
      </c>
      <c r="F47" s="5">
        <v>-0.27</v>
      </c>
      <c r="G47" s="7">
        <v>8.9999999999999993E-3</v>
      </c>
      <c r="H47" s="8"/>
      <c r="I47" s="14">
        <v>43.23</v>
      </c>
      <c r="J47" s="15">
        <v>110.51</v>
      </c>
      <c r="K47" s="15">
        <v>1620.8</v>
      </c>
      <c r="L47" s="15">
        <v>198.7</v>
      </c>
      <c r="M47" s="15">
        <v>138.06</v>
      </c>
      <c r="O47" s="15">
        <f t="shared" si="1"/>
        <v>0.23185717597957733</v>
      </c>
      <c r="P47" s="15">
        <f t="shared" si="1"/>
        <v>0.10870549868648993</v>
      </c>
      <c r="Q47" s="15">
        <f t="shared" si="1"/>
        <v>-0.3167379070697196</v>
      </c>
      <c r="R47" s="15">
        <f t="shared" si="1"/>
        <v>-0.30105368790769305</v>
      </c>
      <c r="S47" s="15">
        <f t="shared" si="1"/>
        <v>-0.13020833333333703</v>
      </c>
    </row>
    <row r="48" spans="1:26" ht="12.75">
      <c r="A48" s="6">
        <v>20190311</v>
      </c>
      <c r="B48" s="5">
        <v>1.49</v>
      </c>
      <c r="C48" s="5">
        <v>0.27</v>
      </c>
      <c r="D48" s="5">
        <v>-0.52</v>
      </c>
      <c r="E48" s="5">
        <v>-0.28000000000000003</v>
      </c>
      <c r="F48" s="5">
        <v>-0.47</v>
      </c>
      <c r="G48" s="7">
        <v>8.9999999999999993E-3</v>
      </c>
      <c r="H48" s="8"/>
      <c r="I48" s="14">
        <v>44.73</v>
      </c>
      <c r="J48" s="15">
        <v>112.83</v>
      </c>
      <c r="K48" s="15">
        <v>1670.62</v>
      </c>
      <c r="L48" s="15">
        <v>202.09</v>
      </c>
      <c r="M48" s="15">
        <v>138.56</v>
      </c>
      <c r="O48" s="15">
        <f t="shared" si="1"/>
        <v>3.4698126301179633</v>
      </c>
      <c r="P48" s="15">
        <f t="shared" si="1"/>
        <v>2.0993575242059581</v>
      </c>
      <c r="Q48" s="15">
        <f t="shared" si="1"/>
        <v>3.073790720631786</v>
      </c>
      <c r="R48" s="15">
        <f t="shared" si="1"/>
        <v>1.7060895822848643</v>
      </c>
      <c r="S48" s="15">
        <f t="shared" si="1"/>
        <v>0.36216137911053714</v>
      </c>
    </row>
    <row r="49" spans="1:19" ht="12.75">
      <c r="A49" s="6">
        <v>20190312</v>
      </c>
      <c r="B49" s="5">
        <v>0.25</v>
      </c>
      <c r="C49" s="5">
        <v>-0.31</v>
      </c>
      <c r="D49" s="5">
        <v>-0.08</v>
      </c>
      <c r="E49" s="5">
        <v>-0.43</v>
      </c>
      <c r="F49" s="5">
        <v>0.02</v>
      </c>
      <c r="G49" s="7">
        <v>8.9999999999999993E-3</v>
      </c>
      <c r="H49" s="8"/>
      <c r="I49" s="14">
        <v>45.23</v>
      </c>
      <c r="J49" s="15">
        <v>113.62</v>
      </c>
      <c r="K49" s="15">
        <v>1673.1</v>
      </c>
      <c r="L49" s="15">
        <v>202.5</v>
      </c>
      <c r="M49" s="15">
        <v>139.18</v>
      </c>
      <c r="O49" s="15">
        <f t="shared" si="1"/>
        <v>1.1178180192264797</v>
      </c>
      <c r="P49" s="15">
        <f t="shared" si="1"/>
        <v>0.70016839493043381</v>
      </c>
      <c r="Q49" s="15">
        <f t="shared" si="1"/>
        <v>0.14844788162478029</v>
      </c>
      <c r="R49" s="15">
        <f t="shared" si="1"/>
        <v>0.20287990499281428</v>
      </c>
      <c r="S49" s="15">
        <f t="shared" si="1"/>
        <v>0.4474595842956175</v>
      </c>
    </row>
    <row r="50" spans="1:19" ht="12.75">
      <c r="A50" s="6">
        <v>20190313</v>
      </c>
      <c r="B50" s="5">
        <v>0.68</v>
      </c>
      <c r="C50" s="5">
        <v>-0.32</v>
      </c>
      <c r="D50" s="5">
        <v>0.08</v>
      </c>
      <c r="E50" s="5">
        <v>-0.17</v>
      </c>
      <c r="F50" s="5">
        <v>0.18</v>
      </c>
      <c r="G50" s="7">
        <v>8.9999999999999993E-3</v>
      </c>
      <c r="H50" s="8"/>
      <c r="I50" s="14">
        <v>45.43</v>
      </c>
      <c r="J50" s="15">
        <v>114.5</v>
      </c>
      <c r="K50" s="15">
        <v>1690.81</v>
      </c>
      <c r="L50" s="15">
        <v>204.06</v>
      </c>
      <c r="M50" s="15">
        <v>139.41</v>
      </c>
      <c r="O50" s="15">
        <f t="shared" si="1"/>
        <v>0.44218439089100947</v>
      </c>
      <c r="P50" s="15">
        <f t="shared" si="1"/>
        <v>0.77451152966026005</v>
      </c>
      <c r="Q50" s="15">
        <f t="shared" si="1"/>
        <v>1.0585141354372052</v>
      </c>
      <c r="R50" s="15">
        <f t="shared" si="1"/>
        <v>0.77037037037037681</v>
      </c>
      <c r="S50" s="15">
        <f t="shared" si="1"/>
        <v>0.16525362839487912</v>
      </c>
    </row>
    <row r="51" spans="1:19" ht="12.75">
      <c r="A51" s="6">
        <v>20190314</v>
      </c>
      <c r="B51" s="5">
        <v>-0.1</v>
      </c>
      <c r="C51" s="5">
        <v>-0.38</v>
      </c>
      <c r="D51" s="5">
        <v>0.31</v>
      </c>
      <c r="E51" s="5">
        <v>-0.15</v>
      </c>
      <c r="F51" s="5">
        <v>-0.12</v>
      </c>
      <c r="G51" s="7">
        <v>8.9999999999999993E-3</v>
      </c>
      <c r="H51" s="8"/>
      <c r="I51" s="14">
        <v>45.93</v>
      </c>
      <c r="J51" s="15">
        <v>114.59</v>
      </c>
      <c r="K51" s="15">
        <v>1686.22</v>
      </c>
      <c r="L51" s="15">
        <v>203.38</v>
      </c>
      <c r="M51" s="15">
        <v>138.02000000000001</v>
      </c>
      <c r="O51" s="15">
        <f t="shared" si="1"/>
        <v>1.1005943209333013</v>
      </c>
      <c r="P51" s="15">
        <f t="shared" si="1"/>
        <v>7.8602620087342423E-2</v>
      </c>
      <c r="Q51" s="15">
        <f t="shared" si="1"/>
        <v>-0.27146752148378139</v>
      </c>
      <c r="R51" s="15">
        <f t="shared" si="1"/>
        <v>-0.33323532294423641</v>
      </c>
      <c r="S51" s="15">
        <f t="shared" si="1"/>
        <v>-0.9970590345025343</v>
      </c>
    </row>
    <row r="52" spans="1:19" ht="12.75">
      <c r="A52" s="6">
        <v>20190315</v>
      </c>
      <c r="B52" s="5">
        <v>0.48</v>
      </c>
      <c r="C52" s="5">
        <v>-0.23</v>
      </c>
      <c r="D52" s="5">
        <v>-0.24</v>
      </c>
      <c r="E52" s="5">
        <v>-0.04</v>
      </c>
      <c r="F52" s="5">
        <v>-0.19</v>
      </c>
      <c r="G52" s="7">
        <v>8.9999999999999993E-3</v>
      </c>
      <c r="H52" s="8"/>
      <c r="I52" s="14">
        <v>46.53</v>
      </c>
      <c r="J52" s="15">
        <v>115.91</v>
      </c>
      <c r="K52" s="15">
        <v>1712.36</v>
      </c>
      <c r="L52" s="15">
        <v>204.31</v>
      </c>
      <c r="M52" s="15">
        <v>137.6</v>
      </c>
      <c r="O52" s="15">
        <f t="shared" si="1"/>
        <v>1.3063357282821819</v>
      </c>
      <c r="P52" s="15">
        <f t="shared" si="1"/>
        <v>1.1519329784448917</v>
      </c>
      <c r="Q52" s="15">
        <f t="shared" si="1"/>
        <v>1.5502129022310074</v>
      </c>
      <c r="R52" s="15">
        <f t="shared" si="1"/>
        <v>0.45727210148491793</v>
      </c>
      <c r="S52" s="15">
        <f t="shared" si="1"/>
        <v>-0.30430372409796513</v>
      </c>
    </row>
    <row r="53" spans="1:19" ht="12.75">
      <c r="A53" s="6">
        <v>20190318</v>
      </c>
      <c r="B53" s="5">
        <v>0.46</v>
      </c>
      <c r="C53" s="5">
        <v>0.23</v>
      </c>
      <c r="D53" s="5">
        <v>0.44</v>
      </c>
      <c r="E53" s="5">
        <v>-0.08</v>
      </c>
      <c r="F53" s="5">
        <v>-0.08</v>
      </c>
      <c r="G53" s="7">
        <v>8.9999999999999993E-3</v>
      </c>
      <c r="H53" s="8"/>
      <c r="I53" s="14">
        <v>47.01</v>
      </c>
      <c r="J53" s="15">
        <v>117.57</v>
      </c>
      <c r="K53" s="15">
        <v>1742.15</v>
      </c>
      <c r="L53" s="15">
        <v>206.68</v>
      </c>
      <c r="M53" s="15">
        <v>137.16999999999999</v>
      </c>
      <c r="O53" s="15">
        <f t="shared" si="1"/>
        <v>1.0315925209542165</v>
      </c>
      <c r="P53" s="15">
        <f t="shared" si="1"/>
        <v>1.4321456302303526</v>
      </c>
      <c r="Q53" s="15">
        <f t="shared" si="1"/>
        <v>1.7397042677941732</v>
      </c>
      <c r="R53" s="15">
        <f t="shared" si="1"/>
        <v>1.1600019578092091</v>
      </c>
      <c r="S53" s="15">
        <f t="shared" si="1"/>
        <v>-0.31250000000000444</v>
      </c>
    </row>
    <row r="54" spans="1:19" ht="12.75">
      <c r="A54" s="6">
        <v>20190319</v>
      </c>
      <c r="B54" s="5">
        <v>-0.09</v>
      </c>
      <c r="C54" s="5">
        <v>-0.47</v>
      </c>
      <c r="D54" s="5">
        <v>-0.9</v>
      </c>
      <c r="E54" s="5">
        <v>0.01</v>
      </c>
      <c r="F54" s="5">
        <v>-7.0000000000000007E-2</v>
      </c>
      <c r="G54" s="7">
        <v>8.9999999999999993E-3</v>
      </c>
      <c r="H54" s="8"/>
      <c r="I54" s="14">
        <v>46.63</v>
      </c>
      <c r="J54" s="15">
        <v>117.65</v>
      </c>
      <c r="K54" s="15">
        <v>1761.85</v>
      </c>
      <c r="L54" s="15">
        <v>205.15</v>
      </c>
      <c r="M54" s="15">
        <v>138.44</v>
      </c>
      <c r="O54" s="15">
        <f t="shared" si="1"/>
        <v>-0.80833865135077065</v>
      </c>
      <c r="P54" s="15">
        <f t="shared" si="1"/>
        <v>6.8044569192826643E-2</v>
      </c>
      <c r="Q54" s="15">
        <f t="shared" si="1"/>
        <v>1.1307866716413484</v>
      </c>
      <c r="R54" s="15">
        <f t="shared" si="1"/>
        <v>-0.74027482097929198</v>
      </c>
      <c r="S54" s="15">
        <f t="shared" si="1"/>
        <v>0.92585842385362049</v>
      </c>
    </row>
    <row r="55" spans="1:19" ht="12.75">
      <c r="A55" s="6">
        <v>20190320</v>
      </c>
      <c r="B55" s="5">
        <v>-0.39</v>
      </c>
      <c r="C55" s="5">
        <v>-0.22</v>
      </c>
      <c r="D55" s="5">
        <v>-1.03</v>
      </c>
      <c r="E55" s="5">
        <v>-0.21</v>
      </c>
      <c r="F55" s="5">
        <v>-0.24</v>
      </c>
      <c r="G55" s="7">
        <v>8.9999999999999993E-3</v>
      </c>
      <c r="H55" s="8"/>
      <c r="I55" s="14">
        <v>47.04</v>
      </c>
      <c r="J55" s="15">
        <v>117.52</v>
      </c>
      <c r="K55" s="15">
        <v>1797.27</v>
      </c>
      <c r="L55" s="15">
        <v>203.27</v>
      </c>
      <c r="M55" s="15">
        <v>137.29</v>
      </c>
      <c r="O55" s="15">
        <f t="shared" si="1"/>
        <v>0.87926227750374508</v>
      </c>
      <c r="P55" s="15">
        <f t="shared" si="1"/>
        <v>-0.11049723756907381</v>
      </c>
      <c r="Q55" s="15">
        <f t="shared" si="1"/>
        <v>2.010386809319753</v>
      </c>
      <c r="R55" s="15">
        <f t="shared" si="1"/>
        <v>-0.91640263222032559</v>
      </c>
      <c r="S55" s="15">
        <f t="shared" si="1"/>
        <v>-0.83068477318694045</v>
      </c>
    </row>
    <row r="56" spans="1:19" ht="12.75">
      <c r="A56" s="6">
        <v>20190321</v>
      </c>
      <c r="B56" s="5">
        <v>1.1100000000000001</v>
      </c>
      <c r="C56" s="5">
        <v>0.17</v>
      </c>
      <c r="D56" s="5">
        <v>-1.22</v>
      </c>
      <c r="E56" s="5">
        <v>0.31</v>
      </c>
      <c r="F56" s="5">
        <v>-0.34</v>
      </c>
      <c r="G56" s="7">
        <v>8.9999999999999993E-3</v>
      </c>
      <c r="H56" s="8"/>
      <c r="I56" s="14">
        <v>48.77</v>
      </c>
      <c r="J56" s="15">
        <v>120.22</v>
      </c>
      <c r="K56" s="15">
        <v>1819.26</v>
      </c>
      <c r="L56" s="15">
        <v>204.43</v>
      </c>
      <c r="M56" s="15">
        <v>138.1</v>
      </c>
      <c r="O56" s="15">
        <f t="shared" si="1"/>
        <v>3.6777210884353817</v>
      </c>
      <c r="P56" s="15">
        <f t="shared" si="1"/>
        <v>2.2974812797821764</v>
      </c>
      <c r="Q56" s="15">
        <f t="shared" si="1"/>
        <v>1.22352234221903</v>
      </c>
      <c r="R56" s="15">
        <f t="shared" si="1"/>
        <v>0.57066955281153131</v>
      </c>
      <c r="S56" s="15">
        <f t="shared" si="1"/>
        <v>0.58999198776312767</v>
      </c>
    </row>
    <row r="57" spans="1:19" ht="12.75">
      <c r="A57" s="6">
        <v>20190322</v>
      </c>
      <c r="B57" s="5">
        <v>-2.17</v>
      </c>
      <c r="C57" s="5">
        <v>-1.56</v>
      </c>
      <c r="D57" s="5">
        <v>-0.06</v>
      </c>
      <c r="E57" s="5">
        <v>0.53</v>
      </c>
      <c r="F57" s="5">
        <v>0.6</v>
      </c>
      <c r="G57" s="7">
        <v>8.9999999999999993E-3</v>
      </c>
      <c r="H57" s="8"/>
      <c r="I57" s="14">
        <v>47.76</v>
      </c>
      <c r="J57" s="15">
        <v>117.05</v>
      </c>
      <c r="K57" s="15">
        <v>1764.77</v>
      </c>
      <c r="L57" s="15">
        <v>200.55</v>
      </c>
      <c r="M57" s="15">
        <v>136.91</v>
      </c>
      <c r="O57" s="15">
        <f t="shared" si="1"/>
        <v>-2.0709452532294503</v>
      </c>
      <c r="P57" s="15">
        <f t="shared" si="1"/>
        <v>-2.6368324737980342</v>
      </c>
      <c r="Q57" s="15">
        <f t="shared" si="1"/>
        <v>-2.9951738618998913</v>
      </c>
      <c r="R57" s="15">
        <f t="shared" si="1"/>
        <v>-1.8979601819693714</v>
      </c>
      <c r="S57" s="15">
        <f t="shared" si="1"/>
        <v>-0.86169442433019494</v>
      </c>
    </row>
    <row r="58" spans="1:19" ht="12.75">
      <c r="A58" s="6">
        <v>20190325</v>
      </c>
      <c r="B58" s="5">
        <v>-0.05</v>
      </c>
      <c r="C58" s="5">
        <v>0.6</v>
      </c>
      <c r="D58" s="5">
        <v>-0.27</v>
      </c>
      <c r="E58" s="5">
        <v>0.19</v>
      </c>
      <c r="F58" s="5">
        <v>0.03</v>
      </c>
      <c r="G58" s="7">
        <v>8.9999999999999993E-3</v>
      </c>
      <c r="H58" s="8"/>
      <c r="I58" s="14">
        <v>47.19</v>
      </c>
      <c r="J58" s="15">
        <v>117.66</v>
      </c>
      <c r="K58" s="15">
        <v>1774.26</v>
      </c>
      <c r="L58" s="15">
        <v>199.44</v>
      </c>
      <c r="M58" s="15">
        <v>136.61000000000001</v>
      </c>
      <c r="O58" s="15">
        <f t="shared" si="1"/>
        <v>-1.1934673366834181</v>
      </c>
      <c r="P58" s="15">
        <f t="shared" si="1"/>
        <v>0.5211448099103011</v>
      </c>
      <c r="Q58" s="15">
        <f t="shared" si="1"/>
        <v>0.53774712852099338</v>
      </c>
      <c r="R58" s="15">
        <f t="shared" si="1"/>
        <v>-0.55347793567689374</v>
      </c>
      <c r="S58" s="15">
        <f t="shared" si="1"/>
        <v>-0.2191220509823899</v>
      </c>
    </row>
    <row r="59" spans="1:19" ht="12.75">
      <c r="A59" s="6">
        <v>20190326</v>
      </c>
      <c r="B59" s="5">
        <v>0.76</v>
      </c>
      <c r="C59" s="5">
        <v>0.23</v>
      </c>
      <c r="D59" s="5">
        <v>0.46</v>
      </c>
      <c r="E59" s="5">
        <v>0.04</v>
      </c>
      <c r="F59" s="5">
        <v>0.19</v>
      </c>
      <c r="G59" s="7">
        <v>8.9999999999999993E-3</v>
      </c>
      <c r="H59" s="8"/>
      <c r="I59" s="14">
        <v>46.7</v>
      </c>
      <c r="J59" s="15">
        <v>117.91</v>
      </c>
      <c r="K59" s="15">
        <v>1783.76</v>
      </c>
      <c r="L59" s="15">
        <v>200.62</v>
      </c>
      <c r="M59" s="15">
        <v>138.57</v>
      </c>
      <c r="O59" s="15">
        <f t="shared" si="1"/>
        <v>-1.0383555838101133</v>
      </c>
      <c r="P59" s="15">
        <f t="shared" si="1"/>
        <v>0.21247662757095664</v>
      </c>
      <c r="Q59" s="15">
        <f t="shared" si="1"/>
        <v>0.53543449099906493</v>
      </c>
      <c r="R59" s="15">
        <f t="shared" si="1"/>
        <v>0.59165663858804507</v>
      </c>
      <c r="S59" s="15">
        <f t="shared" si="1"/>
        <v>1.4347412341702448</v>
      </c>
    </row>
    <row r="60" spans="1:19" ht="12.75">
      <c r="A60" s="6">
        <v>20190327</v>
      </c>
      <c r="B60" s="5">
        <v>-0.5</v>
      </c>
      <c r="C60" s="5">
        <v>0.17</v>
      </c>
      <c r="D60" s="5">
        <v>0.5</v>
      </c>
      <c r="E60" s="5">
        <v>0.76</v>
      </c>
      <c r="F60" s="5">
        <v>0.09</v>
      </c>
      <c r="G60" s="7">
        <v>8.9999999999999993E-3</v>
      </c>
      <c r="H60" s="8"/>
      <c r="I60" s="14">
        <v>47.12</v>
      </c>
      <c r="J60" s="15">
        <v>116.77</v>
      </c>
      <c r="K60" s="15">
        <v>1765.7</v>
      </c>
      <c r="L60" s="15">
        <v>199.21</v>
      </c>
      <c r="M60" s="15">
        <v>138.69999999999999</v>
      </c>
      <c r="O60" s="15">
        <f t="shared" si="1"/>
        <v>0.89935760171304668</v>
      </c>
      <c r="P60" s="15">
        <f t="shared" si="1"/>
        <v>-0.96683911457892124</v>
      </c>
      <c r="Q60" s="15">
        <f t="shared" si="1"/>
        <v>-1.0124680450284806</v>
      </c>
      <c r="R60" s="15">
        <f t="shared" si="1"/>
        <v>-0.70282125411225138</v>
      </c>
      <c r="S60" s="15">
        <f t="shared" ref="S60:S123" si="2">(M60/M59-1)*100</f>
        <v>9.3815400158758777E-2</v>
      </c>
    </row>
    <row r="61" spans="1:19" ht="12.75">
      <c r="A61" s="6">
        <v>20190328</v>
      </c>
      <c r="B61" s="5">
        <v>0.4</v>
      </c>
      <c r="C61" s="5">
        <v>0.36</v>
      </c>
      <c r="D61" s="5">
        <v>0.02</v>
      </c>
      <c r="E61" s="5">
        <v>-0.14000000000000001</v>
      </c>
      <c r="F61" s="5">
        <v>-7.0000000000000007E-2</v>
      </c>
      <c r="G61" s="7">
        <v>8.9999999999999993E-3</v>
      </c>
      <c r="H61" s="8"/>
      <c r="I61" s="14">
        <v>47.18</v>
      </c>
      <c r="J61" s="15">
        <v>116.93</v>
      </c>
      <c r="K61" s="15">
        <v>1773.42</v>
      </c>
      <c r="L61" s="15">
        <v>200.66</v>
      </c>
      <c r="M61" s="15">
        <v>138.88</v>
      </c>
      <c r="O61" s="15">
        <f t="shared" si="1"/>
        <v>0.12733446519526126</v>
      </c>
      <c r="P61" s="15">
        <f t="shared" si="1"/>
        <v>0.13702149524708052</v>
      </c>
      <c r="Q61" s="15">
        <f t="shared" si="1"/>
        <v>0.43722036586055779</v>
      </c>
      <c r="R61" s="15">
        <f t="shared" si="1"/>
        <v>0.72787510667133848</v>
      </c>
      <c r="S61" s="15">
        <f t="shared" si="2"/>
        <v>0.12977649603460595</v>
      </c>
    </row>
    <row r="62" spans="1:19" ht="12.75">
      <c r="A62" s="6">
        <v>20190329</v>
      </c>
      <c r="B62" s="5">
        <v>0.66</v>
      </c>
      <c r="C62" s="5">
        <v>-0.27</v>
      </c>
      <c r="D62" s="5">
        <v>-0.91</v>
      </c>
      <c r="E62" s="5">
        <v>0.2</v>
      </c>
      <c r="F62" s="5">
        <v>-0.17</v>
      </c>
      <c r="G62" s="7">
        <v>8.9999999999999993E-3</v>
      </c>
      <c r="H62" s="8"/>
      <c r="I62" s="14">
        <v>47.49</v>
      </c>
      <c r="J62" s="15">
        <v>117.94</v>
      </c>
      <c r="K62" s="15">
        <v>1780.75</v>
      </c>
      <c r="L62" s="15">
        <v>200.89</v>
      </c>
      <c r="M62" s="15">
        <v>139.79</v>
      </c>
      <c r="O62" s="15">
        <f t="shared" si="1"/>
        <v>0.6570580754557076</v>
      </c>
      <c r="P62" s="15">
        <f t="shared" si="1"/>
        <v>0.86376464551440879</v>
      </c>
      <c r="Q62" s="15">
        <f t="shared" si="1"/>
        <v>0.41332566453518016</v>
      </c>
      <c r="R62" s="15">
        <f t="shared" si="1"/>
        <v>0.11462174823082538</v>
      </c>
      <c r="S62" s="15">
        <f t="shared" si="2"/>
        <v>0.65524193548387455</v>
      </c>
    </row>
    <row r="63" spans="1:19" ht="12.75">
      <c r="A63" s="6">
        <v>20190401</v>
      </c>
      <c r="B63" s="5">
        <v>1.19</v>
      </c>
      <c r="C63" s="5">
        <v>-0.19</v>
      </c>
      <c r="D63" s="5">
        <v>0.98</v>
      </c>
      <c r="E63" s="5">
        <v>-0.05</v>
      </c>
      <c r="F63" s="5">
        <v>-0.32</v>
      </c>
      <c r="G63" s="7">
        <v>0.01</v>
      </c>
      <c r="H63" s="8"/>
      <c r="I63" s="14">
        <v>47.81</v>
      </c>
      <c r="J63" s="15">
        <v>119.02</v>
      </c>
      <c r="K63" s="15">
        <v>1814.19</v>
      </c>
      <c r="L63" s="15">
        <v>205</v>
      </c>
      <c r="M63" s="15">
        <v>138.97999999999999</v>
      </c>
      <c r="O63" s="15">
        <f t="shared" si="1"/>
        <v>0.67382606864603289</v>
      </c>
      <c r="P63" s="15">
        <f t="shared" si="1"/>
        <v>0.91571985755469765</v>
      </c>
      <c r="Q63" s="15">
        <f t="shared" si="1"/>
        <v>1.8778604520567121</v>
      </c>
      <c r="R63" s="15">
        <f t="shared" si="1"/>
        <v>2.0458957638508801</v>
      </c>
      <c r="S63" s="15">
        <f t="shared" si="2"/>
        <v>-0.57944058945561538</v>
      </c>
    </row>
    <row r="64" spans="1:19" ht="12.75">
      <c r="A64" s="6">
        <v>20190402</v>
      </c>
      <c r="B64" s="5">
        <v>-0.05</v>
      </c>
      <c r="C64" s="5">
        <v>-0.18</v>
      </c>
      <c r="D64" s="5">
        <v>-0.44</v>
      </c>
      <c r="E64" s="5">
        <v>-0.38</v>
      </c>
      <c r="F64" s="5">
        <v>-0.5</v>
      </c>
      <c r="G64" s="7">
        <v>0.01</v>
      </c>
      <c r="H64" s="8"/>
      <c r="I64" s="14">
        <v>48.51</v>
      </c>
      <c r="J64" s="15">
        <v>119.19</v>
      </c>
      <c r="K64" s="15">
        <v>1813.98</v>
      </c>
      <c r="L64" s="15">
        <v>203.88</v>
      </c>
      <c r="M64" s="15">
        <v>137.71</v>
      </c>
      <c r="O64" s="15">
        <f t="shared" si="1"/>
        <v>1.4641288433381972</v>
      </c>
      <c r="P64" s="15">
        <f t="shared" si="1"/>
        <v>0.14283313728784552</v>
      </c>
      <c r="Q64" s="15">
        <f t="shared" si="1"/>
        <v>-1.1575413821041103E-2</v>
      </c>
      <c r="R64" s="15">
        <f t="shared" si="1"/>
        <v>-0.54634146341463463</v>
      </c>
      <c r="S64" s="15">
        <f t="shared" si="2"/>
        <v>-0.91380054684125911</v>
      </c>
    </row>
    <row r="65" spans="1:19" ht="12.75">
      <c r="A65" s="6">
        <v>20190403</v>
      </c>
      <c r="B65" s="5">
        <v>0.27</v>
      </c>
      <c r="C65" s="5">
        <v>0.24</v>
      </c>
      <c r="D65" s="5">
        <v>-0.39</v>
      </c>
      <c r="E65" s="5">
        <v>0.14000000000000001</v>
      </c>
      <c r="F65" s="5">
        <v>-0.4</v>
      </c>
      <c r="G65" s="7">
        <v>0.01</v>
      </c>
      <c r="H65" s="8"/>
      <c r="I65" s="14">
        <v>48.84</v>
      </c>
      <c r="J65" s="15">
        <v>119.97</v>
      </c>
      <c r="K65" s="15">
        <v>1820.7</v>
      </c>
      <c r="L65" s="15">
        <v>203.67</v>
      </c>
      <c r="M65" s="15">
        <v>137.16999999999999</v>
      </c>
      <c r="O65" s="15">
        <f t="shared" si="1"/>
        <v>0.68027210884353817</v>
      </c>
      <c r="P65" s="15">
        <f t="shared" si="1"/>
        <v>0.65441731688899996</v>
      </c>
      <c r="Q65" s="15">
        <f t="shared" si="1"/>
        <v>0.3704561241028026</v>
      </c>
      <c r="R65" s="15">
        <f t="shared" si="1"/>
        <v>-0.10300176574455921</v>
      </c>
      <c r="S65" s="15">
        <f t="shared" si="2"/>
        <v>-0.39212838573815523</v>
      </c>
    </row>
    <row r="66" spans="1:19" ht="12.75">
      <c r="A66" s="6">
        <v>20190404</v>
      </c>
      <c r="B66" s="5">
        <v>0.19</v>
      </c>
      <c r="C66" s="5">
        <v>0.35</v>
      </c>
      <c r="D66" s="5">
        <v>0.93</v>
      </c>
      <c r="E66" s="5">
        <v>0.63</v>
      </c>
      <c r="F66" s="5">
        <v>0.22</v>
      </c>
      <c r="G66" s="7">
        <v>0.01</v>
      </c>
      <c r="H66" s="8"/>
      <c r="I66" s="14">
        <v>48.92</v>
      </c>
      <c r="J66" s="15">
        <v>119.36</v>
      </c>
      <c r="K66" s="15">
        <v>1818.86</v>
      </c>
      <c r="L66" s="15">
        <v>204.1</v>
      </c>
      <c r="M66" s="15">
        <v>135.57</v>
      </c>
      <c r="O66" s="15">
        <f t="shared" si="1"/>
        <v>0.16380016380015405</v>
      </c>
      <c r="P66" s="15">
        <f t="shared" si="1"/>
        <v>-0.50846044844544691</v>
      </c>
      <c r="Q66" s="15">
        <f t="shared" si="1"/>
        <v>-0.10106003185589296</v>
      </c>
      <c r="R66" s="15">
        <f t="shared" si="1"/>
        <v>0.2111258408209471</v>
      </c>
      <c r="S66" s="15">
        <f t="shared" si="2"/>
        <v>-1.166435809579347</v>
      </c>
    </row>
    <row r="67" spans="1:19" ht="12.75">
      <c r="A67" s="6">
        <v>20190405</v>
      </c>
      <c r="B67" s="5">
        <v>0.52</v>
      </c>
      <c r="C67" s="5">
        <v>0.49</v>
      </c>
      <c r="D67" s="5">
        <v>-0.08</v>
      </c>
      <c r="E67" s="5">
        <v>-0.27</v>
      </c>
      <c r="F67" s="5">
        <v>0.1</v>
      </c>
      <c r="G67" s="7">
        <v>0.01</v>
      </c>
      <c r="H67" s="8"/>
      <c r="I67" s="14">
        <v>49.25</v>
      </c>
      <c r="J67" s="15">
        <v>119.89</v>
      </c>
      <c r="K67" s="15">
        <v>1837.28</v>
      </c>
      <c r="L67" s="15">
        <v>205.33</v>
      </c>
      <c r="M67" s="15">
        <v>136.18</v>
      </c>
      <c r="O67" s="15">
        <f t="shared" si="1"/>
        <v>0.67457072771872628</v>
      </c>
      <c r="P67" s="15">
        <f t="shared" si="1"/>
        <v>0.4440348525469151</v>
      </c>
      <c r="Q67" s="15">
        <f t="shared" si="1"/>
        <v>1.01272225459903</v>
      </c>
      <c r="R67" s="15">
        <f t="shared" si="1"/>
        <v>0.60264576188144847</v>
      </c>
      <c r="S67" s="15">
        <f t="shared" si="2"/>
        <v>0.44995205428930429</v>
      </c>
    </row>
    <row r="68" spans="1:19" ht="12.75">
      <c r="A68" s="6">
        <v>20190408</v>
      </c>
      <c r="B68" s="5">
        <v>0.08</v>
      </c>
      <c r="C68" s="5">
        <v>-0.3</v>
      </c>
      <c r="D68" s="5">
        <v>0.1</v>
      </c>
      <c r="E68" s="5">
        <v>0.27</v>
      </c>
      <c r="F68" s="5">
        <v>-0.03</v>
      </c>
      <c r="G68" s="7">
        <v>0.01</v>
      </c>
      <c r="H68" s="8"/>
      <c r="I68" s="14">
        <v>50.03</v>
      </c>
      <c r="J68" s="15">
        <v>119.93</v>
      </c>
      <c r="K68" s="15">
        <v>1849.86</v>
      </c>
      <c r="L68" s="15">
        <v>205.25</v>
      </c>
      <c r="M68" s="15">
        <v>136.13999999999999</v>
      </c>
      <c r="O68" s="15">
        <f t="shared" si="1"/>
        <v>1.5837563451776671</v>
      </c>
      <c r="P68" s="15">
        <f t="shared" si="1"/>
        <v>3.3363916923856429E-2</v>
      </c>
      <c r="Q68" s="15">
        <f t="shared" si="1"/>
        <v>0.68470782896454807</v>
      </c>
      <c r="R68" s="15">
        <f t="shared" si="1"/>
        <v>-3.8961671455706171E-2</v>
      </c>
      <c r="S68" s="15">
        <f t="shared" si="2"/>
        <v>-2.9372888823631094E-2</v>
      </c>
    </row>
    <row r="69" spans="1:19" ht="12.75">
      <c r="A69" s="6">
        <v>20190409</v>
      </c>
      <c r="B69" s="5">
        <v>-0.65</v>
      </c>
      <c r="C69" s="5">
        <v>-0.6</v>
      </c>
      <c r="D69" s="5">
        <v>-0.14000000000000001</v>
      </c>
      <c r="E69" s="5">
        <v>0.13</v>
      </c>
      <c r="F69" s="5">
        <v>-0.03</v>
      </c>
      <c r="G69" s="7">
        <v>0.01</v>
      </c>
      <c r="H69" s="8"/>
      <c r="I69" s="14">
        <v>49.88</v>
      </c>
      <c r="J69" s="15">
        <v>119.28</v>
      </c>
      <c r="K69" s="15">
        <v>1835.84</v>
      </c>
      <c r="L69" s="15">
        <v>204.92</v>
      </c>
      <c r="M69" s="15">
        <v>135.57</v>
      </c>
      <c r="O69" s="15">
        <f t="shared" ref="O69:R132" si="3">(I69/I68-1)*100</f>
        <v>-0.29982010793523362</v>
      </c>
      <c r="P69" s="15">
        <f t="shared" si="3"/>
        <v>-0.54198282331360259</v>
      </c>
      <c r="Q69" s="15">
        <f t="shared" si="3"/>
        <v>-0.75789519206859168</v>
      </c>
      <c r="R69" s="15">
        <f t="shared" si="3"/>
        <v>-0.1607795371498244</v>
      </c>
      <c r="S69" s="15">
        <f t="shared" si="2"/>
        <v>-0.41868664609959749</v>
      </c>
    </row>
    <row r="70" spans="1:19" ht="12.75">
      <c r="A70" s="6">
        <v>20190410</v>
      </c>
      <c r="B70" s="5">
        <v>0.48</v>
      </c>
      <c r="C70" s="5">
        <v>0.94</v>
      </c>
      <c r="D70" s="5">
        <v>-0.1</v>
      </c>
      <c r="E70" s="5">
        <v>0.11</v>
      </c>
      <c r="F70" s="5">
        <v>-0.13</v>
      </c>
      <c r="G70" s="7">
        <v>0.01</v>
      </c>
      <c r="H70" s="8"/>
      <c r="I70" s="14">
        <v>50.16</v>
      </c>
      <c r="J70" s="15">
        <v>120.19</v>
      </c>
      <c r="K70" s="15">
        <v>1847.33</v>
      </c>
      <c r="L70" s="15">
        <v>204.52</v>
      </c>
      <c r="M70" s="15">
        <v>135.58000000000001</v>
      </c>
      <c r="O70" s="15">
        <f t="shared" si="3"/>
        <v>0.56134723336005443</v>
      </c>
      <c r="P70" s="15">
        <f t="shared" si="3"/>
        <v>0.76291079812205176</v>
      </c>
      <c r="Q70" s="15">
        <f t="shared" si="3"/>
        <v>0.62587153564581666</v>
      </c>
      <c r="R70" s="15">
        <f t="shared" si="3"/>
        <v>-0.19519812609797293</v>
      </c>
      <c r="S70" s="15">
        <f t="shared" si="2"/>
        <v>7.3762631850771143E-3</v>
      </c>
    </row>
    <row r="71" spans="1:19" ht="12.75">
      <c r="A71" s="6">
        <v>20190411</v>
      </c>
      <c r="B71" s="5">
        <v>0</v>
      </c>
      <c r="C71" s="5">
        <v>-0.27</v>
      </c>
      <c r="D71" s="5">
        <v>0.4</v>
      </c>
      <c r="E71" s="5">
        <v>0.04</v>
      </c>
      <c r="F71" s="5">
        <v>0.11</v>
      </c>
      <c r="G71" s="7">
        <v>0.01</v>
      </c>
      <c r="H71" s="8"/>
      <c r="I71" s="14">
        <v>49.74</v>
      </c>
      <c r="J71" s="15">
        <v>120.33</v>
      </c>
      <c r="K71" s="15">
        <v>1844.07</v>
      </c>
      <c r="L71" s="15">
        <v>206.67</v>
      </c>
      <c r="M71" s="15">
        <v>135.21</v>
      </c>
      <c r="O71" s="15">
        <f t="shared" si="3"/>
        <v>-0.83732057416266992</v>
      </c>
      <c r="P71" s="15">
        <f t="shared" si="3"/>
        <v>0.11648223645894795</v>
      </c>
      <c r="Q71" s="15">
        <f t="shared" si="3"/>
        <v>-0.17647090665988685</v>
      </c>
      <c r="R71" s="15">
        <f t="shared" si="3"/>
        <v>1.0512419323293498</v>
      </c>
      <c r="S71" s="15">
        <f t="shared" si="2"/>
        <v>-0.27290160790677254</v>
      </c>
    </row>
    <row r="72" spans="1:19" ht="12.75">
      <c r="A72" s="6">
        <v>20190412</v>
      </c>
      <c r="B72" s="5">
        <v>0.65</v>
      </c>
      <c r="C72" s="5">
        <v>-0.36</v>
      </c>
      <c r="D72" s="5">
        <v>0.64</v>
      </c>
      <c r="E72" s="5">
        <v>0.52</v>
      </c>
      <c r="F72" s="5">
        <v>-0.26</v>
      </c>
      <c r="G72" s="7">
        <v>0.01</v>
      </c>
      <c r="H72" s="8"/>
      <c r="I72" s="14">
        <v>49.72</v>
      </c>
      <c r="J72" s="15">
        <v>120.95</v>
      </c>
      <c r="K72" s="15">
        <v>1843.06</v>
      </c>
      <c r="L72" s="15">
        <v>210.56</v>
      </c>
      <c r="M72" s="15">
        <v>135.97999999999999</v>
      </c>
      <c r="O72" s="15">
        <f t="shared" si="3"/>
        <v>-4.0209087253728626E-2</v>
      </c>
      <c r="P72" s="15">
        <f t="shared" si="3"/>
        <v>0.5152497299094172</v>
      </c>
      <c r="Q72" s="15">
        <f t="shared" si="3"/>
        <v>-5.4770155145955624E-2</v>
      </c>
      <c r="R72" s="15">
        <f t="shared" si="3"/>
        <v>1.8822277060047465</v>
      </c>
      <c r="S72" s="15">
        <f t="shared" si="2"/>
        <v>0.56948450558389485</v>
      </c>
    </row>
    <row r="73" spans="1:19" ht="12.75">
      <c r="A73" s="6">
        <v>20190415</v>
      </c>
      <c r="B73" s="5">
        <v>-0.09</v>
      </c>
      <c r="C73" s="5">
        <v>-0.25</v>
      </c>
      <c r="D73" s="5">
        <v>-0.53</v>
      </c>
      <c r="E73" s="5">
        <v>0.35</v>
      </c>
      <c r="F73" s="5">
        <v>0.08</v>
      </c>
      <c r="G73" s="7">
        <v>0.01</v>
      </c>
      <c r="H73" s="8"/>
      <c r="I73" s="14">
        <v>49.81</v>
      </c>
      <c r="J73" s="15">
        <v>121.05</v>
      </c>
      <c r="K73" s="15">
        <v>1844.87</v>
      </c>
      <c r="L73" s="15">
        <v>209.74</v>
      </c>
      <c r="M73" s="15">
        <v>136.52000000000001</v>
      </c>
      <c r="O73" s="15">
        <f t="shared" si="3"/>
        <v>0.18101367658891476</v>
      </c>
      <c r="P73" s="15">
        <f t="shared" si="3"/>
        <v>8.2678792889612218E-2</v>
      </c>
      <c r="Q73" s="15">
        <f t="shared" si="3"/>
        <v>9.8206243963838702E-2</v>
      </c>
      <c r="R73" s="15">
        <f t="shared" si="3"/>
        <v>-0.38943768996959616</v>
      </c>
      <c r="S73" s="15">
        <f t="shared" si="2"/>
        <v>0.39711722312105735</v>
      </c>
    </row>
    <row r="74" spans="1:19" ht="12.75">
      <c r="A74" s="6">
        <v>20190416</v>
      </c>
      <c r="B74" s="5">
        <v>0.13</v>
      </c>
      <c r="C74" s="5">
        <v>0.23</v>
      </c>
      <c r="D74" s="5">
        <v>0.7</v>
      </c>
      <c r="E74" s="5">
        <v>-7.0000000000000007E-2</v>
      </c>
      <c r="F74" s="5">
        <v>-0.13</v>
      </c>
      <c r="G74" s="7">
        <v>0.01</v>
      </c>
      <c r="H74" s="8"/>
      <c r="I74" s="14">
        <v>49.81</v>
      </c>
      <c r="J74" s="15">
        <v>120.77</v>
      </c>
      <c r="K74" s="15">
        <v>1863.04</v>
      </c>
      <c r="L74" s="15">
        <v>211.8</v>
      </c>
      <c r="M74" s="15">
        <v>138.02000000000001</v>
      </c>
      <c r="O74" s="15">
        <f t="shared" si="3"/>
        <v>0</v>
      </c>
      <c r="P74" s="15">
        <f t="shared" si="3"/>
        <v>-0.23130937629078918</v>
      </c>
      <c r="Q74" s="15">
        <f t="shared" si="3"/>
        <v>0.98489324451045412</v>
      </c>
      <c r="R74" s="15">
        <f t="shared" si="3"/>
        <v>0.98216839897016239</v>
      </c>
      <c r="S74" s="15">
        <f t="shared" si="2"/>
        <v>1.0987401113389916</v>
      </c>
    </row>
    <row r="75" spans="1:19" ht="12.75">
      <c r="A75" s="6">
        <v>20190417</v>
      </c>
      <c r="B75" s="5">
        <v>-0.32</v>
      </c>
      <c r="C75" s="5">
        <v>-0.53</v>
      </c>
      <c r="D75" s="5">
        <v>0.84</v>
      </c>
      <c r="E75" s="5">
        <v>1.1299999999999999</v>
      </c>
      <c r="F75" s="5">
        <v>-0.27</v>
      </c>
      <c r="G75" s="7">
        <v>0.01</v>
      </c>
      <c r="H75" s="8"/>
      <c r="I75" s="14">
        <v>50.78</v>
      </c>
      <c r="J75" s="15">
        <v>121.77</v>
      </c>
      <c r="K75" s="15">
        <v>1864.82</v>
      </c>
      <c r="L75" s="15">
        <v>210.37</v>
      </c>
      <c r="M75" s="15">
        <v>138.52000000000001</v>
      </c>
      <c r="O75" s="15">
        <f t="shared" si="3"/>
        <v>1.9474001204577318</v>
      </c>
      <c r="P75" s="15">
        <f t="shared" si="3"/>
        <v>0.82802020369296958</v>
      </c>
      <c r="Q75" s="15">
        <f t="shared" si="3"/>
        <v>9.554276880796575E-2</v>
      </c>
      <c r="R75" s="15">
        <f t="shared" si="3"/>
        <v>-0.6751652502360761</v>
      </c>
      <c r="S75" s="15">
        <f t="shared" si="2"/>
        <v>0.3622663382118585</v>
      </c>
    </row>
    <row r="76" spans="1:19" ht="12.75">
      <c r="A76" s="6">
        <v>20190418</v>
      </c>
      <c r="B76" s="5">
        <v>0.11</v>
      </c>
      <c r="C76" s="5">
        <v>-0.28000000000000003</v>
      </c>
      <c r="D76" s="5">
        <v>-0.51</v>
      </c>
      <c r="E76" s="5">
        <v>0.15</v>
      </c>
      <c r="F76" s="5">
        <v>-0.2</v>
      </c>
      <c r="G76" s="7">
        <v>0.01</v>
      </c>
      <c r="H76" s="8"/>
      <c r="I76" s="14">
        <v>50.97</v>
      </c>
      <c r="J76" s="15">
        <v>123.37</v>
      </c>
      <c r="K76" s="15">
        <v>1861.69</v>
      </c>
      <c r="L76" s="15">
        <v>209.99</v>
      </c>
      <c r="M76" s="15">
        <v>137.52000000000001</v>
      </c>
      <c r="O76" s="15">
        <f t="shared" si="3"/>
        <v>0.37416305632138602</v>
      </c>
      <c r="P76" s="15">
        <f t="shared" si="3"/>
        <v>1.3139525334647351</v>
      </c>
      <c r="Q76" s="15">
        <f t="shared" si="3"/>
        <v>-0.16784461771108816</v>
      </c>
      <c r="R76" s="15">
        <f t="shared" si="3"/>
        <v>-0.18063412083472175</v>
      </c>
      <c r="S76" s="15">
        <f t="shared" si="2"/>
        <v>-0.7219174126479877</v>
      </c>
    </row>
    <row r="77" spans="1:19" ht="12.75">
      <c r="A77" s="6">
        <v>20190422</v>
      </c>
      <c r="B77" s="5">
        <v>0.11</v>
      </c>
      <c r="C77" s="5">
        <v>-0.49</v>
      </c>
      <c r="D77" s="5">
        <v>-0.55000000000000004</v>
      </c>
      <c r="E77" s="5">
        <v>-0.52</v>
      </c>
      <c r="F77" s="5">
        <v>-0.17</v>
      </c>
      <c r="G77" s="7">
        <v>0.01</v>
      </c>
      <c r="H77" s="8"/>
      <c r="I77" s="14">
        <v>51.13</v>
      </c>
      <c r="J77" s="15">
        <v>123.76</v>
      </c>
      <c r="K77" s="15">
        <v>1887.31</v>
      </c>
      <c r="L77" s="15">
        <v>209.49</v>
      </c>
      <c r="M77" s="15">
        <v>137.83000000000001</v>
      </c>
      <c r="O77" s="15">
        <f t="shared" si="3"/>
        <v>0.31391014322150745</v>
      </c>
      <c r="P77" s="15">
        <f t="shared" si="3"/>
        <v>0.31612223393044925</v>
      </c>
      <c r="Q77" s="15">
        <f t="shared" si="3"/>
        <v>1.376168964757829</v>
      </c>
      <c r="R77" s="15">
        <f t="shared" si="3"/>
        <v>-0.23810657650363831</v>
      </c>
      <c r="S77" s="15">
        <f t="shared" si="2"/>
        <v>0.22542175683537558</v>
      </c>
    </row>
    <row r="78" spans="1:19" ht="12.75">
      <c r="A78" s="6">
        <v>20190423</v>
      </c>
      <c r="B78" s="5">
        <v>0.97</v>
      </c>
      <c r="C78" s="5">
        <v>0.67</v>
      </c>
      <c r="D78" s="5">
        <v>-0.48</v>
      </c>
      <c r="E78" s="5">
        <v>-0.11</v>
      </c>
      <c r="F78" s="5">
        <v>-0.43</v>
      </c>
      <c r="G78" s="7">
        <v>0.01</v>
      </c>
      <c r="H78" s="8"/>
      <c r="I78" s="14">
        <v>51.87</v>
      </c>
      <c r="J78" s="15">
        <v>125.44</v>
      </c>
      <c r="K78" s="15">
        <v>1923.77</v>
      </c>
      <c r="L78" s="15">
        <v>211.61</v>
      </c>
      <c r="M78" s="15">
        <v>139.9</v>
      </c>
      <c r="O78" s="15">
        <f t="shared" si="3"/>
        <v>1.4472912184627429</v>
      </c>
      <c r="P78" s="15">
        <f t="shared" si="3"/>
        <v>1.3574660633484115</v>
      </c>
      <c r="Q78" s="15">
        <f t="shared" si="3"/>
        <v>1.9318500935193494</v>
      </c>
      <c r="R78" s="15">
        <f t="shared" si="3"/>
        <v>1.0119814788295489</v>
      </c>
      <c r="S78" s="15">
        <f t="shared" si="2"/>
        <v>1.5018501052020516</v>
      </c>
    </row>
    <row r="79" spans="1:19" ht="12.75">
      <c r="A79" s="6">
        <v>20190424</v>
      </c>
      <c r="B79" s="5">
        <v>-0.23</v>
      </c>
      <c r="C79" s="5">
        <v>0.32</v>
      </c>
      <c r="D79" s="5">
        <v>-7.0000000000000007E-2</v>
      </c>
      <c r="E79" s="5">
        <v>0.6</v>
      </c>
      <c r="F79" s="5">
        <v>0.05</v>
      </c>
      <c r="G79" s="7">
        <v>0.01</v>
      </c>
      <c r="H79" s="8"/>
      <c r="I79" s="14">
        <v>51.79</v>
      </c>
      <c r="J79" s="15">
        <v>125.01</v>
      </c>
      <c r="K79" s="15">
        <v>1901.75</v>
      </c>
      <c r="L79" s="15">
        <v>210.57</v>
      </c>
      <c r="M79" s="15">
        <v>139.19999999999999</v>
      </c>
      <c r="O79" s="15">
        <f t="shared" si="3"/>
        <v>-0.15423173317909988</v>
      </c>
      <c r="P79" s="15">
        <f t="shared" si="3"/>
        <v>-0.34279336734692745</v>
      </c>
      <c r="Q79" s="15">
        <f t="shared" si="3"/>
        <v>-1.1446274762575537</v>
      </c>
      <c r="R79" s="15">
        <f t="shared" si="3"/>
        <v>-0.49147015736497046</v>
      </c>
      <c r="S79" s="15">
        <f t="shared" si="2"/>
        <v>-0.50035739814153768</v>
      </c>
    </row>
    <row r="80" spans="1:19" ht="12.75">
      <c r="A80" s="6">
        <v>20190425</v>
      </c>
      <c r="B80" s="5">
        <v>-0.14000000000000001</v>
      </c>
      <c r="C80" s="5">
        <v>-0.82</v>
      </c>
      <c r="D80" s="5">
        <v>-0.19</v>
      </c>
      <c r="E80" s="5">
        <v>-0.65</v>
      </c>
      <c r="F80" s="5">
        <v>-0.28999999999999998</v>
      </c>
      <c r="G80" s="7">
        <v>0.01</v>
      </c>
      <c r="H80" s="8"/>
      <c r="I80" s="14">
        <v>51.32</v>
      </c>
      <c r="J80" s="15">
        <v>129.15</v>
      </c>
      <c r="K80" s="15">
        <v>1902.25</v>
      </c>
      <c r="L80" s="15">
        <v>211.95</v>
      </c>
      <c r="M80" s="15">
        <v>139.65</v>
      </c>
      <c r="O80" s="15">
        <f t="shared" si="3"/>
        <v>-0.90751110252944578</v>
      </c>
      <c r="P80" s="15">
        <f t="shared" si="3"/>
        <v>3.3117350611951091</v>
      </c>
      <c r="Q80" s="15">
        <f t="shared" si="3"/>
        <v>2.629157355067413E-2</v>
      </c>
      <c r="R80" s="15">
        <f t="shared" si="3"/>
        <v>0.65536401196750749</v>
      </c>
      <c r="S80" s="15">
        <f t="shared" si="2"/>
        <v>0.32327586206897241</v>
      </c>
    </row>
    <row r="81" spans="1:19" ht="12.75">
      <c r="A81" s="6">
        <v>20190426</v>
      </c>
      <c r="B81" s="5">
        <v>0.53</v>
      </c>
      <c r="C81" s="5">
        <v>0.48</v>
      </c>
      <c r="D81" s="5">
        <v>7.0000000000000007E-2</v>
      </c>
      <c r="E81" s="5">
        <v>-0.08</v>
      </c>
      <c r="F81" s="5">
        <v>-0.18</v>
      </c>
      <c r="G81" s="7">
        <v>0.01</v>
      </c>
      <c r="H81" s="8"/>
      <c r="I81" s="14">
        <v>51.08</v>
      </c>
      <c r="J81" s="15">
        <v>129.88999999999999</v>
      </c>
      <c r="K81" s="15">
        <v>1950.63</v>
      </c>
      <c r="L81" s="15">
        <v>214.22</v>
      </c>
      <c r="M81" s="15">
        <v>140.38999999999999</v>
      </c>
      <c r="O81" s="15">
        <f t="shared" si="3"/>
        <v>-0.46765393608729777</v>
      </c>
      <c r="P81" s="15">
        <f t="shared" si="3"/>
        <v>0.57297715834299101</v>
      </c>
      <c r="Q81" s="15">
        <f t="shared" si="3"/>
        <v>2.5433039821264325</v>
      </c>
      <c r="R81" s="15">
        <f t="shared" si="3"/>
        <v>1.0710073130455244</v>
      </c>
      <c r="S81" s="15">
        <f t="shared" si="2"/>
        <v>0.52989616899390413</v>
      </c>
    </row>
    <row r="82" spans="1:19" ht="12.75">
      <c r="A82" s="6">
        <v>20190429</v>
      </c>
      <c r="B82" s="5">
        <v>0.18</v>
      </c>
      <c r="C82" s="5">
        <v>0.16</v>
      </c>
      <c r="D82" s="5">
        <v>0.65</v>
      </c>
      <c r="E82" s="5">
        <v>-0.37</v>
      </c>
      <c r="F82" s="5">
        <v>-0.15</v>
      </c>
      <c r="G82" s="7">
        <v>0.01</v>
      </c>
      <c r="H82" s="8"/>
      <c r="I82" s="14">
        <v>51.15</v>
      </c>
      <c r="J82" s="15">
        <v>129.77000000000001</v>
      </c>
      <c r="K82" s="15">
        <v>1938.43</v>
      </c>
      <c r="L82" s="15">
        <v>216.58</v>
      </c>
      <c r="M82" s="15">
        <v>139.84</v>
      </c>
      <c r="O82" s="15">
        <f t="shared" si="3"/>
        <v>0.13703993735316722</v>
      </c>
      <c r="P82" s="15">
        <f t="shared" si="3"/>
        <v>-9.2385864962640785E-2</v>
      </c>
      <c r="Q82" s="15">
        <f t="shared" si="3"/>
        <v>-0.62543896074601646</v>
      </c>
      <c r="R82" s="15">
        <f t="shared" si="3"/>
        <v>1.1016711791616229</v>
      </c>
      <c r="S82" s="15">
        <f t="shared" si="2"/>
        <v>-0.3917657952845488</v>
      </c>
    </row>
    <row r="83" spans="1:19" ht="12.75">
      <c r="A83" s="6">
        <v>20190430</v>
      </c>
      <c r="B83" s="5">
        <v>-0.04</v>
      </c>
      <c r="C83" s="5">
        <v>-0.69</v>
      </c>
      <c r="D83" s="5">
        <v>0.28000000000000003</v>
      </c>
      <c r="E83" s="5">
        <v>0.1</v>
      </c>
      <c r="F83" s="5">
        <v>0.69</v>
      </c>
      <c r="G83" s="7">
        <v>0.01</v>
      </c>
      <c r="H83" s="8"/>
      <c r="I83" s="14">
        <v>50.17</v>
      </c>
      <c r="J83" s="15">
        <v>130.6</v>
      </c>
      <c r="K83" s="15">
        <v>1926.52</v>
      </c>
      <c r="L83" s="15">
        <v>216.71</v>
      </c>
      <c r="M83" s="15">
        <v>141.19999999999999</v>
      </c>
      <c r="O83" s="15">
        <f t="shared" si="3"/>
        <v>-1.9159335288367441</v>
      </c>
      <c r="P83" s="15">
        <f t="shared" si="3"/>
        <v>0.63959312630037513</v>
      </c>
      <c r="Q83" s="15">
        <f t="shared" si="3"/>
        <v>-0.61441475833535764</v>
      </c>
      <c r="R83" s="15">
        <f t="shared" si="3"/>
        <v>6.0024009603831807E-2</v>
      </c>
      <c r="S83" s="15">
        <f t="shared" si="2"/>
        <v>0.97254004576659003</v>
      </c>
    </row>
    <row r="84" spans="1:19" ht="12.75">
      <c r="A84" s="6">
        <v>20190501</v>
      </c>
      <c r="B84" s="5">
        <v>-0.83</v>
      </c>
      <c r="C84" s="5">
        <v>-7.0000000000000007E-2</v>
      </c>
      <c r="D84" s="5">
        <v>-0.03</v>
      </c>
      <c r="E84" s="5">
        <v>0.35</v>
      </c>
      <c r="F84" s="5">
        <v>-7.0000000000000007E-2</v>
      </c>
      <c r="G84" s="7">
        <v>8.9999999999999993E-3</v>
      </c>
      <c r="H84" s="8"/>
      <c r="I84" s="14">
        <v>52.63</v>
      </c>
      <c r="J84" s="15">
        <v>127.88</v>
      </c>
      <c r="K84" s="15">
        <v>1911.52</v>
      </c>
      <c r="L84" s="15">
        <v>216.71</v>
      </c>
      <c r="M84" s="15">
        <v>141.94999999999999</v>
      </c>
      <c r="O84" s="15">
        <f t="shared" si="3"/>
        <v>4.9033286824795796</v>
      </c>
      <c r="P84" s="15">
        <f t="shared" si="3"/>
        <v>-2.0826952526799336</v>
      </c>
      <c r="Q84" s="15">
        <f t="shared" si="3"/>
        <v>-0.77860598384652535</v>
      </c>
      <c r="R84" s="15">
        <f t="shared" si="3"/>
        <v>0</v>
      </c>
      <c r="S84" s="15">
        <f t="shared" si="2"/>
        <v>0.53116147308782669</v>
      </c>
    </row>
    <row r="85" spans="1:19" ht="12.75">
      <c r="A85" s="6">
        <v>20190502</v>
      </c>
      <c r="B85" s="5">
        <v>-0.16</v>
      </c>
      <c r="C85" s="5">
        <v>0.46</v>
      </c>
      <c r="D85" s="5">
        <v>-0.27</v>
      </c>
      <c r="E85" s="5">
        <v>0</v>
      </c>
      <c r="F85" s="5">
        <v>0.06</v>
      </c>
      <c r="G85" s="7">
        <v>8.9999999999999993E-3</v>
      </c>
      <c r="H85" s="8"/>
      <c r="I85" s="14">
        <v>52.29</v>
      </c>
      <c r="J85" s="15">
        <v>126.21</v>
      </c>
      <c r="K85" s="15">
        <v>1900.82</v>
      </c>
      <c r="L85" s="15">
        <v>215.93</v>
      </c>
      <c r="M85" s="15">
        <v>141.28</v>
      </c>
      <c r="O85" s="15">
        <f t="shared" si="3"/>
        <v>-0.64601938058141961</v>
      </c>
      <c r="P85" s="15">
        <f t="shared" si="3"/>
        <v>-1.3059117923052921</v>
      </c>
      <c r="Q85" s="15">
        <f t="shared" si="3"/>
        <v>-0.55976395747886487</v>
      </c>
      <c r="R85" s="15">
        <f t="shared" si="3"/>
        <v>-0.35992801439712618</v>
      </c>
      <c r="S85" s="15">
        <f t="shared" si="2"/>
        <v>-0.4719971821063651</v>
      </c>
    </row>
    <row r="86" spans="1:19" ht="12.75">
      <c r="A86" s="6">
        <v>20190503</v>
      </c>
      <c r="B86" s="5">
        <v>1.1299999999999999</v>
      </c>
      <c r="C86" s="5">
        <v>0.93</v>
      </c>
      <c r="D86" s="5">
        <v>-0.27</v>
      </c>
      <c r="E86" s="5">
        <v>0</v>
      </c>
      <c r="F86" s="5">
        <v>-0.34</v>
      </c>
      <c r="G86" s="7">
        <v>8.9999999999999993E-3</v>
      </c>
      <c r="H86" s="8"/>
      <c r="I86" s="14">
        <v>52.94</v>
      </c>
      <c r="J86" s="15">
        <v>128.9</v>
      </c>
      <c r="K86" s="15">
        <v>1962.46</v>
      </c>
      <c r="L86" s="15">
        <v>218.6</v>
      </c>
      <c r="M86" s="15">
        <v>142.01</v>
      </c>
      <c r="O86" s="15">
        <f t="shared" si="3"/>
        <v>1.2430675081277487</v>
      </c>
      <c r="P86" s="15">
        <f t="shared" si="3"/>
        <v>2.1313683543300987</v>
      </c>
      <c r="Q86" s="15">
        <f t="shared" si="3"/>
        <v>3.2428109973590358</v>
      </c>
      <c r="R86" s="15">
        <f t="shared" si="3"/>
        <v>1.2365118325383229</v>
      </c>
      <c r="S86" s="15">
        <f t="shared" si="2"/>
        <v>0.51670441676103795</v>
      </c>
    </row>
    <row r="87" spans="1:19" ht="12.75">
      <c r="A87" s="6">
        <v>20190506</v>
      </c>
      <c r="B87" s="5">
        <v>-0.39</v>
      </c>
      <c r="C87" s="5">
        <v>0.57999999999999996</v>
      </c>
      <c r="D87" s="5">
        <v>-0.42</v>
      </c>
      <c r="E87" s="5">
        <v>0.01</v>
      </c>
      <c r="F87" s="5">
        <v>7.0000000000000007E-2</v>
      </c>
      <c r="G87" s="7">
        <v>8.9999999999999993E-3</v>
      </c>
      <c r="H87" s="8"/>
      <c r="I87" s="14">
        <v>52.12</v>
      </c>
      <c r="J87" s="15">
        <v>128.15</v>
      </c>
      <c r="K87" s="15">
        <v>1950.55</v>
      </c>
      <c r="L87" s="15">
        <v>213.16</v>
      </c>
      <c r="M87" s="15">
        <v>142.09</v>
      </c>
      <c r="O87" s="15">
        <f t="shared" si="3"/>
        <v>-1.5489233094068799</v>
      </c>
      <c r="P87" s="15">
        <f t="shared" si="3"/>
        <v>-0.58184639255236537</v>
      </c>
      <c r="Q87" s="15">
        <f t="shared" si="3"/>
        <v>-0.60689135065173927</v>
      </c>
      <c r="R87" s="15">
        <f t="shared" si="3"/>
        <v>-2.4885635864592803</v>
      </c>
      <c r="S87" s="15">
        <f t="shared" si="2"/>
        <v>5.6334060981622081E-2</v>
      </c>
    </row>
    <row r="88" spans="1:19" ht="12.75">
      <c r="A88" s="6">
        <v>20190507</v>
      </c>
      <c r="B88" s="5">
        <v>-1.69</v>
      </c>
      <c r="C88" s="5">
        <v>-0.27</v>
      </c>
      <c r="D88" s="5">
        <v>0.5</v>
      </c>
      <c r="E88" s="5">
        <v>0.02</v>
      </c>
      <c r="F88" s="5">
        <v>0.31</v>
      </c>
      <c r="G88" s="7">
        <v>8.9999999999999993E-3</v>
      </c>
      <c r="H88" s="8"/>
      <c r="I88" s="14">
        <v>50.72</v>
      </c>
      <c r="J88" s="15">
        <v>125.52</v>
      </c>
      <c r="K88" s="15">
        <v>1921</v>
      </c>
      <c r="L88" s="15">
        <v>209.43</v>
      </c>
      <c r="M88" s="15">
        <v>139.97</v>
      </c>
      <c r="O88" s="15">
        <f t="shared" si="3"/>
        <v>-2.6861089792785897</v>
      </c>
      <c r="P88" s="15">
        <f t="shared" si="3"/>
        <v>-2.0522824814670382</v>
      </c>
      <c r="Q88" s="15">
        <f t="shared" si="3"/>
        <v>-1.5149573197303257</v>
      </c>
      <c r="R88" s="15">
        <f t="shared" si="3"/>
        <v>-1.749859260649278</v>
      </c>
      <c r="S88" s="15">
        <f t="shared" si="2"/>
        <v>-1.4920121050038704</v>
      </c>
    </row>
    <row r="89" spans="1:19" ht="12.75">
      <c r="A89" s="6">
        <v>20190508</v>
      </c>
      <c r="B89" s="5">
        <v>-0.22</v>
      </c>
      <c r="C89" s="5">
        <v>-0.21</v>
      </c>
      <c r="D89" s="5">
        <v>-0.32</v>
      </c>
      <c r="E89" s="5">
        <v>-0.04</v>
      </c>
      <c r="F89" s="5">
        <v>0.18</v>
      </c>
      <c r="G89" s="7">
        <v>8.9999999999999993E-3</v>
      </c>
      <c r="H89" s="8"/>
      <c r="I89" s="14">
        <v>50.73</v>
      </c>
      <c r="J89" s="15">
        <v>125.51</v>
      </c>
      <c r="K89" s="15">
        <v>1917.77</v>
      </c>
      <c r="L89" s="15">
        <v>209.29</v>
      </c>
      <c r="M89" s="15">
        <v>139.79</v>
      </c>
      <c r="O89" s="15">
        <f t="shared" si="3"/>
        <v>1.9716088328070036E-2</v>
      </c>
      <c r="P89" s="15">
        <f t="shared" si="3"/>
        <v>-7.9668578712444038E-3</v>
      </c>
      <c r="Q89" s="15">
        <f t="shared" si="3"/>
        <v>-0.16814159292035669</v>
      </c>
      <c r="R89" s="15">
        <f t="shared" si="3"/>
        <v>-6.6848111540851463E-2</v>
      </c>
      <c r="S89" s="15">
        <f t="shared" si="2"/>
        <v>-0.12859898549689719</v>
      </c>
    </row>
    <row r="90" spans="1:19" ht="12.75">
      <c r="A90" s="6">
        <v>20190509</v>
      </c>
      <c r="B90" s="5">
        <v>-0.28000000000000003</v>
      </c>
      <c r="C90" s="5">
        <v>0.06</v>
      </c>
      <c r="D90" s="5">
        <v>0.11</v>
      </c>
      <c r="E90" s="5">
        <v>-0.37</v>
      </c>
      <c r="F90" s="5">
        <v>0.01</v>
      </c>
      <c r="G90" s="7">
        <v>8.9999999999999993E-3</v>
      </c>
      <c r="H90" s="8"/>
      <c r="I90" s="14">
        <v>50.18</v>
      </c>
      <c r="J90" s="15">
        <v>125.5</v>
      </c>
      <c r="K90" s="15">
        <v>1899.87</v>
      </c>
      <c r="L90" s="15">
        <v>208.56</v>
      </c>
      <c r="M90" s="15">
        <v>138.72999999999999</v>
      </c>
      <c r="O90" s="15">
        <f t="shared" si="3"/>
        <v>-1.0841711019120792</v>
      </c>
      <c r="P90" s="15">
        <f t="shared" si="3"/>
        <v>-7.9674926300787874E-3</v>
      </c>
      <c r="Q90" s="15">
        <f t="shared" si="3"/>
        <v>-0.9333757437023249</v>
      </c>
      <c r="R90" s="15">
        <f t="shared" si="3"/>
        <v>-0.34879831812317796</v>
      </c>
      <c r="S90" s="15">
        <f t="shared" si="2"/>
        <v>-0.75828027755919791</v>
      </c>
    </row>
    <row r="91" spans="1:19" ht="12.75">
      <c r="A91" s="6">
        <v>20190510</v>
      </c>
      <c r="B91" s="5">
        <v>0.35</v>
      </c>
      <c r="C91" s="5">
        <v>-0.33</v>
      </c>
      <c r="D91" s="5">
        <v>7.0000000000000007E-2</v>
      </c>
      <c r="E91" s="5">
        <v>-0.11</v>
      </c>
      <c r="F91" s="5">
        <v>0.25</v>
      </c>
      <c r="G91" s="7">
        <v>8.9999999999999993E-3</v>
      </c>
      <c r="H91" s="8"/>
      <c r="I91" s="14">
        <v>49.3</v>
      </c>
      <c r="J91" s="15">
        <v>127.13</v>
      </c>
      <c r="K91" s="15">
        <v>1889.98</v>
      </c>
      <c r="L91" s="15">
        <v>209.02</v>
      </c>
      <c r="M91" s="15">
        <v>139.05000000000001</v>
      </c>
      <c r="O91" s="15">
        <f t="shared" si="3"/>
        <v>-1.7536867277800017</v>
      </c>
      <c r="P91" s="15">
        <f t="shared" si="3"/>
        <v>1.2988047808764946</v>
      </c>
      <c r="Q91" s="15">
        <f t="shared" si="3"/>
        <v>-0.52056193318489319</v>
      </c>
      <c r="R91" s="15">
        <f t="shared" si="3"/>
        <v>0.22056003068662289</v>
      </c>
      <c r="S91" s="15">
        <f t="shared" si="2"/>
        <v>0.23066387947814349</v>
      </c>
    </row>
    <row r="92" spans="1:19" ht="12.75">
      <c r="A92" s="6">
        <v>20190513</v>
      </c>
      <c r="B92" s="5">
        <v>-2.67</v>
      </c>
      <c r="C92" s="5">
        <v>-0.68</v>
      </c>
      <c r="D92" s="5">
        <v>0.28999999999999998</v>
      </c>
      <c r="E92" s="5">
        <v>0.23</v>
      </c>
      <c r="F92" s="5">
        <v>0.82</v>
      </c>
      <c r="G92" s="7">
        <v>8.9999999999999993E-3</v>
      </c>
      <c r="H92" s="8"/>
      <c r="I92" s="14">
        <v>46.43</v>
      </c>
      <c r="J92" s="15">
        <v>123.35</v>
      </c>
      <c r="K92" s="15">
        <v>1822.68</v>
      </c>
      <c r="L92" s="15">
        <v>205.01</v>
      </c>
      <c r="M92" s="15">
        <v>137.19999999999999</v>
      </c>
      <c r="O92" s="15">
        <f t="shared" si="3"/>
        <v>-5.8215010141987822</v>
      </c>
      <c r="P92" s="15">
        <f t="shared" si="3"/>
        <v>-2.9733343821285341</v>
      </c>
      <c r="Q92" s="15">
        <f t="shared" si="3"/>
        <v>-3.5608842421612885</v>
      </c>
      <c r="R92" s="15">
        <f t="shared" si="3"/>
        <v>-1.9184767007941916</v>
      </c>
      <c r="S92" s="15">
        <f t="shared" si="2"/>
        <v>-1.3304566702625142</v>
      </c>
    </row>
    <row r="93" spans="1:19" ht="12.75">
      <c r="A93" s="6">
        <v>20190514</v>
      </c>
      <c r="B93" s="5">
        <v>0.93</v>
      </c>
      <c r="C93" s="5">
        <v>0.34</v>
      </c>
      <c r="D93" s="5">
        <v>-0.02</v>
      </c>
      <c r="E93" s="5">
        <v>-0.55000000000000004</v>
      </c>
      <c r="F93" s="5">
        <v>0</v>
      </c>
      <c r="G93" s="7">
        <v>8.9999999999999993E-3</v>
      </c>
      <c r="H93" s="8"/>
      <c r="I93" s="14">
        <v>47.17</v>
      </c>
      <c r="J93" s="15">
        <v>124.73</v>
      </c>
      <c r="K93" s="15">
        <v>1840.12</v>
      </c>
      <c r="L93" s="15">
        <v>203.69</v>
      </c>
      <c r="M93" s="15">
        <v>136.82</v>
      </c>
      <c r="O93" s="15">
        <f t="shared" si="3"/>
        <v>1.5937971139349694</v>
      </c>
      <c r="P93" s="15">
        <f t="shared" si="3"/>
        <v>1.1187677340899871</v>
      </c>
      <c r="Q93" s="15">
        <f t="shared" si="3"/>
        <v>0.95683279566352031</v>
      </c>
      <c r="R93" s="15">
        <f t="shared" si="3"/>
        <v>-0.64387103068143103</v>
      </c>
      <c r="S93" s="15">
        <f t="shared" si="2"/>
        <v>-0.27696793002914832</v>
      </c>
    </row>
    <row r="94" spans="1:19" ht="12.75">
      <c r="A94" s="6">
        <v>20190515</v>
      </c>
      <c r="B94" s="5">
        <v>0.59</v>
      </c>
      <c r="C94" s="5">
        <v>-0.1</v>
      </c>
      <c r="D94" s="5">
        <v>-0.96</v>
      </c>
      <c r="E94" s="5">
        <v>0.13</v>
      </c>
      <c r="F94" s="5">
        <v>-0.28000000000000003</v>
      </c>
      <c r="G94" s="7">
        <v>8.9999999999999993E-3</v>
      </c>
      <c r="H94" s="8"/>
      <c r="I94" s="14">
        <v>47.73</v>
      </c>
      <c r="J94" s="15">
        <v>126.02</v>
      </c>
      <c r="K94" s="15">
        <v>1871.15</v>
      </c>
      <c r="L94" s="15">
        <v>202.98</v>
      </c>
      <c r="M94" s="15">
        <v>136.91</v>
      </c>
      <c r="O94" s="15">
        <f t="shared" si="3"/>
        <v>1.1871952512189754</v>
      </c>
      <c r="P94" s="15">
        <f t="shared" si="3"/>
        <v>1.0342339453218941</v>
      </c>
      <c r="Q94" s="15">
        <f t="shared" si="3"/>
        <v>1.686303067191286</v>
      </c>
      <c r="R94" s="15">
        <f t="shared" si="3"/>
        <v>-0.34856890372625404</v>
      </c>
      <c r="S94" s="15">
        <f t="shared" si="2"/>
        <v>6.5779856746095433E-2</v>
      </c>
    </row>
    <row r="95" spans="1:19" ht="12.75">
      <c r="A95" s="6">
        <v>20190516</v>
      </c>
      <c r="B95" s="5">
        <v>0.91</v>
      </c>
      <c r="C95" s="5">
        <v>-0.45</v>
      </c>
      <c r="D95" s="5">
        <v>-0.31</v>
      </c>
      <c r="E95" s="5">
        <v>-0.15</v>
      </c>
      <c r="F95" s="5">
        <v>-0.24</v>
      </c>
      <c r="G95" s="7">
        <v>8.9999999999999993E-3</v>
      </c>
      <c r="H95" s="8"/>
      <c r="I95" s="14">
        <v>47.52</v>
      </c>
      <c r="J95" s="15">
        <v>128.93</v>
      </c>
      <c r="K95" s="15">
        <v>1907.57</v>
      </c>
      <c r="L95" s="15">
        <v>204.63</v>
      </c>
      <c r="M95" s="15">
        <v>138.21</v>
      </c>
      <c r="O95" s="15">
        <f t="shared" si="3"/>
        <v>-0.43997485857949492</v>
      </c>
      <c r="P95" s="15">
        <f t="shared" si="3"/>
        <v>2.3091572766227753</v>
      </c>
      <c r="Q95" s="15">
        <f t="shared" si="3"/>
        <v>1.9463966010207612</v>
      </c>
      <c r="R95" s="15">
        <f t="shared" si="3"/>
        <v>0.81288796925804707</v>
      </c>
      <c r="S95" s="15">
        <f t="shared" si="2"/>
        <v>0.94952888759038956</v>
      </c>
    </row>
    <row r="96" spans="1:19" ht="12.75">
      <c r="A96" s="6">
        <v>20190517</v>
      </c>
      <c r="B96" s="5">
        <v>-0.73</v>
      </c>
      <c r="C96" s="5">
        <v>-0.76</v>
      </c>
      <c r="D96" s="5">
        <v>0.28999999999999998</v>
      </c>
      <c r="E96" s="5">
        <v>0.05</v>
      </c>
      <c r="F96" s="5">
        <v>0.32</v>
      </c>
      <c r="G96" s="7">
        <v>8.9999999999999993E-3</v>
      </c>
      <c r="H96" s="8"/>
      <c r="I96" s="14">
        <v>47.25</v>
      </c>
      <c r="J96" s="15">
        <v>128.07</v>
      </c>
      <c r="K96" s="15">
        <v>1869</v>
      </c>
      <c r="L96" s="15">
        <v>203.27</v>
      </c>
      <c r="M96" s="15">
        <v>138.61000000000001</v>
      </c>
      <c r="O96" s="15">
        <f t="shared" si="3"/>
        <v>-0.56818181818182323</v>
      </c>
      <c r="P96" s="15">
        <f t="shared" si="3"/>
        <v>-0.66702862018150899</v>
      </c>
      <c r="Q96" s="15">
        <f t="shared" si="3"/>
        <v>-2.0219441488385725</v>
      </c>
      <c r="R96" s="15">
        <f t="shared" si="3"/>
        <v>-0.66461418169377895</v>
      </c>
      <c r="S96" s="15">
        <f t="shared" si="2"/>
        <v>0.28941465885248263</v>
      </c>
    </row>
    <row r="97" spans="1:19" ht="12.75">
      <c r="A97" s="6">
        <v>20190520</v>
      </c>
      <c r="B97" s="5">
        <v>-0.65</v>
      </c>
      <c r="C97" s="5">
        <v>-0.11</v>
      </c>
      <c r="D97" s="5">
        <v>0.72</v>
      </c>
      <c r="E97" s="5">
        <v>7.0000000000000007E-2</v>
      </c>
      <c r="F97" s="5">
        <v>0.43</v>
      </c>
      <c r="G97" s="7">
        <v>8.9999999999999993E-3</v>
      </c>
      <c r="H97" s="8"/>
      <c r="I97" s="14">
        <v>45.77</v>
      </c>
      <c r="J97" s="15">
        <v>126.22</v>
      </c>
      <c r="K97" s="15">
        <v>1858.97</v>
      </c>
      <c r="L97" s="15">
        <v>202.73</v>
      </c>
      <c r="M97" s="15">
        <v>138.41999999999999</v>
      </c>
      <c r="O97" s="15">
        <f t="shared" si="3"/>
        <v>-3.1322751322751308</v>
      </c>
      <c r="P97" s="15">
        <f t="shared" si="3"/>
        <v>-1.444522526743186</v>
      </c>
      <c r="Q97" s="15">
        <f t="shared" si="3"/>
        <v>-0.53665061530230318</v>
      </c>
      <c r="R97" s="15">
        <f t="shared" si="3"/>
        <v>-0.26565651596399675</v>
      </c>
      <c r="S97" s="15">
        <f t="shared" si="2"/>
        <v>-0.13707524709618557</v>
      </c>
    </row>
    <row r="98" spans="1:19" ht="12.75">
      <c r="A98" s="6">
        <v>20190521</v>
      </c>
      <c r="B98" s="5">
        <v>0.9</v>
      </c>
      <c r="C98" s="5">
        <v>0.44</v>
      </c>
      <c r="D98" s="5">
        <v>-0.35</v>
      </c>
      <c r="E98" s="5">
        <v>-0.14000000000000001</v>
      </c>
      <c r="F98" s="5">
        <v>-0.19</v>
      </c>
      <c r="G98" s="7">
        <v>8.9999999999999993E-3</v>
      </c>
      <c r="H98" s="8"/>
      <c r="I98" s="14">
        <v>46.65</v>
      </c>
      <c r="J98" s="15">
        <v>126.9</v>
      </c>
      <c r="K98" s="15">
        <v>1857.52</v>
      </c>
      <c r="L98" s="15">
        <v>203.36</v>
      </c>
      <c r="M98" s="15">
        <v>138.12</v>
      </c>
      <c r="O98" s="15">
        <f t="shared" si="3"/>
        <v>1.9226567620712176</v>
      </c>
      <c r="P98" s="15">
        <f t="shared" si="3"/>
        <v>0.53874187925844197</v>
      </c>
      <c r="Q98" s="15">
        <f t="shared" si="3"/>
        <v>-7.8000182896986736E-2</v>
      </c>
      <c r="R98" s="15">
        <f t="shared" si="3"/>
        <v>0.3107581512356461</v>
      </c>
      <c r="S98" s="15">
        <f t="shared" si="2"/>
        <v>-0.21673168617251104</v>
      </c>
    </row>
    <row r="99" spans="1:19" ht="12.75">
      <c r="A99" s="6">
        <v>20190522</v>
      </c>
      <c r="B99" s="5">
        <v>-0.4</v>
      </c>
      <c r="C99" s="5">
        <v>-0.65</v>
      </c>
      <c r="D99" s="5">
        <v>-0.6</v>
      </c>
      <c r="E99" s="5">
        <v>-0.14000000000000001</v>
      </c>
      <c r="F99" s="5">
        <v>0.2</v>
      </c>
      <c r="G99" s="7">
        <v>8.9999999999999993E-3</v>
      </c>
      <c r="H99" s="8"/>
      <c r="I99" s="14">
        <v>45.7</v>
      </c>
      <c r="J99" s="15">
        <v>127.67</v>
      </c>
      <c r="K99" s="15">
        <v>1859.68</v>
      </c>
      <c r="L99" s="15">
        <v>202.6</v>
      </c>
      <c r="M99" s="15">
        <v>138.76</v>
      </c>
      <c r="O99" s="15">
        <f t="shared" si="3"/>
        <v>-2.0364415862808016</v>
      </c>
      <c r="P99" s="15">
        <f t="shared" si="3"/>
        <v>0.60677698975570848</v>
      </c>
      <c r="Q99" s="15">
        <f t="shared" si="3"/>
        <v>0.11628407769499471</v>
      </c>
      <c r="R99" s="15">
        <f t="shared" si="3"/>
        <v>-0.37372147915027965</v>
      </c>
      <c r="S99" s="15">
        <f t="shared" si="2"/>
        <v>0.46336518969012364</v>
      </c>
    </row>
    <row r="100" spans="1:19" ht="12.75">
      <c r="A100" s="6">
        <v>20190523</v>
      </c>
      <c r="B100" s="5">
        <v>-1.37</v>
      </c>
      <c r="C100" s="5">
        <v>-0.71</v>
      </c>
      <c r="D100" s="5">
        <v>-0.27</v>
      </c>
      <c r="E100" s="5">
        <v>0.3</v>
      </c>
      <c r="F100" s="5">
        <v>0.28000000000000003</v>
      </c>
      <c r="G100" s="7">
        <v>8.9999999999999993E-3</v>
      </c>
      <c r="H100" s="8"/>
      <c r="I100" s="14">
        <v>44.92</v>
      </c>
      <c r="J100" s="15">
        <v>126.18</v>
      </c>
      <c r="K100" s="15">
        <v>1815.48</v>
      </c>
      <c r="L100" s="15">
        <v>201.3</v>
      </c>
      <c r="M100" s="15">
        <v>139.79</v>
      </c>
      <c r="O100" s="15">
        <f t="shared" si="3"/>
        <v>-1.7067833698030666</v>
      </c>
      <c r="P100" s="15">
        <f t="shared" si="3"/>
        <v>-1.1670713558392665</v>
      </c>
      <c r="Q100" s="15">
        <f t="shared" si="3"/>
        <v>-2.3767529897616768</v>
      </c>
      <c r="R100" s="15">
        <f t="shared" si="3"/>
        <v>-0.64165844027639363</v>
      </c>
      <c r="S100" s="15">
        <f t="shared" si="2"/>
        <v>0.74228884404727857</v>
      </c>
    </row>
    <row r="101" spans="1:19" ht="12.75">
      <c r="A101" s="6">
        <v>20190524</v>
      </c>
      <c r="B101" s="5">
        <v>0.23</v>
      </c>
      <c r="C101" s="5">
        <v>0.51</v>
      </c>
      <c r="D101" s="5">
        <v>0.31</v>
      </c>
      <c r="E101" s="5">
        <v>-0.5</v>
      </c>
      <c r="F101" s="5">
        <v>-0.03</v>
      </c>
      <c r="G101" s="7">
        <v>8.9999999999999993E-3</v>
      </c>
      <c r="H101" s="8"/>
      <c r="I101" s="14">
        <v>44.74</v>
      </c>
      <c r="J101" s="15">
        <v>126.24</v>
      </c>
      <c r="K101" s="15">
        <v>1823.28</v>
      </c>
      <c r="L101" s="15">
        <v>201.69</v>
      </c>
      <c r="M101" s="15">
        <v>138.85</v>
      </c>
      <c r="O101" s="15">
        <f t="shared" si="3"/>
        <v>-0.40071237756010847</v>
      </c>
      <c r="P101" s="15">
        <f t="shared" si="3"/>
        <v>4.7551117451249958E-2</v>
      </c>
      <c r="Q101" s="15">
        <f t="shared" si="3"/>
        <v>0.42963844272589924</v>
      </c>
      <c r="R101" s="15">
        <f t="shared" si="3"/>
        <v>0.19374068554396384</v>
      </c>
      <c r="S101" s="15">
        <f t="shared" si="2"/>
        <v>-0.67243722726947341</v>
      </c>
    </row>
    <row r="102" spans="1:19" ht="12.75">
      <c r="A102" s="6">
        <v>20190528</v>
      </c>
      <c r="B102" s="5">
        <v>-0.78</v>
      </c>
      <c r="C102" s="5">
        <v>0.21</v>
      </c>
      <c r="D102" s="5">
        <v>-0.63</v>
      </c>
      <c r="E102" s="5">
        <v>0.02</v>
      </c>
      <c r="F102" s="5">
        <v>-0.26</v>
      </c>
      <c r="G102" s="7">
        <v>8.9999999999999993E-3</v>
      </c>
      <c r="H102" s="8"/>
      <c r="I102" s="14">
        <v>44.56</v>
      </c>
      <c r="J102" s="15">
        <v>126.16</v>
      </c>
      <c r="K102" s="15">
        <v>1836.43</v>
      </c>
      <c r="L102" s="15">
        <v>199.7</v>
      </c>
      <c r="M102" s="15">
        <v>137.07</v>
      </c>
      <c r="O102" s="15">
        <f t="shared" si="3"/>
        <v>-0.40232454179705002</v>
      </c>
      <c r="P102" s="15">
        <f t="shared" si="3"/>
        <v>-6.3371356147023938E-2</v>
      </c>
      <c r="Q102" s="15">
        <f t="shared" si="3"/>
        <v>0.7212276775920401</v>
      </c>
      <c r="R102" s="15">
        <f t="shared" si="3"/>
        <v>-0.98666270018344937</v>
      </c>
      <c r="S102" s="15">
        <f t="shared" si="2"/>
        <v>-1.2819589485055793</v>
      </c>
    </row>
    <row r="103" spans="1:19" ht="12.75">
      <c r="A103" s="6">
        <v>20190529</v>
      </c>
      <c r="B103" s="5">
        <v>-0.71</v>
      </c>
      <c r="C103" s="5">
        <v>-0.25</v>
      </c>
      <c r="D103" s="5">
        <v>0.42</v>
      </c>
      <c r="E103" s="5">
        <v>-0.18</v>
      </c>
      <c r="F103" s="5">
        <v>-0.01</v>
      </c>
      <c r="G103" s="7">
        <v>8.9999999999999993E-3</v>
      </c>
      <c r="H103" s="8"/>
      <c r="I103" s="14">
        <v>44.35</v>
      </c>
      <c r="J103" s="15">
        <v>124.94</v>
      </c>
      <c r="K103" s="15">
        <v>1819.19</v>
      </c>
      <c r="L103" s="15">
        <v>198.52</v>
      </c>
      <c r="M103" s="15">
        <v>131.33000000000001</v>
      </c>
      <c r="O103" s="15">
        <f t="shared" si="3"/>
        <v>-0.47127468581688037</v>
      </c>
      <c r="P103" s="15">
        <f t="shared" si="3"/>
        <v>-0.96702599873176309</v>
      </c>
      <c r="Q103" s="15">
        <f t="shared" si="3"/>
        <v>-0.93877795505410422</v>
      </c>
      <c r="R103" s="15">
        <f t="shared" si="3"/>
        <v>-0.59088632949423348</v>
      </c>
      <c r="S103" s="15">
        <f t="shared" si="2"/>
        <v>-4.1876413511344417</v>
      </c>
    </row>
    <row r="104" spans="1:19" ht="12.75">
      <c r="A104" s="6">
        <v>20190530</v>
      </c>
      <c r="B104" s="5">
        <v>0.14000000000000001</v>
      </c>
      <c r="C104" s="5">
        <v>-0.39</v>
      </c>
      <c r="D104" s="5">
        <v>-0.77</v>
      </c>
      <c r="E104" s="5">
        <v>0.27</v>
      </c>
      <c r="F104" s="5">
        <v>-0.04</v>
      </c>
      <c r="G104" s="7">
        <v>8.9999999999999993E-3</v>
      </c>
      <c r="H104" s="8"/>
      <c r="I104" s="14">
        <v>44.58</v>
      </c>
      <c r="J104" s="15">
        <v>125.73</v>
      </c>
      <c r="K104" s="15">
        <v>1816.32</v>
      </c>
      <c r="L104" s="15">
        <v>199.74</v>
      </c>
      <c r="M104" s="15">
        <v>132.11000000000001</v>
      </c>
      <c r="O104" s="15">
        <f t="shared" si="3"/>
        <v>0.51860202931228727</v>
      </c>
      <c r="P104" s="15">
        <f t="shared" si="3"/>
        <v>0.63230350568272975</v>
      </c>
      <c r="Q104" s="15">
        <f t="shared" si="3"/>
        <v>-0.15776252068229191</v>
      </c>
      <c r="R104" s="15">
        <f t="shared" si="3"/>
        <v>0.6145476526294491</v>
      </c>
      <c r="S104" s="15">
        <f t="shared" si="2"/>
        <v>0.59392370364730329</v>
      </c>
    </row>
    <row r="105" spans="1:19" ht="12.75">
      <c r="A105" s="6">
        <v>20190531</v>
      </c>
      <c r="B105" s="5">
        <v>-1.37</v>
      </c>
      <c r="C105" s="5">
        <v>-0.23</v>
      </c>
      <c r="D105" s="5">
        <v>-0.1</v>
      </c>
      <c r="E105" s="5">
        <v>0.01</v>
      </c>
      <c r="F105" s="5">
        <v>0.41</v>
      </c>
      <c r="G105" s="7">
        <v>8.9999999999999993E-3</v>
      </c>
      <c r="H105" s="8"/>
      <c r="I105" s="14">
        <v>43.77</v>
      </c>
      <c r="J105" s="15">
        <v>123.68</v>
      </c>
      <c r="K105" s="15">
        <v>1775.07</v>
      </c>
      <c r="L105" s="15">
        <v>197.42</v>
      </c>
      <c r="M105" s="15">
        <v>131.15</v>
      </c>
      <c r="O105" s="15">
        <f t="shared" si="3"/>
        <v>-1.8169582772543658</v>
      </c>
      <c r="P105" s="15">
        <f t="shared" si="3"/>
        <v>-1.630478008430758</v>
      </c>
      <c r="Q105" s="15">
        <f t="shared" si="3"/>
        <v>-2.2710755813953543</v>
      </c>
      <c r="R105" s="15">
        <f t="shared" si="3"/>
        <v>-1.1615099629518455</v>
      </c>
      <c r="S105" s="15">
        <f t="shared" si="2"/>
        <v>-0.7266671712966577</v>
      </c>
    </row>
    <row r="106" spans="1:19" ht="12.75">
      <c r="A106" s="6">
        <v>20190603</v>
      </c>
      <c r="B106" s="5">
        <v>-0.4</v>
      </c>
      <c r="C106" s="5">
        <v>0.56999999999999995</v>
      </c>
      <c r="D106" s="5">
        <v>1.65</v>
      </c>
      <c r="E106" s="5">
        <v>0.28000000000000003</v>
      </c>
      <c r="F106" s="5">
        <v>1.39</v>
      </c>
      <c r="G106" s="7">
        <v>8.9999999999999993E-3</v>
      </c>
      <c r="H106" s="8"/>
      <c r="I106" s="14">
        <v>43.33</v>
      </c>
      <c r="J106" s="15">
        <v>119.84</v>
      </c>
      <c r="K106" s="15">
        <v>1692.69</v>
      </c>
      <c r="L106" s="15">
        <v>198.56</v>
      </c>
      <c r="M106" s="15">
        <v>131.44</v>
      </c>
      <c r="O106" s="15">
        <f t="shared" si="3"/>
        <v>-1.0052547406899759</v>
      </c>
      <c r="P106" s="15">
        <f t="shared" si="3"/>
        <v>-3.1047865459249757</v>
      </c>
      <c r="Q106" s="15">
        <f t="shared" si="3"/>
        <v>-4.6409437374300699</v>
      </c>
      <c r="R106" s="15">
        <f t="shared" si="3"/>
        <v>0.57744909330361693</v>
      </c>
      <c r="S106" s="15">
        <f t="shared" si="2"/>
        <v>0.2211208539839804</v>
      </c>
    </row>
    <row r="107" spans="1:19" ht="12.75">
      <c r="A107" s="6">
        <v>20190604</v>
      </c>
      <c r="B107" s="5">
        <v>2.33</v>
      </c>
      <c r="C107" s="5">
        <v>0.49</v>
      </c>
      <c r="D107" s="5">
        <v>-0.02</v>
      </c>
      <c r="E107" s="5">
        <v>0.28999999999999998</v>
      </c>
      <c r="F107" s="5">
        <v>-0.48</v>
      </c>
      <c r="G107" s="7">
        <v>8.9999999999999993E-3</v>
      </c>
      <c r="H107" s="8"/>
      <c r="I107" s="14">
        <v>44.91</v>
      </c>
      <c r="J107" s="15">
        <v>123.16</v>
      </c>
      <c r="K107" s="15">
        <v>1729.56</v>
      </c>
      <c r="L107" s="15">
        <v>201.59</v>
      </c>
      <c r="M107" s="15">
        <v>133.72999999999999</v>
      </c>
      <c r="O107" s="15">
        <f t="shared" si="3"/>
        <v>3.6464343411031663</v>
      </c>
      <c r="P107" s="15">
        <f t="shared" si="3"/>
        <v>2.7703604806408544</v>
      </c>
      <c r="Q107" s="15">
        <f t="shared" si="3"/>
        <v>2.1781897453166277</v>
      </c>
      <c r="R107" s="15">
        <f t="shared" si="3"/>
        <v>1.5259871071716447</v>
      </c>
      <c r="S107" s="15">
        <f t="shared" si="2"/>
        <v>1.7422398052343135</v>
      </c>
    </row>
    <row r="108" spans="1:19" ht="12.75">
      <c r="A108" s="6">
        <v>20190605</v>
      </c>
      <c r="B108" s="5">
        <v>0.7</v>
      </c>
      <c r="C108" s="5">
        <v>-1.07</v>
      </c>
      <c r="D108" s="5">
        <v>-0.97</v>
      </c>
      <c r="E108" s="5">
        <v>0.06</v>
      </c>
      <c r="F108" s="5">
        <v>-0.2</v>
      </c>
      <c r="G108" s="7">
        <v>8.9999999999999993E-3</v>
      </c>
      <c r="H108" s="8"/>
      <c r="I108" s="14">
        <v>45.64</v>
      </c>
      <c r="J108" s="15">
        <v>125.83</v>
      </c>
      <c r="K108" s="15">
        <v>1738.5</v>
      </c>
      <c r="L108" s="15">
        <v>203.3</v>
      </c>
      <c r="M108" s="15">
        <v>134.38</v>
      </c>
      <c r="O108" s="15">
        <f t="shared" si="3"/>
        <v>1.6254731685593438</v>
      </c>
      <c r="P108" s="15">
        <f t="shared" si="3"/>
        <v>2.167911659629751</v>
      </c>
      <c r="Q108" s="15">
        <f t="shared" si="3"/>
        <v>0.51689447026990187</v>
      </c>
      <c r="R108" s="15">
        <f t="shared" si="3"/>
        <v>0.84825636192271681</v>
      </c>
      <c r="S108" s="15">
        <f t="shared" si="2"/>
        <v>0.48605398938159627</v>
      </c>
    </row>
    <row r="109" spans="1:19" ht="12.75">
      <c r="A109" s="6">
        <v>20190606</v>
      </c>
      <c r="B109" s="5">
        <v>0.55000000000000004</v>
      </c>
      <c r="C109" s="5">
        <v>-1.08</v>
      </c>
      <c r="D109" s="5">
        <v>0.01</v>
      </c>
      <c r="E109" s="5">
        <v>0.06</v>
      </c>
      <c r="F109" s="5">
        <v>-0.06</v>
      </c>
      <c r="G109" s="7">
        <v>8.9999999999999993E-3</v>
      </c>
      <c r="H109" s="8"/>
      <c r="I109" s="14">
        <v>46.31</v>
      </c>
      <c r="J109" s="15">
        <v>127.82</v>
      </c>
      <c r="K109" s="15">
        <v>1754.36</v>
      </c>
      <c r="L109" s="15">
        <v>204.77</v>
      </c>
      <c r="M109" s="15">
        <v>136.68</v>
      </c>
      <c r="O109" s="15">
        <f t="shared" si="3"/>
        <v>1.468010517090268</v>
      </c>
      <c r="P109" s="15">
        <f t="shared" si="3"/>
        <v>1.5814988476515968</v>
      </c>
      <c r="Q109" s="15">
        <f t="shared" si="3"/>
        <v>0.91228070175437548</v>
      </c>
      <c r="R109" s="15">
        <f t="shared" si="3"/>
        <v>0.72306935563206665</v>
      </c>
      <c r="S109" s="15">
        <f t="shared" si="2"/>
        <v>1.7115642208662019</v>
      </c>
    </row>
    <row r="110" spans="1:19" ht="12.75">
      <c r="A110" s="6">
        <v>20190607</v>
      </c>
      <c r="B110" s="5">
        <v>1.04</v>
      </c>
      <c r="C110" s="5">
        <v>-0.14000000000000001</v>
      </c>
      <c r="D110" s="5">
        <v>-1.2</v>
      </c>
      <c r="E110" s="5">
        <v>0.35</v>
      </c>
      <c r="F110" s="5">
        <v>-0.65</v>
      </c>
      <c r="G110" s="7">
        <v>8.9999999999999993E-3</v>
      </c>
      <c r="H110" s="8"/>
      <c r="I110" s="14">
        <v>47.54</v>
      </c>
      <c r="J110" s="15">
        <v>131.4</v>
      </c>
      <c r="K110" s="15">
        <v>1804.03</v>
      </c>
      <c r="L110" s="15">
        <v>205.81</v>
      </c>
      <c r="M110" s="15">
        <v>138.55000000000001</v>
      </c>
      <c r="O110" s="15">
        <f t="shared" si="3"/>
        <v>2.6560138199092975</v>
      </c>
      <c r="P110" s="15">
        <f t="shared" si="3"/>
        <v>2.800813644187139</v>
      </c>
      <c r="Q110" s="15">
        <f t="shared" si="3"/>
        <v>2.8312319022321564</v>
      </c>
      <c r="R110" s="15">
        <f t="shared" si="3"/>
        <v>0.50788689749474702</v>
      </c>
      <c r="S110" s="15">
        <f t="shared" si="2"/>
        <v>1.3681592039801016</v>
      </c>
    </row>
    <row r="111" spans="1:19" ht="12.75">
      <c r="A111" s="6">
        <v>20190610</v>
      </c>
      <c r="B111" s="5">
        <v>0.53</v>
      </c>
      <c r="C111" s="5">
        <v>0.02</v>
      </c>
      <c r="D111" s="5">
        <v>0.09</v>
      </c>
      <c r="E111" s="5">
        <v>0.4</v>
      </c>
      <c r="F111" s="5">
        <v>-0.35</v>
      </c>
      <c r="G111" s="7">
        <v>8.9999999999999993E-3</v>
      </c>
      <c r="H111" s="8"/>
      <c r="I111" s="14">
        <v>48.15</v>
      </c>
      <c r="J111" s="15">
        <v>132.6</v>
      </c>
      <c r="K111" s="15">
        <v>1860.63</v>
      </c>
      <c r="L111" s="15">
        <v>207.16</v>
      </c>
      <c r="M111" s="15">
        <v>139.02000000000001</v>
      </c>
      <c r="O111" s="15">
        <f t="shared" si="3"/>
        <v>1.2831299957930087</v>
      </c>
      <c r="P111" s="15">
        <f t="shared" si="3"/>
        <v>0.91324200913240894</v>
      </c>
      <c r="Q111" s="15">
        <f t="shared" si="3"/>
        <v>3.1374201094216847</v>
      </c>
      <c r="R111" s="15">
        <f t="shared" si="3"/>
        <v>0.65594480345949613</v>
      </c>
      <c r="S111" s="15">
        <f t="shared" si="2"/>
        <v>0.33922771562613363</v>
      </c>
    </row>
    <row r="112" spans="1:19" ht="12.75">
      <c r="A112" s="6">
        <v>20190611</v>
      </c>
      <c r="B112" s="5">
        <v>-0.12</v>
      </c>
      <c r="C112" s="5">
        <v>-0.2</v>
      </c>
      <c r="D112" s="5">
        <v>0.55000000000000004</v>
      </c>
      <c r="E112" s="5">
        <v>0.47</v>
      </c>
      <c r="F112" s="5">
        <v>0.18</v>
      </c>
      <c r="G112" s="7">
        <v>8.9999999999999993E-3</v>
      </c>
      <c r="H112" s="8"/>
      <c r="I112" s="14">
        <v>48.7</v>
      </c>
      <c r="J112" s="15">
        <v>132.1</v>
      </c>
      <c r="K112" s="15">
        <v>1863.7</v>
      </c>
      <c r="L112" s="15">
        <v>206.63</v>
      </c>
      <c r="M112" s="15">
        <v>139.78</v>
      </c>
      <c r="O112" s="15">
        <f t="shared" si="3"/>
        <v>1.1422637590861928</v>
      </c>
      <c r="P112" s="15">
        <f t="shared" si="3"/>
        <v>-0.37707390648566985</v>
      </c>
      <c r="Q112" s="15">
        <f t="shared" si="3"/>
        <v>0.16499787706314439</v>
      </c>
      <c r="R112" s="15">
        <f t="shared" si="3"/>
        <v>-0.2558408959258518</v>
      </c>
      <c r="S112" s="15">
        <f t="shared" si="2"/>
        <v>0.54668393036971796</v>
      </c>
    </row>
    <row r="113" spans="1:19" ht="12.75">
      <c r="A113" s="6">
        <v>20190612</v>
      </c>
      <c r="B113" s="5">
        <v>-0.2</v>
      </c>
      <c r="C113" s="5">
        <v>0.28999999999999998</v>
      </c>
      <c r="D113" s="5">
        <v>-0.99</v>
      </c>
      <c r="E113" s="5">
        <v>0.06</v>
      </c>
      <c r="F113" s="5">
        <v>0.11</v>
      </c>
      <c r="G113" s="7">
        <v>8.9999999999999993E-3</v>
      </c>
      <c r="H113" s="8"/>
      <c r="I113" s="14">
        <v>48.55</v>
      </c>
      <c r="J113" s="15">
        <v>131.49</v>
      </c>
      <c r="K113" s="15">
        <v>1855.32</v>
      </c>
      <c r="L113" s="15">
        <v>204.57</v>
      </c>
      <c r="M113" s="15">
        <v>141.68</v>
      </c>
      <c r="O113" s="15">
        <f t="shared" si="3"/>
        <v>-0.30800821355236874</v>
      </c>
      <c r="P113" s="15">
        <f t="shared" si="3"/>
        <v>-0.46177138531414696</v>
      </c>
      <c r="Q113" s="15">
        <f t="shared" si="3"/>
        <v>-0.44964318291571548</v>
      </c>
      <c r="R113" s="15">
        <f t="shared" si="3"/>
        <v>-0.99695107196438038</v>
      </c>
      <c r="S113" s="15">
        <f t="shared" si="2"/>
        <v>1.3592788667906808</v>
      </c>
    </row>
    <row r="114" spans="1:19" ht="12.75">
      <c r="A114" s="6">
        <v>20190613</v>
      </c>
      <c r="B114" s="5">
        <v>0.52</v>
      </c>
      <c r="C114" s="5">
        <v>0.68</v>
      </c>
      <c r="D114" s="5">
        <v>-0.03</v>
      </c>
      <c r="E114" s="5">
        <v>-0.11</v>
      </c>
      <c r="F114" s="5">
        <v>-0.06</v>
      </c>
      <c r="G114" s="7">
        <v>8.9999999999999993E-3</v>
      </c>
      <c r="H114" s="8"/>
      <c r="I114" s="14">
        <v>48.54</v>
      </c>
      <c r="J114" s="15">
        <v>132.32</v>
      </c>
      <c r="K114" s="15">
        <v>1870.3</v>
      </c>
      <c r="L114" s="15">
        <v>204.99</v>
      </c>
      <c r="M114" s="15">
        <v>140.71</v>
      </c>
      <c r="O114" s="15">
        <f t="shared" si="3"/>
        <v>-2.0597322348092639E-2</v>
      </c>
      <c r="P114" s="15">
        <f t="shared" si="3"/>
        <v>0.63122670925543911</v>
      </c>
      <c r="Q114" s="15">
        <f t="shared" si="3"/>
        <v>0.8074078865101475</v>
      </c>
      <c r="R114" s="15">
        <f t="shared" si="3"/>
        <v>0.20530869628978543</v>
      </c>
      <c r="S114" s="15">
        <f t="shared" si="2"/>
        <v>-0.68464144551101391</v>
      </c>
    </row>
    <row r="115" spans="1:19" ht="12.75">
      <c r="A115" s="6">
        <v>20190614</v>
      </c>
      <c r="B115" s="5">
        <v>-0.27</v>
      </c>
      <c r="C115" s="5">
        <v>-0.74</v>
      </c>
      <c r="D115" s="5">
        <v>0.31</v>
      </c>
      <c r="E115" s="5">
        <v>0.23</v>
      </c>
      <c r="F115" s="5">
        <v>0.14000000000000001</v>
      </c>
      <c r="G115" s="7">
        <v>8.9999999999999993E-3</v>
      </c>
      <c r="H115" s="8"/>
      <c r="I115" s="14">
        <v>48.19</v>
      </c>
      <c r="J115" s="15">
        <v>132.44999999999999</v>
      </c>
      <c r="K115" s="15">
        <v>1869.67</v>
      </c>
      <c r="L115" s="15">
        <v>205.16</v>
      </c>
      <c r="M115" s="15">
        <v>140.09</v>
      </c>
      <c r="O115" s="15">
        <f t="shared" si="3"/>
        <v>-0.72105480016481094</v>
      </c>
      <c r="P115" s="15">
        <f t="shared" si="3"/>
        <v>9.8246674727930916E-2</v>
      </c>
      <c r="Q115" s="15">
        <f t="shared" si="3"/>
        <v>-3.3684435652026057E-2</v>
      </c>
      <c r="R115" s="15">
        <f t="shared" si="3"/>
        <v>8.2930874676812039E-2</v>
      </c>
      <c r="S115" s="15">
        <f t="shared" si="2"/>
        <v>-0.44062255703219977</v>
      </c>
    </row>
    <row r="116" spans="1:19" ht="12.75">
      <c r="A116" s="6">
        <v>20190617</v>
      </c>
      <c r="B116" s="5">
        <v>0.15</v>
      </c>
      <c r="C116" s="5">
        <v>0.48</v>
      </c>
      <c r="D116" s="5">
        <v>-1.1200000000000001</v>
      </c>
      <c r="E116" s="5">
        <v>-0.68</v>
      </c>
      <c r="F116" s="5">
        <v>-0.43</v>
      </c>
      <c r="G116" s="7">
        <v>8.9999999999999993E-3</v>
      </c>
      <c r="H116" s="8"/>
      <c r="I116" s="14">
        <v>48.47</v>
      </c>
      <c r="J116" s="15">
        <v>132.85</v>
      </c>
      <c r="K116" s="15">
        <v>1886.03</v>
      </c>
      <c r="L116" s="15">
        <v>203.48</v>
      </c>
      <c r="M116" s="15">
        <v>139.44</v>
      </c>
      <c r="O116" s="15">
        <f t="shared" si="3"/>
        <v>0.58103340942103898</v>
      </c>
      <c r="P116" s="15">
        <f t="shared" si="3"/>
        <v>0.3020007550018855</v>
      </c>
      <c r="Q116" s="15">
        <f t="shared" si="3"/>
        <v>0.87502072558258703</v>
      </c>
      <c r="R116" s="15">
        <f t="shared" si="3"/>
        <v>-0.81887307467343184</v>
      </c>
      <c r="S116" s="15">
        <f t="shared" si="2"/>
        <v>-0.46398743664787245</v>
      </c>
    </row>
    <row r="117" spans="1:19" ht="12.75">
      <c r="A117" s="6">
        <v>20190618</v>
      </c>
      <c r="B117" s="5">
        <v>1.04</v>
      </c>
      <c r="C117" s="5">
        <v>0.19</v>
      </c>
      <c r="D117" s="5">
        <v>0.33</v>
      </c>
      <c r="E117" s="5">
        <v>-0.26</v>
      </c>
      <c r="F117" s="5">
        <v>-0.19</v>
      </c>
      <c r="G117" s="7">
        <v>8.9999999999999993E-3</v>
      </c>
      <c r="H117" s="8"/>
      <c r="I117" s="14">
        <v>49.61</v>
      </c>
      <c r="J117" s="15">
        <v>135.16</v>
      </c>
      <c r="K117" s="15">
        <v>1901.37</v>
      </c>
      <c r="L117" s="15">
        <v>206.01</v>
      </c>
      <c r="M117" s="15">
        <v>140.22999999999999</v>
      </c>
      <c r="O117" s="15">
        <f t="shared" si="3"/>
        <v>2.3519702909015949</v>
      </c>
      <c r="P117" s="15">
        <f t="shared" si="3"/>
        <v>1.7388031614602895</v>
      </c>
      <c r="Q117" s="15">
        <f t="shared" si="3"/>
        <v>0.8133486741992435</v>
      </c>
      <c r="R117" s="15">
        <f t="shared" si="3"/>
        <v>1.2433654413210204</v>
      </c>
      <c r="S117" s="15">
        <f t="shared" si="2"/>
        <v>0.56655192197361259</v>
      </c>
    </row>
    <row r="118" spans="1:19" ht="12.75">
      <c r="A118" s="6">
        <v>20190619</v>
      </c>
      <c r="B118" s="5">
        <v>0.32</v>
      </c>
      <c r="C118" s="5">
        <v>0.02</v>
      </c>
      <c r="D118" s="5">
        <v>-0.59</v>
      </c>
      <c r="E118" s="5">
        <v>-0.22</v>
      </c>
      <c r="F118" s="5">
        <v>0.16</v>
      </c>
      <c r="G118" s="7">
        <v>8.9999999999999993E-3</v>
      </c>
      <c r="H118" s="8"/>
      <c r="I118" s="14">
        <v>49.47</v>
      </c>
      <c r="J118" s="15">
        <v>135.69</v>
      </c>
      <c r="K118" s="15">
        <v>1908.79</v>
      </c>
      <c r="L118" s="15">
        <v>206.75</v>
      </c>
      <c r="M118" s="15">
        <v>140.44999999999999</v>
      </c>
      <c r="O118" s="15">
        <f t="shared" si="3"/>
        <v>-0.28220116911913395</v>
      </c>
      <c r="P118" s="15">
        <f t="shared" si="3"/>
        <v>0.39212784847588722</v>
      </c>
      <c r="Q118" s="15">
        <f t="shared" si="3"/>
        <v>0.39024492865671334</v>
      </c>
      <c r="R118" s="15">
        <f t="shared" si="3"/>
        <v>0.35920586379303288</v>
      </c>
      <c r="S118" s="15">
        <f t="shared" si="2"/>
        <v>0.15688511730727051</v>
      </c>
    </row>
    <row r="119" spans="1:19" ht="12.75">
      <c r="A119" s="6">
        <v>20190620</v>
      </c>
      <c r="B119" s="5">
        <v>0.89</v>
      </c>
      <c r="C119" s="5">
        <v>-0.41</v>
      </c>
      <c r="D119" s="5">
        <v>-0.23</v>
      </c>
      <c r="E119" s="5">
        <v>-0.14000000000000001</v>
      </c>
      <c r="F119" s="5">
        <v>-0.12</v>
      </c>
      <c r="G119" s="7">
        <v>8.9999999999999993E-3</v>
      </c>
      <c r="H119" s="8"/>
      <c r="I119" s="14">
        <v>49.87</v>
      </c>
      <c r="J119" s="15">
        <v>136.94999999999999</v>
      </c>
      <c r="K119" s="15">
        <v>1918.19</v>
      </c>
      <c r="L119" s="15">
        <v>208.04</v>
      </c>
      <c r="M119" s="15">
        <v>142.21</v>
      </c>
      <c r="O119" s="15">
        <f t="shared" si="3"/>
        <v>0.80857085102081783</v>
      </c>
      <c r="P119" s="15">
        <f t="shared" si="3"/>
        <v>0.92858722087110213</v>
      </c>
      <c r="Q119" s="15">
        <f t="shared" si="3"/>
        <v>0.49245857323225728</v>
      </c>
      <c r="R119" s="15">
        <f t="shared" si="3"/>
        <v>0.62394195888753057</v>
      </c>
      <c r="S119" s="15">
        <f t="shared" si="2"/>
        <v>1.2531149875400605</v>
      </c>
    </row>
    <row r="120" spans="1:19" ht="12.75">
      <c r="A120" s="6">
        <v>20190621</v>
      </c>
      <c r="B120" s="5">
        <v>-0.21</v>
      </c>
      <c r="C120" s="5">
        <v>-0.46</v>
      </c>
      <c r="D120" s="5">
        <v>-0.02</v>
      </c>
      <c r="E120" s="5">
        <v>-0.11</v>
      </c>
      <c r="F120" s="5">
        <v>0.01</v>
      </c>
      <c r="G120" s="7">
        <v>8.9999999999999993E-3</v>
      </c>
      <c r="H120" s="8"/>
      <c r="I120" s="14">
        <v>49.7</v>
      </c>
      <c r="J120" s="15">
        <v>136.97</v>
      </c>
      <c r="K120" s="15">
        <v>1911.3</v>
      </c>
      <c r="L120" s="15">
        <v>206.21</v>
      </c>
      <c r="M120" s="15">
        <v>142.09</v>
      </c>
      <c r="O120" s="15">
        <f t="shared" si="3"/>
        <v>-0.34088630439140788</v>
      </c>
      <c r="P120" s="15">
        <f t="shared" si="3"/>
        <v>1.4603870025564625E-2</v>
      </c>
      <c r="Q120" s="15">
        <f t="shared" si="3"/>
        <v>-0.35919278069430627</v>
      </c>
      <c r="R120" s="15">
        <f t="shared" si="3"/>
        <v>-0.87963853105171852</v>
      </c>
      <c r="S120" s="15">
        <f t="shared" si="2"/>
        <v>-8.4382251599746105E-2</v>
      </c>
    </row>
    <row r="121" spans="1:19" ht="12.75">
      <c r="A121" s="6">
        <v>20190624</v>
      </c>
      <c r="B121" s="5">
        <v>-0.34</v>
      </c>
      <c r="C121" s="5">
        <v>-0.9</v>
      </c>
      <c r="D121" s="5">
        <v>0.08</v>
      </c>
      <c r="E121" s="5">
        <v>0.63</v>
      </c>
      <c r="F121" s="5">
        <v>-0.02</v>
      </c>
      <c r="G121" s="7">
        <v>8.9999999999999993E-3</v>
      </c>
      <c r="H121" s="8"/>
      <c r="I121" s="14">
        <v>49.65</v>
      </c>
      <c r="J121" s="15">
        <v>137.78</v>
      </c>
      <c r="K121" s="15">
        <v>1913.9</v>
      </c>
      <c r="L121" s="15">
        <v>206.85</v>
      </c>
      <c r="M121" s="15">
        <v>143.06</v>
      </c>
      <c r="O121" s="15">
        <f t="shared" si="3"/>
        <v>-0.1006036217303885</v>
      </c>
      <c r="P121" s="15">
        <f t="shared" si="3"/>
        <v>0.59137037307439577</v>
      </c>
      <c r="Q121" s="15">
        <f t="shared" si="3"/>
        <v>0.13603306649925262</v>
      </c>
      <c r="R121" s="15">
        <f t="shared" si="3"/>
        <v>0.31036322195818755</v>
      </c>
      <c r="S121" s="15">
        <f t="shared" si="2"/>
        <v>0.68266591596874981</v>
      </c>
    </row>
    <row r="122" spans="1:19" ht="12.75">
      <c r="A122" s="6">
        <v>20190625</v>
      </c>
      <c r="B122" s="5">
        <v>-0.98</v>
      </c>
      <c r="C122" s="5">
        <v>0.4</v>
      </c>
      <c r="D122" s="5">
        <v>0.71</v>
      </c>
      <c r="E122" s="5">
        <v>-0.1</v>
      </c>
      <c r="F122" s="5">
        <v>0.55000000000000004</v>
      </c>
      <c r="G122" s="7">
        <v>8.9999999999999993E-3</v>
      </c>
      <c r="H122" s="8"/>
      <c r="I122" s="14">
        <v>48.89</v>
      </c>
      <c r="J122" s="15">
        <v>133.43</v>
      </c>
      <c r="K122" s="15">
        <v>1878.27</v>
      </c>
      <c r="L122" s="15">
        <v>208.07</v>
      </c>
      <c r="M122" s="15">
        <v>144.24</v>
      </c>
      <c r="O122" s="15">
        <f t="shared" si="3"/>
        <v>-1.5307150050352436</v>
      </c>
      <c r="P122" s="15">
        <f t="shared" si="3"/>
        <v>-3.1572071418202841</v>
      </c>
      <c r="Q122" s="15">
        <f t="shared" si="3"/>
        <v>-1.8616437640420092</v>
      </c>
      <c r="R122" s="15">
        <f t="shared" si="3"/>
        <v>0.58979937152525697</v>
      </c>
      <c r="S122" s="15">
        <f t="shared" si="2"/>
        <v>0.82482874318468014</v>
      </c>
    </row>
    <row r="123" spans="1:19" ht="12.75">
      <c r="A123" s="6">
        <v>20190626</v>
      </c>
      <c r="B123" s="5">
        <v>-0.06</v>
      </c>
      <c r="C123" s="5">
        <v>0.02</v>
      </c>
      <c r="D123" s="5">
        <v>0.25</v>
      </c>
      <c r="E123" s="5">
        <v>0.37</v>
      </c>
      <c r="F123" s="5">
        <v>-0.39</v>
      </c>
      <c r="G123" s="7">
        <v>8.9999999999999993E-3</v>
      </c>
      <c r="H123" s="8"/>
      <c r="I123" s="14">
        <v>49.95</v>
      </c>
      <c r="J123" s="15">
        <v>133.93</v>
      </c>
      <c r="K123" s="15">
        <v>1897.83</v>
      </c>
      <c r="L123" s="15">
        <v>208.51</v>
      </c>
      <c r="M123" s="15">
        <v>141.85</v>
      </c>
      <c r="O123" s="15">
        <f t="shared" si="3"/>
        <v>2.1681325424422138</v>
      </c>
      <c r="P123" s="15">
        <f t="shared" si="3"/>
        <v>0.37472832196656647</v>
      </c>
      <c r="Q123" s="15">
        <f t="shared" si="3"/>
        <v>1.0413838266063902</v>
      </c>
      <c r="R123" s="15">
        <f t="shared" si="3"/>
        <v>0.21146729466043901</v>
      </c>
      <c r="S123" s="15">
        <f t="shared" si="2"/>
        <v>-1.6569606211869203</v>
      </c>
    </row>
    <row r="124" spans="1:19" ht="12.75">
      <c r="A124" s="6">
        <v>20190627</v>
      </c>
      <c r="B124" s="5">
        <v>0.6</v>
      </c>
      <c r="C124" s="5">
        <v>1.43</v>
      </c>
      <c r="D124" s="5">
        <v>-0.09</v>
      </c>
      <c r="E124" s="5">
        <v>-0.34</v>
      </c>
      <c r="F124" s="5">
        <v>-0.22</v>
      </c>
      <c r="G124" s="7">
        <v>8.9999999999999993E-3</v>
      </c>
      <c r="H124" s="8"/>
      <c r="I124" s="14">
        <v>49.94</v>
      </c>
      <c r="J124" s="15">
        <v>134.15</v>
      </c>
      <c r="K124" s="15">
        <v>1904.28</v>
      </c>
      <c r="L124" s="15">
        <v>212.02</v>
      </c>
      <c r="M124" s="15">
        <v>140.69</v>
      </c>
      <c r="O124" s="15">
        <f t="shared" si="3"/>
        <v>-2.0020020020028451E-2</v>
      </c>
      <c r="P124" s="15">
        <f t="shared" si="3"/>
        <v>0.16426491450758363</v>
      </c>
      <c r="Q124" s="15">
        <f t="shared" si="3"/>
        <v>0.33986184220926585</v>
      </c>
      <c r="R124" s="15">
        <f t="shared" si="3"/>
        <v>1.6833725001199173</v>
      </c>
      <c r="S124" s="15">
        <f t="shared" ref="S124:S187" si="4">(M124/M123-1)*100</f>
        <v>-0.81776524497708669</v>
      </c>
    </row>
    <row r="125" spans="1:19" ht="12.75">
      <c r="A125" s="6">
        <v>20190628</v>
      </c>
      <c r="B125" s="5">
        <v>0.68</v>
      </c>
      <c r="C125" s="5">
        <v>0.77</v>
      </c>
      <c r="D125" s="5">
        <v>0.6</v>
      </c>
      <c r="E125" s="5">
        <v>-0.46</v>
      </c>
      <c r="F125" s="5">
        <v>0.11</v>
      </c>
      <c r="G125" s="7">
        <v>8.9999999999999993E-3</v>
      </c>
      <c r="H125" s="8"/>
      <c r="I125" s="14">
        <v>49.48</v>
      </c>
      <c r="J125" s="15">
        <v>133.96</v>
      </c>
      <c r="K125" s="15">
        <v>1893.63</v>
      </c>
      <c r="L125" s="15">
        <v>213.17</v>
      </c>
      <c r="M125" s="15">
        <v>139.28</v>
      </c>
      <c r="O125" s="15">
        <f t="shared" si="3"/>
        <v>-0.92110532639166909</v>
      </c>
      <c r="P125" s="15">
        <f t="shared" si="3"/>
        <v>-0.14163250093178759</v>
      </c>
      <c r="Q125" s="15">
        <f t="shared" si="3"/>
        <v>-0.55926649442308296</v>
      </c>
      <c r="R125" s="15">
        <f t="shared" si="3"/>
        <v>0.542401660220726</v>
      </c>
      <c r="S125" s="15">
        <f t="shared" si="4"/>
        <v>-1.0022034259719925</v>
      </c>
    </row>
    <row r="126" spans="1:19" ht="12.75">
      <c r="A126" s="6">
        <v>20190701</v>
      </c>
      <c r="B126" s="5">
        <v>0.75</v>
      </c>
      <c r="C126" s="5">
        <v>-0.59</v>
      </c>
      <c r="D126" s="5">
        <v>-0.13</v>
      </c>
      <c r="E126" s="5">
        <v>-0.12</v>
      </c>
      <c r="F126" s="5">
        <v>0.05</v>
      </c>
      <c r="G126" s="7">
        <v>8.9999999999999993E-3</v>
      </c>
      <c r="H126" s="8"/>
      <c r="I126" s="14">
        <v>50.39</v>
      </c>
      <c r="J126" s="15">
        <v>135.68</v>
      </c>
      <c r="K126" s="15">
        <v>1922.19</v>
      </c>
      <c r="L126" s="15">
        <v>214.62</v>
      </c>
      <c r="M126" s="15">
        <v>139.36000000000001</v>
      </c>
      <c r="O126" s="15">
        <f t="shared" si="3"/>
        <v>1.8391269199676819</v>
      </c>
      <c r="P126" s="15">
        <f t="shared" si="3"/>
        <v>1.2839653627948699</v>
      </c>
      <c r="Q126" s="15">
        <f t="shared" si="3"/>
        <v>1.5082143819014293</v>
      </c>
      <c r="R126" s="15">
        <f t="shared" si="3"/>
        <v>0.68020828446779813</v>
      </c>
      <c r="S126" s="15">
        <f t="shared" si="4"/>
        <v>5.7438253877095669E-2</v>
      </c>
    </row>
    <row r="127" spans="1:19" ht="12.75">
      <c r="A127" s="6">
        <v>20190702</v>
      </c>
      <c r="B127" s="5">
        <v>0.14000000000000001</v>
      </c>
      <c r="C127" s="5">
        <v>-0.97</v>
      </c>
      <c r="D127" s="5">
        <v>-0.84</v>
      </c>
      <c r="E127" s="5">
        <v>-0.01</v>
      </c>
      <c r="F127" s="5">
        <v>-0.02</v>
      </c>
      <c r="G127" s="7">
        <v>8.9999999999999993E-3</v>
      </c>
      <c r="H127" s="8"/>
      <c r="I127" s="14">
        <v>50.68</v>
      </c>
      <c r="J127" s="15">
        <v>136.58000000000001</v>
      </c>
      <c r="K127" s="15">
        <v>1934.31</v>
      </c>
      <c r="L127" s="15">
        <v>214.54</v>
      </c>
      <c r="M127" s="15">
        <v>140.03</v>
      </c>
      <c r="O127" s="15">
        <f t="shared" si="3"/>
        <v>0.57551101409010208</v>
      </c>
      <c r="P127" s="15">
        <f t="shared" si="3"/>
        <v>0.6633254716981174</v>
      </c>
      <c r="Q127" s="15">
        <f t="shared" si="3"/>
        <v>0.63053080080532897</v>
      </c>
      <c r="R127" s="15">
        <f t="shared" si="3"/>
        <v>-3.7275184046225984E-2</v>
      </c>
      <c r="S127" s="15">
        <f t="shared" si="4"/>
        <v>0.48076923076922906</v>
      </c>
    </row>
    <row r="128" spans="1:19" ht="12.75">
      <c r="A128" s="6">
        <v>20190703</v>
      </c>
      <c r="B128" s="5">
        <v>0.78</v>
      </c>
      <c r="C128" s="5">
        <v>-0.13</v>
      </c>
      <c r="D128" s="5">
        <v>-0.33</v>
      </c>
      <c r="E128" s="5">
        <v>-0.35</v>
      </c>
      <c r="F128" s="5">
        <v>-0.05</v>
      </c>
      <c r="G128" s="7">
        <v>8.9999999999999993E-3</v>
      </c>
      <c r="H128" s="8"/>
      <c r="I128" s="14">
        <v>51.1</v>
      </c>
      <c r="J128" s="15">
        <v>137.46</v>
      </c>
      <c r="K128" s="15">
        <v>1939</v>
      </c>
      <c r="L128" s="15">
        <v>215.16</v>
      </c>
      <c r="M128" s="15">
        <v>142.13999999999999</v>
      </c>
      <c r="O128" s="15">
        <f t="shared" si="3"/>
        <v>0.82872928176795924</v>
      </c>
      <c r="P128" s="15">
        <f t="shared" si="3"/>
        <v>0.64431102650461813</v>
      </c>
      <c r="Q128" s="15">
        <f t="shared" si="3"/>
        <v>0.24246372091341062</v>
      </c>
      <c r="R128" s="15">
        <f t="shared" si="3"/>
        <v>0.28899039806096205</v>
      </c>
      <c r="S128" s="15">
        <f t="shared" si="4"/>
        <v>1.506819967149875</v>
      </c>
    </row>
    <row r="129" spans="1:19" ht="12.75">
      <c r="A129" s="6">
        <v>20190705</v>
      </c>
      <c r="B129" s="5">
        <v>-0.1</v>
      </c>
      <c r="C129" s="5">
        <v>0.34</v>
      </c>
      <c r="D129" s="5">
        <v>0.91</v>
      </c>
      <c r="E129" s="5">
        <v>0.13</v>
      </c>
      <c r="F129" s="5">
        <v>-0.05</v>
      </c>
      <c r="G129" s="7">
        <v>8.9999999999999993E-3</v>
      </c>
      <c r="H129" s="8"/>
      <c r="I129" s="14">
        <v>51.06</v>
      </c>
      <c r="J129" s="15">
        <v>137.06</v>
      </c>
      <c r="K129" s="15">
        <v>1942.91</v>
      </c>
      <c r="L129" s="15">
        <v>215.25</v>
      </c>
      <c r="M129" s="15">
        <v>140.57</v>
      </c>
      <c r="O129" s="15">
        <f t="shared" si="3"/>
        <v>-7.8277886497057914E-2</v>
      </c>
      <c r="P129" s="15">
        <f t="shared" si="3"/>
        <v>-0.29099374363451558</v>
      </c>
      <c r="Q129" s="15">
        <f t="shared" si="3"/>
        <v>0.20165033522434594</v>
      </c>
      <c r="R129" s="15">
        <f t="shared" si="3"/>
        <v>4.1829336307874776E-2</v>
      </c>
      <c r="S129" s="15">
        <f t="shared" si="4"/>
        <v>-1.1045448149711534</v>
      </c>
    </row>
    <row r="130" spans="1:19" ht="12.75">
      <c r="A130" s="6">
        <v>20190708</v>
      </c>
      <c r="B130" s="5">
        <v>-0.57999999999999996</v>
      </c>
      <c r="C130" s="5">
        <v>-0.43</v>
      </c>
      <c r="D130" s="5">
        <v>7.0000000000000007E-2</v>
      </c>
      <c r="E130" s="5">
        <v>0.04</v>
      </c>
      <c r="F130" s="5">
        <v>-0.25</v>
      </c>
      <c r="G130" s="7">
        <v>8.9999999999999993E-3</v>
      </c>
      <c r="H130" s="8"/>
      <c r="I130" s="14">
        <v>50.01</v>
      </c>
      <c r="J130" s="15">
        <v>136.96</v>
      </c>
      <c r="K130" s="15">
        <v>1952.32</v>
      </c>
      <c r="L130" s="15">
        <v>215.13</v>
      </c>
      <c r="M130" s="15">
        <v>140.97</v>
      </c>
      <c r="O130" s="15">
        <f t="shared" si="3"/>
        <v>-2.0564042303172769</v>
      </c>
      <c r="P130" s="15">
        <f t="shared" si="3"/>
        <v>-7.29607471180449E-2</v>
      </c>
      <c r="Q130" s="15">
        <f t="shared" si="3"/>
        <v>0.48432505880353638</v>
      </c>
      <c r="R130" s="15">
        <f t="shared" si="3"/>
        <v>-5.5749128919857505E-2</v>
      </c>
      <c r="S130" s="15">
        <f t="shared" si="4"/>
        <v>0.28455573735506334</v>
      </c>
    </row>
    <row r="131" spans="1:19" ht="12.75">
      <c r="A131" s="6">
        <v>20190709</v>
      </c>
      <c r="B131" s="5">
        <v>0.18</v>
      </c>
      <c r="C131" s="5">
        <v>-0.24</v>
      </c>
      <c r="D131" s="5">
        <v>-0.42</v>
      </c>
      <c r="E131" s="5">
        <v>-0.65</v>
      </c>
      <c r="F131" s="5">
        <v>-0.19</v>
      </c>
      <c r="G131" s="7">
        <v>8.9999999999999993E-3</v>
      </c>
      <c r="H131" s="8"/>
      <c r="I131" s="14">
        <v>50.31</v>
      </c>
      <c r="J131" s="15">
        <v>136.46</v>
      </c>
      <c r="K131" s="15">
        <v>1988.3</v>
      </c>
      <c r="L131" s="15">
        <v>214.75</v>
      </c>
      <c r="M131" s="15">
        <v>141.41</v>
      </c>
      <c r="O131" s="15">
        <f t="shared" si="3"/>
        <v>0.5998800239952029</v>
      </c>
      <c r="P131" s="15">
        <f t="shared" si="3"/>
        <v>-0.36507009345794206</v>
      </c>
      <c r="Q131" s="15">
        <f t="shared" si="3"/>
        <v>1.8429355843304407</v>
      </c>
      <c r="R131" s="15">
        <f t="shared" si="3"/>
        <v>-0.17663738204806156</v>
      </c>
      <c r="S131" s="15">
        <f t="shared" si="4"/>
        <v>0.3121231467688057</v>
      </c>
    </row>
    <row r="132" spans="1:19" ht="12.75">
      <c r="A132" s="6">
        <v>20190710</v>
      </c>
      <c r="B132" s="5">
        <v>0.4</v>
      </c>
      <c r="C132" s="5">
        <v>-0.25</v>
      </c>
      <c r="D132" s="5">
        <v>-0.35</v>
      </c>
      <c r="E132" s="5">
        <v>0.11</v>
      </c>
      <c r="F132" s="5">
        <v>-0.02</v>
      </c>
      <c r="G132" s="7">
        <v>8.9999999999999993E-3</v>
      </c>
      <c r="H132" s="8"/>
      <c r="I132" s="14">
        <v>50.81</v>
      </c>
      <c r="J132" s="15">
        <v>137.85</v>
      </c>
      <c r="K132" s="15">
        <v>2017.41</v>
      </c>
      <c r="L132" s="15">
        <v>214.03</v>
      </c>
      <c r="M132" s="15">
        <v>141.21</v>
      </c>
      <c r="O132" s="15">
        <f t="shared" si="3"/>
        <v>0.99383820314051796</v>
      </c>
      <c r="P132" s="15">
        <f t="shared" si="3"/>
        <v>1.0186135131173835</v>
      </c>
      <c r="Q132" s="15">
        <f t="shared" si="3"/>
        <v>1.4640647789569083</v>
      </c>
      <c r="R132" s="15">
        <f t="shared" ref="R132:S195" si="5">(L132/L131-1)*100</f>
        <v>-0.33527357392316715</v>
      </c>
      <c r="S132" s="15">
        <f t="shared" si="4"/>
        <v>-0.14143271338660224</v>
      </c>
    </row>
    <row r="133" spans="1:19" ht="12.75">
      <c r="A133" s="6">
        <v>20190711</v>
      </c>
      <c r="B133" s="5">
        <v>0.19</v>
      </c>
      <c r="C133" s="5">
        <v>-0.77</v>
      </c>
      <c r="D133" s="5">
        <v>0.03</v>
      </c>
      <c r="E133" s="5">
        <v>-0.23</v>
      </c>
      <c r="F133" s="5">
        <v>-0.56999999999999995</v>
      </c>
      <c r="G133" s="7">
        <v>8.9999999999999993E-3</v>
      </c>
      <c r="H133" s="8"/>
      <c r="I133" s="14">
        <v>50.44</v>
      </c>
      <c r="J133" s="15">
        <v>138.4</v>
      </c>
      <c r="K133" s="15">
        <v>2001.07</v>
      </c>
      <c r="L133" s="15">
        <v>213.17</v>
      </c>
      <c r="M133" s="15">
        <v>140.11000000000001</v>
      </c>
      <c r="O133" s="15">
        <f t="shared" ref="O133:S196" si="6">(I133/I132-1)*100</f>
        <v>-0.72820310962410373</v>
      </c>
      <c r="P133" s="15">
        <f t="shared" si="6"/>
        <v>0.39898440333696605</v>
      </c>
      <c r="Q133" s="15">
        <f t="shared" si="6"/>
        <v>-0.80994939055522019</v>
      </c>
      <c r="R133" s="15">
        <f t="shared" si="5"/>
        <v>-0.40181282997711065</v>
      </c>
      <c r="S133" s="15">
        <f t="shared" si="4"/>
        <v>-0.77898165852275936</v>
      </c>
    </row>
    <row r="134" spans="1:19" ht="12.75">
      <c r="A134" s="6">
        <v>20190712</v>
      </c>
      <c r="B134" s="5">
        <v>0.53</v>
      </c>
      <c r="C134" s="5">
        <v>0.32</v>
      </c>
      <c r="D134" s="5">
        <v>0.41</v>
      </c>
      <c r="E134" s="5">
        <v>0.6</v>
      </c>
      <c r="F134" s="5">
        <v>-0.09</v>
      </c>
      <c r="G134" s="7">
        <v>8.9999999999999993E-3</v>
      </c>
      <c r="H134" s="8"/>
      <c r="I134" s="14">
        <v>50.83</v>
      </c>
      <c r="J134" s="15">
        <v>138.9</v>
      </c>
      <c r="K134" s="15">
        <v>2011</v>
      </c>
      <c r="L134" s="15">
        <v>214.1</v>
      </c>
      <c r="M134" s="15">
        <v>134.30000000000001</v>
      </c>
      <c r="O134" s="15">
        <f t="shared" si="6"/>
        <v>0.77319587628865705</v>
      </c>
      <c r="P134" s="15">
        <f t="shared" si="6"/>
        <v>0.36127167630057855</v>
      </c>
      <c r="Q134" s="15">
        <f t="shared" si="6"/>
        <v>0.49623451453473244</v>
      </c>
      <c r="R134" s="15">
        <f t="shared" si="5"/>
        <v>0.4362715203827916</v>
      </c>
      <c r="S134" s="15">
        <f t="shared" si="4"/>
        <v>-4.1467418456926701</v>
      </c>
    </row>
    <row r="135" spans="1:19" ht="12.75">
      <c r="A135" s="6">
        <v>20190715</v>
      </c>
      <c r="B135" s="5">
        <v>-0.04</v>
      </c>
      <c r="C135" s="5">
        <v>-0.47</v>
      </c>
      <c r="D135" s="5">
        <v>-1.08</v>
      </c>
      <c r="E135" s="5">
        <v>0.14000000000000001</v>
      </c>
      <c r="F135" s="5">
        <v>0.24</v>
      </c>
      <c r="G135" s="7">
        <v>8.9999999999999993E-3</v>
      </c>
      <c r="H135" s="8"/>
      <c r="I135" s="14">
        <v>51.3</v>
      </c>
      <c r="J135" s="15">
        <v>138.9</v>
      </c>
      <c r="K135" s="15">
        <v>2020.99</v>
      </c>
      <c r="L135" s="15">
        <v>213.54</v>
      </c>
      <c r="M135" s="15">
        <v>134.71</v>
      </c>
      <c r="O135" s="15">
        <f t="shared" si="6"/>
        <v>0.92465079677355178</v>
      </c>
      <c r="P135" s="15">
        <f t="shared" si="6"/>
        <v>0</v>
      </c>
      <c r="Q135" s="15">
        <f t="shared" si="6"/>
        <v>0.49676777722527099</v>
      </c>
      <c r="R135" s="15">
        <f t="shared" si="5"/>
        <v>-0.26156001868286038</v>
      </c>
      <c r="S135" s="15">
        <f t="shared" si="4"/>
        <v>0.30528667163067791</v>
      </c>
    </row>
    <row r="136" spans="1:19" ht="12.75">
      <c r="A136" s="6">
        <v>20190716</v>
      </c>
      <c r="B136" s="5">
        <v>-0.32</v>
      </c>
      <c r="C136" s="5">
        <v>0.4</v>
      </c>
      <c r="D136" s="5">
        <v>0.11</v>
      </c>
      <c r="E136" s="5">
        <v>0.45</v>
      </c>
      <c r="F136" s="5">
        <v>-0.02</v>
      </c>
      <c r="G136" s="7">
        <v>8.9999999999999993E-3</v>
      </c>
      <c r="H136" s="8"/>
      <c r="I136" s="14">
        <v>51.13</v>
      </c>
      <c r="J136" s="15">
        <v>137.08000000000001</v>
      </c>
      <c r="K136" s="15">
        <v>2009.9</v>
      </c>
      <c r="L136" s="15">
        <v>212.88</v>
      </c>
      <c r="M136" s="15">
        <v>132.5</v>
      </c>
      <c r="O136" s="15">
        <f t="shared" si="6"/>
        <v>-0.3313840155945269</v>
      </c>
      <c r="P136" s="15">
        <f t="shared" si="6"/>
        <v>-1.3102951763858894</v>
      </c>
      <c r="Q136" s="15">
        <f t="shared" si="6"/>
        <v>-0.54874096358714652</v>
      </c>
      <c r="R136" s="15">
        <f t="shared" si="5"/>
        <v>-0.30907558302893934</v>
      </c>
      <c r="S136" s="15">
        <f t="shared" si="4"/>
        <v>-1.6405612055526708</v>
      </c>
    </row>
    <row r="137" spans="1:19" ht="12.75">
      <c r="A137" s="6">
        <v>20190717</v>
      </c>
      <c r="B137" s="5">
        <v>-0.64</v>
      </c>
      <c r="C137" s="5">
        <v>-0.26</v>
      </c>
      <c r="D137" s="5">
        <v>-0.66</v>
      </c>
      <c r="E137" s="5">
        <v>-0.48</v>
      </c>
      <c r="F137" s="5">
        <v>-0.23</v>
      </c>
      <c r="G137" s="7">
        <v>8.9999999999999993E-3</v>
      </c>
      <c r="H137" s="8"/>
      <c r="I137" s="14">
        <v>50.84</v>
      </c>
      <c r="J137" s="15">
        <v>136.27000000000001</v>
      </c>
      <c r="K137" s="15">
        <v>1992.03</v>
      </c>
      <c r="L137" s="15">
        <v>207.45</v>
      </c>
      <c r="M137" s="15">
        <v>131.86000000000001</v>
      </c>
      <c r="O137" s="15">
        <f t="shared" si="6"/>
        <v>-0.56718169372188543</v>
      </c>
      <c r="P137" s="15">
        <f t="shared" si="6"/>
        <v>-0.59089582725415646</v>
      </c>
      <c r="Q137" s="15">
        <f t="shared" si="6"/>
        <v>-0.88909896014727208</v>
      </c>
      <c r="R137" s="15">
        <f t="shared" si="5"/>
        <v>-2.550732807215339</v>
      </c>
      <c r="S137" s="15">
        <f t="shared" si="4"/>
        <v>-0.48301886792452287</v>
      </c>
    </row>
    <row r="138" spans="1:19" ht="12.75">
      <c r="A138" s="6">
        <v>20190718</v>
      </c>
      <c r="B138" s="5">
        <v>0.35</v>
      </c>
      <c r="C138" s="5">
        <v>-0.27</v>
      </c>
      <c r="D138" s="5">
        <v>0.01</v>
      </c>
      <c r="E138" s="5">
        <v>-0.36</v>
      </c>
      <c r="F138" s="5">
        <v>0.35</v>
      </c>
      <c r="G138" s="7">
        <v>8.9999999999999993E-3</v>
      </c>
      <c r="H138" s="8"/>
      <c r="I138" s="14">
        <v>51.42</v>
      </c>
      <c r="J138" s="15">
        <v>136.41999999999999</v>
      </c>
      <c r="K138" s="15">
        <v>1977.9</v>
      </c>
      <c r="L138" s="15">
        <v>207.98</v>
      </c>
      <c r="M138" s="15">
        <v>132.07</v>
      </c>
      <c r="O138" s="15">
        <f t="shared" si="6"/>
        <v>1.1408339889850572</v>
      </c>
      <c r="P138" s="15">
        <f t="shared" si="6"/>
        <v>0.1100755852351698</v>
      </c>
      <c r="Q138" s="15">
        <f t="shared" si="6"/>
        <v>-0.7093266667670628</v>
      </c>
      <c r="R138" s="15">
        <f t="shared" si="5"/>
        <v>0.2554832489756631</v>
      </c>
      <c r="S138" s="15">
        <f t="shared" si="4"/>
        <v>0.15925982102227287</v>
      </c>
    </row>
    <row r="139" spans="1:19" ht="12.75">
      <c r="A139" s="6">
        <v>20190719</v>
      </c>
      <c r="B139" s="5">
        <v>-0.56000000000000005</v>
      </c>
      <c r="C139" s="5">
        <v>0.3</v>
      </c>
      <c r="D139" s="5">
        <v>0.87</v>
      </c>
      <c r="E139" s="5">
        <v>0.36</v>
      </c>
      <c r="F139" s="5">
        <v>0.09</v>
      </c>
      <c r="G139" s="7">
        <v>8.9999999999999993E-3</v>
      </c>
      <c r="H139" s="8"/>
      <c r="I139" s="14">
        <v>50.65</v>
      </c>
      <c r="J139" s="15">
        <v>136.62</v>
      </c>
      <c r="K139" s="15">
        <v>1964.52</v>
      </c>
      <c r="L139" s="15">
        <v>205.97</v>
      </c>
      <c r="M139" s="15">
        <v>130.31</v>
      </c>
      <c r="O139" s="15">
        <f t="shared" si="6"/>
        <v>-1.4974718008557097</v>
      </c>
      <c r="P139" s="15">
        <f t="shared" si="6"/>
        <v>0.14660606949128407</v>
      </c>
      <c r="Q139" s="15">
        <f t="shared" si="6"/>
        <v>-0.67647504929471136</v>
      </c>
      <c r="R139" s="15">
        <f t="shared" si="5"/>
        <v>-0.9664390806808254</v>
      </c>
      <c r="S139" s="15">
        <f t="shared" si="4"/>
        <v>-1.3326266373892559</v>
      </c>
    </row>
    <row r="140" spans="1:19" ht="12.75">
      <c r="A140" s="6">
        <v>20190722</v>
      </c>
      <c r="B140" s="5">
        <v>0.25</v>
      </c>
      <c r="C140" s="5">
        <v>-0.55000000000000004</v>
      </c>
      <c r="D140" s="5">
        <v>-0.49</v>
      </c>
      <c r="E140" s="5">
        <v>-0.18</v>
      </c>
      <c r="F140" s="5">
        <v>-0.01</v>
      </c>
      <c r="G140" s="7">
        <v>8.9999999999999993E-3</v>
      </c>
      <c r="H140" s="8"/>
      <c r="I140" s="14">
        <v>51.81</v>
      </c>
      <c r="J140" s="15">
        <v>138.43</v>
      </c>
      <c r="K140" s="15">
        <v>1985.63</v>
      </c>
      <c r="L140" s="15">
        <v>204.84</v>
      </c>
      <c r="M140" s="15">
        <v>128.63999999999999</v>
      </c>
      <c r="O140" s="15">
        <f t="shared" si="6"/>
        <v>2.2902270483711851</v>
      </c>
      <c r="P140" s="15">
        <f t="shared" si="6"/>
        <v>1.3248426291904591</v>
      </c>
      <c r="Q140" s="15">
        <f t="shared" si="6"/>
        <v>1.0745627430619242</v>
      </c>
      <c r="R140" s="15">
        <f t="shared" si="5"/>
        <v>-0.5486235859591182</v>
      </c>
      <c r="S140" s="15">
        <f t="shared" si="4"/>
        <v>-1.2815593584529328</v>
      </c>
    </row>
    <row r="141" spans="1:19" ht="12.75">
      <c r="A141" s="6">
        <v>20190723</v>
      </c>
      <c r="B141" s="5">
        <v>0.65</v>
      </c>
      <c r="C141" s="5">
        <v>-0.06</v>
      </c>
      <c r="D141" s="5">
        <v>0.8</v>
      </c>
      <c r="E141" s="5">
        <v>0.66</v>
      </c>
      <c r="F141" s="5">
        <v>0.34</v>
      </c>
      <c r="G141" s="7">
        <v>8.9999999999999993E-3</v>
      </c>
      <c r="H141" s="8"/>
      <c r="I141" s="14">
        <v>52.21</v>
      </c>
      <c r="J141" s="15">
        <v>139.29</v>
      </c>
      <c r="K141" s="15">
        <v>1994.49</v>
      </c>
      <c r="L141" s="15">
        <v>206.46</v>
      </c>
      <c r="M141" s="15">
        <v>128.84</v>
      </c>
      <c r="O141" s="15">
        <f t="shared" si="6"/>
        <v>0.77205172746572792</v>
      </c>
      <c r="P141" s="15">
        <f t="shared" si="6"/>
        <v>0.62125261865202397</v>
      </c>
      <c r="Q141" s="15">
        <f t="shared" si="6"/>
        <v>0.44620599003841743</v>
      </c>
      <c r="R141" s="15">
        <f t="shared" si="5"/>
        <v>0.79086115992970107</v>
      </c>
      <c r="S141" s="15">
        <f t="shared" si="4"/>
        <v>0.15547263681592316</v>
      </c>
    </row>
    <row r="142" spans="1:19" ht="12.75">
      <c r="A142" s="6">
        <v>20190724</v>
      </c>
      <c r="B142" s="5">
        <v>0.66</v>
      </c>
      <c r="C142" s="5">
        <v>0.92</v>
      </c>
      <c r="D142" s="5">
        <v>0.86</v>
      </c>
      <c r="E142" s="5">
        <v>-0.09</v>
      </c>
      <c r="F142" s="5">
        <v>-0.09</v>
      </c>
      <c r="G142" s="7">
        <v>8.9999999999999993E-3</v>
      </c>
      <c r="H142" s="8"/>
      <c r="I142" s="14">
        <v>52.17</v>
      </c>
      <c r="J142" s="15">
        <v>140.72</v>
      </c>
      <c r="K142" s="15">
        <v>2000.81</v>
      </c>
      <c r="L142" s="15">
        <v>207.97</v>
      </c>
      <c r="M142" s="15">
        <v>129.78</v>
      </c>
      <c r="O142" s="15">
        <f t="shared" si="6"/>
        <v>-7.6613675541081783E-2</v>
      </c>
      <c r="P142" s="15">
        <f t="shared" si="6"/>
        <v>1.0266350778950439</v>
      </c>
      <c r="Q142" s="15">
        <f t="shared" si="6"/>
        <v>0.3168729850738794</v>
      </c>
      <c r="R142" s="15">
        <f t="shared" si="5"/>
        <v>0.73137653782815448</v>
      </c>
      <c r="S142" s="15">
        <f t="shared" si="4"/>
        <v>0.72958708475627798</v>
      </c>
    </row>
    <row r="143" spans="1:19" ht="12.75">
      <c r="A143" s="6">
        <v>20190725</v>
      </c>
      <c r="B143" s="5">
        <v>-0.63</v>
      </c>
      <c r="C143" s="5">
        <v>-0.68</v>
      </c>
      <c r="D143" s="5">
        <v>-0.15</v>
      </c>
      <c r="E143" s="5">
        <v>0.17</v>
      </c>
      <c r="F143" s="5">
        <v>7.0000000000000007E-2</v>
      </c>
      <c r="G143" s="7">
        <v>8.9999999999999993E-3</v>
      </c>
      <c r="H143" s="8"/>
      <c r="I143" s="14">
        <v>51.76</v>
      </c>
      <c r="J143" s="15">
        <v>140.19</v>
      </c>
      <c r="K143" s="15">
        <v>1973.82</v>
      </c>
      <c r="L143" s="15">
        <v>207.9</v>
      </c>
      <c r="M143" s="15">
        <v>131.12</v>
      </c>
      <c r="O143" s="15">
        <f t="shared" si="6"/>
        <v>-0.78589227525398542</v>
      </c>
      <c r="P143" s="15">
        <f t="shared" si="6"/>
        <v>-0.37663445139283214</v>
      </c>
      <c r="Q143" s="15">
        <f t="shared" si="6"/>
        <v>-1.3489536737621322</v>
      </c>
      <c r="R143" s="15">
        <f t="shared" si="5"/>
        <v>-3.3658700774141792E-2</v>
      </c>
      <c r="S143" s="15">
        <f t="shared" si="4"/>
        <v>1.0325165664971436</v>
      </c>
    </row>
    <row r="144" spans="1:19" ht="12.75">
      <c r="A144" s="6">
        <v>20190726</v>
      </c>
      <c r="B144" s="5">
        <v>0.82</v>
      </c>
      <c r="C144" s="5">
        <v>0.34</v>
      </c>
      <c r="D144" s="5">
        <v>-0.19</v>
      </c>
      <c r="E144" s="5">
        <v>-0.61</v>
      </c>
      <c r="F144" s="5">
        <v>-0.25</v>
      </c>
      <c r="G144" s="7">
        <v>8.9999999999999993E-3</v>
      </c>
      <c r="H144" s="8"/>
      <c r="I144" s="14">
        <v>51.94</v>
      </c>
      <c r="J144" s="15">
        <v>141.34</v>
      </c>
      <c r="K144" s="15">
        <v>1943.05</v>
      </c>
      <c r="L144" s="15">
        <v>209.9</v>
      </c>
      <c r="M144" s="15">
        <v>130.72999999999999</v>
      </c>
      <c r="O144" s="15">
        <f t="shared" si="6"/>
        <v>0.34775888717155645</v>
      </c>
      <c r="P144" s="15">
        <f t="shared" si="6"/>
        <v>0.82031528639703311</v>
      </c>
      <c r="Q144" s="15">
        <f t="shared" si="6"/>
        <v>-1.5589060805949906</v>
      </c>
      <c r="R144" s="15">
        <f t="shared" si="5"/>
        <v>0.96200096200096397</v>
      </c>
      <c r="S144" s="15">
        <f t="shared" si="4"/>
        <v>-0.2974374618670006</v>
      </c>
    </row>
    <row r="145" spans="1:19" ht="12.75">
      <c r="A145" s="6">
        <v>20190729</v>
      </c>
      <c r="B145" s="5">
        <v>-0.32</v>
      </c>
      <c r="C145" s="5">
        <v>-0.34</v>
      </c>
      <c r="D145" s="5">
        <v>-0.46</v>
      </c>
      <c r="E145" s="5">
        <v>0.32</v>
      </c>
      <c r="F145" s="5">
        <v>0.38</v>
      </c>
      <c r="G145" s="7">
        <v>8.9999999999999993E-3</v>
      </c>
      <c r="H145" s="8"/>
      <c r="I145" s="14">
        <v>52.42</v>
      </c>
      <c r="J145" s="15">
        <v>141.03</v>
      </c>
      <c r="K145" s="15">
        <v>1912.45</v>
      </c>
      <c r="L145" s="15">
        <v>208.61</v>
      </c>
      <c r="M145" s="15">
        <v>133.02000000000001</v>
      </c>
      <c r="O145" s="15">
        <f t="shared" si="6"/>
        <v>0.9241432422025575</v>
      </c>
      <c r="P145" s="15">
        <f t="shared" si="6"/>
        <v>-0.21932927692089876</v>
      </c>
      <c r="Q145" s="15">
        <f t="shared" si="6"/>
        <v>-1.574843673605919</v>
      </c>
      <c r="R145" s="15">
        <f t="shared" si="5"/>
        <v>-0.61457837065268528</v>
      </c>
      <c r="S145" s="15">
        <f t="shared" si="4"/>
        <v>1.7517019811825962</v>
      </c>
    </row>
    <row r="146" spans="1:19" ht="12.75">
      <c r="A146" s="6">
        <v>20190730</v>
      </c>
      <c r="B146" s="5">
        <v>-0.17</v>
      </c>
      <c r="C146" s="5">
        <v>1.42</v>
      </c>
      <c r="D146" s="5">
        <v>0.89</v>
      </c>
      <c r="E146" s="5">
        <v>-0.19</v>
      </c>
      <c r="F146" s="5">
        <v>0.09</v>
      </c>
      <c r="G146" s="7">
        <v>8.9999999999999993E-3</v>
      </c>
      <c r="H146" s="8"/>
      <c r="I146" s="14">
        <v>52.2</v>
      </c>
      <c r="J146" s="15">
        <v>140.35</v>
      </c>
      <c r="K146" s="15">
        <v>1898.53</v>
      </c>
      <c r="L146" s="15">
        <v>207.81</v>
      </c>
      <c r="M146" s="15">
        <v>132.08000000000001</v>
      </c>
      <c r="O146" s="15">
        <f t="shared" si="6"/>
        <v>-0.41968714231209736</v>
      </c>
      <c r="P146" s="15">
        <f t="shared" si="6"/>
        <v>-0.4821669148408203</v>
      </c>
      <c r="Q146" s="15">
        <f t="shared" si="6"/>
        <v>-0.7278621663311502</v>
      </c>
      <c r="R146" s="15">
        <f t="shared" si="5"/>
        <v>-0.38349072431811404</v>
      </c>
      <c r="S146" s="15">
        <f t="shared" si="4"/>
        <v>-0.70666065253345289</v>
      </c>
    </row>
    <row r="147" spans="1:19" ht="12.75">
      <c r="A147" s="6">
        <v>20190731</v>
      </c>
      <c r="B147" s="5">
        <v>-1.0900000000000001</v>
      </c>
      <c r="C147" s="5">
        <v>0.26</v>
      </c>
      <c r="D147" s="5">
        <v>0.57999999999999996</v>
      </c>
      <c r="E147" s="5">
        <v>0.19</v>
      </c>
      <c r="F147" s="5">
        <v>0.54</v>
      </c>
      <c r="G147" s="7">
        <v>8.9999999999999993E-3</v>
      </c>
      <c r="H147" s="8"/>
      <c r="I147" s="14">
        <v>53.26</v>
      </c>
      <c r="J147" s="15">
        <v>136.27000000000001</v>
      </c>
      <c r="K147" s="15">
        <v>1866.78</v>
      </c>
      <c r="L147" s="15">
        <v>205.43</v>
      </c>
      <c r="M147" s="15">
        <v>130.22</v>
      </c>
      <c r="O147" s="15">
        <f t="shared" si="6"/>
        <v>2.0306513409961591</v>
      </c>
      <c r="P147" s="15">
        <f t="shared" si="6"/>
        <v>-2.9070181688635399</v>
      </c>
      <c r="Q147" s="15">
        <f t="shared" si="6"/>
        <v>-1.6723464996602599</v>
      </c>
      <c r="R147" s="15">
        <f t="shared" si="5"/>
        <v>-1.1452769356623871</v>
      </c>
      <c r="S147" s="15">
        <f t="shared" si="4"/>
        <v>-1.4082374318594937</v>
      </c>
    </row>
    <row r="148" spans="1:19" ht="12.75">
      <c r="A148" s="6">
        <v>20190801</v>
      </c>
      <c r="B148" s="5">
        <v>-1.04</v>
      </c>
      <c r="C148" s="5">
        <v>-0.76</v>
      </c>
      <c r="D148" s="5">
        <v>-1.93</v>
      </c>
      <c r="E148" s="5">
        <v>-0.54</v>
      </c>
      <c r="F148" s="5">
        <v>-0.3</v>
      </c>
      <c r="G148" s="7">
        <v>7.0000000000000001E-3</v>
      </c>
      <c r="H148" s="8"/>
      <c r="I148" s="14">
        <v>52.11</v>
      </c>
      <c r="J148" s="15">
        <v>138.06</v>
      </c>
      <c r="K148" s="15">
        <v>1855.32</v>
      </c>
      <c r="L148" s="15">
        <v>201.71</v>
      </c>
      <c r="M148" s="15">
        <v>130.29</v>
      </c>
      <c r="O148" s="15">
        <f t="shared" si="6"/>
        <v>-2.1592189260232764</v>
      </c>
      <c r="P148" s="15">
        <f t="shared" si="6"/>
        <v>1.3135686504733179</v>
      </c>
      <c r="Q148" s="15">
        <f t="shared" si="6"/>
        <v>-0.61389129945682575</v>
      </c>
      <c r="R148" s="15">
        <f t="shared" si="5"/>
        <v>-1.8108358078177456</v>
      </c>
      <c r="S148" s="15">
        <f t="shared" si="4"/>
        <v>5.3755183535542095E-2</v>
      </c>
    </row>
    <row r="149" spans="1:19" ht="12.75">
      <c r="A149" s="6">
        <v>20190802</v>
      </c>
      <c r="B149" s="5">
        <v>-0.87</v>
      </c>
      <c r="C149" s="5">
        <v>-0.26</v>
      </c>
      <c r="D149" s="5">
        <v>0.06</v>
      </c>
      <c r="E149" s="5">
        <v>0.14000000000000001</v>
      </c>
      <c r="F149" s="5">
        <v>0.19</v>
      </c>
      <c r="G149" s="7">
        <v>7.0000000000000001E-3</v>
      </c>
      <c r="H149" s="8"/>
      <c r="I149" s="14">
        <v>51.01</v>
      </c>
      <c r="J149" s="15">
        <v>136.9</v>
      </c>
      <c r="K149" s="15">
        <v>1823.24</v>
      </c>
      <c r="L149" s="15">
        <v>202.67</v>
      </c>
      <c r="M149" s="15">
        <v>131.07</v>
      </c>
      <c r="O149" s="15">
        <f t="shared" si="6"/>
        <v>-2.1109192093648033</v>
      </c>
      <c r="P149" s="15">
        <f t="shared" si="6"/>
        <v>-0.84021439953643196</v>
      </c>
      <c r="Q149" s="15">
        <f t="shared" si="6"/>
        <v>-1.7290817756505539</v>
      </c>
      <c r="R149" s="15">
        <f t="shared" si="5"/>
        <v>0.4759307917306943</v>
      </c>
      <c r="S149" s="15">
        <f t="shared" si="4"/>
        <v>0.59866451761454442</v>
      </c>
    </row>
    <row r="150" spans="1:19" ht="12.75">
      <c r="A150" s="6">
        <v>20190805</v>
      </c>
      <c r="B150" s="5">
        <v>-3.07</v>
      </c>
      <c r="C150" s="5">
        <v>0.06</v>
      </c>
      <c r="D150" s="5">
        <v>-0.05</v>
      </c>
      <c r="E150" s="5">
        <v>-7.0000000000000007E-2</v>
      </c>
      <c r="F150" s="5">
        <v>0.27</v>
      </c>
      <c r="G150" s="7">
        <v>7.0000000000000001E-3</v>
      </c>
      <c r="H150" s="8"/>
      <c r="I150" s="14">
        <v>48.34</v>
      </c>
      <c r="J150" s="15">
        <v>132.21</v>
      </c>
      <c r="K150" s="15">
        <v>1765.13</v>
      </c>
      <c r="L150" s="15">
        <v>197.73</v>
      </c>
      <c r="M150" s="15">
        <v>130.16</v>
      </c>
      <c r="O150" s="15">
        <f t="shared" si="6"/>
        <v>-5.2342677906292767</v>
      </c>
      <c r="P150" s="15">
        <f t="shared" si="6"/>
        <v>-3.4258582907231494</v>
      </c>
      <c r="Q150" s="15">
        <f t="shared" si="6"/>
        <v>-3.1871832561813029</v>
      </c>
      <c r="R150" s="15">
        <f t="shared" si="5"/>
        <v>-2.437459910198847</v>
      </c>
      <c r="S150" s="15">
        <f t="shared" si="4"/>
        <v>-0.69428549629968472</v>
      </c>
    </row>
    <row r="151" spans="1:19" ht="12.75">
      <c r="A151" s="6">
        <v>20190806</v>
      </c>
      <c r="B151" s="5">
        <v>1.29</v>
      </c>
      <c r="C151" s="5">
        <v>-0.55000000000000004</v>
      </c>
      <c r="D151" s="5">
        <v>-0.61</v>
      </c>
      <c r="E151" s="5">
        <v>-0.27</v>
      </c>
      <c r="F151" s="5">
        <v>-0.25</v>
      </c>
      <c r="G151" s="7">
        <v>7.0000000000000001E-3</v>
      </c>
      <c r="H151" s="8"/>
      <c r="I151" s="14">
        <v>49.25</v>
      </c>
      <c r="J151" s="15">
        <v>134.69</v>
      </c>
      <c r="K151" s="15">
        <v>1787.83</v>
      </c>
      <c r="L151" s="15">
        <v>200.55</v>
      </c>
      <c r="M151" s="15">
        <v>130.77000000000001</v>
      </c>
      <c r="O151" s="15">
        <f t="shared" si="6"/>
        <v>1.8824989656599067</v>
      </c>
      <c r="P151" s="15">
        <f t="shared" si="6"/>
        <v>1.875803645715135</v>
      </c>
      <c r="Q151" s="15">
        <f t="shared" si="6"/>
        <v>1.2860242588364601</v>
      </c>
      <c r="R151" s="15">
        <f t="shared" si="5"/>
        <v>1.4261872250038055</v>
      </c>
      <c r="S151" s="15">
        <f t="shared" si="4"/>
        <v>0.46865396435158413</v>
      </c>
    </row>
    <row r="152" spans="1:19" ht="12.75">
      <c r="A152" s="6">
        <v>20190807</v>
      </c>
      <c r="B152" s="5">
        <v>7.0000000000000007E-2</v>
      </c>
      <c r="C152" s="5">
        <v>-0.09</v>
      </c>
      <c r="D152" s="5">
        <v>-0.95</v>
      </c>
      <c r="E152" s="5">
        <v>0.18</v>
      </c>
      <c r="F152" s="5">
        <v>-0.18</v>
      </c>
      <c r="G152" s="7">
        <v>7.0000000000000001E-3</v>
      </c>
      <c r="H152" s="8"/>
      <c r="I152" s="14">
        <v>49.76</v>
      </c>
      <c r="J152" s="15">
        <v>135.28</v>
      </c>
      <c r="K152" s="15">
        <v>1793.4</v>
      </c>
      <c r="L152" s="15">
        <v>198.21</v>
      </c>
      <c r="M152" s="15">
        <v>130.21</v>
      </c>
      <c r="O152" s="15">
        <f t="shared" si="6"/>
        <v>1.035532994923849</v>
      </c>
      <c r="P152" s="15">
        <f t="shared" si="6"/>
        <v>0.43804291335660661</v>
      </c>
      <c r="Q152" s="15">
        <f t="shared" si="6"/>
        <v>0.31155087452388042</v>
      </c>
      <c r="R152" s="15">
        <f t="shared" si="5"/>
        <v>-1.1667913238593841</v>
      </c>
      <c r="S152" s="15">
        <f t="shared" si="4"/>
        <v>-0.42823277510132263</v>
      </c>
    </row>
    <row r="153" spans="1:19" ht="12.75">
      <c r="A153" s="6">
        <v>20190808</v>
      </c>
      <c r="B153" s="5">
        <v>1.97</v>
      </c>
      <c r="C153" s="5">
        <v>-0.03</v>
      </c>
      <c r="D153" s="5">
        <v>-0.23</v>
      </c>
      <c r="E153" s="5">
        <v>0.28000000000000003</v>
      </c>
      <c r="F153" s="5">
        <v>-0.31</v>
      </c>
      <c r="G153" s="7">
        <v>7.0000000000000001E-3</v>
      </c>
      <c r="H153" s="8"/>
      <c r="I153" s="14">
        <v>50.86</v>
      </c>
      <c r="J153" s="15">
        <v>138.88999999999999</v>
      </c>
      <c r="K153" s="15">
        <v>1832.89</v>
      </c>
      <c r="L153" s="15">
        <v>200.52</v>
      </c>
      <c r="M153" s="15">
        <v>131.68</v>
      </c>
      <c r="O153" s="15">
        <f t="shared" si="6"/>
        <v>2.2106109324758982</v>
      </c>
      <c r="P153" s="15">
        <f t="shared" si="6"/>
        <v>2.6685393258426782</v>
      </c>
      <c r="Q153" s="15">
        <f t="shared" si="6"/>
        <v>2.201962752314035</v>
      </c>
      <c r="R153" s="15">
        <f t="shared" si="5"/>
        <v>1.1654306039049489</v>
      </c>
      <c r="S153" s="15">
        <f t="shared" si="4"/>
        <v>1.1289455494969625</v>
      </c>
    </row>
    <row r="154" spans="1:19" ht="12.75">
      <c r="A154" s="6">
        <v>20190809</v>
      </c>
      <c r="B154" s="5">
        <v>-0.78</v>
      </c>
      <c r="C154" s="5">
        <v>-0.5</v>
      </c>
      <c r="D154" s="5">
        <v>-0.23</v>
      </c>
      <c r="E154" s="5">
        <v>-0.48</v>
      </c>
      <c r="F154" s="5">
        <v>-0.02</v>
      </c>
      <c r="G154" s="7">
        <v>7.0000000000000001E-3</v>
      </c>
      <c r="H154" s="8"/>
      <c r="I154" s="14">
        <v>50.25</v>
      </c>
      <c r="J154" s="15">
        <v>137.71</v>
      </c>
      <c r="K154" s="15">
        <v>1807.58</v>
      </c>
      <c r="L154" s="15">
        <v>199.05</v>
      </c>
      <c r="M154" s="15">
        <v>132.04</v>
      </c>
      <c r="O154" s="15">
        <f t="shared" si="6"/>
        <v>-1.1993708218639432</v>
      </c>
      <c r="P154" s="15">
        <f t="shared" si="6"/>
        <v>-0.84959320325436183</v>
      </c>
      <c r="Q154" s="15">
        <f t="shared" si="6"/>
        <v>-1.3808793762855487</v>
      </c>
      <c r="R154" s="15">
        <f t="shared" si="5"/>
        <v>-0.73309395571513614</v>
      </c>
      <c r="S154" s="15">
        <f t="shared" si="4"/>
        <v>0.27339003645199256</v>
      </c>
    </row>
    <row r="155" spans="1:19" ht="12.75">
      <c r="A155" s="6">
        <v>20190812</v>
      </c>
      <c r="B155" s="5">
        <v>-1.32</v>
      </c>
      <c r="C155" s="5">
        <v>0.21</v>
      </c>
      <c r="D155" s="5">
        <v>-0.28000000000000003</v>
      </c>
      <c r="E155" s="5">
        <v>0.13</v>
      </c>
      <c r="F155" s="5">
        <v>0.24</v>
      </c>
      <c r="G155" s="7">
        <v>7.0000000000000001E-3</v>
      </c>
      <c r="H155" s="8"/>
      <c r="I155" s="14">
        <v>50.12</v>
      </c>
      <c r="J155" s="15">
        <v>135.79</v>
      </c>
      <c r="K155" s="15">
        <v>1784.92</v>
      </c>
      <c r="L155" s="15">
        <v>197.2</v>
      </c>
      <c r="M155" s="15">
        <v>131.93</v>
      </c>
      <c r="O155" s="15">
        <f t="shared" si="6"/>
        <v>-0.25870646766169569</v>
      </c>
      <c r="P155" s="15">
        <f t="shared" si="6"/>
        <v>-1.394234260402305</v>
      </c>
      <c r="Q155" s="15">
        <f t="shared" si="6"/>
        <v>-1.2536097987364214</v>
      </c>
      <c r="R155" s="15">
        <f t="shared" si="5"/>
        <v>-0.92941471991963009</v>
      </c>
      <c r="S155" s="15">
        <f t="shared" si="4"/>
        <v>-8.3308088458033946E-2</v>
      </c>
    </row>
    <row r="156" spans="1:19" ht="12.75">
      <c r="A156" s="6">
        <v>20190813</v>
      </c>
      <c r="B156" s="5">
        <v>1.47</v>
      </c>
      <c r="C156" s="5">
        <v>-0.35</v>
      </c>
      <c r="D156" s="5">
        <v>-0.53</v>
      </c>
      <c r="E156" s="5">
        <v>0.35</v>
      </c>
      <c r="F156" s="5">
        <v>-0.04</v>
      </c>
      <c r="G156" s="7">
        <v>7.0000000000000001E-3</v>
      </c>
      <c r="H156" s="8"/>
      <c r="I156" s="14">
        <v>52.24</v>
      </c>
      <c r="J156" s="15">
        <v>138.6</v>
      </c>
      <c r="K156" s="15">
        <v>1824.34</v>
      </c>
      <c r="L156" s="15">
        <v>198.78</v>
      </c>
      <c r="M156" s="15">
        <v>133.41999999999999</v>
      </c>
      <c r="O156" s="15">
        <f t="shared" si="6"/>
        <v>4.2298483639265916</v>
      </c>
      <c r="P156" s="15">
        <f t="shared" si="6"/>
        <v>2.0693718241402204</v>
      </c>
      <c r="Q156" s="15">
        <f t="shared" si="6"/>
        <v>2.208502341841645</v>
      </c>
      <c r="R156" s="15">
        <f t="shared" si="5"/>
        <v>0.80121703853957005</v>
      </c>
      <c r="S156" s="15">
        <f t="shared" si="4"/>
        <v>1.1293867960281867</v>
      </c>
    </row>
    <row r="157" spans="1:19" ht="12.75">
      <c r="A157" s="6">
        <v>20190814</v>
      </c>
      <c r="B157" s="5">
        <v>-2.95</v>
      </c>
      <c r="C157" s="5">
        <v>0.03</v>
      </c>
      <c r="D157" s="5">
        <v>-0.52</v>
      </c>
      <c r="E157" s="5">
        <v>-0.38</v>
      </c>
      <c r="F157" s="5">
        <v>0.01</v>
      </c>
      <c r="G157" s="7">
        <v>7.0000000000000001E-3</v>
      </c>
      <c r="H157" s="8"/>
      <c r="I157" s="14">
        <v>50.69</v>
      </c>
      <c r="J157" s="15">
        <v>133.97999999999999</v>
      </c>
      <c r="K157" s="15">
        <v>1762.96</v>
      </c>
      <c r="L157" s="15">
        <v>195.81</v>
      </c>
      <c r="M157" s="15">
        <v>130.26</v>
      </c>
      <c r="O157" s="15">
        <f t="shared" si="6"/>
        <v>-2.9670750382848499</v>
      </c>
      <c r="P157" s="15">
        <f t="shared" si="6"/>
        <v>-3.3333333333333326</v>
      </c>
      <c r="Q157" s="15">
        <f t="shared" si="6"/>
        <v>-3.3645044235175448</v>
      </c>
      <c r="R157" s="15">
        <f t="shared" si="5"/>
        <v>-1.4941140959855104</v>
      </c>
      <c r="S157" s="15">
        <f t="shared" si="4"/>
        <v>-2.3684605006745629</v>
      </c>
    </row>
    <row r="158" spans="1:19" ht="12.75">
      <c r="A158" s="6">
        <v>20190815</v>
      </c>
      <c r="B158" s="5">
        <v>0.16</v>
      </c>
      <c r="C158" s="5">
        <v>-0.68</v>
      </c>
      <c r="D158" s="5">
        <v>-0.55000000000000004</v>
      </c>
      <c r="E158" s="5">
        <v>-7.0000000000000007E-2</v>
      </c>
      <c r="F158" s="5">
        <v>-0.47</v>
      </c>
      <c r="G158" s="7">
        <v>7.0000000000000001E-3</v>
      </c>
      <c r="H158" s="8"/>
      <c r="I158" s="14">
        <v>50.44</v>
      </c>
      <c r="J158" s="15">
        <v>133.68</v>
      </c>
      <c r="K158" s="15">
        <v>1776.12</v>
      </c>
      <c r="L158" s="15">
        <v>198.31</v>
      </c>
      <c r="M158" s="15">
        <v>130.54</v>
      </c>
      <c r="O158" s="15">
        <f t="shared" si="6"/>
        <v>-0.49319392385085425</v>
      </c>
      <c r="P158" s="15">
        <f t="shared" si="6"/>
        <v>-0.22391401701745695</v>
      </c>
      <c r="Q158" s="15">
        <f t="shared" si="6"/>
        <v>0.74647184280980383</v>
      </c>
      <c r="R158" s="15">
        <f t="shared" si="5"/>
        <v>1.2767478678310518</v>
      </c>
      <c r="S158" s="15">
        <f t="shared" si="4"/>
        <v>0.21495470597268085</v>
      </c>
    </row>
    <row r="159" spans="1:19" ht="12.75">
      <c r="A159" s="6">
        <v>20190816</v>
      </c>
      <c r="B159" s="5">
        <v>1.55</v>
      </c>
      <c r="C159" s="5">
        <v>0.64</v>
      </c>
      <c r="D159" s="5">
        <v>0.63</v>
      </c>
      <c r="E159" s="5">
        <v>0.14000000000000001</v>
      </c>
      <c r="F159" s="5">
        <v>-0.05</v>
      </c>
      <c r="G159" s="7">
        <v>7.0000000000000001E-3</v>
      </c>
      <c r="H159" s="8"/>
      <c r="I159" s="14">
        <v>51.63</v>
      </c>
      <c r="J159" s="15">
        <v>136.13</v>
      </c>
      <c r="K159" s="15">
        <v>1792.57</v>
      </c>
      <c r="L159" s="15">
        <v>199.72</v>
      </c>
      <c r="M159" s="15">
        <v>131.36000000000001</v>
      </c>
      <c r="O159" s="15">
        <f t="shared" si="6"/>
        <v>2.3592386994448988</v>
      </c>
      <c r="P159" s="15">
        <f t="shared" si="6"/>
        <v>1.8327348892878348</v>
      </c>
      <c r="Q159" s="15">
        <f t="shared" si="6"/>
        <v>0.92617615926851027</v>
      </c>
      <c r="R159" s="15">
        <f t="shared" si="5"/>
        <v>0.71100801774999223</v>
      </c>
      <c r="S159" s="15">
        <f t="shared" si="4"/>
        <v>0.62815995097289523</v>
      </c>
    </row>
    <row r="160" spans="1:19" ht="12.75">
      <c r="A160" s="6">
        <v>20190819</v>
      </c>
      <c r="B160" s="5">
        <v>1.1399999999999999</v>
      </c>
      <c r="C160" s="5">
        <v>0.03</v>
      </c>
      <c r="D160" s="5">
        <v>0.24</v>
      </c>
      <c r="E160" s="5">
        <v>0.37</v>
      </c>
      <c r="F160" s="5">
        <v>-0.01</v>
      </c>
      <c r="G160" s="7">
        <v>7.0000000000000001E-3</v>
      </c>
      <c r="H160" s="8"/>
      <c r="I160" s="14">
        <v>52.59</v>
      </c>
      <c r="J160" s="15">
        <v>138.41</v>
      </c>
      <c r="K160" s="15">
        <v>1816.12</v>
      </c>
      <c r="L160" s="15">
        <v>200.94</v>
      </c>
      <c r="M160" s="15">
        <v>132.25</v>
      </c>
      <c r="O160" s="15">
        <f t="shared" si="6"/>
        <v>1.8593840790238181</v>
      </c>
      <c r="P160" s="15">
        <f t="shared" si="6"/>
        <v>1.674869609931684</v>
      </c>
      <c r="Q160" s="15">
        <f t="shared" si="6"/>
        <v>1.3137562270929326</v>
      </c>
      <c r="R160" s="15">
        <f t="shared" si="5"/>
        <v>0.61085519727619442</v>
      </c>
      <c r="S160" s="15">
        <f t="shared" si="4"/>
        <v>0.67752740560291791</v>
      </c>
    </row>
    <row r="161" spans="1:19" ht="12.75">
      <c r="A161" s="6">
        <v>20190820</v>
      </c>
      <c r="B161" s="5">
        <v>-0.75</v>
      </c>
      <c r="C161" s="5">
        <v>0.19</v>
      </c>
      <c r="D161" s="5">
        <v>-0.52</v>
      </c>
      <c r="E161" s="5">
        <v>0.12</v>
      </c>
      <c r="F161" s="5">
        <v>-0.18</v>
      </c>
      <c r="G161" s="7">
        <v>7.0000000000000001E-3</v>
      </c>
      <c r="H161" s="8"/>
      <c r="I161" s="14">
        <v>52.59</v>
      </c>
      <c r="J161" s="15">
        <v>137.26</v>
      </c>
      <c r="K161" s="15">
        <v>1801.38</v>
      </c>
      <c r="L161" s="15">
        <v>198.15</v>
      </c>
      <c r="M161" s="15">
        <v>130.6</v>
      </c>
      <c r="O161" s="15">
        <f t="shared" si="6"/>
        <v>0</v>
      </c>
      <c r="P161" s="15">
        <f t="shared" si="6"/>
        <v>-0.83086482190594113</v>
      </c>
      <c r="Q161" s="15">
        <f t="shared" si="6"/>
        <v>-0.81162037750808214</v>
      </c>
      <c r="R161" s="15">
        <f t="shared" si="5"/>
        <v>-1.3884741713944382</v>
      </c>
      <c r="S161" s="15">
        <f t="shared" si="4"/>
        <v>-1.2476370510397072</v>
      </c>
    </row>
    <row r="162" spans="1:19" ht="12.75">
      <c r="A162" s="6">
        <v>20190821</v>
      </c>
      <c r="B162" s="5">
        <v>0.85</v>
      </c>
      <c r="C162" s="5">
        <v>-0.03</v>
      </c>
      <c r="D162" s="5">
        <v>-0.3</v>
      </c>
      <c r="E162" s="5">
        <v>-0.03</v>
      </c>
      <c r="F162" s="5">
        <v>-0.01</v>
      </c>
      <c r="G162" s="7">
        <v>7.0000000000000001E-3</v>
      </c>
      <c r="H162" s="8"/>
      <c r="I162" s="14">
        <v>53.16</v>
      </c>
      <c r="J162" s="15">
        <v>138.79</v>
      </c>
      <c r="K162" s="15">
        <v>1823.54</v>
      </c>
      <c r="L162" s="15">
        <v>199.24</v>
      </c>
      <c r="M162" s="15">
        <v>131.53</v>
      </c>
      <c r="O162" s="15">
        <f t="shared" si="6"/>
        <v>1.0838562464346779</v>
      </c>
      <c r="P162" s="15">
        <f t="shared" si="6"/>
        <v>1.1146728835786046</v>
      </c>
      <c r="Q162" s="15">
        <f t="shared" si="6"/>
        <v>1.2301679823246481</v>
      </c>
      <c r="R162" s="15">
        <f t="shared" si="5"/>
        <v>0.55008831693161842</v>
      </c>
      <c r="S162" s="15">
        <f t="shared" si="4"/>
        <v>0.71209800918836663</v>
      </c>
    </row>
    <row r="163" spans="1:19" ht="12.75">
      <c r="A163" s="6">
        <v>20190822</v>
      </c>
      <c r="B163" s="5">
        <v>-0.1</v>
      </c>
      <c r="C163" s="5">
        <v>-0.35</v>
      </c>
      <c r="D163" s="5">
        <v>0.48</v>
      </c>
      <c r="E163" s="5">
        <v>0.22</v>
      </c>
      <c r="F163" s="5">
        <v>0.27</v>
      </c>
      <c r="G163" s="7">
        <v>7.0000000000000001E-3</v>
      </c>
      <c r="H163" s="8"/>
      <c r="I163" s="14">
        <v>53.12</v>
      </c>
      <c r="J163" s="15">
        <v>137.78</v>
      </c>
      <c r="K163" s="15">
        <v>1805.6</v>
      </c>
      <c r="L163" s="15">
        <v>201.01</v>
      </c>
      <c r="M163" s="15">
        <v>131.27000000000001</v>
      </c>
      <c r="O163" s="15">
        <f t="shared" si="6"/>
        <v>-7.5244544770503019E-2</v>
      </c>
      <c r="P163" s="15">
        <f t="shared" si="6"/>
        <v>-0.72771813531233853</v>
      </c>
      <c r="Q163" s="15">
        <f t="shared" si="6"/>
        <v>-0.98380073922151867</v>
      </c>
      <c r="R163" s="15">
        <f t="shared" si="5"/>
        <v>0.88837582814695892</v>
      </c>
      <c r="S163" s="15">
        <f t="shared" si="4"/>
        <v>-0.19767353455484304</v>
      </c>
    </row>
    <row r="164" spans="1:19" ht="12.75">
      <c r="A164" s="6">
        <v>20190823</v>
      </c>
      <c r="B164" s="5">
        <v>-2.66</v>
      </c>
      <c r="C164" s="5">
        <v>-0.6</v>
      </c>
      <c r="D164" s="5">
        <v>-0.18</v>
      </c>
      <c r="E164" s="5">
        <v>-0.63</v>
      </c>
      <c r="F164" s="5">
        <v>-0.24</v>
      </c>
      <c r="G164" s="7">
        <v>7.0000000000000001E-3</v>
      </c>
      <c r="H164" s="8"/>
      <c r="I164" s="14">
        <v>50.66</v>
      </c>
      <c r="J164" s="15">
        <v>133.38999999999999</v>
      </c>
      <c r="K164" s="15">
        <v>1749.62</v>
      </c>
      <c r="L164" s="15">
        <v>197.16</v>
      </c>
      <c r="M164" s="15">
        <v>127.73</v>
      </c>
      <c r="O164" s="15">
        <f t="shared" si="6"/>
        <v>-4.6310240963855387</v>
      </c>
      <c r="P164" s="15">
        <f t="shared" si="6"/>
        <v>-3.1862389316301476</v>
      </c>
      <c r="Q164" s="15">
        <f t="shared" si="6"/>
        <v>-3.1003544528134697</v>
      </c>
      <c r="R164" s="15">
        <f t="shared" si="5"/>
        <v>-1.9153275956420024</v>
      </c>
      <c r="S164" s="15">
        <f t="shared" si="4"/>
        <v>-2.6967319265635781</v>
      </c>
    </row>
    <row r="165" spans="1:19" ht="12.75">
      <c r="A165" s="6">
        <v>20190826</v>
      </c>
      <c r="B165" s="5">
        <v>1.08</v>
      </c>
      <c r="C165" s="5">
        <v>-0.04</v>
      </c>
      <c r="D165" s="5">
        <v>-0.18</v>
      </c>
      <c r="E165" s="5">
        <v>0.19</v>
      </c>
      <c r="F165" s="5">
        <v>-0.15</v>
      </c>
      <c r="G165" s="7">
        <v>7.0000000000000001E-3</v>
      </c>
      <c r="H165" s="8"/>
      <c r="I165" s="14">
        <v>51.62</v>
      </c>
      <c r="J165" s="15">
        <v>135.44999999999999</v>
      </c>
      <c r="K165" s="15">
        <v>1768.87</v>
      </c>
      <c r="L165" s="15">
        <v>200.2</v>
      </c>
      <c r="M165" s="15">
        <v>127.8</v>
      </c>
      <c r="O165" s="15">
        <f t="shared" si="6"/>
        <v>1.8949861823924108</v>
      </c>
      <c r="P165" s="15">
        <f t="shared" si="6"/>
        <v>1.5443436539470667</v>
      </c>
      <c r="Q165" s="15">
        <f t="shared" si="6"/>
        <v>1.1002389090202458</v>
      </c>
      <c r="R165" s="15">
        <f t="shared" si="5"/>
        <v>1.5418949076891897</v>
      </c>
      <c r="S165" s="15">
        <f t="shared" si="4"/>
        <v>5.4803100289668727E-2</v>
      </c>
    </row>
    <row r="166" spans="1:19" ht="12.75">
      <c r="A166" s="6">
        <v>20190827</v>
      </c>
      <c r="B166" s="5">
        <v>-0.46</v>
      </c>
      <c r="C166" s="5">
        <v>-1</v>
      </c>
      <c r="D166" s="5">
        <v>-0.67</v>
      </c>
      <c r="E166" s="5">
        <v>0.26</v>
      </c>
      <c r="F166" s="5">
        <v>7.0000000000000007E-2</v>
      </c>
      <c r="G166" s="7">
        <v>7.0000000000000001E-3</v>
      </c>
      <c r="H166" s="8"/>
      <c r="I166" s="14">
        <v>51.04</v>
      </c>
      <c r="J166" s="15">
        <v>135.74</v>
      </c>
      <c r="K166" s="15">
        <v>1761.83</v>
      </c>
      <c r="L166" s="15">
        <v>198.35</v>
      </c>
      <c r="M166" s="15">
        <v>129.63999999999999</v>
      </c>
      <c r="O166" s="15">
        <f t="shared" si="6"/>
        <v>-1.1235955056179692</v>
      </c>
      <c r="P166" s="15">
        <f t="shared" si="6"/>
        <v>0.21410114433371152</v>
      </c>
      <c r="Q166" s="15">
        <f t="shared" si="6"/>
        <v>-0.39799419968680194</v>
      </c>
      <c r="R166" s="15">
        <f t="shared" si="5"/>
        <v>-0.92407592407591777</v>
      </c>
      <c r="S166" s="15">
        <f t="shared" si="4"/>
        <v>1.4397496087636741</v>
      </c>
    </row>
    <row r="167" spans="1:19" ht="12.75">
      <c r="A167" s="6">
        <v>20190828</v>
      </c>
      <c r="B167" s="5">
        <v>0.68</v>
      </c>
      <c r="C167" s="5">
        <v>0.62</v>
      </c>
      <c r="D167" s="5">
        <v>0.63</v>
      </c>
      <c r="E167" s="5">
        <v>0.35</v>
      </c>
      <c r="F167" s="5">
        <v>0.21</v>
      </c>
      <c r="G167" s="7">
        <v>7.0000000000000001E-3</v>
      </c>
      <c r="H167" s="8"/>
      <c r="I167" s="14">
        <v>51.38</v>
      </c>
      <c r="J167" s="15">
        <v>135.56</v>
      </c>
      <c r="K167" s="15">
        <v>1764.25</v>
      </c>
      <c r="L167" s="15">
        <v>200.45</v>
      </c>
      <c r="M167" s="15">
        <v>128.68</v>
      </c>
      <c r="O167" s="15">
        <f t="shared" si="6"/>
        <v>0.66614420062696134</v>
      </c>
      <c r="P167" s="15">
        <f t="shared" si="6"/>
        <v>-0.13260645351407252</v>
      </c>
      <c r="Q167" s="15">
        <f t="shared" si="6"/>
        <v>0.13735717975060791</v>
      </c>
      <c r="R167" s="15">
        <f t="shared" si="5"/>
        <v>1.0587345601209996</v>
      </c>
      <c r="S167" s="15">
        <f t="shared" si="4"/>
        <v>-0.74051218759640935</v>
      </c>
    </row>
    <row r="168" spans="1:19" ht="12.75">
      <c r="A168" s="6">
        <v>20190829</v>
      </c>
      <c r="B168" s="5">
        <v>1.35</v>
      </c>
      <c r="C168" s="5">
        <v>0.4</v>
      </c>
      <c r="D168" s="5">
        <v>0.34</v>
      </c>
      <c r="E168" s="5">
        <v>0.17</v>
      </c>
      <c r="F168" s="5">
        <v>-0.18</v>
      </c>
      <c r="G168" s="7">
        <v>7.0000000000000001E-3</v>
      </c>
      <c r="H168" s="8"/>
      <c r="I168" s="14">
        <v>52.25</v>
      </c>
      <c r="J168" s="15">
        <v>138.12</v>
      </c>
      <c r="K168" s="15">
        <v>1786.4</v>
      </c>
      <c r="L168" s="15">
        <v>203.2</v>
      </c>
      <c r="M168" s="15">
        <v>128.24</v>
      </c>
      <c r="O168" s="15">
        <f t="shared" si="6"/>
        <v>1.6932658622031971</v>
      </c>
      <c r="P168" s="15">
        <f t="shared" si="6"/>
        <v>1.8884626733549625</v>
      </c>
      <c r="Q168" s="15">
        <f t="shared" si="6"/>
        <v>1.2554910018421461</v>
      </c>
      <c r="R168" s="15">
        <f t="shared" si="5"/>
        <v>1.371913195310559</v>
      </c>
      <c r="S168" s="15">
        <f t="shared" si="4"/>
        <v>-0.34193347839601707</v>
      </c>
    </row>
    <row r="169" spans="1:19" ht="12.75">
      <c r="A169" s="6">
        <v>20190830</v>
      </c>
      <c r="B169" s="5">
        <v>0.03</v>
      </c>
      <c r="C169" s="5">
        <v>-0.25</v>
      </c>
      <c r="D169" s="5">
        <v>0.22</v>
      </c>
      <c r="E169" s="5">
        <v>0.1</v>
      </c>
      <c r="F169" s="5">
        <v>0.13</v>
      </c>
      <c r="G169" s="7">
        <v>7.0000000000000001E-3</v>
      </c>
      <c r="H169" s="8"/>
      <c r="I169" s="14">
        <v>52.19</v>
      </c>
      <c r="J169" s="15">
        <v>137.86000000000001</v>
      </c>
      <c r="K169" s="15">
        <v>1776.29</v>
      </c>
      <c r="L169" s="15">
        <v>203.41</v>
      </c>
      <c r="M169" s="15">
        <v>128.36000000000001</v>
      </c>
      <c r="O169" s="15">
        <f t="shared" si="6"/>
        <v>-0.11483253588516762</v>
      </c>
      <c r="P169" s="15">
        <f t="shared" si="6"/>
        <v>-0.18824210831160926</v>
      </c>
      <c r="Q169" s="15">
        <f t="shared" si="6"/>
        <v>-0.56594267801165499</v>
      </c>
      <c r="R169" s="15">
        <f t="shared" si="5"/>
        <v>0.10334645669292097</v>
      </c>
      <c r="S169" s="15">
        <f t="shared" si="4"/>
        <v>9.3574547723029866E-2</v>
      </c>
    </row>
    <row r="170" spans="1:19" ht="12.75">
      <c r="A170" s="6">
        <v>20190903</v>
      </c>
      <c r="B170" s="5">
        <v>-0.87</v>
      </c>
      <c r="C170" s="5">
        <v>-0.93</v>
      </c>
      <c r="D170" s="5">
        <v>0.09</v>
      </c>
      <c r="E170" s="5">
        <v>-0.2</v>
      </c>
      <c r="F170" s="5">
        <v>0.45</v>
      </c>
      <c r="G170" s="7">
        <v>8.9999999999999993E-3</v>
      </c>
      <c r="H170" s="8"/>
      <c r="I170" s="14">
        <v>51.43</v>
      </c>
      <c r="J170" s="15">
        <v>136.04</v>
      </c>
      <c r="K170" s="15">
        <v>1789.84</v>
      </c>
      <c r="L170" s="15">
        <v>200.9</v>
      </c>
      <c r="M170" s="15">
        <v>128.74</v>
      </c>
      <c r="O170" s="15">
        <f t="shared" si="6"/>
        <v>-1.4562176662195836</v>
      </c>
      <c r="P170" s="15">
        <f t="shared" si="6"/>
        <v>-1.3201798926447239</v>
      </c>
      <c r="Q170" s="15">
        <f t="shared" si="6"/>
        <v>0.76282588991662958</v>
      </c>
      <c r="R170" s="15">
        <f t="shared" si="5"/>
        <v>-1.2339609655375838</v>
      </c>
      <c r="S170" s="15">
        <f t="shared" si="4"/>
        <v>0.29604238080398471</v>
      </c>
    </row>
    <row r="171" spans="1:19" ht="12.75">
      <c r="A171" s="6">
        <v>20190904</v>
      </c>
      <c r="B171" s="5">
        <v>1.08</v>
      </c>
      <c r="C171" s="5">
        <v>-0.16</v>
      </c>
      <c r="D171" s="5">
        <v>0.5</v>
      </c>
      <c r="E171" s="5">
        <v>0.25</v>
      </c>
      <c r="F171" s="5">
        <v>-7.0000000000000007E-2</v>
      </c>
      <c r="G171" s="7">
        <v>8.9999999999999993E-3</v>
      </c>
      <c r="H171" s="8"/>
      <c r="I171" s="14">
        <v>52.3</v>
      </c>
      <c r="J171" s="15">
        <v>137.63</v>
      </c>
      <c r="K171" s="15">
        <v>1800.62</v>
      </c>
      <c r="L171" s="15">
        <v>202.19</v>
      </c>
      <c r="M171" s="15">
        <v>128.86000000000001</v>
      </c>
      <c r="O171" s="15">
        <f t="shared" si="6"/>
        <v>1.6916196772311931</v>
      </c>
      <c r="P171" s="15">
        <f t="shared" si="6"/>
        <v>1.1687738900323374</v>
      </c>
      <c r="Q171" s="15">
        <f t="shared" si="6"/>
        <v>0.60228847271264208</v>
      </c>
      <c r="R171" s="15">
        <f t="shared" si="5"/>
        <v>0.64211050273768056</v>
      </c>
      <c r="S171" s="15">
        <f t="shared" si="4"/>
        <v>9.3211123194048007E-2</v>
      </c>
    </row>
    <row r="172" spans="1:19" ht="12.75">
      <c r="A172" s="6">
        <v>20190905</v>
      </c>
      <c r="B172" s="5">
        <v>1.42</v>
      </c>
      <c r="C172" s="5">
        <v>0.55000000000000004</v>
      </c>
      <c r="D172" s="5">
        <v>0.72</v>
      </c>
      <c r="E172" s="5">
        <v>0.43</v>
      </c>
      <c r="F172" s="5">
        <v>0</v>
      </c>
      <c r="G172" s="7">
        <v>8.9999999999999993E-3</v>
      </c>
      <c r="H172" s="8"/>
      <c r="I172" s="14">
        <v>53.32</v>
      </c>
      <c r="J172" s="15">
        <v>140.05000000000001</v>
      </c>
      <c r="K172" s="15">
        <v>1840.72</v>
      </c>
      <c r="L172" s="15">
        <v>204.24</v>
      </c>
      <c r="M172" s="15">
        <v>128.58000000000001</v>
      </c>
      <c r="O172" s="15">
        <f t="shared" si="6"/>
        <v>1.9502868068833612</v>
      </c>
      <c r="P172" s="15">
        <f t="shared" si="6"/>
        <v>1.7583375717503458</v>
      </c>
      <c r="Q172" s="15">
        <f t="shared" si="6"/>
        <v>2.2270106963157232</v>
      </c>
      <c r="R172" s="15">
        <f t="shared" si="5"/>
        <v>1.0138978188832359</v>
      </c>
      <c r="S172" s="15">
        <f t="shared" si="4"/>
        <v>-0.21729008225981339</v>
      </c>
    </row>
    <row r="173" spans="1:19" ht="12.75">
      <c r="A173" s="6">
        <v>20190906</v>
      </c>
      <c r="B173" s="5">
        <v>-0.02</v>
      </c>
      <c r="C173" s="5">
        <v>-0.36</v>
      </c>
      <c r="D173" s="5">
        <v>0.04</v>
      </c>
      <c r="E173" s="5">
        <v>0.16</v>
      </c>
      <c r="F173" s="5">
        <v>0.42</v>
      </c>
      <c r="G173" s="7">
        <v>8.9999999999999993E-3</v>
      </c>
      <c r="H173" s="8"/>
      <c r="I173" s="14">
        <v>53.32</v>
      </c>
      <c r="J173" s="15">
        <v>139.1</v>
      </c>
      <c r="K173" s="15">
        <v>1833.51</v>
      </c>
      <c r="L173" s="15">
        <v>204.73</v>
      </c>
      <c r="M173" s="15">
        <v>128.21</v>
      </c>
      <c r="O173" s="15">
        <f t="shared" si="6"/>
        <v>0</v>
      </c>
      <c r="P173" s="15">
        <f t="shared" si="6"/>
        <v>-0.67832916815424582</v>
      </c>
      <c r="Q173" s="15">
        <f t="shared" si="6"/>
        <v>-0.39169455430484446</v>
      </c>
      <c r="R173" s="15">
        <f t="shared" si="5"/>
        <v>0.23991382687034157</v>
      </c>
      <c r="S173" s="15">
        <f t="shared" si="4"/>
        <v>-0.28775859387152325</v>
      </c>
    </row>
    <row r="174" spans="1:19" ht="12.75">
      <c r="A174" s="6">
        <v>20190909</v>
      </c>
      <c r="B174" s="5">
        <v>0.08</v>
      </c>
      <c r="C174" s="5">
        <v>1.35</v>
      </c>
      <c r="D174" s="5">
        <v>3.1</v>
      </c>
      <c r="E174" s="5">
        <v>0.87</v>
      </c>
      <c r="F174" s="5">
        <v>0.43</v>
      </c>
      <c r="G174" s="7">
        <v>8.9999999999999993E-3</v>
      </c>
      <c r="H174" s="8"/>
      <c r="I174" s="14">
        <v>53.54</v>
      </c>
      <c r="J174" s="15">
        <v>137.52000000000001</v>
      </c>
      <c r="K174" s="15">
        <v>1831.35</v>
      </c>
      <c r="L174" s="15">
        <v>206.62</v>
      </c>
      <c r="M174" s="15">
        <v>126.95</v>
      </c>
      <c r="O174" s="15">
        <f t="shared" si="6"/>
        <v>0.41260315078770482</v>
      </c>
      <c r="P174" s="15">
        <f t="shared" si="6"/>
        <v>-1.1358734723220576</v>
      </c>
      <c r="Q174" s="15">
        <f t="shared" si="6"/>
        <v>-0.11780682952370336</v>
      </c>
      <c r="R174" s="15">
        <f t="shared" si="5"/>
        <v>0.92316709812925168</v>
      </c>
      <c r="S174" s="15">
        <f t="shared" si="4"/>
        <v>-0.98276265501910931</v>
      </c>
    </row>
    <row r="175" spans="1:19" ht="12.75">
      <c r="A175" s="6">
        <v>20190910</v>
      </c>
      <c r="B175" s="5">
        <v>0.17</v>
      </c>
      <c r="C175" s="5">
        <v>1.41</v>
      </c>
      <c r="D175" s="5">
        <v>1.1499999999999999</v>
      </c>
      <c r="E175" s="5">
        <v>-0.03</v>
      </c>
      <c r="F175" s="5">
        <v>0.59</v>
      </c>
      <c r="G175" s="7">
        <v>8.9999999999999993E-3</v>
      </c>
      <c r="H175" s="8"/>
      <c r="I175" s="14">
        <v>54.18</v>
      </c>
      <c r="J175" s="15">
        <v>136.08000000000001</v>
      </c>
      <c r="K175" s="15">
        <v>1820.55</v>
      </c>
      <c r="L175" s="15">
        <v>208.31</v>
      </c>
      <c r="M175" s="15">
        <v>129.55000000000001</v>
      </c>
      <c r="O175" s="15">
        <f t="shared" si="6"/>
        <v>1.1953679491968572</v>
      </c>
      <c r="P175" s="15">
        <f t="shared" si="6"/>
        <v>-1.0471204188481686</v>
      </c>
      <c r="Q175" s="15">
        <f t="shared" si="6"/>
        <v>-0.58972888852485417</v>
      </c>
      <c r="R175" s="15">
        <f t="shared" si="5"/>
        <v>0.81792662859354603</v>
      </c>
      <c r="S175" s="15">
        <f t="shared" si="4"/>
        <v>2.0480504135486521</v>
      </c>
    </row>
    <row r="176" spans="1:19" ht="12.75">
      <c r="A176" s="6">
        <v>20190911</v>
      </c>
      <c r="B176" s="5">
        <v>0.88</v>
      </c>
      <c r="C176" s="5">
        <v>1.37</v>
      </c>
      <c r="D176" s="5">
        <v>-0.05</v>
      </c>
      <c r="E176" s="5">
        <v>-0.23</v>
      </c>
      <c r="F176" s="5">
        <v>0.33</v>
      </c>
      <c r="G176" s="7">
        <v>8.9999999999999993E-3</v>
      </c>
      <c r="H176" s="8"/>
      <c r="I176" s="14">
        <v>55.9</v>
      </c>
      <c r="J176" s="15">
        <v>136.12</v>
      </c>
      <c r="K176" s="15">
        <v>1822.99</v>
      </c>
      <c r="L176" s="15">
        <v>210.91</v>
      </c>
      <c r="M176" s="15">
        <v>131.16999999999999</v>
      </c>
      <c r="O176" s="15">
        <f t="shared" si="6"/>
        <v>3.1746031746031633</v>
      </c>
      <c r="P176" s="15">
        <f t="shared" si="6"/>
        <v>2.9394473838917357E-2</v>
      </c>
      <c r="Q176" s="15">
        <f t="shared" si="6"/>
        <v>0.1340254318749956</v>
      </c>
      <c r="R176" s="15">
        <f t="shared" si="5"/>
        <v>1.248139791656655</v>
      </c>
      <c r="S176" s="15">
        <f t="shared" si="4"/>
        <v>1.2504824392126412</v>
      </c>
    </row>
    <row r="177" spans="1:19" ht="12.75">
      <c r="A177" s="6">
        <v>20190912</v>
      </c>
      <c r="B177" s="5">
        <v>0.22</v>
      </c>
      <c r="C177" s="5">
        <v>-0.39</v>
      </c>
      <c r="D177" s="5">
        <v>-0.14000000000000001</v>
      </c>
      <c r="E177" s="5">
        <v>-0.22</v>
      </c>
      <c r="F177" s="5">
        <v>-0.18</v>
      </c>
      <c r="G177" s="7">
        <v>8.9999999999999993E-3</v>
      </c>
      <c r="H177" s="8"/>
      <c r="I177" s="14">
        <v>55.77</v>
      </c>
      <c r="J177" s="15">
        <v>137.52000000000001</v>
      </c>
      <c r="K177" s="15">
        <v>1843.55</v>
      </c>
      <c r="L177" s="15">
        <v>211.37</v>
      </c>
      <c r="M177" s="15">
        <v>130.43</v>
      </c>
      <c r="O177" s="15">
        <f t="shared" si="6"/>
        <v>-0.23255813953487747</v>
      </c>
      <c r="P177" s="15">
        <f t="shared" si="6"/>
        <v>1.028504260946228</v>
      </c>
      <c r="Q177" s="15">
        <f t="shared" si="6"/>
        <v>1.1278174866565349</v>
      </c>
      <c r="R177" s="15">
        <f t="shared" si="5"/>
        <v>0.21810250817884125</v>
      </c>
      <c r="S177" s="15">
        <f t="shared" si="4"/>
        <v>-0.56415338873216925</v>
      </c>
    </row>
    <row r="178" spans="1:19" ht="12.75">
      <c r="A178" s="6">
        <v>20190913</v>
      </c>
      <c r="B178" s="5">
        <v>-0.01</v>
      </c>
      <c r="C178" s="5">
        <v>0.18</v>
      </c>
      <c r="D178" s="5">
        <v>0.74</v>
      </c>
      <c r="E178" s="5">
        <v>-0.02</v>
      </c>
      <c r="F178" s="5">
        <v>-0.11</v>
      </c>
      <c r="G178" s="7">
        <v>8.9999999999999993E-3</v>
      </c>
      <c r="H178" s="8"/>
      <c r="I178" s="14">
        <v>54.69</v>
      </c>
      <c r="J178" s="15">
        <v>137.32</v>
      </c>
      <c r="K178" s="15">
        <v>1839.34</v>
      </c>
      <c r="L178" s="15">
        <v>213.61</v>
      </c>
      <c r="M178" s="15">
        <v>130.78</v>
      </c>
      <c r="O178" s="15">
        <f t="shared" si="6"/>
        <v>-1.9365250134480982</v>
      </c>
      <c r="P178" s="15">
        <f t="shared" si="6"/>
        <v>-0.14543339150669965</v>
      </c>
      <c r="Q178" s="15">
        <f t="shared" si="6"/>
        <v>-0.22836375471237957</v>
      </c>
      <c r="R178" s="15">
        <f t="shared" si="5"/>
        <v>1.059753039693434</v>
      </c>
      <c r="S178" s="15">
        <f t="shared" si="4"/>
        <v>0.26834317258299656</v>
      </c>
    </row>
    <row r="179" spans="1:19" ht="12.75">
      <c r="A179" s="6">
        <v>20190916</v>
      </c>
      <c r="B179" s="5">
        <v>-0.23</v>
      </c>
      <c r="C179" s="5">
        <v>0.88</v>
      </c>
      <c r="D179" s="5">
        <v>0.54</v>
      </c>
      <c r="E179" s="5">
        <v>-0.32</v>
      </c>
      <c r="F179" s="5">
        <v>0.05</v>
      </c>
      <c r="G179" s="7">
        <v>8.9999999999999993E-3</v>
      </c>
      <c r="H179" s="8"/>
      <c r="I179" s="14">
        <v>54.98</v>
      </c>
      <c r="J179" s="15">
        <v>136.33000000000001</v>
      </c>
      <c r="K179" s="15">
        <v>1807.84</v>
      </c>
      <c r="L179" s="15">
        <v>210.33</v>
      </c>
      <c r="M179" s="15">
        <v>129.54</v>
      </c>
      <c r="O179" s="15">
        <f t="shared" si="6"/>
        <v>0.53026147376120658</v>
      </c>
      <c r="P179" s="15">
        <f t="shared" si="6"/>
        <v>-0.72094378094959</v>
      </c>
      <c r="Q179" s="15">
        <f t="shared" si="6"/>
        <v>-1.7125708134439477</v>
      </c>
      <c r="R179" s="15">
        <f t="shared" si="5"/>
        <v>-1.5355086372360827</v>
      </c>
      <c r="S179" s="15">
        <f t="shared" si="4"/>
        <v>-0.94815721058266744</v>
      </c>
    </row>
    <row r="180" spans="1:19" ht="12.75">
      <c r="A180" s="6">
        <v>20190917</v>
      </c>
      <c r="B180" s="5">
        <v>0.17</v>
      </c>
      <c r="C180" s="5">
        <v>-0.79</v>
      </c>
      <c r="D180" s="5">
        <v>-1.21</v>
      </c>
      <c r="E180" s="5">
        <v>-0.19</v>
      </c>
      <c r="F180" s="5">
        <v>-0.35</v>
      </c>
      <c r="G180" s="7">
        <v>8.9999999999999993E-3</v>
      </c>
      <c r="H180" s="8"/>
      <c r="I180" s="14">
        <v>55.18</v>
      </c>
      <c r="J180" s="15">
        <v>137.38999999999999</v>
      </c>
      <c r="K180" s="15">
        <v>1822.55</v>
      </c>
      <c r="L180" s="15">
        <v>210.15</v>
      </c>
      <c r="M180" s="15">
        <v>129.66999999999999</v>
      </c>
      <c r="O180" s="15">
        <f t="shared" si="6"/>
        <v>0.36376864314295876</v>
      </c>
      <c r="P180" s="15">
        <f t="shared" si="6"/>
        <v>0.77752512286362041</v>
      </c>
      <c r="Q180" s="15">
        <f t="shared" si="6"/>
        <v>0.81367820161075688</v>
      </c>
      <c r="R180" s="15">
        <f t="shared" si="5"/>
        <v>-8.5579803166457857E-2</v>
      </c>
      <c r="S180" s="15">
        <f t="shared" si="4"/>
        <v>0.10035510267099035</v>
      </c>
    </row>
    <row r="181" spans="1:19" ht="12.75">
      <c r="A181" s="6">
        <v>20190918</v>
      </c>
      <c r="B181" s="5">
        <v>-0.05</v>
      </c>
      <c r="C181" s="5">
        <v>-0.78</v>
      </c>
      <c r="D181" s="5">
        <v>0.06</v>
      </c>
      <c r="E181" s="5">
        <v>-0.12</v>
      </c>
      <c r="F181" s="5">
        <v>0.04</v>
      </c>
      <c r="G181" s="7">
        <v>8.9999999999999993E-3</v>
      </c>
      <c r="H181" s="8"/>
      <c r="I181" s="14">
        <v>55.69</v>
      </c>
      <c r="J181" s="15">
        <v>138.52000000000001</v>
      </c>
      <c r="K181" s="15">
        <v>1817.46</v>
      </c>
      <c r="L181" s="15">
        <v>210.9</v>
      </c>
      <c r="M181" s="15">
        <v>130.41</v>
      </c>
      <c r="O181" s="15">
        <f t="shared" si="6"/>
        <v>0.92424791591156907</v>
      </c>
      <c r="P181" s="15">
        <f t="shared" si="6"/>
        <v>0.82247616274839785</v>
      </c>
      <c r="Q181" s="15">
        <f t="shared" si="6"/>
        <v>-0.27927903212531247</v>
      </c>
      <c r="R181" s="15">
        <f t="shared" si="5"/>
        <v>0.35688793718773315</v>
      </c>
      <c r="S181" s="15">
        <f t="shared" si="4"/>
        <v>0.57067941698156766</v>
      </c>
    </row>
    <row r="182" spans="1:19" ht="12.75">
      <c r="A182" s="6">
        <v>20190919</v>
      </c>
      <c r="B182" s="5">
        <v>-0.05</v>
      </c>
      <c r="C182" s="5">
        <v>-0.48</v>
      </c>
      <c r="D182" s="5">
        <v>-0.46</v>
      </c>
      <c r="E182" s="5">
        <v>0.04</v>
      </c>
      <c r="F182" s="5">
        <v>-0.21</v>
      </c>
      <c r="G182" s="7">
        <v>8.9999999999999993E-3</v>
      </c>
      <c r="H182" s="8"/>
      <c r="I182" s="14">
        <v>55.24</v>
      </c>
      <c r="J182" s="15">
        <v>141.07</v>
      </c>
      <c r="K182" s="15">
        <v>1821.5</v>
      </c>
      <c r="L182" s="15">
        <v>209.22</v>
      </c>
      <c r="M182" s="15">
        <v>130.11000000000001</v>
      </c>
      <c r="O182" s="15">
        <f t="shared" si="6"/>
        <v>-0.80804453223198847</v>
      </c>
      <c r="P182" s="15">
        <f t="shared" si="6"/>
        <v>1.840889402252377</v>
      </c>
      <c r="Q182" s="15">
        <f t="shared" si="6"/>
        <v>0.22228824843462114</v>
      </c>
      <c r="R182" s="15">
        <f t="shared" si="5"/>
        <v>-0.79658605974395336</v>
      </c>
      <c r="S182" s="15">
        <f t="shared" si="4"/>
        <v>-0.23004370830456145</v>
      </c>
    </row>
    <row r="183" spans="1:19" ht="12.75">
      <c r="A183" s="6">
        <v>20190920</v>
      </c>
      <c r="B183" s="5">
        <v>-0.48</v>
      </c>
      <c r="C183" s="5">
        <v>0.3</v>
      </c>
      <c r="D183" s="5">
        <v>0.14000000000000001</v>
      </c>
      <c r="E183" s="5">
        <v>-0.59</v>
      </c>
      <c r="F183" s="5">
        <v>0.08</v>
      </c>
      <c r="G183" s="7">
        <v>8.9999999999999993E-3</v>
      </c>
      <c r="H183" s="8"/>
      <c r="I183" s="14">
        <v>54.43</v>
      </c>
      <c r="J183" s="15">
        <v>139.44</v>
      </c>
      <c r="K183" s="15">
        <v>1794.16</v>
      </c>
      <c r="L183" s="15">
        <v>208.12</v>
      </c>
      <c r="M183" s="15">
        <v>131.65</v>
      </c>
      <c r="O183" s="15">
        <f t="shared" si="6"/>
        <v>-1.4663287472845843</v>
      </c>
      <c r="P183" s="15">
        <f t="shared" si="6"/>
        <v>-1.1554547387821579</v>
      </c>
      <c r="Q183" s="15">
        <f t="shared" si="6"/>
        <v>-1.5009607466373809</v>
      </c>
      <c r="R183" s="15">
        <f t="shared" si="5"/>
        <v>-0.52576235541534899</v>
      </c>
      <c r="S183" s="15">
        <f t="shared" si="4"/>
        <v>1.1836138651909911</v>
      </c>
    </row>
    <row r="184" spans="1:19" ht="12.75">
      <c r="A184" s="6">
        <v>20190923</v>
      </c>
      <c r="B184" s="5">
        <v>-0.02</v>
      </c>
      <c r="C184" s="5">
        <v>-0.11</v>
      </c>
      <c r="D184" s="5">
        <v>0.52</v>
      </c>
      <c r="E184" s="5">
        <v>0.27</v>
      </c>
      <c r="F184" s="5">
        <v>0.27</v>
      </c>
      <c r="G184" s="7">
        <v>8.9999999999999993E-3</v>
      </c>
      <c r="H184" s="8"/>
      <c r="I184" s="14">
        <v>54.68</v>
      </c>
      <c r="J184" s="15">
        <v>139.13999999999999</v>
      </c>
      <c r="K184" s="15">
        <v>1785.3</v>
      </c>
      <c r="L184" s="15">
        <v>207.96</v>
      </c>
      <c r="M184" s="15">
        <v>131.74</v>
      </c>
      <c r="O184" s="15">
        <f t="shared" si="6"/>
        <v>0.45930553003858954</v>
      </c>
      <c r="P184" s="15">
        <f t="shared" si="6"/>
        <v>-0.21514629948365949</v>
      </c>
      <c r="Q184" s="15">
        <f t="shared" si="6"/>
        <v>-0.4938244080795573</v>
      </c>
      <c r="R184" s="15">
        <f t="shared" si="5"/>
        <v>-7.6878723813178507E-2</v>
      </c>
      <c r="S184" s="15">
        <f t="shared" si="4"/>
        <v>6.836308393467494E-2</v>
      </c>
    </row>
    <row r="185" spans="1:19" ht="12.75">
      <c r="A185" s="6">
        <v>20190924</v>
      </c>
      <c r="B185" s="5">
        <v>-1.01</v>
      </c>
      <c r="C185" s="5">
        <v>-0.75</v>
      </c>
      <c r="D185" s="5">
        <v>-0.01</v>
      </c>
      <c r="E185" s="5">
        <v>0.17</v>
      </c>
      <c r="F185" s="5">
        <v>0.45</v>
      </c>
      <c r="G185" s="7">
        <v>8.9999999999999993E-3</v>
      </c>
      <c r="H185" s="8"/>
      <c r="I185" s="14">
        <v>54.42</v>
      </c>
      <c r="J185" s="15">
        <v>137.38</v>
      </c>
      <c r="K185" s="15">
        <v>1741.61</v>
      </c>
      <c r="L185" s="15">
        <v>206.4</v>
      </c>
      <c r="M185" s="15">
        <v>131.55000000000001</v>
      </c>
      <c r="O185" s="15">
        <f t="shared" si="6"/>
        <v>-0.47549378200438808</v>
      </c>
      <c r="P185" s="15">
        <f t="shared" si="6"/>
        <v>-1.2649130372286876</v>
      </c>
      <c r="Q185" s="15">
        <f t="shared" si="6"/>
        <v>-2.4472077521985103</v>
      </c>
      <c r="R185" s="15">
        <f t="shared" si="5"/>
        <v>-0.75014425851125388</v>
      </c>
      <c r="S185" s="15">
        <f t="shared" si="4"/>
        <v>-0.1442234704721379</v>
      </c>
    </row>
    <row r="186" spans="1:19" ht="12.75">
      <c r="A186" s="6">
        <v>20190925</v>
      </c>
      <c r="B186" s="5">
        <v>0.69</v>
      </c>
      <c r="C186" s="5">
        <v>0.41</v>
      </c>
      <c r="D186" s="5">
        <v>0.52</v>
      </c>
      <c r="E186" s="5">
        <v>0.42</v>
      </c>
      <c r="F186" s="5">
        <v>0.01</v>
      </c>
      <c r="G186" s="7">
        <v>8.9999999999999993E-3</v>
      </c>
      <c r="H186" s="8"/>
      <c r="I186" s="14">
        <v>55.26</v>
      </c>
      <c r="J186" s="15">
        <v>139.36000000000001</v>
      </c>
      <c r="K186" s="15">
        <v>1768.33</v>
      </c>
      <c r="L186" s="15">
        <v>208.11</v>
      </c>
      <c r="M186" s="15">
        <v>130.99</v>
      </c>
      <c r="O186" s="15">
        <f t="shared" si="6"/>
        <v>1.5435501653803696</v>
      </c>
      <c r="P186" s="15">
        <f t="shared" si="6"/>
        <v>1.441257825010922</v>
      </c>
      <c r="Q186" s="15">
        <f t="shared" si="6"/>
        <v>1.534212596390705</v>
      </c>
      <c r="R186" s="15">
        <f t="shared" si="5"/>
        <v>0.82848837209301696</v>
      </c>
      <c r="S186" s="15">
        <f t="shared" si="4"/>
        <v>-0.42569365260357594</v>
      </c>
    </row>
    <row r="187" spans="1:19" ht="12.75">
      <c r="A187" s="6">
        <v>20190926</v>
      </c>
      <c r="B187" s="5">
        <v>-0.41</v>
      </c>
      <c r="C187" s="5">
        <v>-0.98</v>
      </c>
      <c r="D187" s="5">
        <v>0.12</v>
      </c>
      <c r="E187" s="5">
        <v>0.35</v>
      </c>
      <c r="F187" s="5">
        <v>0.28999999999999998</v>
      </c>
      <c r="G187" s="7">
        <v>8.9999999999999993E-3</v>
      </c>
      <c r="H187" s="8"/>
      <c r="I187" s="14">
        <v>54.97</v>
      </c>
      <c r="J187" s="15">
        <v>139.54</v>
      </c>
      <c r="K187" s="15">
        <v>1739.84</v>
      </c>
      <c r="L187" s="15">
        <v>206.9</v>
      </c>
      <c r="M187" s="15">
        <v>128.85</v>
      </c>
      <c r="O187" s="15">
        <f t="shared" si="6"/>
        <v>-0.524791892870069</v>
      </c>
      <c r="P187" s="15">
        <f t="shared" si="6"/>
        <v>0.12916188289320285</v>
      </c>
      <c r="Q187" s="15">
        <f t="shared" si="6"/>
        <v>-1.6111246204045582</v>
      </c>
      <c r="R187" s="15">
        <f t="shared" si="5"/>
        <v>-0.58142328576233915</v>
      </c>
      <c r="S187" s="15">
        <f t="shared" si="4"/>
        <v>-1.6337124971371964</v>
      </c>
    </row>
    <row r="188" spans="1:19" ht="12.75">
      <c r="A188" s="6">
        <v>20190927</v>
      </c>
      <c r="B188" s="5">
        <v>-0.62</v>
      </c>
      <c r="C188" s="5">
        <v>-0.17</v>
      </c>
      <c r="D188" s="5">
        <v>0.9</v>
      </c>
      <c r="E188" s="5">
        <v>0.24</v>
      </c>
      <c r="F188" s="5">
        <v>0.56000000000000005</v>
      </c>
      <c r="G188" s="7">
        <v>8.9999999999999993E-3</v>
      </c>
      <c r="H188" s="8"/>
      <c r="I188" s="14">
        <v>54.71</v>
      </c>
      <c r="J188" s="15">
        <v>137.72999999999999</v>
      </c>
      <c r="K188" s="15">
        <v>1725.45</v>
      </c>
      <c r="L188" s="15">
        <v>207.45</v>
      </c>
      <c r="M188" s="15">
        <v>128.6</v>
      </c>
      <c r="O188" s="15">
        <f t="shared" si="6"/>
        <v>-0.47298526468982915</v>
      </c>
      <c r="P188" s="15">
        <f t="shared" si="6"/>
        <v>-1.2971191056327935</v>
      </c>
      <c r="Q188" s="15">
        <f t="shared" si="6"/>
        <v>-0.82708754828029196</v>
      </c>
      <c r="R188" s="15">
        <f t="shared" si="5"/>
        <v>0.26582890285160587</v>
      </c>
      <c r="S188" s="15">
        <f t="shared" si="5"/>
        <v>-0.19402405898331088</v>
      </c>
    </row>
    <row r="189" spans="1:19" ht="12.75">
      <c r="A189" s="6">
        <v>20190930</v>
      </c>
      <c r="B189" s="5">
        <v>0.5</v>
      </c>
      <c r="C189" s="5">
        <v>-0.26</v>
      </c>
      <c r="D189" s="5">
        <v>-0.5</v>
      </c>
      <c r="E189" s="5">
        <v>0.62</v>
      </c>
      <c r="F189" s="5">
        <v>-0.02</v>
      </c>
      <c r="G189" s="7">
        <v>8.9999999999999993E-3</v>
      </c>
      <c r="H189" s="8"/>
      <c r="I189" s="14">
        <v>55.99</v>
      </c>
      <c r="J189" s="15">
        <v>139.03</v>
      </c>
      <c r="K189" s="15">
        <v>1735.91</v>
      </c>
      <c r="L189" s="15">
        <v>208.02</v>
      </c>
      <c r="M189" s="15">
        <v>129.38</v>
      </c>
      <c r="O189" s="15">
        <f t="shared" si="6"/>
        <v>2.3396088466459464</v>
      </c>
      <c r="P189" s="15">
        <f t="shared" si="6"/>
        <v>0.94387569883105371</v>
      </c>
      <c r="Q189" s="15">
        <f t="shared" si="6"/>
        <v>0.6062186675939607</v>
      </c>
      <c r="R189" s="15">
        <f t="shared" si="5"/>
        <v>0.2747650036153404</v>
      </c>
      <c r="S189" s="15">
        <f t="shared" si="5"/>
        <v>0.60653188180403994</v>
      </c>
    </row>
    <row r="190" spans="1:19" ht="12.75">
      <c r="A190" s="6">
        <v>20191001</v>
      </c>
      <c r="B190" s="5">
        <v>-1.31</v>
      </c>
      <c r="C190" s="5">
        <v>-0.66</v>
      </c>
      <c r="D190" s="5">
        <v>-0.56999999999999995</v>
      </c>
      <c r="E190" s="5">
        <v>0.1</v>
      </c>
      <c r="F190" s="5">
        <v>-0.19</v>
      </c>
      <c r="G190" s="7">
        <v>7.0000000000000001E-3</v>
      </c>
      <c r="H190" s="8"/>
      <c r="I190" s="14">
        <v>56.15</v>
      </c>
      <c r="J190" s="15">
        <v>137.07</v>
      </c>
      <c r="K190" s="15">
        <v>1735.65</v>
      </c>
      <c r="L190" s="15">
        <v>206.71</v>
      </c>
      <c r="M190" s="15">
        <v>129.99</v>
      </c>
      <c r="O190" s="15">
        <f t="shared" si="6"/>
        <v>0.28576531523485382</v>
      </c>
      <c r="P190" s="15">
        <f t="shared" si="6"/>
        <v>-1.4097676760411515</v>
      </c>
      <c r="Q190" s="15">
        <f t="shared" si="6"/>
        <v>-1.4977735020826888E-2</v>
      </c>
      <c r="R190" s="15">
        <f t="shared" si="5"/>
        <v>-0.62974713969811136</v>
      </c>
      <c r="S190" s="15">
        <f t="shared" si="5"/>
        <v>0.47147936311642269</v>
      </c>
    </row>
    <row r="191" spans="1:19" ht="12.75">
      <c r="A191" s="6">
        <v>20191002</v>
      </c>
      <c r="B191" s="5">
        <v>-1.73</v>
      </c>
      <c r="C191" s="5">
        <v>0.77</v>
      </c>
      <c r="D191" s="5">
        <v>-0.38</v>
      </c>
      <c r="E191" s="5">
        <v>-0.47</v>
      </c>
      <c r="F191" s="5">
        <v>-0.26</v>
      </c>
      <c r="G191" s="7">
        <v>7.0000000000000001E-3</v>
      </c>
      <c r="H191" s="8"/>
      <c r="I191" s="14">
        <v>54.74</v>
      </c>
      <c r="J191" s="15">
        <v>134.65</v>
      </c>
      <c r="K191" s="15">
        <v>1713.23</v>
      </c>
      <c r="L191" s="15">
        <v>203.1</v>
      </c>
      <c r="M191" s="15">
        <v>132</v>
      </c>
      <c r="O191" s="15">
        <f t="shared" si="6"/>
        <v>-2.5111308993766679</v>
      </c>
      <c r="P191" s="15">
        <f t="shared" si="6"/>
        <v>-1.7655212665061537</v>
      </c>
      <c r="Q191" s="15">
        <f t="shared" si="6"/>
        <v>-1.2917350848385412</v>
      </c>
      <c r="R191" s="15">
        <f t="shared" si="5"/>
        <v>-1.7464080112234548</v>
      </c>
      <c r="S191" s="15">
        <f t="shared" si="5"/>
        <v>1.5462727902146201</v>
      </c>
    </row>
    <row r="192" spans="1:19" ht="12.75">
      <c r="A192" s="6">
        <v>20191003</v>
      </c>
      <c r="B192" s="5">
        <v>0.8</v>
      </c>
      <c r="C192" s="5">
        <v>-0.39</v>
      </c>
      <c r="D192" s="5">
        <v>-0.9</v>
      </c>
      <c r="E192" s="5">
        <v>-0.19</v>
      </c>
      <c r="F192" s="5">
        <v>-0.18</v>
      </c>
      <c r="G192" s="7">
        <v>7.0000000000000001E-3</v>
      </c>
      <c r="H192" s="8"/>
      <c r="I192" s="14">
        <v>55.21</v>
      </c>
      <c r="J192" s="15">
        <v>136.28</v>
      </c>
      <c r="K192" s="15">
        <v>1724.42</v>
      </c>
      <c r="L192" s="15">
        <v>204.98</v>
      </c>
      <c r="M192" s="15">
        <v>131.19</v>
      </c>
      <c r="O192" s="15">
        <f t="shared" si="6"/>
        <v>0.85860431128972348</v>
      </c>
      <c r="P192" s="15">
        <f t="shared" si="6"/>
        <v>1.2105458596360918</v>
      </c>
      <c r="Q192" s="15">
        <f t="shared" si="6"/>
        <v>0.65315223291677604</v>
      </c>
      <c r="R192" s="15">
        <f t="shared" si="5"/>
        <v>0.92565238798620886</v>
      </c>
      <c r="S192" s="15">
        <f t="shared" si="5"/>
        <v>-0.61363636363636065</v>
      </c>
    </row>
    <row r="193" spans="1:19" ht="12.75">
      <c r="A193" s="6">
        <v>20191004</v>
      </c>
      <c r="B193" s="5">
        <v>1.39</v>
      </c>
      <c r="C193" s="5">
        <v>-0.51</v>
      </c>
      <c r="D193" s="5">
        <v>-0.05</v>
      </c>
      <c r="E193" s="5">
        <v>-0.02</v>
      </c>
      <c r="F193" s="5">
        <v>0.04</v>
      </c>
      <c r="G193" s="7">
        <v>7.0000000000000001E-3</v>
      </c>
      <c r="H193" s="8"/>
      <c r="I193" s="14">
        <v>56.75</v>
      </c>
      <c r="J193" s="15">
        <v>138.12</v>
      </c>
      <c r="K193" s="15">
        <v>1739.65</v>
      </c>
      <c r="L193" s="15">
        <v>208.08</v>
      </c>
      <c r="M193" s="15">
        <v>133.66</v>
      </c>
      <c r="O193" s="15">
        <f t="shared" si="6"/>
        <v>2.7893497554790869</v>
      </c>
      <c r="P193" s="15">
        <f t="shared" si="6"/>
        <v>1.3501614323451649</v>
      </c>
      <c r="Q193" s="15">
        <f t="shared" si="6"/>
        <v>0.88319550921469592</v>
      </c>
      <c r="R193" s="15">
        <f t="shared" si="5"/>
        <v>1.5123426675773377</v>
      </c>
      <c r="S193" s="15">
        <f t="shared" si="5"/>
        <v>1.8827654546840433</v>
      </c>
    </row>
    <row r="194" spans="1:19" ht="12.75">
      <c r="A194" s="6">
        <v>20191007</v>
      </c>
      <c r="B194" s="5">
        <v>-0.41</v>
      </c>
      <c r="C194" s="5">
        <v>0.14000000000000001</v>
      </c>
      <c r="D194" s="5">
        <v>-0.02</v>
      </c>
      <c r="E194" s="5">
        <v>-0.06</v>
      </c>
      <c r="F194" s="5">
        <v>-0.26</v>
      </c>
      <c r="G194" s="7">
        <v>7.0000000000000001E-3</v>
      </c>
      <c r="H194" s="8"/>
      <c r="I194" s="14">
        <v>56.77</v>
      </c>
      <c r="J194" s="15">
        <v>137.12</v>
      </c>
      <c r="K194" s="15">
        <v>1732.66</v>
      </c>
      <c r="L194" s="15">
        <v>207.24</v>
      </c>
      <c r="M194" s="15">
        <v>133.16</v>
      </c>
      <c r="O194" s="15">
        <f t="shared" si="6"/>
        <v>3.5242290748893623E-2</v>
      </c>
      <c r="P194" s="15">
        <f t="shared" si="6"/>
        <v>-0.72400810889081679</v>
      </c>
      <c r="Q194" s="15">
        <f t="shared" si="6"/>
        <v>-0.40180496076797079</v>
      </c>
      <c r="R194" s="15">
        <f t="shared" si="5"/>
        <v>-0.40369088811995635</v>
      </c>
      <c r="S194" s="15">
        <f t="shared" si="5"/>
        <v>-0.3740834954361838</v>
      </c>
    </row>
    <row r="195" spans="1:19" ht="12.75">
      <c r="A195" s="6">
        <v>20191008</v>
      </c>
      <c r="B195" s="5">
        <v>-1.61</v>
      </c>
      <c r="C195" s="5">
        <v>-0.15</v>
      </c>
      <c r="D195" s="5">
        <v>-0.13</v>
      </c>
      <c r="E195" s="5">
        <v>0.42</v>
      </c>
      <c r="F195" s="5">
        <v>0.02</v>
      </c>
      <c r="G195" s="7">
        <v>7.0000000000000001E-3</v>
      </c>
      <c r="H195" s="8"/>
      <c r="I195" s="14">
        <v>56.1</v>
      </c>
      <c r="J195" s="15">
        <v>135.66999999999999</v>
      </c>
      <c r="K195" s="15">
        <v>1705.51</v>
      </c>
      <c r="L195" s="15">
        <v>204.09</v>
      </c>
      <c r="M195" s="15">
        <v>131.84</v>
      </c>
      <c r="O195" s="15">
        <f t="shared" si="6"/>
        <v>-1.1802008102871242</v>
      </c>
      <c r="P195" s="15">
        <f t="shared" si="6"/>
        <v>-1.0574679113185659</v>
      </c>
      <c r="Q195" s="15">
        <f t="shared" si="6"/>
        <v>-1.566954855540037</v>
      </c>
      <c r="R195" s="15">
        <f t="shared" si="5"/>
        <v>-1.5199768384481782</v>
      </c>
      <c r="S195" s="15">
        <f t="shared" si="5"/>
        <v>-0.99128867527785713</v>
      </c>
    </row>
    <row r="196" spans="1:19" ht="12.75">
      <c r="A196" s="6">
        <v>20191009</v>
      </c>
      <c r="B196" s="5">
        <v>0.92</v>
      </c>
      <c r="C196" s="5">
        <v>-0.57999999999999996</v>
      </c>
      <c r="D196" s="5">
        <v>-0.09</v>
      </c>
      <c r="E196" s="5">
        <v>0.13</v>
      </c>
      <c r="F196" s="5">
        <v>-0.16</v>
      </c>
      <c r="G196" s="7">
        <v>7.0000000000000001E-3</v>
      </c>
      <c r="H196" s="8"/>
      <c r="I196" s="14">
        <v>56.76</v>
      </c>
      <c r="J196" s="15">
        <v>138.24</v>
      </c>
      <c r="K196" s="15">
        <v>1721.99</v>
      </c>
      <c r="L196" s="15">
        <v>206.69</v>
      </c>
      <c r="M196" s="15">
        <v>129.22</v>
      </c>
      <c r="O196" s="15">
        <f t="shared" si="6"/>
        <v>1.1764705882352899</v>
      </c>
      <c r="P196" s="15">
        <f t="shared" si="6"/>
        <v>1.8943023512935975</v>
      </c>
      <c r="Q196" s="15">
        <f t="shared" si="6"/>
        <v>0.96627988109128093</v>
      </c>
      <c r="R196" s="15">
        <f t="shared" si="6"/>
        <v>1.2739477681414924</v>
      </c>
      <c r="S196" s="15">
        <f t="shared" si="6"/>
        <v>-1.9872572815534006</v>
      </c>
    </row>
    <row r="197" spans="1:19" ht="12.75">
      <c r="A197" s="6">
        <v>20191010</v>
      </c>
      <c r="B197" s="5">
        <v>0.59</v>
      </c>
      <c r="C197" s="5">
        <v>-0.26</v>
      </c>
      <c r="D197" s="5">
        <v>0.26</v>
      </c>
      <c r="E197" s="5">
        <v>0.12</v>
      </c>
      <c r="F197" s="5">
        <v>-0.09</v>
      </c>
      <c r="G197" s="7">
        <v>7.0000000000000001E-3</v>
      </c>
      <c r="H197" s="8"/>
      <c r="I197" s="14">
        <v>57.52</v>
      </c>
      <c r="J197" s="15">
        <v>139.1</v>
      </c>
      <c r="K197" s="15">
        <v>1720.26</v>
      </c>
      <c r="L197" s="15">
        <v>206.86</v>
      </c>
      <c r="M197" s="15">
        <v>129.06</v>
      </c>
      <c r="O197" s="15">
        <f t="shared" ref="O197:R260" si="7">(I197/I196-1)*100</f>
        <v>1.3389711064129672</v>
      </c>
      <c r="P197" s="15">
        <f t="shared" si="7"/>
        <v>0.62210648148146586</v>
      </c>
      <c r="Q197" s="15">
        <f t="shared" si="7"/>
        <v>-0.10046515949569956</v>
      </c>
      <c r="R197" s="15">
        <f t="shared" si="7"/>
        <v>8.2248778363736008E-2</v>
      </c>
      <c r="S197" s="15">
        <f t="shared" ref="S197:S260" si="8">(M197/M196-1)*100</f>
        <v>-0.1238198421297021</v>
      </c>
    </row>
    <row r="198" spans="1:19" ht="12.75">
      <c r="A198" s="6">
        <v>20191011</v>
      </c>
      <c r="B198" s="5">
        <v>1.23</v>
      </c>
      <c r="C198" s="5">
        <v>0.6</v>
      </c>
      <c r="D198" s="5">
        <v>0.18</v>
      </c>
      <c r="E198" s="5">
        <v>0.49</v>
      </c>
      <c r="F198" s="5">
        <v>0.3</v>
      </c>
      <c r="G198" s="7">
        <v>7.0000000000000001E-3</v>
      </c>
      <c r="H198" s="8"/>
      <c r="I198" s="14">
        <v>59.05</v>
      </c>
      <c r="J198" s="15">
        <v>139.68</v>
      </c>
      <c r="K198" s="15">
        <v>1731.92</v>
      </c>
      <c r="L198" s="15">
        <v>208.08</v>
      </c>
      <c r="M198" s="15">
        <v>131.33000000000001</v>
      </c>
      <c r="O198" s="15">
        <f t="shared" si="7"/>
        <v>2.6599443671766254</v>
      </c>
      <c r="P198" s="15">
        <f t="shared" si="7"/>
        <v>0.41696621135873801</v>
      </c>
      <c r="Q198" s="15">
        <f t="shared" si="7"/>
        <v>0.6778045179217207</v>
      </c>
      <c r="R198" s="15">
        <f t="shared" si="7"/>
        <v>0.58977085951852359</v>
      </c>
      <c r="S198" s="15">
        <f t="shared" si="8"/>
        <v>1.7588718425538552</v>
      </c>
    </row>
    <row r="199" spans="1:19" ht="12.75">
      <c r="A199" s="6">
        <v>20191014</v>
      </c>
      <c r="B199" s="5">
        <v>-0.18</v>
      </c>
      <c r="C199" s="5">
        <v>-0.35</v>
      </c>
      <c r="D199" s="5">
        <v>-0.05</v>
      </c>
      <c r="E199" s="5">
        <v>-0.17</v>
      </c>
      <c r="F199" s="5">
        <v>-0.08</v>
      </c>
      <c r="G199" s="7">
        <v>7.0000000000000001E-3</v>
      </c>
      <c r="H199" s="8"/>
      <c r="I199" s="14">
        <v>58.97</v>
      </c>
      <c r="J199" s="15">
        <v>139.55000000000001</v>
      </c>
      <c r="K199" s="15">
        <v>1736.43</v>
      </c>
      <c r="L199" s="15">
        <v>207.91</v>
      </c>
      <c r="M199" s="15">
        <v>130.72</v>
      </c>
      <c r="O199" s="15">
        <f t="shared" si="7"/>
        <v>-0.13547840812869749</v>
      </c>
      <c r="P199" s="15">
        <f t="shared" si="7"/>
        <v>-9.3069873997708719E-2</v>
      </c>
      <c r="Q199" s="15">
        <f t="shared" si="7"/>
        <v>0.26040463762759813</v>
      </c>
      <c r="R199" s="15">
        <f t="shared" si="7"/>
        <v>-8.169934640523957E-2</v>
      </c>
      <c r="S199" s="15">
        <f t="shared" si="8"/>
        <v>-0.46447879387803148</v>
      </c>
    </row>
    <row r="200" spans="1:19" ht="12.75">
      <c r="A200" s="6">
        <v>20191015</v>
      </c>
      <c r="B200" s="5">
        <v>1.03</v>
      </c>
      <c r="C200" s="5">
        <v>0.25</v>
      </c>
      <c r="D200" s="5">
        <v>-0.25</v>
      </c>
      <c r="E200" s="5">
        <v>-0.22</v>
      </c>
      <c r="F200" s="5">
        <v>-0.69</v>
      </c>
      <c r="G200" s="7">
        <v>7.0000000000000001E-3</v>
      </c>
      <c r="H200" s="8"/>
      <c r="I200" s="14">
        <v>58.83</v>
      </c>
      <c r="J200" s="15">
        <v>141.57</v>
      </c>
      <c r="K200" s="15">
        <v>1767.38</v>
      </c>
      <c r="L200" s="15">
        <v>209.38</v>
      </c>
      <c r="M200" s="15">
        <v>132.84</v>
      </c>
      <c r="O200" s="15">
        <f t="shared" si="7"/>
        <v>-0.23740885195862038</v>
      </c>
      <c r="P200" s="15">
        <f t="shared" si="7"/>
        <v>1.447509853099227</v>
      </c>
      <c r="Q200" s="15">
        <f t="shared" si="7"/>
        <v>1.7823926101253829</v>
      </c>
      <c r="R200" s="15">
        <f t="shared" si="7"/>
        <v>0.70703669857150597</v>
      </c>
      <c r="S200" s="15">
        <f t="shared" si="8"/>
        <v>1.6217870257037914</v>
      </c>
    </row>
    <row r="201" spans="1:19" ht="12.75">
      <c r="A201" s="6">
        <v>20191016</v>
      </c>
      <c r="B201" s="5">
        <v>-0.24</v>
      </c>
      <c r="C201" s="5">
        <v>0.48</v>
      </c>
      <c r="D201" s="5">
        <v>0.24</v>
      </c>
      <c r="E201" s="5">
        <v>0.38</v>
      </c>
      <c r="F201" s="5">
        <v>0.26</v>
      </c>
      <c r="G201" s="7">
        <v>7.0000000000000001E-3</v>
      </c>
      <c r="H201" s="8"/>
      <c r="I201" s="14">
        <v>58.59</v>
      </c>
      <c r="J201" s="15">
        <v>140.41</v>
      </c>
      <c r="K201" s="15">
        <v>1777.43</v>
      </c>
      <c r="L201" s="15">
        <v>209.29</v>
      </c>
      <c r="M201" s="15">
        <v>135.16999999999999</v>
      </c>
      <c r="O201" s="15">
        <f t="shared" si="7"/>
        <v>-0.40795512493624342</v>
      </c>
      <c r="P201" s="15">
        <f t="shared" si="7"/>
        <v>-0.81938263756445862</v>
      </c>
      <c r="Q201" s="15">
        <f t="shared" si="7"/>
        <v>0.56863832339395515</v>
      </c>
      <c r="R201" s="15">
        <f t="shared" si="7"/>
        <v>-4.2984048142136189E-2</v>
      </c>
      <c r="S201" s="15">
        <f t="shared" si="8"/>
        <v>1.753989762119823</v>
      </c>
    </row>
    <row r="202" spans="1:19" ht="12.75">
      <c r="A202" s="6">
        <v>20191017</v>
      </c>
      <c r="B202" s="5">
        <v>0.37</v>
      </c>
      <c r="C202" s="5">
        <v>0.79</v>
      </c>
      <c r="D202" s="5">
        <v>-0.28000000000000003</v>
      </c>
      <c r="E202" s="5">
        <v>0.11</v>
      </c>
      <c r="F202" s="5">
        <v>-0.04</v>
      </c>
      <c r="G202" s="7">
        <v>7.0000000000000001E-3</v>
      </c>
      <c r="H202" s="8"/>
      <c r="I202" s="14">
        <v>58.82</v>
      </c>
      <c r="J202" s="15">
        <v>139.69</v>
      </c>
      <c r="K202" s="15">
        <v>1787.48</v>
      </c>
      <c r="L202" s="15">
        <v>208.62</v>
      </c>
      <c r="M202" s="15">
        <v>136.16999999999999</v>
      </c>
      <c r="O202" s="15">
        <f t="shared" si="7"/>
        <v>0.39255845707457659</v>
      </c>
      <c r="P202" s="15">
        <f t="shared" si="7"/>
        <v>-0.51278398974431427</v>
      </c>
      <c r="Q202" s="15">
        <f t="shared" si="7"/>
        <v>0.56542311089606834</v>
      </c>
      <c r="R202" s="15">
        <f t="shared" si="7"/>
        <v>-0.32012996320893716</v>
      </c>
      <c r="S202" s="15">
        <f t="shared" si="8"/>
        <v>0.7398091292446507</v>
      </c>
    </row>
    <row r="203" spans="1:19" ht="12.75">
      <c r="A203" s="6">
        <v>20191018</v>
      </c>
      <c r="B203" s="5">
        <v>-0.49</v>
      </c>
      <c r="C203" s="5">
        <v>-0.13</v>
      </c>
      <c r="D203" s="5">
        <v>0.85</v>
      </c>
      <c r="E203" s="5">
        <v>-0.08</v>
      </c>
      <c r="F203" s="5">
        <v>0.38</v>
      </c>
      <c r="G203" s="7">
        <v>7.0000000000000001E-3</v>
      </c>
      <c r="H203" s="8"/>
      <c r="I203" s="14">
        <v>59.1</v>
      </c>
      <c r="J203" s="15">
        <v>137.41</v>
      </c>
      <c r="K203" s="15">
        <v>1757.51</v>
      </c>
      <c r="L203" s="15">
        <v>208.76</v>
      </c>
      <c r="M203" s="15">
        <v>127.7</v>
      </c>
      <c r="O203" s="15">
        <f t="shared" si="7"/>
        <v>0.47602856171371499</v>
      </c>
      <c r="P203" s="15">
        <f t="shared" si="7"/>
        <v>-1.6321855537261065</v>
      </c>
      <c r="Q203" s="15">
        <f t="shared" si="7"/>
        <v>-1.6766621164992057</v>
      </c>
      <c r="R203" s="15">
        <f t="shared" si="7"/>
        <v>6.7107659860021762E-2</v>
      </c>
      <c r="S203" s="15">
        <f t="shared" si="8"/>
        <v>-6.220165969009317</v>
      </c>
    </row>
    <row r="204" spans="1:19" ht="12.75">
      <c r="A204" s="6">
        <v>20191021</v>
      </c>
      <c r="B204" s="5">
        <v>0.71</v>
      </c>
      <c r="C204" s="5">
        <v>0.3</v>
      </c>
      <c r="D204" s="5">
        <v>0.36</v>
      </c>
      <c r="E204" s="5">
        <v>0.02</v>
      </c>
      <c r="F204" s="5">
        <v>0.02</v>
      </c>
      <c r="G204" s="7">
        <v>7.0000000000000001E-3</v>
      </c>
      <c r="H204" s="8"/>
      <c r="I204" s="14">
        <v>60.13</v>
      </c>
      <c r="J204" s="15">
        <v>138.43</v>
      </c>
      <c r="K204" s="15">
        <v>1785.66</v>
      </c>
      <c r="L204" s="15">
        <v>211.49</v>
      </c>
      <c r="M204" s="15">
        <v>128.02000000000001</v>
      </c>
      <c r="O204" s="15">
        <f t="shared" si="7"/>
        <v>1.742808798646367</v>
      </c>
      <c r="P204" s="15">
        <f t="shared" si="7"/>
        <v>0.74230405356234819</v>
      </c>
      <c r="Q204" s="15">
        <f t="shared" si="7"/>
        <v>1.6016978566267159</v>
      </c>
      <c r="R204" s="15">
        <f t="shared" si="7"/>
        <v>1.3077217857827339</v>
      </c>
      <c r="S204" s="15">
        <f t="shared" si="8"/>
        <v>0.25058731401723655</v>
      </c>
    </row>
    <row r="205" spans="1:19" ht="12.75">
      <c r="A205" s="6">
        <v>20191022</v>
      </c>
      <c r="B205" s="5">
        <v>-0.34</v>
      </c>
      <c r="C205" s="5">
        <v>0.49</v>
      </c>
      <c r="D205" s="5">
        <v>0.88</v>
      </c>
      <c r="E205" s="5">
        <v>0.42</v>
      </c>
      <c r="F205" s="5">
        <v>0.32</v>
      </c>
      <c r="G205" s="7">
        <v>7.0000000000000001E-3</v>
      </c>
      <c r="H205" s="8"/>
      <c r="I205" s="14">
        <v>59.99</v>
      </c>
      <c r="J205" s="15">
        <v>136.37</v>
      </c>
      <c r="K205" s="15">
        <v>1765.73</v>
      </c>
      <c r="L205" s="15">
        <v>210.62</v>
      </c>
      <c r="M205" s="15">
        <v>129.19999999999999</v>
      </c>
      <c r="O205" s="15">
        <f t="shared" si="7"/>
        <v>-0.23282887077997749</v>
      </c>
      <c r="P205" s="15">
        <f t="shared" si="7"/>
        <v>-1.4881167377013615</v>
      </c>
      <c r="Q205" s="15">
        <f t="shared" si="7"/>
        <v>-1.1161139298634715</v>
      </c>
      <c r="R205" s="15">
        <f t="shared" si="7"/>
        <v>-0.41136696770532888</v>
      </c>
      <c r="S205" s="15">
        <f t="shared" si="8"/>
        <v>0.92173097953442973</v>
      </c>
    </row>
    <row r="206" spans="1:19" ht="12.75">
      <c r="A206" s="6">
        <v>20191023</v>
      </c>
      <c r="B206" s="5">
        <v>0.25</v>
      </c>
      <c r="C206" s="5">
        <v>-0.11</v>
      </c>
      <c r="D206" s="5">
        <v>0.27</v>
      </c>
      <c r="E206" s="5">
        <v>-0.01</v>
      </c>
      <c r="F206" s="5">
        <v>0.08</v>
      </c>
      <c r="G206" s="7">
        <v>7.0000000000000001E-3</v>
      </c>
      <c r="H206" s="8"/>
      <c r="I206" s="14">
        <v>60.8</v>
      </c>
      <c r="J206" s="15">
        <v>137.24</v>
      </c>
      <c r="K206" s="15">
        <v>1762.17</v>
      </c>
      <c r="L206" s="15">
        <v>210.96</v>
      </c>
      <c r="M206" s="15">
        <v>129.9</v>
      </c>
      <c r="O206" s="15">
        <f t="shared" si="7"/>
        <v>1.3502250375062363</v>
      </c>
      <c r="P206" s="15">
        <f t="shared" si="7"/>
        <v>0.63797022805602843</v>
      </c>
      <c r="Q206" s="15">
        <f t="shared" si="7"/>
        <v>-0.20161632865726142</v>
      </c>
      <c r="R206" s="15">
        <f t="shared" si="7"/>
        <v>0.16142816446680364</v>
      </c>
      <c r="S206" s="15">
        <f t="shared" si="8"/>
        <v>0.54179566563468118</v>
      </c>
    </row>
    <row r="207" spans="1:19" ht="12.75">
      <c r="A207" s="6">
        <v>20191024</v>
      </c>
      <c r="B207" s="5">
        <v>0.26</v>
      </c>
      <c r="C207" s="5">
        <v>-0.5</v>
      </c>
      <c r="D207" s="5">
        <v>-0.88</v>
      </c>
      <c r="E207" s="5">
        <v>-0.06</v>
      </c>
      <c r="F207" s="5">
        <v>-0.66</v>
      </c>
      <c r="G207" s="7">
        <v>7.0000000000000001E-3</v>
      </c>
      <c r="H207" s="8"/>
      <c r="I207" s="14">
        <v>60.9</v>
      </c>
      <c r="J207" s="15">
        <v>139.94</v>
      </c>
      <c r="K207" s="15">
        <v>1780.78</v>
      </c>
      <c r="L207" s="15">
        <v>210.26</v>
      </c>
      <c r="M207" s="15">
        <v>127.5</v>
      </c>
      <c r="O207" s="15">
        <f t="shared" si="7"/>
        <v>0.16447368421053099</v>
      </c>
      <c r="P207" s="15">
        <f t="shared" si="7"/>
        <v>1.9673564558437606</v>
      </c>
      <c r="Q207" s="15">
        <f t="shared" si="7"/>
        <v>1.0560842597479247</v>
      </c>
      <c r="R207" s="15">
        <f t="shared" si="7"/>
        <v>-0.33181645809633453</v>
      </c>
      <c r="S207" s="15">
        <f t="shared" si="8"/>
        <v>-1.8475750577367278</v>
      </c>
    </row>
    <row r="208" spans="1:19" ht="12.75">
      <c r="A208" s="6">
        <v>20191025</v>
      </c>
      <c r="B208" s="5">
        <v>0.5</v>
      </c>
      <c r="C208" s="5">
        <v>0.39</v>
      </c>
      <c r="D208" s="5">
        <v>0.1</v>
      </c>
      <c r="E208" s="5">
        <v>0.34</v>
      </c>
      <c r="F208" s="5">
        <v>-0.01</v>
      </c>
      <c r="G208" s="7">
        <v>7.0000000000000001E-3</v>
      </c>
      <c r="H208" s="8"/>
      <c r="I208" s="14">
        <v>61.65</v>
      </c>
      <c r="J208" s="15">
        <v>140.72999999999999</v>
      </c>
      <c r="K208" s="15">
        <v>1761.33</v>
      </c>
      <c r="L208" s="15">
        <v>211.8</v>
      </c>
      <c r="M208" s="15">
        <v>128.35</v>
      </c>
      <c r="O208" s="15">
        <f t="shared" si="7"/>
        <v>1.2315270935960632</v>
      </c>
      <c r="P208" s="15">
        <f t="shared" si="7"/>
        <v>0.56452765470915711</v>
      </c>
      <c r="Q208" s="15">
        <f t="shared" si="7"/>
        <v>-1.0922180168240869</v>
      </c>
      <c r="R208" s="15">
        <f t="shared" si="7"/>
        <v>0.7324265195472357</v>
      </c>
      <c r="S208" s="15">
        <f t="shared" si="8"/>
        <v>0.66666666666665986</v>
      </c>
    </row>
    <row r="209" spans="1:19" ht="12.75">
      <c r="A209" s="6">
        <v>20191028</v>
      </c>
      <c r="B209" s="5">
        <v>0.62</v>
      </c>
      <c r="C209" s="5">
        <v>0.28000000000000003</v>
      </c>
      <c r="D209" s="5">
        <v>-0.26</v>
      </c>
      <c r="E209" s="5">
        <v>0.01</v>
      </c>
      <c r="F209" s="5">
        <v>-0.05</v>
      </c>
      <c r="G209" s="7">
        <v>7.0000000000000001E-3</v>
      </c>
      <c r="H209" s="8"/>
      <c r="I209" s="14">
        <v>62.26</v>
      </c>
      <c r="J209" s="15">
        <v>144.19</v>
      </c>
      <c r="K209" s="15">
        <v>1777.08</v>
      </c>
      <c r="L209" s="15">
        <v>212.86</v>
      </c>
      <c r="M209" s="15">
        <v>129.18</v>
      </c>
      <c r="O209" s="15">
        <f t="shared" si="7"/>
        <v>0.98945660989455675</v>
      </c>
      <c r="P209" s="15">
        <f t="shared" si="7"/>
        <v>2.4586086832942611</v>
      </c>
      <c r="Q209" s="15">
        <f t="shared" si="7"/>
        <v>0.89421062492547332</v>
      </c>
      <c r="R209" s="15">
        <f t="shared" si="7"/>
        <v>0.50047214353163838</v>
      </c>
      <c r="S209" s="15">
        <f t="shared" si="8"/>
        <v>0.64666926373200262</v>
      </c>
    </row>
    <row r="210" spans="1:19" ht="12.75">
      <c r="A210" s="6">
        <v>20191029</v>
      </c>
      <c r="B210" s="5">
        <v>-0.13</v>
      </c>
      <c r="C210" s="5">
        <v>0.4</v>
      </c>
      <c r="D210" s="5">
        <v>0.5</v>
      </c>
      <c r="E210" s="5">
        <v>-0.06</v>
      </c>
      <c r="F210" s="5">
        <v>0.1</v>
      </c>
      <c r="G210" s="7">
        <v>7.0000000000000001E-3</v>
      </c>
      <c r="H210" s="8"/>
      <c r="I210" s="14">
        <v>60.82</v>
      </c>
      <c r="J210" s="15">
        <v>142.83000000000001</v>
      </c>
      <c r="K210" s="15">
        <v>1762.71</v>
      </c>
      <c r="L210" s="15">
        <v>213.01</v>
      </c>
      <c r="M210" s="15">
        <v>129.12</v>
      </c>
      <c r="O210" s="15">
        <f t="shared" si="7"/>
        <v>-2.312881464824923</v>
      </c>
      <c r="P210" s="15">
        <f t="shared" si="7"/>
        <v>-0.94319994451763645</v>
      </c>
      <c r="Q210" s="15">
        <f t="shared" si="7"/>
        <v>-0.80862988723072737</v>
      </c>
      <c r="R210" s="15">
        <f t="shared" si="7"/>
        <v>7.0468852767069379E-2</v>
      </c>
      <c r="S210" s="15">
        <f t="shared" si="8"/>
        <v>-4.6446818392942291E-2</v>
      </c>
    </row>
    <row r="211" spans="1:19" ht="12.75">
      <c r="A211" s="6">
        <v>20191030</v>
      </c>
      <c r="B211" s="5">
        <v>0.27</v>
      </c>
      <c r="C211" s="5">
        <v>-0.63</v>
      </c>
      <c r="D211" s="5">
        <v>-1.18</v>
      </c>
      <c r="E211" s="5">
        <v>-0.47</v>
      </c>
      <c r="F211" s="5">
        <v>-0.01</v>
      </c>
      <c r="G211" s="7">
        <v>7.0000000000000001E-3</v>
      </c>
      <c r="H211" s="8"/>
      <c r="I211" s="14">
        <v>60.82</v>
      </c>
      <c r="J211" s="15">
        <v>144.61000000000001</v>
      </c>
      <c r="K211" s="15">
        <v>1779.99</v>
      </c>
      <c r="L211" s="15">
        <v>213.25</v>
      </c>
      <c r="M211" s="15">
        <v>132.84</v>
      </c>
      <c r="O211" s="15">
        <f t="shared" si="7"/>
        <v>0</v>
      </c>
      <c r="P211" s="15">
        <f t="shared" si="7"/>
        <v>1.2462367849891409</v>
      </c>
      <c r="Q211" s="15">
        <f t="shared" si="7"/>
        <v>0.9803087291726964</v>
      </c>
      <c r="R211" s="15">
        <f t="shared" si="7"/>
        <v>0.11267076663068476</v>
      </c>
      <c r="S211" s="15">
        <f t="shared" si="8"/>
        <v>2.8810408921932984</v>
      </c>
    </row>
    <row r="212" spans="1:19" ht="12.75">
      <c r="A212" s="6">
        <v>20191031</v>
      </c>
      <c r="B212" s="5">
        <v>-0.38</v>
      </c>
      <c r="C212" s="5">
        <v>-0.34</v>
      </c>
      <c r="D212" s="5">
        <v>-0.45</v>
      </c>
      <c r="E212" s="5">
        <v>-0.27</v>
      </c>
      <c r="F212" s="5">
        <v>0.19</v>
      </c>
      <c r="G212" s="7">
        <v>7.0000000000000001E-3</v>
      </c>
      <c r="H212" s="8"/>
      <c r="I212" s="14">
        <v>62.19</v>
      </c>
      <c r="J212" s="15">
        <v>143.37</v>
      </c>
      <c r="K212" s="15">
        <v>1776.66</v>
      </c>
      <c r="L212" s="15">
        <v>212.58</v>
      </c>
      <c r="M212" s="15">
        <v>132.04</v>
      </c>
      <c r="O212" s="15">
        <f t="shared" si="7"/>
        <v>2.2525485037816484</v>
      </c>
      <c r="P212" s="15">
        <f t="shared" si="7"/>
        <v>-0.85747873591038859</v>
      </c>
      <c r="Q212" s="15">
        <f t="shared" si="7"/>
        <v>-0.18707970269495888</v>
      </c>
      <c r="R212" s="15">
        <f t="shared" si="7"/>
        <v>-0.31418522860491294</v>
      </c>
      <c r="S212" s="15">
        <f t="shared" si="8"/>
        <v>-0.60222824450467671</v>
      </c>
    </row>
    <row r="213" spans="1:19" ht="12.75">
      <c r="A213" s="6">
        <v>20191101</v>
      </c>
      <c r="B213" s="5">
        <v>1.08</v>
      </c>
      <c r="C213" s="5">
        <v>0.65</v>
      </c>
      <c r="D213" s="5">
        <v>0.85</v>
      </c>
      <c r="E213" s="5">
        <v>-0.17</v>
      </c>
      <c r="F213" s="5">
        <v>0.12</v>
      </c>
      <c r="G213" s="7">
        <v>6.0000000000000001E-3</v>
      </c>
      <c r="H213" s="8"/>
      <c r="I213" s="14">
        <v>63.96</v>
      </c>
      <c r="J213" s="15">
        <v>143.72</v>
      </c>
      <c r="K213" s="15">
        <v>1791.44</v>
      </c>
      <c r="L213" s="15">
        <v>215.83</v>
      </c>
      <c r="M213" s="15">
        <v>131.19999999999999</v>
      </c>
      <c r="O213" s="15">
        <f t="shared" si="7"/>
        <v>2.8461167390255726</v>
      </c>
      <c r="P213" s="15">
        <f t="shared" si="7"/>
        <v>0.24412359628931402</v>
      </c>
      <c r="Q213" s="15">
        <f t="shared" si="7"/>
        <v>0.83189805590264676</v>
      </c>
      <c r="R213" s="15">
        <f t="shared" si="7"/>
        <v>1.5288362028412772</v>
      </c>
      <c r="S213" s="15">
        <f t="shared" si="8"/>
        <v>-0.63617085731596523</v>
      </c>
    </row>
    <row r="214" spans="1:19" ht="12.75">
      <c r="A214" s="6">
        <v>20191104</v>
      </c>
      <c r="B214" s="5">
        <v>0.4</v>
      </c>
      <c r="C214" s="5">
        <v>0.32</v>
      </c>
      <c r="D214" s="5">
        <v>1.38</v>
      </c>
      <c r="E214" s="5">
        <v>0.62</v>
      </c>
      <c r="F214" s="5">
        <v>0.12</v>
      </c>
      <c r="G214" s="7">
        <v>6.0000000000000001E-3</v>
      </c>
      <c r="H214" s="8"/>
      <c r="I214" s="14">
        <v>64.38</v>
      </c>
      <c r="J214" s="15">
        <v>144.55000000000001</v>
      </c>
      <c r="K214" s="15">
        <v>1804.66</v>
      </c>
      <c r="L214" s="15">
        <v>217.98</v>
      </c>
      <c r="M214" s="15">
        <v>130.22999999999999</v>
      </c>
      <c r="O214" s="15">
        <f t="shared" si="7"/>
        <v>0.65666041275795894</v>
      </c>
      <c r="P214" s="15">
        <f t="shared" si="7"/>
        <v>0.57751182855554362</v>
      </c>
      <c r="Q214" s="15">
        <f t="shared" si="7"/>
        <v>0.73795382485597472</v>
      </c>
      <c r="R214" s="15">
        <f t="shared" si="7"/>
        <v>0.99615438076263718</v>
      </c>
      <c r="S214" s="15">
        <f t="shared" si="8"/>
        <v>-0.73932926829267664</v>
      </c>
    </row>
    <row r="215" spans="1:19" ht="12.75">
      <c r="A215" s="6">
        <v>20191105</v>
      </c>
      <c r="B215" s="5">
        <v>-0.03</v>
      </c>
      <c r="C215" s="5">
        <v>0.38</v>
      </c>
      <c r="D215" s="5">
        <v>0.45</v>
      </c>
      <c r="E215" s="5">
        <v>0.01</v>
      </c>
      <c r="F215" s="5">
        <v>-0.02</v>
      </c>
      <c r="G215" s="7">
        <v>6.0000000000000001E-3</v>
      </c>
      <c r="H215" s="8"/>
      <c r="I215" s="14">
        <v>64.28</v>
      </c>
      <c r="J215" s="15">
        <v>144.46</v>
      </c>
      <c r="K215" s="15">
        <v>1801.71</v>
      </c>
      <c r="L215" s="15">
        <v>220.88</v>
      </c>
      <c r="M215" s="15">
        <v>130.41999999999999</v>
      </c>
      <c r="O215" s="15">
        <f t="shared" si="7"/>
        <v>-0.15532774153462769</v>
      </c>
      <c r="P215" s="15">
        <f t="shared" si="7"/>
        <v>-6.2262193012796452E-2</v>
      </c>
      <c r="Q215" s="15">
        <f t="shared" si="7"/>
        <v>-0.16346569436902492</v>
      </c>
      <c r="R215" s="15">
        <f t="shared" si="7"/>
        <v>1.3303972841545164</v>
      </c>
      <c r="S215" s="15">
        <f t="shared" si="8"/>
        <v>0.1458957229516944</v>
      </c>
    </row>
    <row r="216" spans="1:19" ht="12.75">
      <c r="A216" s="6">
        <v>20191106</v>
      </c>
      <c r="B216" s="5">
        <v>-0.05</v>
      </c>
      <c r="C216" s="5">
        <v>-0.8</v>
      </c>
      <c r="D216" s="5">
        <v>0.2</v>
      </c>
      <c r="E216" s="5">
        <v>-0.17</v>
      </c>
      <c r="F216" s="5">
        <v>0.3</v>
      </c>
      <c r="G216" s="7">
        <v>6.0000000000000001E-3</v>
      </c>
      <c r="H216" s="8"/>
      <c r="I216" s="14">
        <v>64.31</v>
      </c>
      <c r="J216" s="15">
        <v>144.06</v>
      </c>
      <c r="K216" s="15">
        <v>1795.77</v>
      </c>
      <c r="L216" s="15">
        <v>222</v>
      </c>
      <c r="M216" s="15">
        <v>130.96</v>
      </c>
      <c r="O216" s="15">
        <f t="shared" si="7"/>
        <v>4.6670815183569303E-2</v>
      </c>
      <c r="P216" s="15">
        <f t="shared" si="7"/>
        <v>-0.27689325764918005</v>
      </c>
      <c r="Q216" s="15">
        <f t="shared" si="7"/>
        <v>-0.32968679754233898</v>
      </c>
      <c r="R216" s="15">
        <f t="shared" si="7"/>
        <v>0.50706265845708032</v>
      </c>
      <c r="S216" s="15">
        <f t="shared" si="8"/>
        <v>0.41404692531821219</v>
      </c>
    </row>
    <row r="217" spans="1:19" ht="12.75">
      <c r="A217" s="6">
        <v>20191107</v>
      </c>
      <c r="B217" s="5">
        <v>0.38</v>
      </c>
      <c r="C217" s="5">
        <v>-0.01</v>
      </c>
      <c r="D217" s="5">
        <v>0.5</v>
      </c>
      <c r="E217" s="5">
        <v>0.09</v>
      </c>
      <c r="F217" s="5">
        <v>-0.21</v>
      </c>
      <c r="G217" s="7">
        <v>6.0000000000000001E-3</v>
      </c>
      <c r="H217" s="8"/>
      <c r="I217" s="14">
        <v>64.86</v>
      </c>
      <c r="J217" s="15">
        <v>144.26</v>
      </c>
      <c r="K217" s="15">
        <v>1788.2</v>
      </c>
      <c r="L217" s="15">
        <v>222.74</v>
      </c>
      <c r="M217" s="15">
        <v>131.43</v>
      </c>
      <c r="O217" s="15">
        <f t="shared" si="7"/>
        <v>0.85523246773440142</v>
      </c>
      <c r="P217" s="15">
        <f t="shared" si="7"/>
        <v>0.13883104262111257</v>
      </c>
      <c r="Q217" s="15">
        <f t="shared" si="7"/>
        <v>-0.42154618909994168</v>
      </c>
      <c r="R217" s="15">
        <f t="shared" si="7"/>
        <v>0.33333333333334103</v>
      </c>
      <c r="S217" s="15">
        <f t="shared" si="8"/>
        <v>0.35888821014049554</v>
      </c>
    </row>
    <row r="218" spans="1:19" ht="12.75">
      <c r="A218" s="6">
        <v>20191108</v>
      </c>
      <c r="B218" s="5">
        <v>0.31</v>
      </c>
      <c r="C218" s="5">
        <v>-0.01</v>
      </c>
      <c r="D218" s="5">
        <v>-0.35</v>
      </c>
      <c r="E218" s="5">
        <v>-0.12</v>
      </c>
      <c r="F218" s="5">
        <v>0.06</v>
      </c>
      <c r="G218" s="7">
        <v>6.0000000000000001E-3</v>
      </c>
      <c r="H218" s="8"/>
      <c r="I218" s="14">
        <v>65.040000000000006</v>
      </c>
      <c r="J218" s="15">
        <v>145.96</v>
      </c>
      <c r="K218" s="15">
        <v>1785.88</v>
      </c>
      <c r="L218" s="15">
        <v>221.31</v>
      </c>
      <c r="M218" s="15">
        <v>133</v>
      </c>
      <c r="O218" s="15">
        <f t="shared" si="7"/>
        <v>0.27752081406107187</v>
      </c>
      <c r="P218" s="15">
        <f t="shared" si="7"/>
        <v>1.1784278386247182</v>
      </c>
      <c r="Q218" s="15">
        <f t="shared" si="7"/>
        <v>-0.12973940275136098</v>
      </c>
      <c r="R218" s="15">
        <f t="shared" si="7"/>
        <v>-0.64200413037622805</v>
      </c>
      <c r="S218" s="15">
        <f t="shared" si="8"/>
        <v>1.194552233127899</v>
      </c>
    </row>
    <row r="219" spans="1:19" ht="12.75">
      <c r="A219" s="6">
        <v>20191111</v>
      </c>
      <c r="B219" s="5">
        <v>-0.19</v>
      </c>
      <c r="C219" s="5">
        <v>-7.0000000000000007E-2</v>
      </c>
      <c r="D219" s="5">
        <v>-0.19</v>
      </c>
      <c r="E219" s="5">
        <v>-7.0000000000000007E-2</v>
      </c>
      <c r="F219" s="5">
        <v>-0.08</v>
      </c>
      <c r="G219" s="7">
        <v>6.0000000000000001E-3</v>
      </c>
      <c r="H219" s="8"/>
      <c r="I219" s="14">
        <v>65.55</v>
      </c>
      <c r="J219" s="15">
        <v>146.11000000000001</v>
      </c>
      <c r="K219" s="15">
        <v>1771.65</v>
      </c>
      <c r="L219" s="15">
        <v>220.85</v>
      </c>
      <c r="M219" s="15">
        <v>131.97999999999999</v>
      </c>
      <c r="O219" s="15">
        <f t="shared" si="7"/>
        <v>0.78413284132838879</v>
      </c>
      <c r="P219" s="15">
        <f t="shared" si="7"/>
        <v>0.10276788161140971</v>
      </c>
      <c r="Q219" s="15">
        <f t="shared" si="7"/>
        <v>-0.79680605639796953</v>
      </c>
      <c r="R219" s="15">
        <f t="shared" si="7"/>
        <v>-0.20785323754010099</v>
      </c>
      <c r="S219" s="15">
        <f t="shared" si="8"/>
        <v>-0.76691729323309366</v>
      </c>
    </row>
    <row r="220" spans="1:19" ht="12.75">
      <c r="A220" s="6">
        <v>20191112</v>
      </c>
      <c r="B220" s="5">
        <v>0.16</v>
      </c>
      <c r="C220" s="5">
        <v>-0.18</v>
      </c>
      <c r="D220" s="5">
        <v>-0.19</v>
      </c>
      <c r="E220" s="5">
        <v>-0.17</v>
      </c>
      <c r="F220" s="5">
        <v>-0.22</v>
      </c>
      <c r="G220" s="7">
        <v>6.0000000000000001E-3</v>
      </c>
      <c r="H220" s="8"/>
      <c r="I220" s="14">
        <v>65.489999999999995</v>
      </c>
      <c r="J220" s="15">
        <v>147.07</v>
      </c>
      <c r="K220" s="15">
        <v>1778</v>
      </c>
      <c r="L220" s="15">
        <v>220.89</v>
      </c>
      <c r="M220" s="15">
        <v>131.35</v>
      </c>
      <c r="O220" s="15">
        <f t="shared" si="7"/>
        <v>-9.1533180778036183E-2</v>
      </c>
      <c r="P220" s="15">
        <f t="shared" si="7"/>
        <v>0.65703921702824353</v>
      </c>
      <c r="Q220" s="15">
        <f t="shared" si="7"/>
        <v>0.35842293906809264</v>
      </c>
      <c r="R220" s="15">
        <f t="shared" si="7"/>
        <v>1.8111840615797625E-2</v>
      </c>
      <c r="S220" s="15">
        <f t="shared" si="8"/>
        <v>-0.47734505228064217</v>
      </c>
    </row>
    <row r="221" spans="1:19" ht="12.75">
      <c r="A221" s="6">
        <v>20191113</v>
      </c>
      <c r="B221" s="5">
        <v>0.01</v>
      </c>
      <c r="C221" s="5">
        <v>-0.41</v>
      </c>
      <c r="D221" s="5">
        <v>-0.82</v>
      </c>
      <c r="E221" s="5">
        <v>-0.28000000000000003</v>
      </c>
      <c r="F221" s="5">
        <v>-0.03</v>
      </c>
      <c r="G221" s="7">
        <v>6.0000000000000001E-3</v>
      </c>
      <c r="H221" s="8"/>
      <c r="I221" s="14">
        <v>66.12</v>
      </c>
      <c r="J221" s="15">
        <v>147.31</v>
      </c>
      <c r="K221" s="15">
        <v>1753.11</v>
      </c>
      <c r="L221" s="15">
        <v>219.77</v>
      </c>
      <c r="M221" s="15">
        <v>131.27000000000001</v>
      </c>
      <c r="O221" s="15">
        <f t="shared" si="7"/>
        <v>0.96197892808063123</v>
      </c>
      <c r="P221" s="15">
        <f t="shared" si="7"/>
        <v>0.16318759774258673</v>
      </c>
      <c r="Q221" s="15">
        <f t="shared" si="7"/>
        <v>-1.3998875140607492</v>
      </c>
      <c r="R221" s="15">
        <f t="shared" si="7"/>
        <v>-0.50703970301959611</v>
      </c>
      <c r="S221" s="15">
        <f t="shared" si="8"/>
        <v>-6.0905976398917261E-2</v>
      </c>
    </row>
    <row r="222" spans="1:19" ht="12.75">
      <c r="A222" s="6">
        <v>20191114</v>
      </c>
      <c r="B222" s="5">
        <v>7.0000000000000007E-2</v>
      </c>
      <c r="C222" s="5">
        <v>-0.14000000000000001</v>
      </c>
      <c r="D222" s="5">
        <v>-0.27</v>
      </c>
      <c r="E222" s="5">
        <v>0.13</v>
      </c>
      <c r="F222" s="5">
        <v>-0.35</v>
      </c>
      <c r="G222" s="7">
        <v>6.0000000000000001E-3</v>
      </c>
      <c r="H222" s="8"/>
      <c r="I222" s="14">
        <v>65.66</v>
      </c>
      <c r="J222" s="15">
        <v>148.06</v>
      </c>
      <c r="K222" s="15">
        <v>1754.6</v>
      </c>
      <c r="L222" s="15">
        <v>219.36</v>
      </c>
      <c r="M222" s="15">
        <v>130.96</v>
      </c>
      <c r="O222" s="15">
        <f t="shared" si="7"/>
        <v>-0.69570477918936557</v>
      </c>
      <c r="P222" s="15">
        <f t="shared" si="7"/>
        <v>0.50913040526781028</v>
      </c>
      <c r="Q222" s="15">
        <f t="shared" si="7"/>
        <v>8.4991814546730993E-2</v>
      </c>
      <c r="R222" s="15">
        <f t="shared" si="7"/>
        <v>-0.18655867497838763</v>
      </c>
      <c r="S222" s="15">
        <f t="shared" si="8"/>
        <v>-0.23615449074426698</v>
      </c>
    </row>
    <row r="223" spans="1:19" ht="12.75">
      <c r="A223" s="6">
        <v>20191115</v>
      </c>
      <c r="B223" s="5">
        <v>0.74</v>
      </c>
      <c r="C223" s="5">
        <v>-0.28999999999999998</v>
      </c>
      <c r="D223" s="5">
        <v>-0.34</v>
      </c>
      <c r="E223" s="5">
        <v>-0.01</v>
      </c>
      <c r="F223" s="5">
        <v>0.05</v>
      </c>
      <c r="G223" s="7">
        <v>6.0000000000000001E-3</v>
      </c>
      <c r="H223" s="8"/>
      <c r="I223" s="14">
        <v>66.44</v>
      </c>
      <c r="J223" s="15">
        <v>149.97</v>
      </c>
      <c r="K223" s="15">
        <v>1739.49</v>
      </c>
      <c r="L223" s="15">
        <v>219.74</v>
      </c>
      <c r="M223" s="15">
        <v>134.94</v>
      </c>
      <c r="O223" s="15">
        <f t="shared" si="7"/>
        <v>1.1879378617118519</v>
      </c>
      <c r="P223" s="15">
        <f t="shared" si="7"/>
        <v>1.2900175604484643</v>
      </c>
      <c r="Q223" s="15">
        <f t="shared" si="7"/>
        <v>-0.86116493787757875</v>
      </c>
      <c r="R223" s="15">
        <f t="shared" si="7"/>
        <v>0.17323121808898723</v>
      </c>
      <c r="S223" s="15">
        <f t="shared" si="8"/>
        <v>3.0390959071472157</v>
      </c>
    </row>
    <row r="224" spans="1:19" ht="12.75">
      <c r="A224" s="6">
        <v>20191118</v>
      </c>
      <c r="B224" s="5">
        <v>0.02</v>
      </c>
      <c r="C224" s="5">
        <v>-0.36</v>
      </c>
      <c r="D224" s="5">
        <v>-0.51</v>
      </c>
      <c r="E224" s="5">
        <v>-0.04</v>
      </c>
      <c r="F224" s="5">
        <v>-0.32</v>
      </c>
      <c r="G224" s="7">
        <v>6.0000000000000001E-3</v>
      </c>
      <c r="H224" s="8"/>
      <c r="I224" s="14">
        <v>66.78</v>
      </c>
      <c r="J224" s="15">
        <v>150.34</v>
      </c>
      <c r="K224" s="15">
        <v>1752.53</v>
      </c>
      <c r="L224" s="15">
        <v>219.35</v>
      </c>
      <c r="M224" s="15">
        <v>134.83000000000001</v>
      </c>
      <c r="O224" s="15">
        <f t="shared" si="7"/>
        <v>0.51173991571342725</v>
      </c>
      <c r="P224" s="15">
        <f t="shared" si="7"/>
        <v>0.24671600986865272</v>
      </c>
      <c r="Q224" s="15">
        <f t="shared" si="7"/>
        <v>0.7496450108939845</v>
      </c>
      <c r="R224" s="15">
        <f t="shared" si="7"/>
        <v>-0.17748247929372241</v>
      </c>
      <c r="S224" s="15">
        <f t="shared" si="8"/>
        <v>-8.1517711575507246E-2</v>
      </c>
    </row>
    <row r="225" spans="1:19" ht="12.75">
      <c r="A225" s="6">
        <v>20191119</v>
      </c>
      <c r="B225" s="5">
        <v>0.02</v>
      </c>
      <c r="C225" s="5">
        <v>0.35</v>
      </c>
      <c r="D225" s="5">
        <v>-0.96</v>
      </c>
      <c r="E225" s="5">
        <v>-0.86</v>
      </c>
      <c r="F225" s="5">
        <v>-0.22</v>
      </c>
      <c r="G225" s="7">
        <v>6.0000000000000001E-3</v>
      </c>
      <c r="H225" s="8"/>
      <c r="I225" s="14">
        <v>66.569999999999993</v>
      </c>
      <c r="J225" s="15">
        <v>150.38999999999999</v>
      </c>
      <c r="K225" s="15">
        <v>1752.79</v>
      </c>
      <c r="L225" s="15">
        <v>219.03</v>
      </c>
      <c r="M225" s="15">
        <v>134.82</v>
      </c>
      <c r="O225" s="15">
        <f t="shared" si="7"/>
        <v>-0.31446540880504248</v>
      </c>
      <c r="P225" s="15">
        <f t="shared" si="7"/>
        <v>3.325794864972309E-2</v>
      </c>
      <c r="Q225" s="15">
        <f t="shared" si="7"/>
        <v>1.483569468139212E-2</v>
      </c>
      <c r="R225" s="15">
        <f t="shared" si="7"/>
        <v>-0.14588557100524424</v>
      </c>
      <c r="S225" s="15">
        <f t="shared" si="8"/>
        <v>-7.4167470147767922E-3</v>
      </c>
    </row>
    <row r="226" spans="1:19" ht="12.75">
      <c r="A226" s="6">
        <v>20191120</v>
      </c>
      <c r="B226" s="5">
        <v>-0.33</v>
      </c>
      <c r="C226" s="5">
        <v>-0.14000000000000001</v>
      </c>
      <c r="D226" s="5">
        <v>-0.44</v>
      </c>
      <c r="E226" s="5">
        <v>-0.55000000000000004</v>
      </c>
      <c r="F226" s="5">
        <v>-0.28999999999999998</v>
      </c>
      <c r="G226" s="7">
        <v>6.0000000000000001E-3</v>
      </c>
      <c r="H226" s="8"/>
      <c r="I226" s="14">
        <v>65.8</v>
      </c>
      <c r="J226" s="15">
        <v>149.62</v>
      </c>
      <c r="K226" s="15">
        <v>1745.53</v>
      </c>
      <c r="L226" s="15">
        <v>217.48</v>
      </c>
      <c r="M226" s="15">
        <v>135.94</v>
      </c>
      <c r="O226" s="15">
        <f t="shared" si="7"/>
        <v>-1.1566771819137678</v>
      </c>
      <c r="P226" s="15">
        <f t="shared" si="7"/>
        <v>-0.51200212780103671</v>
      </c>
      <c r="Q226" s="15">
        <f t="shared" si="7"/>
        <v>-0.41419679482425087</v>
      </c>
      <c r="R226" s="15">
        <f t="shared" si="7"/>
        <v>-0.70766561658220928</v>
      </c>
      <c r="S226" s="15">
        <f t="shared" si="8"/>
        <v>0.83073727933540287</v>
      </c>
    </row>
    <row r="227" spans="1:19" ht="12.75">
      <c r="A227" s="6">
        <v>20191121</v>
      </c>
      <c r="B227" s="5">
        <v>-0.14000000000000001</v>
      </c>
      <c r="C227" s="5">
        <v>-0.32</v>
      </c>
      <c r="D227" s="5">
        <v>0.13</v>
      </c>
      <c r="E227" s="5">
        <v>0.08</v>
      </c>
      <c r="F227" s="5">
        <v>-0.1</v>
      </c>
      <c r="G227" s="7">
        <v>6.0000000000000001E-3</v>
      </c>
      <c r="H227" s="8"/>
      <c r="I227" s="14">
        <v>65.5</v>
      </c>
      <c r="J227" s="15">
        <v>149.47999999999999</v>
      </c>
      <c r="K227" s="15">
        <v>1734.71</v>
      </c>
      <c r="L227" s="15">
        <v>216.63</v>
      </c>
      <c r="M227" s="15">
        <v>136.44</v>
      </c>
      <c r="O227" s="15">
        <f t="shared" si="7"/>
        <v>-0.45592705167172287</v>
      </c>
      <c r="P227" s="15">
        <f t="shared" si="7"/>
        <v>-9.3570378291685241E-2</v>
      </c>
      <c r="Q227" s="15">
        <f t="shared" si="7"/>
        <v>-0.61986903691142459</v>
      </c>
      <c r="R227" s="15">
        <f t="shared" si="7"/>
        <v>-0.39084053706087696</v>
      </c>
      <c r="S227" s="15">
        <f t="shared" si="8"/>
        <v>0.36780932764455265</v>
      </c>
    </row>
    <row r="228" spans="1:19" ht="12.75">
      <c r="A228" s="6">
        <v>20191122</v>
      </c>
      <c r="B228" s="5">
        <v>0.24</v>
      </c>
      <c r="C228" s="5">
        <v>0.15</v>
      </c>
      <c r="D228" s="5">
        <v>0.22</v>
      </c>
      <c r="E228" s="5">
        <v>0.18</v>
      </c>
      <c r="F228" s="5">
        <v>0.05</v>
      </c>
      <c r="G228" s="7">
        <v>6.0000000000000001E-3</v>
      </c>
      <c r="H228" s="8"/>
      <c r="I228" s="14">
        <v>65.44</v>
      </c>
      <c r="J228" s="15">
        <v>149.59</v>
      </c>
      <c r="K228" s="15">
        <v>1745.72</v>
      </c>
      <c r="L228" s="15">
        <v>217.96</v>
      </c>
      <c r="M228" s="15">
        <v>138.07</v>
      </c>
      <c r="O228" s="15">
        <f t="shared" si="7"/>
        <v>-9.1603053435118653E-2</v>
      </c>
      <c r="P228" s="15">
        <f t="shared" si="7"/>
        <v>7.3588439925087457E-2</v>
      </c>
      <c r="Q228" s="15">
        <f t="shared" si="7"/>
        <v>0.63468821878007731</v>
      </c>
      <c r="R228" s="15">
        <f t="shared" si="7"/>
        <v>0.61395005308590989</v>
      </c>
      <c r="S228" s="15">
        <f t="shared" si="8"/>
        <v>1.1946643213133878</v>
      </c>
    </row>
    <row r="229" spans="1:19" ht="12.75">
      <c r="A229" s="6">
        <v>20191125</v>
      </c>
      <c r="B229" s="5">
        <v>0.92</v>
      </c>
      <c r="C229" s="5">
        <v>1.27</v>
      </c>
      <c r="D229" s="5">
        <v>-0.39</v>
      </c>
      <c r="E229" s="5">
        <v>0.11</v>
      </c>
      <c r="F229" s="5">
        <v>0.01</v>
      </c>
      <c r="G229" s="7">
        <v>6.0000000000000001E-3</v>
      </c>
      <c r="H229" s="8"/>
      <c r="I229" s="14">
        <v>66.59</v>
      </c>
      <c r="J229" s="15">
        <v>151.22999999999999</v>
      </c>
      <c r="K229" s="15">
        <v>1773.84</v>
      </c>
      <c r="L229" s="15">
        <v>219.06</v>
      </c>
      <c r="M229" s="15">
        <v>137.18</v>
      </c>
      <c r="O229" s="15">
        <f t="shared" si="7"/>
        <v>1.7573349633251967</v>
      </c>
      <c r="P229" s="15">
        <f t="shared" si="7"/>
        <v>1.0963299685807781</v>
      </c>
      <c r="Q229" s="15">
        <f t="shared" si="7"/>
        <v>1.6107966913365246</v>
      </c>
      <c r="R229" s="15">
        <f t="shared" si="7"/>
        <v>0.5046797577537232</v>
      </c>
      <c r="S229" s="15">
        <f t="shared" si="8"/>
        <v>-0.64460056493081952</v>
      </c>
    </row>
    <row r="230" spans="1:19" ht="12.75">
      <c r="A230" s="6">
        <v>20191126</v>
      </c>
      <c r="B230" s="5">
        <v>0.19</v>
      </c>
      <c r="C230" s="5">
        <v>-0.09</v>
      </c>
      <c r="D230" s="5">
        <v>-0.9</v>
      </c>
      <c r="E230" s="5">
        <v>0.2</v>
      </c>
      <c r="F230" s="5">
        <v>-0.25</v>
      </c>
      <c r="G230" s="7">
        <v>6.0000000000000001E-3</v>
      </c>
      <c r="H230" s="8"/>
      <c r="I230" s="14">
        <v>66.069999999999993</v>
      </c>
      <c r="J230" s="15">
        <v>152.03</v>
      </c>
      <c r="K230" s="15">
        <v>1796.94</v>
      </c>
      <c r="L230" s="15">
        <v>218.9</v>
      </c>
      <c r="M230" s="15">
        <v>137.16999999999999</v>
      </c>
      <c r="O230" s="15">
        <f t="shared" si="7"/>
        <v>-0.78089803273766467</v>
      </c>
      <c r="P230" s="15">
        <f t="shared" si="7"/>
        <v>0.52899556966210515</v>
      </c>
      <c r="Q230" s="15">
        <f t="shared" si="7"/>
        <v>1.3022595048031382</v>
      </c>
      <c r="R230" s="15">
        <f t="shared" si="7"/>
        <v>-7.3039349949788335E-2</v>
      </c>
      <c r="S230" s="15">
        <f t="shared" si="8"/>
        <v>-7.289692375000989E-3</v>
      </c>
    </row>
    <row r="231" spans="1:19" ht="12.75">
      <c r="A231" s="6">
        <v>20191127</v>
      </c>
      <c r="B231" s="5">
        <v>0.44</v>
      </c>
      <c r="C231" s="5">
        <v>0.22</v>
      </c>
      <c r="D231" s="5">
        <v>-0.01</v>
      </c>
      <c r="E231" s="5">
        <v>0.03</v>
      </c>
      <c r="F231" s="5">
        <v>-0.02</v>
      </c>
      <c r="G231" s="7">
        <v>6.0000000000000001E-3</v>
      </c>
      <c r="H231" s="8"/>
      <c r="I231" s="14">
        <v>66.959999999999994</v>
      </c>
      <c r="J231" s="15">
        <v>152.32</v>
      </c>
      <c r="K231" s="15">
        <v>1818.51</v>
      </c>
      <c r="L231" s="15">
        <v>220.5</v>
      </c>
      <c r="M231" s="15">
        <v>137.75</v>
      </c>
      <c r="O231" s="15">
        <f t="shared" si="7"/>
        <v>1.3470561525654512</v>
      </c>
      <c r="P231" s="15">
        <f t="shared" si="7"/>
        <v>0.19075182529764145</v>
      </c>
      <c r="Q231" s="15">
        <f t="shared" si="7"/>
        <v>1.2003739690807702</v>
      </c>
      <c r="R231" s="15">
        <f t="shared" si="7"/>
        <v>0.73092736409319237</v>
      </c>
      <c r="S231" s="15">
        <f t="shared" si="8"/>
        <v>0.42283298097252064</v>
      </c>
    </row>
    <row r="232" spans="1:19" ht="12.75">
      <c r="A232" s="6">
        <v>20191129</v>
      </c>
      <c r="B232" s="5">
        <v>-0.42</v>
      </c>
      <c r="C232" s="5">
        <v>-0.11</v>
      </c>
      <c r="D232" s="5">
        <v>-0.31</v>
      </c>
      <c r="E232" s="5">
        <v>-0.47</v>
      </c>
      <c r="F232" s="5">
        <v>0</v>
      </c>
      <c r="G232" s="7">
        <v>6.0000000000000001E-3</v>
      </c>
      <c r="H232" s="8"/>
      <c r="I232" s="14">
        <v>66.81</v>
      </c>
      <c r="J232" s="15">
        <v>151.38</v>
      </c>
      <c r="K232" s="15">
        <v>1800.8</v>
      </c>
      <c r="L232" s="15">
        <v>220.3</v>
      </c>
      <c r="M232" s="15">
        <v>137.49</v>
      </c>
      <c r="O232" s="15">
        <f t="shared" si="7"/>
        <v>-0.22401433691755512</v>
      </c>
      <c r="P232" s="15">
        <f t="shared" si="7"/>
        <v>-0.61712184873949916</v>
      </c>
      <c r="Q232" s="15">
        <f t="shared" si="7"/>
        <v>-0.97387421570406252</v>
      </c>
      <c r="R232" s="15">
        <f t="shared" si="7"/>
        <v>-9.0702947845799908E-2</v>
      </c>
      <c r="S232" s="15">
        <f t="shared" si="8"/>
        <v>-0.18874773139745393</v>
      </c>
    </row>
    <row r="233" spans="1:19" ht="12.75">
      <c r="A233" s="6">
        <v>20191202</v>
      </c>
      <c r="B233" s="5">
        <v>-0.87</v>
      </c>
      <c r="C233" s="5">
        <v>-0.13</v>
      </c>
      <c r="D233" s="5">
        <v>0.46</v>
      </c>
      <c r="E233" s="5">
        <v>0.09</v>
      </c>
      <c r="F233" s="5">
        <v>0.2</v>
      </c>
      <c r="G233" s="7">
        <v>7.0000000000000001E-3</v>
      </c>
      <c r="H233" s="8"/>
      <c r="I233" s="14">
        <v>66.040000000000006</v>
      </c>
      <c r="J233" s="15">
        <v>149.55000000000001</v>
      </c>
      <c r="K233" s="15">
        <v>1781.6</v>
      </c>
      <c r="L233" s="15">
        <v>220.33</v>
      </c>
      <c r="M233" s="15">
        <v>137.36000000000001</v>
      </c>
      <c r="O233" s="15">
        <f t="shared" si="7"/>
        <v>-1.1525220775333023</v>
      </c>
      <c r="P233" s="15">
        <f t="shared" si="7"/>
        <v>-1.2088783194609487</v>
      </c>
      <c r="Q233" s="15">
        <f t="shared" si="7"/>
        <v>-1.0661928031985846</v>
      </c>
      <c r="R233" s="15">
        <f t="shared" si="7"/>
        <v>1.3617793917375387E-2</v>
      </c>
      <c r="S233" s="15">
        <f t="shared" si="8"/>
        <v>-9.4552331078623375E-2</v>
      </c>
    </row>
    <row r="234" spans="1:19" ht="12.75">
      <c r="A234" s="6">
        <v>20191203</v>
      </c>
      <c r="B234" s="5">
        <v>-0.66</v>
      </c>
      <c r="C234" s="5">
        <v>0.42</v>
      </c>
      <c r="D234" s="5">
        <v>-0.83</v>
      </c>
      <c r="E234" s="5">
        <v>-0.51</v>
      </c>
      <c r="F234" s="5">
        <v>-0.55000000000000004</v>
      </c>
      <c r="G234" s="7">
        <v>7.0000000000000001E-3</v>
      </c>
      <c r="H234" s="8"/>
      <c r="I234" s="14">
        <v>64.86</v>
      </c>
      <c r="J234" s="15">
        <v>149.31</v>
      </c>
      <c r="K234" s="15">
        <v>1769.96</v>
      </c>
      <c r="L234" s="15">
        <v>218.08</v>
      </c>
      <c r="M234" s="15">
        <v>137.16</v>
      </c>
      <c r="O234" s="15">
        <f t="shared" si="7"/>
        <v>-1.7867958812840756</v>
      </c>
      <c r="P234" s="15">
        <f t="shared" si="7"/>
        <v>-0.16048144433300493</v>
      </c>
      <c r="Q234" s="15">
        <f t="shared" si="7"/>
        <v>-0.65334530758868192</v>
      </c>
      <c r="R234" s="15">
        <f t="shared" si="7"/>
        <v>-1.021195479508008</v>
      </c>
      <c r="S234" s="15">
        <f t="shared" si="8"/>
        <v>-0.14560279557368494</v>
      </c>
    </row>
    <row r="235" spans="1:19" ht="12.75">
      <c r="A235" s="6">
        <v>20191204</v>
      </c>
      <c r="B235" s="5">
        <v>0.6</v>
      </c>
      <c r="C235" s="5">
        <v>0.21</v>
      </c>
      <c r="D235" s="5">
        <v>0.25</v>
      </c>
      <c r="E235" s="5">
        <v>0.16</v>
      </c>
      <c r="F235" s="5">
        <v>0.09</v>
      </c>
      <c r="G235" s="7">
        <v>7.0000000000000001E-3</v>
      </c>
      <c r="H235" s="8"/>
      <c r="I235" s="14">
        <v>65.44</v>
      </c>
      <c r="J235" s="15">
        <v>149.85</v>
      </c>
      <c r="K235" s="15">
        <v>1760.69</v>
      </c>
      <c r="L235" s="15">
        <v>218.4</v>
      </c>
      <c r="M235" s="15">
        <v>139.38</v>
      </c>
      <c r="O235" s="15">
        <f t="shared" si="7"/>
        <v>0.89423373419672547</v>
      </c>
      <c r="P235" s="15">
        <f t="shared" si="7"/>
        <v>0.36166365280287938</v>
      </c>
      <c r="Q235" s="15">
        <f t="shared" si="7"/>
        <v>-0.52374064950619914</v>
      </c>
      <c r="R235" s="15">
        <f t="shared" si="7"/>
        <v>0.14673514306675628</v>
      </c>
      <c r="S235" s="15">
        <f t="shared" si="8"/>
        <v>1.618547681539817</v>
      </c>
    </row>
    <row r="236" spans="1:19" ht="12.75">
      <c r="A236" s="6">
        <v>20191205</v>
      </c>
      <c r="B236" s="5">
        <v>0.13</v>
      </c>
      <c r="C236" s="5">
        <v>-0.14000000000000001</v>
      </c>
      <c r="D236" s="5">
        <v>0.46</v>
      </c>
      <c r="E236" s="5">
        <v>0.26</v>
      </c>
      <c r="F236" s="5">
        <v>0.35</v>
      </c>
      <c r="G236" s="7">
        <v>7.0000000000000001E-3</v>
      </c>
      <c r="H236" s="8"/>
      <c r="I236" s="14">
        <v>66.400000000000006</v>
      </c>
      <c r="J236" s="15">
        <v>149.93</v>
      </c>
      <c r="K236" s="15">
        <v>1740.48</v>
      </c>
      <c r="L236" s="15">
        <v>219.6</v>
      </c>
      <c r="M236" s="15">
        <v>139.56</v>
      </c>
      <c r="O236" s="15">
        <f t="shared" si="7"/>
        <v>1.4669926650366927</v>
      </c>
      <c r="P236" s="15">
        <f t="shared" si="7"/>
        <v>5.3386720053394399E-2</v>
      </c>
      <c r="Q236" s="15">
        <f t="shared" si="7"/>
        <v>-1.1478454469554533</v>
      </c>
      <c r="R236" s="15">
        <f t="shared" si="7"/>
        <v>0.5494505494505475</v>
      </c>
      <c r="S236" s="15">
        <f t="shared" si="8"/>
        <v>0.12914334911753311</v>
      </c>
    </row>
    <row r="237" spans="1:19" ht="12.75">
      <c r="A237" s="6">
        <v>20191206</v>
      </c>
      <c r="B237" s="5">
        <v>0.91</v>
      </c>
      <c r="C237" s="5">
        <v>0.37</v>
      </c>
      <c r="D237" s="5">
        <v>0.39</v>
      </c>
      <c r="E237" s="5">
        <v>0.33</v>
      </c>
      <c r="F237" s="5">
        <v>0.22</v>
      </c>
      <c r="G237" s="7">
        <v>7.0000000000000001E-3</v>
      </c>
      <c r="H237" s="8"/>
      <c r="I237" s="14">
        <v>67.680000000000007</v>
      </c>
      <c r="J237" s="15">
        <v>151.75</v>
      </c>
      <c r="K237" s="15">
        <v>1751.6</v>
      </c>
      <c r="L237" s="15">
        <v>222.61</v>
      </c>
      <c r="M237" s="15">
        <v>140.38</v>
      </c>
      <c r="O237" s="15">
        <f t="shared" si="7"/>
        <v>1.9277108433734869</v>
      </c>
      <c r="P237" s="15">
        <f t="shared" si="7"/>
        <v>1.2138998199159534</v>
      </c>
      <c r="Q237" s="15">
        <f t="shared" si="7"/>
        <v>0.63890421033276912</v>
      </c>
      <c r="R237" s="15">
        <f t="shared" si="7"/>
        <v>1.370673952641166</v>
      </c>
      <c r="S237" s="15">
        <f t="shared" si="8"/>
        <v>0.5875609057036435</v>
      </c>
    </row>
    <row r="238" spans="1:19" ht="12.75">
      <c r="A238" s="6">
        <v>20191209</v>
      </c>
      <c r="B238" s="5">
        <v>-0.33</v>
      </c>
      <c r="C238" s="5">
        <v>0.31</v>
      </c>
      <c r="D238" s="5">
        <v>0.12</v>
      </c>
      <c r="E238" s="5">
        <v>-0.13</v>
      </c>
      <c r="F238" s="5">
        <v>-0.22</v>
      </c>
      <c r="G238" s="7">
        <v>7.0000000000000001E-3</v>
      </c>
      <c r="H238" s="8"/>
      <c r="I238" s="14">
        <v>66.73</v>
      </c>
      <c r="J238" s="15">
        <v>151.75</v>
      </c>
      <c r="K238" s="15">
        <v>1749.51</v>
      </c>
      <c r="L238" s="15">
        <v>221.38</v>
      </c>
      <c r="M238" s="15">
        <v>140.5</v>
      </c>
      <c r="O238" s="15">
        <f t="shared" si="7"/>
        <v>-1.4036643026004714</v>
      </c>
      <c r="P238" s="15">
        <f t="shared" si="7"/>
        <v>0</v>
      </c>
      <c r="Q238" s="15">
        <f t="shared" si="7"/>
        <v>-0.11931947933317977</v>
      </c>
      <c r="R238" s="15">
        <f t="shared" si="7"/>
        <v>-0.55253582498541176</v>
      </c>
      <c r="S238" s="15">
        <f t="shared" si="8"/>
        <v>8.5482262430547351E-2</v>
      </c>
    </row>
    <row r="239" spans="1:19" ht="12.75">
      <c r="A239" s="6">
        <v>20191210</v>
      </c>
      <c r="B239" s="5">
        <v>-0.08</v>
      </c>
      <c r="C239" s="5">
        <v>0.27</v>
      </c>
      <c r="D239" s="5">
        <v>-7.0000000000000007E-2</v>
      </c>
      <c r="E239" s="5">
        <v>-0.2</v>
      </c>
      <c r="F239" s="5">
        <v>0.04</v>
      </c>
      <c r="G239" s="7">
        <v>7.0000000000000001E-3</v>
      </c>
      <c r="H239" s="8"/>
      <c r="I239" s="14">
        <v>67.12</v>
      </c>
      <c r="J239" s="15">
        <v>151.13</v>
      </c>
      <c r="K239" s="15">
        <v>1739.21</v>
      </c>
      <c r="L239" s="15">
        <v>221.26</v>
      </c>
      <c r="M239" s="15">
        <v>139.99</v>
      </c>
      <c r="O239" s="15">
        <f t="shared" si="7"/>
        <v>0.58444477746140144</v>
      </c>
      <c r="P239" s="15">
        <f t="shared" si="7"/>
        <v>-0.40856672158154916</v>
      </c>
      <c r="Q239" s="15">
        <f t="shared" si="7"/>
        <v>-0.58873627472835199</v>
      </c>
      <c r="R239" s="15">
        <f t="shared" si="7"/>
        <v>-5.4205438612342505E-2</v>
      </c>
      <c r="S239" s="15">
        <f t="shared" si="8"/>
        <v>-0.36298932384341009</v>
      </c>
    </row>
    <row r="240" spans="1:19" ht="12.75">
      <c r="A240" s="6">
        <v>20191211</v>
      </c>
      <c r="B240" s="5">
        <v>0.28000000000000003</v>
      </c>
      <c r="C240" s="5">
        <v>-0.09</v>
      </c>
      <c r="D240" s="5">
        <v>0.12</v>
      </c>
      <c r="E240" s="5">
        <v>0.33</v>
      </c>
      <c r="F240" s="5">
        <v>0.16</v>
      </c>
      <c r="G240" s="7">
        <v>7.0000000000000001E-3</v>
      </c>
      <c r="H240" s="8"/>
      <c r="I240" s="14">
        <v>67.69</v>
      </c>
      <c r="J240" s="15">
        <v>151.69999999999999</v>
      </c>
      <c r="K240" s="15">
        <v>1748.72</v>
      </c>
      <c r="L240" s="15">
        <v>222.57</v>
      </c>
      <c r="M240" s="15">
        <v>140.97999999999999</v>
      </c>
      <c r="O240" s="15">
        <f t="shared" si="7"/>
        <v>0.8492252681763901</v>
      </c>
      <c r="P240" s="15">
        <f t="shared" si="7"/>
        <v>0.37715873751074103</v>
      </c>
      <c r="Q240" s="15">
        <f t="shared" si="7"/>
        <v>0.54679998390072537</v>
      </c>
      <c r="R240" s="15">
        <f t="shared" si="7"/>
        <v>0.59206363554189512</v>
      </c>
      <c r="S240" s="15">
        <f t="shared" si="8"/>
        <v>0.70719337095506152</v>
      </c>
    </row>
    <row r="241" spans="1:19" ht="12.75">
      <c r="A241" s="6">
        <v>20191212</v>
      </c>
      <c r="B241" s="5">
        <v>0.9</v>
      </c>
      <c r="C241" s="5">
        <v>0.12</v>
      </c>
      <c r="D241" s="5">
        <v>1.1599999999999999</v>
      </c>
      <c r="E241" s="5">
        <v>0.13</v>
      </c>
      <c r="F241" s="5">
        <v>0.19</v>
      </c>
      <c r="G241" s="7">
        <v>7.0000000000000001E-3</v>
      </c>
      <c r="H241" s="8"/>
      <c r="I241" s="14">
        <v>67.86</v>
      </c>
      <c r="J241" s="15">
        <v>153.24</v>
      </c>
      <c r="K241" s="15">
        <v>1760.33</v>
      </c>
      <c r="L241" s="15">
        <v>225.92</v>
      </c>
      <c r="M241" s="15">
        <v>141.34</v>
      </c>
      <c r="O241" s="15">
        <f t="shared" si="7"/>
        <v>0.25114492539519695</v>
      </c>
      <c r="P241" s="15">
        <f t="shared" si="7"/>
        <v>1.0151615029663885</v>
      </c>
      <c r="Q241" s="15">
        <f t="shared" si="7"/>
        <v>0.66391417722677648</v>
      </c>
      <c r="R241" s="15">
        <f t="shared" si="7"/>
        <v>1.5051444489374122</v>
      </c>
      <c r="S241" s="15">
        <f t="shared" si="8"/>
        <v>0.25535536955596516</v>
      </c>
    </row>
    <row r="242" spans="1:19" ht="12.75">
      <c r="A242" s="6">
        <v>20191213</v>
      </c>
      <c r="B242" s="5">
        <v>-0.03</v>
      </c>
      <c r="C242" s="5">
        <v>-0.45</v>
      </c>
      <c r="D242" s="5">
        <v>-0.56000000000000005</v>
      </c>
      <c r="E242" s="5">
        <v>-0.27</v>
      </c>
      <c r="F242" s="5">
        <v>-0.24</v>
      </c>
      <c r="G242" s="7">
        <v>7.0000000000000001E-3</v>
      </c>
      <c r="H242" s="8"/>
      <c r="I242" s="14">
        <v>68.790000000000006</v>
      </c>
      <c r="J242" s="15">
        <v>154.53</v>
      </c>
      <c r="K242" s="15">
        <v>1760.94</v>
      </c>
      <c r="L242" s="15">
        <v>225.37</v>
      </c>
      <c r="M242" s="15">
        <v>141.38</v>
      </c>
      <c r="O242" s="15">
        <f t="shared" si="7"/>
        <v>1.3704686118479303</v>
      </c>
      <c r="P242" s="15">
        <f t="shared" si="7"/>
        <v>0.84181675802661449</v>
      </c>
      <c r="Q242" s="15">
        <f t="shared" si="7"/>
        <v>3.465259354780148E-2</v>
      </c>
      <c r="R242" s="15">
        <f t="shared" si="7"/>
        <v>-0.2434490084985752</v>
      </c>
      <c r="S242" s="15">
        <f t="shared" si="8"/>
        <v>2.8300551860760415E-2</v>
      </c>
    </row>
    <row r="243" spans="1:19" ht="12.75">
      <c r="A243" s="6">
        <v>20191216</v>
      </c>
      <c r="B243" s="5">
        <v>0.74</v>
      </c>
      <c r="C243" s="5">
        <v>-0.04</v>
      </c>
      <c r="D243" s="5">
        <v>-0.05</v>
      </c>
      <c r="E243" s="5">
        <v>-0.4</v>
      </c>
      <c r="F243" s="5">
        <v>0.2</v>
      </c>
      <c r="G243" s="7">
        <v>7.0000000000000001E-3</v>
      </c>
      <c r="H243" s="8"/>
      <c r="I243" s="14">
        <v>69.97</v>
      </c>
      <c r="J243" s="15">
        <v>155.53</v>
      </c>
      <c r="K243" s="15">
        <v>1769.21</v>
      </c>
      <c r="L243" s="15">
        <v>226.85</v>
      </c>
      <c r="M243" s="15">
        <v>141.79</v>
      </c>
      <c r="O243" s="15">
        <f t="shared" si="7"/>
        <v>1.7153656054659017</v>
      </c>
      <c r="P243" s="15">
        <f t="shared" si="7"/>
        <v>0.64712353588300964</v>
      </c>
      <c r="Q243" s="15">
        <f t="shared" si="7"/>
        <v>0.46963553556622628</v>
      </c>
      <c r="R243" s="15">
        <f t="shared" si="7"/>
        <v>0.65669787460620466</v>
      </c>
      <c r="S243" s="15">
        <f t="shared" si="8"/>
        <v>0.28999858537275269</v>
      </c>
    </row>
    <row r="244" spans="1:19" ht="12.75">
      <c r="A244" s="6">
        <v>20191217</v>
      </c>
      <c r="B244" s="5">
        <v>0.1</v>
      </c>
      <c r="C244" s="5">
        <v>0.48</v>
      </c>
      <c r="D244" s="5">
        <v>0.68</v>
      </c>
      <c r="E244" s="5">
        <v>0.12</v>
      </c>
      <c r="F244" s="5">
        <v>-0.03</v>
      </c>
      <c r="G244" s="7">
        <v>7.0000000000000001E-3</v>
      </c>
      <c r="H244" s="8"/>
      <c r="I244" s="14">
        <v>70.099999999999994</v>
      </c>
      <c r="J244" s="15">
        <v>154.69</v>
      </c>
      <c r="K244" s="15">
        <v>1790.66</v>
      </c>
      <c r="L244" s="15">
        <v>227.05</v>
      </c>
      <c r="M244" s="15">
        <v>143.56</v>
      </c>
      <c r="O244" s="15">
        <f t="shared" si="7"/>
        <v>0.18579391167643511</v>
      </c>
      <c r="P244" s="15">
        <f t="shared" si="7"/>
        <v>-0.54008872886259773</v>
      </c>
      <c r="Q244" s="15">
        <f t="shared" si="7"/>
        <v>1.2124055369345577</v>
      </c>
      <c r="R244" s="15">
        <f t="shared" si="7"/>
        <v>8.816398501212408E-2</v>
      </c>
      <c r="S244" s="15">
        <f t="shared" si="8"/>
        <v>1.2483249876578117</v>
      </c>
    </row>
    <row r="245" spans="1:19" ht="12.75">
      <c r="A245" s="6">
        <v>20191218</v>
      </c>
      <c r="B245" s="5">
        <v>-0.05</v>
      </c>
      <c r="C245" s="5">
        <v>0.28999999999999998</v>
      </c>
      <c r="D245" s="5">
        <v>0.09</v>
      </c>
      <c r="E245" s="5">
        <v>0.28000000000000003</v>
      </c>
      <c r="F245" s="5">
        <v>0</v>
      </c>
      <c r="G245" s="7">
        <v>7.0000000000000001E-3</v>
      </c>
      <c r="H245" s="8"/>
      <c r="I245" s="14">
        <v>69.94</v>
      </c>
      <c r="J245" s="15">
        <v>154.37</v>
      </c>
      <c r="K245" s="15">
        <v>1784.03</v>
      </c>
      <c r="L245" s="15">
        <v>225.01</v>
      </c>
      <c r="M245" s="15">
        <v>143.19</v>
      </c>
      <c r="O245" s="15">
        <f t="shared" si="7"/>
        <v>-0.22824536376604421</v>
      </c>
      <c r="P245" s="15">
        <f t="shared" si="7"/>
        <v>-0.2068653435904011</v>
      </c>
      <c r="Q245" s="15">
        <f t="shared" si="7"/>
        <v>-0.37025454301766736</v>
      </c>
      <c r="R245" s="15">
        <f t="shared" si="7"/>
        <v>-0.89848051090068992</v>
      </c>
      <c r="S245" s="15">
        <f t="shared" si="8"/>
        <v>-0.25773195876288568</v>
      </c>
    </row>
    <row r="246" spans="1:19" ht="12.75">
      <c r="A246" s="6">
        <v>20191219</v>
      </c>
      <c r="B246" s="5">
        <v>0.43</v>
      </c>
      <c r="C246" s="5">
        <v>-0.14000000000000001</v>
      </c>
      <c r="D246" s="5">
        <v>-0.42</v>
      </c>
      <c r="E246" s="5">
        <v>-0.25</v>
      </c>
      <c r="F246" s="5">
        <v>-0.04</v>
      </c>
      <c r="G246" s="7">
        <v>7.0000000000000001E-3</v>
      </c>
      <c r="H246" s="8"/>
      <c r="I246" s="14">
        <v>70.010000000000005</v>
      </c>
      <c r="J246" s="15">
        <v>155.71</v>
      </c>
      <c r="K246" s="15">
        <v>1792.28</v>
      </c>
      <c r="L246" s="15">
        <v>225.21</v>
      </c>
      <c r="M246" s="15">
        <v>145.35</v>
      </c>
      <c r="O246" s="15">
        <f t="shared" si="7"/>
        <v>0.10008578781814936</v>
      </c>
      <c r="P246" s="15">
        <f t="shared" si="7"/>
        <v>0.8680443091274137</v>
      </c>
      <c r="Q246" s="15">
        <f t="shared" si="7"/>
        <v>0.46243616979535496</v>
      </c>
      <c r="R246" s="15">
        <f t="shared" si="7"/>
        <v>8.8884938447186812E-2</v>
      </c>
      <c r="S246" s="15">
        <f t="shared" si="8"/>
        <v>1.5084852294154683</v>
      </c>
    </row>
    <row r="247" spans="1:19" ht="12.75">
      <c r="A247" s="6">
        <v>20191220</v>
      </c>
      <c r="B247" s="5">
        <v>0.48</v>
      </c>
      <c r="C247" s="5">
        <v>-0.27</v>
      </c>
      <c r="D247" s="5">
        <v>-0.32</v>
      </c>
      <c r="E247" s="5">
        <v>0</v>
      </c>
      <c r="F247" s="5">
        <v>-7.0000000000000007E-2</v>
      </c>
      <c r="G247" s="7">
        <v>7.0000000000000001E-3</v>
      </c>
      <c r="H247" s="8"/>
      <c r="I247" s="14">
        <v>69.86</v>
      </c>
      <c r="J247" s="15">
        <v>157.41</v>
      </c>
      <c r="K247" s="15">
        <v>1786.5</v>
      </c>
      <c r="L247" s="15">
        <v>226.31</v>
      </c>
      <c r="M247" s="15">
        <v>146.06</v>
      </c>
      <c r="O247" s="15">
        <f t="shared" si="7"/>
        <v>-0.21425510641337464</v>
      </c>
      <c r="P247" s="15">
        <f t="shared" si="7"/>
        <v>1.0917731680688325</v>
      </c>
      <c r="Q247" s="15">
        <f t="shared" si="7"/>
        <v>-0.32249425313009006</v>
      </c>
      <c r="R247" s="15">
        <f t="shared" si="7"/>
        <v>0.48843301807202089</v>
      </c>
      <c r="S247" s="15">
        <f t="shared" si="8"/>
        <v>0.48847609219127008</v>
      </c>
    </row>
    <row r="248" spans="1:19" ht="12.75">
      <c r="A248" s="6">
        <v>20191223</v>
      </c>
      <c r="B248" s="5">
        <v>0.1</v>
      </c>
      <c r="C248" s="5">
        <v>0.16</v>
      </c>
      <c r="D248" s="5">
        <v>-0.32</v>
      </c>
      <c r="E248" s="5">
        <v>-0.13</v>
      </c>
      <c r="F248" s="5">
        <v>0.33</v>
      </c>
      <c r="G248" s="7">
        <v>7.0000000000000001E-3</v>
      </c>
      <c r="H248" s="8"/>
      <c r="I248" s="14">
        <v>71</v>
      </c>
      <c r="J248" s="15">
        <v>157.41</v>
      </c>
      <c r="K248" s="15">
        <v>1793</v>
      </c>
      <c r="L248" s="15">
        <v>225.48</v>
      </c>
      <c r="M248" s="15">
        <v>146.44</v>
      </c>
      <c r="O248" s="15">
        <f t="shared" si="7"/>
        <v>1.6318350987689634</v>
      </c>
      <c r="P248" s="15">
        <f t="shared" si="7"/>
        <v>0</v>
      </c>
      <c r="Q248" s="15">
        <f t="shared" si="7"/>
        <v>0.36383991043940078</v>
      </c>
      <c r="R248" s="15">
        <f t="shared" si="7"/>
        <v>-0.36675356811454174</v>
      </c>
      <c r="S248" s="15">
        <f t="shared" si="8"/>
        <v>0.26016705463507428</v>
      </c>
    </row>
    <row r="249" spans="1:19" ht="12.75">
      <c r="A249" s="6">
        <v>20191224</v>
      </c>
      <c r="B249" s="5">
        <v>0.01</v>
      </c>
      <c r="C249" s="5">
        <v>0.37</v>
      </c>
      <c r="D249" s="5">
        <v>0</v>
      </c>
      <c r="E249" s="5">
        <v>-0.28000000000000003</v>
      </c>
      <c r="F249" s="5">
        <v>0.04</v>
      </c>
      <c r="G249" s="7">
        <v>7.0000000000000001E-3</v>
      </c>
      <c r="H249" s="8"/>
      <c r="I249" s="14">
        <v>71.069999999999993</v>
      </c>
      <c r="J249" s="15">
        <v>157.38</v>
      </c>
      <c r="K249" s="15">
        <v>1789.21</v>
      </c>
      <c r="L249" s="15">
        <v>225.47</v>
      </c>
      <c r="M249" s="15">
        <v>145.93</v>
      </c>
      <c r="O249" s="15">
        <f t="shared" si="7"/>
        <v>9.8591549295767855E-2</v>
      </c>
      <c r="P249" s="15">
        <f t="shared" si="7"/>
        <v>-1.9058509624547693E-2</v>
      </c>
      <c r="Q249" s="15">
        <f t="shared" si="7"/>
        <v>-0.21137757947573554</v>
      </c>
      <c r="R249" s="15">
        <f t="shared" si="7"/>
        <v>-4.4349831470613665E-3</v>
      </c>
      <c r="S249" s="15">
        <f t="shared" si="8"/>
        <v>-0.34826550122916133</v>
      </c>
    </row>
    <row r="250" spans="1:19" ht="12.75">
      <c r="A250" s="6">
        <v>20191226</v>
      </c>
      <c r="B250" s="5">
        <v>0.48</v>
      </c>
      <c r="C250" s="5">
        <v>-0.56000000000000005</v>
      </c>
      <c r="D250" s="5">
        <v>0.01</v>
      </c>
      <c r="E250" s="5">
        <v>0.25</v>
      </c>
      <c r="F250" s="5">
        <v>-0.18</v>
      </c>
      <c r="G250" s="7">
        <v>7.0000000000000001E-3</v>
      </c>
      <c r="H250" s="8"/>
      <c r="I250" s="14">
        <v>72.48</v>
      </c>
      <c r="J250" s="15">
        <v>158.66999999999999</v>
      </c>
      <c r="K250" s="15">
        <v>1868.77</v>
      </c>
      <c r="L250" s="15">
        <v>226.45</v>
      </c>
      <c r="M250" s="15">
        <v>145.83000000000001</v>
      </c>
      <c r="O250" s="15">
        <f t="shared" si="7"/>
        <v>1.9839594765724167</v>
      </c>
      <c r="P250" s="15">
        <f t="shared" si="7"/>
        <v>0.81967213114753079</v>
      </c>
      <c r="Q250" s="15">
        <f t="shared" si="7"/>
        <v>4.4466552277262039</v>
      </c>
      <c r="R250" s="15">
        <f t="shared" si="7"/>
        <v>0.43464762496119302</v>
      </c>
      <c r="S250" s="15">
        <f t="shared" si="8"/>
        <v>-6.8526005619129471E-2</v>
      </c>
    </row>
    <row r="251" spans="1:19" ht="12.75">
      <c r="A251" s="6">
        <v>20191227</v>
      </c>
      <c r="B251" s="5">
        <v>-0.1</v>
      </c>
      <c r="C251" s="5">
        <v>-0.55000000000000004</v>
      </c>
      <c r="D251" s="5">
        <v>-0.09</v>
      </c>
      <c r="E251" s="5">
        <v>0.25</v>
      </c>
      <c r="F251" s="5">
        <v>0.11</v>
      </c>
      <c r="G251" s="7">
        <v>7.0000000000000001E-3</v>
      </c>
      <c r="H251" s="8"/>
      <c r="I251" s="14">
        <v>72.45</v>
      </c>
      <c r="J251" s="15">
        <v>158.96</v>
      </c>
      <c r="K251" s="15">
        <v>1869.8</v>
      </c>
      <c r="L251" s="15">
        <v>226.14</v>
      </c>
      <c r="M251" s="15">
        <v>145.75</v>
      </c>
      <c r="O251" s="15">
        <f t="shared" si="7"/>
        <v>-4.1390728476820016E-2</v>
      </c>
      <c r="P251" s="15">
        <f t="shared" si="7"/>
        <v>0.18276926955318462</v>
      </c>
      <c r="Q251" s="15">
        <f t="shared" si="7"/>
        <v>5.5116466980953405E-2</v>
      </c>
      <c r="R251" s="15">
        <f t="shared" si="7"/>
        <v>-0.13689556193420271</v>
      </c>
      <c r="S251" s="15">
        <f t="shared" si="8"/>
        <v>-5.4858396763368678E-2</v>
      </c>
    </row>
    <row r="252" spans="1:19" ht="12.75">
      <c r="A252" s="6">
        <v>20191230</v>
      </c>
      <c r="B252" s="5">
        <v>-0.56999999999999995</v>
      </c>
      <c r="C252" s="5">
        <v>0.28000000000000003</v>
      </c>
      <c r="D252" s="5">
        <v>0.55000000000000004</v>
      </c>
      <c r="E252" s="5">
        <v>0.11</v>
      </c>
      <c r="F252" s="5">
        <v>0.38</v>
      </c>
      <c r="G252" s="7">
        <v>7.0000000000000001E-3</v>
      </c>
      <c r="H252" s="8"/>
      <c r="I252" s="14">
        <v>72.88</v>
      </c>
      <c r="J252" s="15">
        <v>157.59</v>
      </c>
      <c r="K252" s="15">
        <v>1846.89</v>
      </c>
      <c r="L252" s="15">
        <v>225.76</v>
      </c>
      <c r="M252" s="15">
        <v>145.30000000000001</v>
      </c>
      <c r="O252" s="15">
        <f t="shared" si="7"/>
        <v>0.59351276742580783</v>
      </c>
      <c r="P252" s="15">
        <f t="shared" si="7"/>
        <v>-0.86185203824862278</v>
      </c>
      <c r="Q252" s="15">
        <f t="shared" si="7"/>
        <v>-1.2252647341961631</v>
      </c>
      <c r="R252" s="15">
        <f t="shared" si="7"/>
        <v>-0.16803749889449104</v>
      </c>
      <c r="S252" s="15">
        <f t="shared" si="8"/>
        <v>-0.30874785591765708</v>
      </c>
    </row>
    <row r="253" spans="1:19" ht="12.75">
      <c r="A253" s="6">
        <v>20191231</v>
      </c>
      <c r="B253" s="5">
        <v>0.28000000000000003</v>
      </c>
      <c r="C253" s="5">
        <v>0.01</v>
      </c>
      <c r="D253" s="5">
        <v>0.12</v>
      </c>
      <c r="E253" s="5">
        <v>-0.11</v>
      </c>
      <c r="F253" s="5">
        <v>0.23</v>
      </c>
      <c r="G253" s="7">
        <v>7.0000000000000001E-3</v>
      </c>
      <c r="H253" s="8"/>
      <c r="I253" s="14">
        <v>73.41</v>
      </c>
      <c r="J253" s="15">
        <v>157.69999999999999</v>
      </c>
      <c r="K253" s="15">
        <v>1847.84</v>
      </c>
      <c r="L253" s="15">
        <v>226.5</v>
      </c>
      <c r="M253" s="15">
        <v>145.87</v>
      </c>
      <c r="O253" s="15">
        <f t="shared" si="7"/>
        <v>0.72722283205268745</v>
      </c>
      <c r="P253" s="15">
        <f t="shared" si="7"/>
        <v>6.9801383336498546E-2</v>
      </c>
      <c r="Q253" s="15">
        <f t="shared" si="7"/>
        <v>5.1437822501609887E-2</v>
      </c>
      <c r="R253" s="15">
        <f t="shared" si="7"/>
        <v>0.32778171509568743</v>
      </c>
      <c r="S253" s="15">
        <f t="shared" si="8"/>
        <v>0.39229181004816205</v>
      </c>
    </row>
    <row r="254" spans="1:19" ht="12.75">
      <c r="A254" s="6">
        <v>20200102</v>
      </c>
      <c r="B254" s="5">
        <v>0.86</v>
      </c>
      <c r="C254" s="5">
        <v>-0.97</v>
      </c>
      <c r="D254" s="5">
        <v>-0.32</v>
      </c>
      <c r="E254" s="5">
        <v>0.24</v>
      </c>
      <c r="F254" s="5">
        <v>-0.22</v>
      </c>
      <c r="G254" s="7">
        <v>6.0000000000000001E-3</v>
      </c>
      <c r="H254" s="8"/>
      <c r="I254" s="14">
        <v>75.09</v>
      </c>
      <c r="J254" s="15">
        <v>160.62</v>
      </c>
      <c r="K254" s="15">
        <v>1898.01</v>
      </c>
      <c r="L254" s="15">
        <v>228.39</v>
      </c>
      <c r="M254" s="15">
        <v>145.97</v>
      </c>
      <c r="O254" s="15">
        <f t="shared" si="7"/>
        <v>2.2885165508786276</v>
      </c>
      <c r="P254" s="15">
        <f t="shared" si="7"/>
        <v>1.8516169942929706</v>
      </c>
      <c r="Q254" s="15">
        <f t="shared" si="7"/>
        <v>2.7150619101220963</v>
      </c>
      <c r="R254" s="15">
        <f t="shared" si="7"/>
        <v>0.83443708609269862</v>
      </c>
      <c r="S254" s="15">
        <f t="shared" si="8"/>
        <v>6.855419208884328E-2</v>
      </c>
    </row>
    <row r="255" spans="1:19" ht="12.75">
      <c r="A255" s="6">
        <v>20200103</v>
      </c>
      <c r="B255" s="5">
        <v>-0.67</v>
      </c>
      <c r="C255" s="5">
        <v>0.3</v>
      </c>
      <c r="D255" s="5">
        <v>0</v>
      </c>
      <c r="E255" s="5">
        <v>-0.14000000000000001</v>
      </c>
      <c r="F255" s="5">
        <v>-0.11</v>
      </c>
      <c r="G255" s="7">
        <v>6.0000000000000001E-3</v>
      </c>
      <c r="H255" s="8"/>
      <c r="I255" s="14">
        <v>74.36</v>
      </c>
      <c r="J255" s="15">
        <v>158.62</v>
      </c>
      <c r="K255" s="15">
        <v>1874.97</v>
      </c>
      <c r="L255" s="15">
        <v>226.18</v>
      </c>
      <c r="M255" s="15">
        <v>144.28</v>
      </c>
      <c r="O255" s="15">
        <f t="shared" si="7"/>
        <v>-0.97216673325343228</v>
      </c>
      <c r="P255" s="15">
        <f t="shared" si="7"/>
        <v>-1.2451749470800633</v>
      </c>
      <c r="Q255" s="15">
        <f t="shared" si="7"/>
        <v>-1.2139029825975589</v>
      </c>
      <c r="R255" s="15">
        <f t="shared" si="7"/>
        <v>-0.96764306668417621</v>
      </c>
      <c r="S255" s="15">
        <f t="shared" si="8"/>
        <v>-1.1577721449612888</v>
      </c>
    </row>
    <row r="256" spans="1:19" ht="12.75">
      <c r="A256" s="6">
        <v>20200106</v>
      </c>
      <c r="B256" s="5">
        <v>0.36</v>
      </c>
      <c r="C256" s="5">
        <v>-0.21</v>
      </c>
      <c r="D256" s="5">
        <v>-0.54</v>
      </c>
      <c r="E256" s="5">
        <v>-0.16</v>
      </c>
      <c r="F256" s="5">
        <v>-0.26</v>
      </c>
      <c r="G256" s="7">
        <v>6.0000000000000001E-3</v>
      </c>
      <c r="H256" s="8"/>
      <c r="I256" s="14">
        <v>74.95</v>
      </c>
      <c r="J256" s="15">
        <v>159.03</v>
      </c>
      <c r="K256" s="15">
        <v>1902.88</v>
      </c>
      <c r="L256" s="15">
        <v>226.99</v>
      </c>
      <c r="M256" s="15">
        <v>144.1</v>
      </c>
      <c r="O256" s="15">
        <f t="shared" si="7"/>
        <v>0.79343733189887189</v>
      </c>
      <c r="P256" s="15">
        <f t="shared" si="7"/>
        <v>0.25847938469296672</v>
      </c>
      <c r="Q256" s="15">
        <f t="shared" si="7"/>
        <v>1.4885571502477379</v>
      </c>
      <c r="R256" s="15">
        <f t="shared" si="7"/>
        <v>0.35812184985410944</v>
      </c>
      <c r="S256" s="15">
        <f t="shared" si="8"/>
        <v>-0.12475741613530156</v>
      </c>
    </row>
    <row r="257" spans="1:19" ht="12.75">
      <c r="A257" s="6">
        <v>20200107</v>
      </c>
      <c r="B257" s="5">
        <v>-0.19</v>
      </c>
      <c r="C257" s="5">
        <v>-0.03</v>
      </c>
      <c r="D257" s="5">
        <v>-0.25</v>
      </c>
      <c r="E257" s="5">
        <v>-0.12</v>
      </c>
      <c r="F257" s="5">
        <v>-0.25</v>
      </c>
      <c r="G257" s="7">
        <v>6.0000000000000001E-3</v>
      </c>
      <c r="H257" s="8"/>
      <c r="I257" s="14">
        <v>74.599999999999994</v>
      </c>
      <c r="J257" s="15">
        <v>157.58000000000001</v>
      </c>
      <c r="K257" s="15">
        <v>1906.86</v>
      </c>
      <c r="L257" s="15">
        <v>225.92</v>
      </c>
      <c r="M257" s="15">
        <v>144.97999999999999</v>
      </c>
      <c r="O257" s="15">
        <f t="shared" si="7"/>
        <v>-0.46697798532355783</v>
      </c>
      <c r="P257" s="15">
        <f t="shared" si="7"/>
        <v>-0.91177765201533312</v>
      </c>
      <c r="Q257" s="15">
        <f t="shared" si="7"/>
        <v>0.20915664676699475</v>
      </c>
      <c r="R257" s="15">
        <f t="shared" si="7"/>
        <v>-0.47138640468744608</v>
      </c>
      <c r="S257" s="15">
        <f t="shared" si="8"/>
        <v>0.61068702290076882</v>
      </c>
    </row>
    <row r="258" spans="1:19" ht="12.75">
      <c r="A258" s="6">
        <v>20200108</v>
      </c>
      <c r="B258" s="5">
        <v>0.47</v>
      </c>
      <c r="C258" s="5">
        <v>-0.17</v>
      </c>
      <c r="D258" s="5">
        <v>-0.65</v>
      </c>
      <c r="E258" s="5">
        <v>-0.19</v>
      </c>
      <c r="F258" s="5">
        <v>-0.17</v>
      </c>
      <c r="G258" s="7">
        <v>6.0000000000000001E-3</v>
      </c>
      <c r="H258" s="8"/>
      <c r="I258" s="14">
        <v>75.8</v>
      </c>
      <c r="J258" s="15">
        <v>160.09</v>
      </c>
      <c r="K258" s="15">
        <v>1891.97</v>
      </c>
      <c r="L258" s="15">
        <v>225.99</v>
      </c>
      <c r="M258" s="15">
        <v>144.96</v>
      </c>
      <c r="O258" s="15">
        <f t="shared" si="7"/>
        <v>1.6085790884718509</v>
      </c>
      <c r="P258" s="15">
        <f t="shared" si="7"/>
        <v>1.592841731184147</v>
      </c>
      <c r="Q258" s="15">
        <f t="shared" si="7"/>
        <v>-0.7808648773376059</v>
      </c>
      <c r="R258" s="15">
        <f t="shared" si="7"/>
        <v>3.0984419263457852E-2</v>
      </c>
      <c r="S258" s="15">
        <f t="shared" si="8"/>
        <v>-1.3795006207739657E-2</v>
      </c>
    </row>
    <row r="259" spans="1:19" ht="12.75">
      <c r="A259" s="6">
        <v>20200109</v>
      </c>
      <c r="B259" s="5">
        <v>0.65</v>
      </c>
      <c r="C259" s="5">
        <v>-0.71</v>
      </c>
      <c r="D259" s="5">
        <v>-0.49</v>
      </c>
      <c r="E259" s="5">
        <v>-0.14000000000000001</v>
      </c>
      <c r="F259" s="5">
        <v>0.04</v>
      </c>
      <c r="G259" s="7">
        <v>6.0000000000000001E-3</v>
      </c>
      <c r="H259" s="8"/>
      <c r="I259" s="14">
        <v>77.41</v>
      </c>
      <c r="J259" s="15">
        <v>162.09</v>
      </c>
      <c r="K259" s="15">
        <v>1901.05</v>
      </c>
      <c r="L259" s="15">
        <v>228.65</v>
      </c>
      <c r="M259" s="15">
        <v>145.38999999999999</v>
      </c>
      <c r="O259" s="15">
        <f t="shared" si="7"/>
        <v>2.1240105540897058</v>
      </c>
      <c r="P259" s="15">
        <f t="shared" si="7"/>
        <v>1.2492972702854654</v>
      </c>
      <c r="Q259" s="15">
        <f t="shared" si="7"/>
        <v>0.47992304317721057</v>
      </c>
      <c r="R259" s="15">
        <f t="shared" si="7"/>
        <v>1.1770432320014068</v>
      </c>
      <c r="S259" s="15">
        <f t="shared" si="8"/>
        <v>0.29663355408386938</v>
      </c>
    </row>
    <row r="260" spans="1:19" ht="12.75">
      <c r="A260" s="6">
        <v>20200110</v>
      </c>
      <c r="B260" s="5">
        <v>-0.34</v>
      </c>
      <c r="C260" s="5">
        <v>-0.26</v>
      </c>
      <c r="D260" s="5">
        <v>-0.36</v>
      </c>
      <c r="E260" s="5">
        <v>0.04</v>
      </c>
      <c r="F260" s="5">
        <v>-0.08</v>
      </c>
      <c r="G260" s="7">
        <v>6.0000000000000001E-3</v>
      </c>
      <c r="H260" s="8"/>
      <c r="I260" s="14">
        <v>77.58</v>
      </c>
      <c r="J260" s="15">
        <v>161.34</v>
      </c>
      <c r="K260" s="15">
        <v>1883.16</v>
      </c>
      <c r="L260" s="15">
        <v>226.62</v>
      </c>
      <c r="M260" s="15">
        <v>145.06</v>
      </c>
      <c r="O260" s="15">
        <f t="shared" si="7"/>
        <v>0.21960986952589412</v>
      </c>
      <c r="P260" s="15">
        <f t="shared" si="7"/>
        <v>-0.46270590412733625</v>
      </c>
      <c r="Q260" s="15">
        <f t="shared" si="7"/>
        <v>-0.94105888850897212</v>
      </c>
      <c r="R260" s="15">
        <f t="shared" ref="R260:S323" si="9">(L260/L259-1)*100</f>
        <v>-0.88781981193964965</v>
      </c>
      <c r="S260" s="15">
        <f t="shared" si="8"/>
        <v>-0.2269757204759526</v>
      </c>
    </row>
    <row r="261" spans="1:19" ht="12.75">
      <c r="A261" s="6">
        <v>20200113</v>
      </c>
      <c r="B261" s="5">
        <v>0.73</v>
      </c>
      <c r="C261" s="5">
        <v>-0.1</v>
      </c>
      <c r="D261" s="5">
        <v>-0.09</v>
      </c>
      <c r="E261" s="5">
        <v>0.34</v>
      </c>
      <c r="F261" s="5">
        <v>0.27</v>
      </c>
      <c r="G261" s="7">
        <v>6.0000000000000001E-3</v>
      </c>
      <c r="H261" s="8"/>
      <c r="I261" s="14">
        <v>79.239999999999995</v>
      </c>
      <c r="J261" s="15">
        <v>163.28</v>
      </c>
      <c r="K261" s="15">
        <v>1891.3</v>
      </c>
      <c r="L261" s="15">
        <v>228.45</v>
      </c>
      <c r="M261" s="15">
        <v>145.69999999999999</v>
      </c>
      <c r="O261" s="15">
        <f t="shared" ref="O261:S324" si="10">(I261/I260-1)*100</f>
        <v>2.1397267336942472</v>
      </c>
      <c r="P261" s="15">
        <f t="shared" si="10"/>
        <v>1.2024296516672806</v>
      </c>
      <c r="Q261" s="15">
        <f t="shared" si="10"/>
        <v>0.43225217188129772</v>
      </c>
      <c r="R261" s="15">
        <f t="shared" si="9"/>
        <v>0.80751919512840331</v>
      </c>
      <c r="S261" s="15">
        <f t="shared" si="9"/>
        <v>0.44119674617397742</v>
      </c>
    </row>
    <row r="262" spans="1:19" ht="12.75">
      <c r="A262" s="6">
        <v>20200114</v>
      </c>
      <c r="B262" s="5">
        <v>-0.06</v>
      </c>
      <c r="C262" s="5">
        <v>0.47</v>
      </c>
      <c r="D262" s="5">
        <v>-0.16</v>
      </c>
      <c r="E262" s="5">
        <v>-0.33</v>
      </c>
      <c r="F262" s="5">
        <v>-0.06</v>
      </c>
      <c r="G262" s="7">
        <v>6.0000000000000001E-3</v>
      </c>
      <c r="H262" s="8"/>
      <c r="I262" s="14">
        <v>78.17</v>
      </c>
      <c r="J262" s="15">
        <v>162.13</v>
      </c>
      <c r="K262" s="15">
        <v>1869.44</v>
      </c>
      <c r="L262" s="15">
        <v>227.17</v>
      </c>
      <c r="M262" s="15">
        <v>146.52000000000001</v>
      </c>
      <c r="O262" s="15">
        <f t="shared" si="10"/>
        <v>-1.3503281171125647</v>
      </c>
      <c r="P262" s="15">
        <f t="shared" si="10"/>
        <v>-0.70431161195493308</v>
      </c>
      <c r="Q262" s="15">
        <f t="shared" si="10"/>
        <v>-1.155818749008608</v>
      </c>
      <c r="R262" s="15">
        <f t="shared" si="9"/>
        <v>-0.56029765813088162</v>
      </c>
      <c r="S262" s="15">
        <f t="shared" si="9"/>
        <v>0.56280027453672332</v>
      </c>
    </row>
    <row r="263" spans="1:19" ht="12.75">
      <c r="A263" s="6">
        <v>20200115</v>
      </c>
      <c r="B263" s="5">
        <v>0.16</v>
      </c>
      <c r="C263" s="5">
        <v>0.27</v>
      </c>
      <c r="D263" s="5">
        <v>-0.8</v>
      </c>
      <c r="E263" s="5">
        <v>-0.08</v>
      </c>
      <c r="F263" s="5">
        <v>-0.18</v>
      </c>
      <c r="G263" s="7">
        <v>6.0000000000000001E-3</v>
      </c>
      <c r="H263" s="8"/>
      <c r="I263" s="14">
        <v>77.83</v>
      </c>
      <c r="J263" s="15">
        <v>163.18</v>
      </c>
      <c r="K263" s="15">
        <v>1862.02</v>
      </c>
      <c r="L263" s="15">
        <v>228.35</v>
      </c>
      <c r="M263" s="15">
        <v>147.01</v>
      </c>
      <c r="O263" s="15">
        <f t="shared" si="10"/>
        <v>-0.43494946910579424</v>
      </c>
      <c r="P263" s="15">
        <f t="shared" si="10"/>
        <v>0.64762844630852356</v>
      </c>
      <c r="Q263" s="15">
        <f t="shared" si="10"/>
        <v>-0.39691030469017896</v>
      </c>
      <c r="R263" s="15">
        <f t="shared" si="9"/>
        <v>0.51943478452260994</v>
      </c>
      <c r="S263" s="15">
        <f t="shared" si="9"/>
        <v>0.33442533442531452</v>
      </c>
    </row>
    <row r="264" spans="1:19" ht="12.75">
      <c r="A264" s="6">
        <v>20200116</v>
      </c>
      <c r="B264" s="5">
        <v>0.88</v>
      </c>
      <c r="C264" s="5">
        <v>0.52</v>
      </c>
      <c r="D264" s="5">
        <v>-0.1</v>
      </c>
      <c r="E264" s="5">
        <v>0.03</v>
      </c>
      <c r="F264" s="5">
        <v>-0.11</v>
      </c>
      <c r="G264" s="7">
        <v>6.0000000000000001E-3</v>
      </c>
      <c r="H264" s="8"/>
      <c r="I264" s="14">
        <v>78.81</v>
      </c>
      <c r="J264" s="15">
        <v>166.17</v>
      </c>
      <c r="K264" s="15">
        <v>1877.94</v>
      </c>
      <c r="L264" s="15">
        <v>229.73</v>
      </c>
      <c r="M264" s="15">
        <v>148.19999999999999</v>
      </c>
      <c r="O264" s="15">
        <f t="shared" si="10"/>
        <v>1.2591545676474469</v>
      </c>
      <c r="P264" s="15">
        <f t="shared" si="10"/>
        <v>1.8323323936756841</v>
      </c>
      <c r="Q264" s="15">
        <f t="shared" si="10"/>
        <v>0.85498544591358083</v>
      </c>
      <c r="R264" s="15">
        <f t="shared" si="9"/>
        <v>0.60433544996716382</v>
      </c>
      <c r="S264" s="15">
        <f t="shared" si="9"/>
        <v>0.80946874362288757</v>
      </c>
    </row>
    <row r="265" spans="1:19" ht="12.75">
      <c r="A265" s="6">
        <v>20200117</v>
      </c>
      <c r="B265" s="5">
        <v>0.28000000000000003</v>
      </c>
      <c r="C265" s="5">
        <v>-0.63</v>
      </c>
      <c r="D265" s="5">
        <v>-0.12</v>
      </c>
      <c r="E265" s="5">
        <v>0.23</v>
      </c>
      <c r="F265" s="5">
        <v>-0.01</v>
      </c>
      <c r="G265" s="7">
        <v>6.0000000000000001E-3</v>
      </c>
      <c r="H265" s="8"/>
      <c r="I265" s="14">
        <v>79.680000000000007</v>
      </c>
      <c r="J265" s="15">
        <v>167.1</v>
      </c>
      <c r="K265" s="15">
        <v>1864.72</v>
      </c>
      <c r="L265" s="15">
        <v>230.2</v>
      </c>
      <c r="M265" s="15">
        <v>149.16999999999999</v>
      </c>
      <c r="O265" s="15">
        <f t="shared" si="10"/>
        <v>1.1039208222306973</v>
      </c>
      <c r="P265" s="15">
        <f t="shared" si="10"/>
        <v>0.559667810074016</v>
      </c>
      <c r="Q265" s="15">
        <f t="shared" si="10"/>
        <v>-0.70396285291329797</v>
      </c>
      <c r="R265" s="15">
        <f t="shared" si="9"/>
        <v>0.20458799460236765</v>
      </c>
      <c r="S265" s="15">
        <f t="shared" si="9"/>
        <v>0.6545209176788136</v>
      </c>
    </row>
    <row r="266" spans="1:19" ht="12.75">
      <c r="A266" s="6">
        <v>20200121</v>
      </c>
      <c r="B266" s="5">
        <v>-0.32</v>
      </c>
      <c r="C266" s="5">
        <v>-0.67</v>
      </c>
      <c r="D266" s="5">
        <v>-0.62</v>
      </c>
      <c r="E266" s="5">
        <v>-0.11</v>
      </c>
      <c r="F266" s="5">
        <v>-0.25</v>
      </c>
      <c r="G266" s="7">
        <v>6.0000000000000001E-3</v>
      </c>
      <c r="H266" s="8"/>
      <c r="I266" s="14">
        <v>79.14</v>
      </c>
      <c r="J266" s="15">
        <v>166.5</v>
      </c>
      <c r="K266" s="15">
        <v>1892</v>
      </c>
      <c r="L266" s="15">
        <v>228.63</v>
      </c>
      <c r="M266" s="15">
        <v>149.27000000000001</v>
      </c>
      <c r="O266" s="15">
        <f t="shared" si="10"/>
        <v>-0.6777108433735024</v>
      </c>
      <c r="P266" s="15">
        <f t="shared" si="10"/>
        <v>-0.35906642728904536</v>
      </c>
      <c r="Q266" s="15">
        <f t="shared" si="10"/>
        <v>1.4629542236904269</v>
      </c>
      <c r="R266" s="15">
        <f t="shared" si="9"/>
        <v>-0.6820156385751508</v>
      </c>
      <c r="S266" s="15">
        <f t="shared" si="9"/>
        <v>6.7037608098163837E-2</v>
      </c>
    </row>
    <row r="267" spans="1:19" ht="12.75">
      <c r="A267" s="6">
        <v>20200122</v>
      </c>
      <c r="B267" s="5">
        <v>0.08</v>
      </c>
      <c r="C267" s="5">
        <v>-0.24</v>
      </c>
      <c r="D267" s="5">
        <v>0.01</v>
      </c>
      <c r="E267" s="5">
        <v>-0.27</v>
      </c>
      <c r="F267" s="5">
        <v>0.01</v>
      </c>
      <c r="G267" s="7">
        <v>6.0000000000000001E-3</v>
      </c>
      <c r="H267" s="8"/>
      <c r="I267" s="14">
        <v>79.430000000000007</v>
      </c>
      <c r="J267" s="15">
        <v>165.7</v>
      </c>
      <c r="K267" s="15">
        <v>1887.46</v>
      </c>
      <c r="L267" s="15">
        <v>229.54</v>
      </c>
      <c r="M267" s="15">
        <v>148.25</v>
      </c>
      <c r="O267" s="15">
        <f t="shared" si="10"/>
        <v>0.36643922163255294</v>
      </c>
      <c r="P267" s="15">
        <f t="shared" si="10"/>
        <v>-0.48048048048048297</v>
      </c>
      <c r="Q267" s="15">
        <f t="shared" si="10"/>
        <v>-0.23995771670189958</v>
      </c>
      <c r="R267" s="15">
        <f t="shared" si="9"/>
        <v>0.39802300660456424</v>
      </c>
      <c r="S267" s="15">
        <f t="shared" si="9"/>
        <v>-0.68332551751859594</v>
      </c>
    </row>
    <row r="268" spans="1:19" ht="12.75">
      <c r="A268" s="6">
        <v>20200123</v>
      </c>
      <c r="B268" s="5">
        <v>0.08</v>
      </c>
      <c r="C268" s="5">
        <v>-0.06</v>
      </c>
      <c r="D268" s="5">
        <v>-0.13</v>
      </c>
      <c r="E268" s="5">
        <v>0.28000000000000003</v>
      </c>
      <c r="F268" s="5">
        <v>-7.0000000000000007E-2</v>
      </c>
      <c r="G268" s="7">
        <v>6.0000000000000001E-3</v>
      </c>
      <c r="H268" s="8"/>
      <c r="I268" s="14">
        <v>79.81</v>
      </c>
      <c r="J268" s="15">
        <v>166.72</v>
      </c>
      <c r="K268" s="15">
        <v>1884.58</v>
      </c>
      <c r="L268" s="15">
        <v>229.38</v>
      </c>
      <c r="M268" s="15">
        <v>148.53</v>
      </c>
      <c r="O268" s="15">
        <f t="shared" si="10"/>
        <v>0.47840866171471319</v>
      </c>
      <c r="P268" s="15">
        <f t="shared" si="10"/>
        <v>0.61557030778516264</v>
      </c>
      <c r="Q268" s="15">
        <f t="shared" si="10"/>
        <v>-0.15258601506787928</v>
      </c>
      <c r="R268" s="15">
        <f t="shared" si="9"/>
        <v>-6.9704626644595535E-2</v>
      </c>
      <c r="S268" s="15">
        <f t="shared" si="9"/>
        <v>0.18887015177064814</v>
      </c>
    </row>
    <row r="269" spans="1:19" ht="12.75">
      <c r="A269" s="6">
        <v>20200124</v>
      </c>
      <c r="B269" s="5">
        <v>-0.97</v>
      </c>
      <c r="C269" s="5">
        <v>-0.5</v>
      </c>
      <c r="D269" s="5">
        <v>-0.28999999999999998</v>
      </c>
      <c r="E269" s="5">
        <v>0.16</v>
      </c>
      <c r="F269" s="5">
        <v>-0.04</v>
      </c>
      <c r="G269" s="7">
        <v>6.0000000000000001E-3</v>
      </c>
      <c r="H269" s="8"/>
      <c r="I269" s="14">
        <v>79.58</v>
      </c>
      <c r="J269" s="15">
        <v>165.04</v>
      </c>
      <c r="K269" s="15">
        <v>1861.64</v>
      </c>
      <c r="L269" s="15">
        <v>226.86</v>
      </c>
      <c r="M269" s="15">
        <v>148.32</v>
      </c>
      <c r="O269" s="15">
        <f t="shared" si="10"/>
        <v>-0.28818443804035088</v>
      </c>
      <c r="P269" s="15">
        <f t="shared" si="10"/>
        <v>-1.0076775431861806</v>
      </c>
      <c r="Q269" s="15">
        <f t="shared" si="10"/>
        <v>-1.2172473442358389</v>
      </c>
      <c r="R269" s="15">
        <f t="shared" si="9"/>
        <v>-1.0986136541982661</v>
      </c>
      <c r="S269" s="15">
        <f t="shared" si="9"/>
        <v>-0.14138557867098278</v>
      </c>
    </row>
    <row r="270" spans="1:19" ht="12.75">
      <c r="A270" s="6">
        <v>20200127</v>
      </c>
      <c r="B270" s="5">
        <v>-1.56</v>
      </c>
      <c r="C270" s="5">
        <v>0.26</v>
      </c>
      <c r="D270" s="5">
        <v>-0.42</v>
      </c>
      <c r="E270" s="5">
        <v>-0.53</v>
      </c>
      <c r="F270" s="5">
        <v>0.03</v>
      </c>
      <c r="G270" s="7">
        <v>6.0000000000000001E-3</v>
      </c>
      <c r="H270" s="8"/>
      <c r="I270" s="14">
        <v>77.239999999999995</v>
      </c>
      <c r="J270" s="15">
        <v>162.28</v>
      </c>
      <c r="K270" s="15">
        <v>1828.34</v>
      </c>
      <c r="L270" s="15">
        <v>222.45</v>
      </c>
      <c r="M270" s="15">
        <v>148.75</v>
      </c>
      <c r="O270" s="15">
        <f t="shared" si="10"/>
        <v>-2.9404372958029668</v>
      </c>
      <c r="P270" s="15">
        <f t="shared" si="10"/>
        <v>-1.6723218613669322</v>
      </c>
      <c r="Q270" s="15">
        <f t="shared" si="10"/>
        <v>-1.7887454072753162</v>
      </c>
      <c r="R270" s="15">
        <f t="shared" si="9"/>
        <v>-1.9439301772018136</v>
      </c>
      <c r="S270" s="15">
        <f t="shared" si="9"/>
        <v>0.28991370010786888</v>
      </c>
    </row>
    <row r="271" spans="1:19" ht="12.75">
      <c r="A271" s="6">
        <v>20200128</v>
      </c>
      <c r="B271" s="5">
        <v>1.02</v>
      </c>
      <c r="C271" s="5">
        <v>-0.13</v>
      </c>
      <c r="D271" s="5">
        <v>-0.41</v>
      </c>
      <c r="E271" s="5">
        <v>0.17</v>
      </c>
      <c r="F271" s="5">
        <v>-0.05</v>
      </c>
      <c r="G271" s="7">
        <v>6.0000000000000001E-3</v>
      </c>
      <c r="H271" s="8"/>
      <c r="I271" s="14">
        <v>79.42</v>
      </c>
      <c r="J271" s="15">
        <v>165.46</v>
      </c>
      <c r="K271" s="15">
        <v>1853.25</v>
      </c>
      <c r="L271" s="15">
        <v>224.03</v>
      </c>
      <c r="M271" s="15">
        <v>149.5</v>
      </c>
      <c r="O271" s="15">
        <f t="shared" si="10"/>
        <v>2.8223718280683707</v>
      </c>
      <c r="P271" s="15">
        <f t="shared" si="10"/>
        <v>1.959576041409905</v>
      </c>
      <c r="Q271" s="15">
        <f t="shared" si="10"/>
        <v>1.362438058566795</v>
      </c>
      <c r="R271" s="15">
        <f t="shared" si="9"/>
        <v>0.71027197122950358</v>
      </c>
      <c r="S271" s="15">
        <f t="shared" si="9"/>
        <v>0.50420168067226712</v>
      </c>
    </row>
    <row r="272" spans="1:19" ht="12.75">
      <c r="A272" s="6">
        <v>20200129</v>
      </c>
      <c r="B272" s="5">
        <v>-0.1</v>
      </c>
      <c r="C272" s="5">
        <v>-0.42</v>
      </c>
      <c r="D272" s="5">
        <v>-0.99</v>
      </c>
      <c r="E272" s="5">
        <v>0.25</v>
      </c>
      <c r="F272" s="5">
        <v>0.08</v>
      </c>
      <c r="G272" s="7">
        <v>6.0000000000000001E-3</v>
      </c>
      <c r="H272" s="8"/>
      <c r="I272" s="14">
        <v>81.08</v>
      </c>
      <c r="J272" s="15">
        <v>168.04</v>
      </c>
      <c r="K272" s="15">
        <v>1858</v>
      </c>
      <c r="L272" s="15">
        <v>224.5</v>
      </c>
      <c r="M272" s="15">
        <v>150.54</v>
      </c>
      <c r="O272" s="15">
        <f t="shared" si="10"/>
        <v>2.0901536136993082</v>
      </c>
      <c r="P272" s="15">
        <f t="shared" si="10"/>
        <v>1.5592892542003911</v>
      </c>
      <c r="Q272" s="15">
        <f t="shared" si="10"/>
        <v>0.25630648860111016</v>
      </c>
      <c r="R272" s="15">
        <f t="shared" si="9"/>
        <v>0.20979333125028532</v>
      </c>
      <c r="S272" s="15">
        <f t="shared" si="9"/>
        <v>0.69565217391303058</v>
      </c>
    </row>
    <row r="273" spans="1:19" ht="12.75">
      <c r="A273" s="6">
        <v>20200130</v>
      </c>
      <c r="B273" s="5">
        <v>0.34</v>
      </c>
      <c r="C273" s="5">
        <v>-0.64</v>
      </c>
      <c r="D273" s="5">
        <v>0.68</v>
      </c>
      <c r="E273" s="5">
        <v>-0.45</v>
      </c>
      <c r="F273" s="5">
        <v>-0.25</v>
      </c>
      <c r="G273" s="7">
        <v>6.0000000000000001E-3</v>
      </c>
      <c r="H273" s="8"/>
      <c r="I273" s="14">
        <v>80.97</v>
      </c>
      <c r="J273" s="15">
        <v>172.78</v>
      </c>
      <c r="K273" s="15">
        <v>1870.68</v>
      </c>
      <c r="L273" s="15">
        <v>227.88</v>
      </c>
      <c r="M273" s="15">
        <v>150.36000000000001</v>
      </c>
      <c r="O273" s="15">
        <f t="shared" si="10"/>
        <v>-0.13566847557967554</v>
      </c>
      <c r="P273" s="15">
        <f t="shared" si="10"/>
        <v>2.8207569626279572</v>
      </c>
      <c r="Q273" s="15">
        <f t="shared" si="10"/>
        <v>0.6824542518837573</v>
      </c>
      <c r="R273" s="15">
        <f t="shared" si="9"/>
        <v>1.5055679287305113</v>
      </c>
      <c r="S273" s="15">
        <f t="shared" si="9"/>
        <v>-0.11956954962134558</v>
      </c>
    </row>
    <row r="274" spans="1:19" ht="12.75">
      <c r="A274" s="6">
        <v>20200131</v>
      </c>
      <c r="B274" s="5">
        <v>-1.74</v>
      </c>
      <c r="C274" s="5">
        <v>-0.5</v>
      </c>
      <c r="D274" s="5">
        <v>-0.35</v>
      </c>
      <c r="E274" s="5">
        <v>-0.44</v>
      </c>
      <c r="F274" s="5">
        <v>-0.66</v>
      </c>
      <c r="G274" s="7">
        <v>6.0000000000000001E-3</v>
      </c>
      <c r="H274" s="8"/>
      <c r="I274" s="14">
        <v>77.38</v>
      </c>
      <c r="J274" s="15">
        <v>170.23</v>
      </c>
      <c r="K274" s="15">
        <v>2008.72</v>
      </c>
      <c r="L274" s="15">
        <v>224.43</v>
      </c>
      <c r="M274" s="15">
        <v>148.87</v>
      </c>
      <c r="O274" s="15">
        <f t="shared" si="10"/>
        <v>-4.433740891688287</v>
      </c>
      <c r="P274" s="15">
        <f t="shared" si="10"/>
        <v>-1.4758652621831292</v>
      </c>
      <c r="Q274" s="15">
        <f t="shared" si="10"/>
        <v>7.3791348600508844</v>
      </c>
      <c r="R274" s="15">
        <f t="shared" si="9"/>
        <v>-1.5139547130068376</v>
      </c>
      <c r="S274" s="15">
        <f t="shared" si="9"/>
        <v>-0.99095504123437594</v>
      </c>
    </row>
    <row r="275" spans="1:19" ht="12.75">
      <c r="A275" s="6">
        <v>20200203</v>
      </c>
      <c r="B275" s="5">
        <v>0.84</v>
      </c>
      <c r="C275" s="5">
        <v>0.36</v>
      </c>
      <c r="D275" s="5">
        <v>-0.68</v>
      </c>
      <c r="E275" s="5">
        <v>-0.68</v>
      </c>
      <c r="F275" s="5">
        <v>-0.42</v>
      </c>
      <c r="G275" s="7">
        <v>6.0000000000000001E-3</v>
      </c>
      <c r="H275" s="8"/>
      <c r="I275" s="14">
        <v>77.17</v>
      </c>
      <c r="J275" s="15">
        <v>174.38</v>
      </c>
      <c r="K275" s="15">
        <v>2004.2</v>
      </c>
      <c r="L275" s="15">
        <v>223.47</v>
      </c>
      <c r="M275" s="15">
        <v>150.16999999999999</v>
      </c>
      <c r="O275" s="15">
        <f t="shared" si="10"/>
        <v>-0.2713879555440557</v>
      </c>
      <c r="P275" s="15">
        <f t="shared" si="10"/>
        <v>2.437878164835805</v>
      </c>
      <c r="Q275" s="15">
        <f t="shared" si="10"/>
        <v>-0.22501891751961489</v>
      </c>
      <c r="R275" s="15">
        <f t="shared" si="9"/>
        <v>-0.42775030076193099</v>
      </c>
      <c r="S275" s="15">
        <f t="shared" si="9"/>
        <v>0.87324511318598308</v>
      </c>
    </row>
    <row r="276" spans="1:19" ht="12.75">
      <c r="A276" s="6">
        <v>20200204</v>
      </c>
      <c r="B276" s="5">
        <v>1.57</v>
      </c>
      <c r="C276" s="5">
        <v>-0.14000000000000001</v>
      </c>
      <c r="D276" s="5">
        <v>-0.71</v>
      </c>
      <c r="E276" s="5">
        <v>0.39</v>
      </c>
      <c r="F276" s="5">
        <v>-0.17</v>
      </c>
      <c r="G276" s="7">
        <v>6.0000000000000001E-3</v>
      </c>
      <c r="H276" s="8"/>
      <c r="I276" s="14">
        <v>79.709999999999994</v>
      </c>
      <c r="J276" s="15">
        <v>180.12</v>
      </c>
      <c r="K276" s="15">
        <v>2049.67</v>
      </c>
      <c r="L276" s="15">
        <v>225.08</v>
      </c>
      <c r="M276" s="15">
        <v>151.6</v>
      </c>
      <c r="O276" s="15">
        <f t="shared" si="10"/>
        <v>3.2914344952701624</v>
      </c>
      <c r="P276" s="15">
        <f t="shared" si="10"/>
        <v>3.2916618878311876</v>
      </c>
      <c r="Q276" s="15">
        <f t="shared" si="10"/>
        <v>2.2687356551242432</v>
      </c>
      <c r="R276" s="15">
        <f t="shared" si="9"/>
        <v>0.72045464715622121</v>
      </c>
      <c r="S276" s="15">
        <f t="shared" si="9"/>
        <v>0.95225411200638987</v>
      </c>
    </row>
    <row r="277" spans="1:19" ht="12.75">
      <c r="A277" s="6">
        <v>20200205</v>
      </c>
      <c r="B277" s="5">
        <v>0.97</v>
      </c>
      <c r="C277" s="5">
        <v>0.74</v>
      </c>
      <c r="D277" s="5">
        <v>1.49</v>
      </c>
      <c r="E277" s="5">
        <v>0.95</v>
      </c>
      <c r="F277" s="5">
        <v>0.67</v>
      </c>
      <c r="G277" s="7">
        <v>6.0000000000000001E-3</v>
      </c>
      <c r="H277" s="8"/>
      <c r="I277" s="14">
        <v>80.36</v>
      </c>
      <c r="J277" s="15">
        <v>179.9</v>
      </c>
      <c r="K277" s="15">
        <v>2039.87</v>
      </c>
      <c r="L277" s="15">
        <v>228.65</v>
      </c>
      <c r="M277" s="15">
        <v>153.99</v>
      </c>
      <c r="O277" s="15">
        <f t="shared" si="10"/>
        <v>0.81545602810186857</v>
      </c>
      <c r="P277" s="15">
        <f t="shared" si="10"/>
        <v>-0.12214079502553821</v>
      </c>
      <c r="Q277" s="15">
        <f t="shared" si="10"/>
        <v>-0.47812574707148947</v>
      </c>
      <c r="R277" s="15">
        <f t="shared" si="9"/>
        <v>1.5861027190332333</v>
      </c>
      <c r="S277" s="15">
        <f t="shared" si="9"/>
        <v>1.5765171503957953</v>
      </c>
    </row>
    <row r="278" spans="1:19" ht="12.75">
      <c r="A278" s="6">
        <v>20200206</v>
      </c>
      <c r="B278" s="5">
        <v>0.27</v>
      </c>
      <c r="C278" s="5">
        <v>-0.59</v>
      </c>
      <c r="D278" s="5">
        <v>-0.81</v>
      </c>
      <c r="E278" s="5">
        <v>-0.03</v>
      </c>
      <c r="F278" s="5">
        <v>-0.4</v>
      </c>
      <c r="G278" s="7">
        <v>6.0000000000000001E-3</v>
      </c>
      <c r="H278" s="8"/>
      <c r="I278" s="14">
        <v>81.3</v>
      </c>
      <c r="J278" s="15">
        <v>183.63</v>
      </c>
      <c r="K278" s="15">
        <v>2050.23</v>
      </c>
      <c r="L278" s="15">
        <v>229.61</v>
      </c>
      <c r="M278" s="15">
        <v>153.53</v>
      </c>
      <c r="O278" s="15">
        <f t="shared" si="10"/>
        <v>1.1697361871577883</v>
      </c>
      <c r="P278" s="15">
        <f t="shared" si="10"/>
        <v>2.0733740967203929</v>
      </c>
      <c r="Q278" s="15">
        <f t="shared" si="10"/>
        <v>0.50787550187021413</v>
      </c>
      <c r="R278" s="15">
        <f t="shared" si="9"/>
        <v>0.41985567461184647</v>
      </c>
      <c r="S278" s="15">
        <f t="shared" si="9"/>
        <v>-0.29872069614910179</v>
      </c>
    </row>
    <row r="279" spans="1:19" ht="12.75">
      <c r="A279" s="6">
        <v>20200207</v>
      </c>
      <c r="B279" s="5">
        <v>-0.55000000000000004</v>
      </c>
      <c r="C279" s="5">
        <v>-0.84</v>
      </c>
      <c r="D279" s="5">
        <v>-0.04</v>
      </c>
      <c r="E279" s="5">
        <v>-0.22</v>
      </c>
      <c r="F279" s="5">
        <v>-0.56999999999999995</v>
      </c>
      <c r="G279" s="7">
        <v>6.0000000000000001E-3</v>
      </c>
      <c r="H279" s="8"/>
      <c r="I279" s="14">
        <v>80.010000000000005</v>
      </c>
      <c r="J279" s="15">
        <v>183.89</v>
      </c>
      <c r="K279" s="15">
        <v>2079.2800000000002</v>
      </c>
      <c r="L279" s="15">
        <v>227.38</v>
      </c>
      <c r="M279" s="15">
        <v>151.88999999999999</v>
      </c>
      <c r="O279" s="15">
        <f t="shared" si="10"/>
        <v>-1.5867158671586612</v>
      </c>
      <c r="P279" s="15">
        <f t="shared" si="10"/>
        <v>0.14158906496759549</v>
      </c>
      <c r="Q279" s="15">
        <f t="shared" si="10"/>
        <v>1.4169141998702672</v>
      </c>
      <c r="R279" s="15">
        <f t="shared" si="9"/>
        <v>-0.97121205522407994</v>
      </c>
      <c r="S279" s="15">
        <f t="shared" si="9"/>
        <v>-1.0681951410147938</v>
      </c>
    </row>
    <row r="280" spans="1:19" ht="12.75">
      <c r="A280" s="6">
        <v>20200210</v>
      </c>
      <c r="B280" s="5">
        <v>0.73</v>
      </c>
      <c r="C280" s="5">
        <v>-0.17</v>
      </c>
      <c r="D280" s="5">
        <v>-0.89</v>
      </c>
      <c r="E280" s="5">
        <v>-0.11</v>
      </c>
      <c r="F280" s="5">
        <v>-0.51</v>
      </c>
      <c r="G280" s="7">
        <v>6.0000000000000001E-3</v>
      </c>
      <c r="H280" s="8"/>
      <c r="I280" s="14">
        <v>80.39</v>
      </c>
      <c r="J280" s="15">
        <v>188.7</v>
      </c>
      <c r="K280" s="15">
        <v>2133.91</v>
      </c>
      <c r="L280" s="15">
        <v>227.11</v>
      </c>
      <c r="M280" s="15">
        <v>151.86000000000001</v>
      </c>
      <c r="O280" s="15">
        <f t="shared" si="10"/>
        <v>0.47494063242095041</v>
      </c>
      <c r="P280" s="15">
        <f t="shared" si="10"/>
        <v>2.6156941649899457</v>
      </c>
      <c r="Q280" s="15">
        <f t="shared" si="10"/>
        <v>2.627351775614617</v>
      </c>
      <c r="R280" s="15">
        <f t="shared" si="9"/>
        <v>-0.11874395285424999</v>
      </c>
      <c r="S280" s="15">
        <f t="shared" si="9"/>
        <v>-1.9751135690282418E-2</v>
      </c>
    </row>
    <row r="281" spans="1:19" ht="12.75">
      <c r="A281" s="6">
        <v>20200211</v>
      </c>
      <c r="B281" s="5">
        <v>0.28000000000000003</v>
      </c>
      <c r="C281" s="5">
        <v>0.34</v>
      </c>
      <c r="D281" s="5">
        <v>1.05</v>
      </c>
      <c r="E281" s="5">
        <v>0.24</v>
      </c>
      <c r="F281" s="5">
        <v>0.33</v>
      </c>
      <c r="G281" s="7">
        <v>6.0000000000000001E-3</v>
      </c>
      <c r="H281" s="8"/>
      <c r="I281" s="14">
        <v>79.900000000000006</v>
      </c>
      <c r="J281" s="15">
        <v>184.44</v>
      </c>
      <c r="K281" s="15">
        <v>2150.8000000000002</v>
      </c>
      <c r="L281" s="15">
        <v>227.33</v>
      </c>
      <c r="M281" s="15">
        <v>151.99</v>
      </c>
      <c r="O281" s="15">
        <f t="shared" si="10"/>
        <v>-0.60952854832689862</v>
      </c>
      <c r="P281" s="15">
        <f t="shared" si="10"/>
        <v>-2.2575516693163711</v>
      </c>
      <c r="Q281" s="15">
        <f t="shared" si="10"/>
        <v>0.79150479635974325</v>
      </c>
      <c r="R281" s="15">
        <f t="shared" si="9"/>
        <v>9.686935846064948E-2</v>
      </c>
      <c r="S281" s="15">
        <f t="shared" si="9"/>
        <v>8.5605162649815547E-2</v>
      </c>
    </row>
    <row r="282" spans="1:19" ht="12.75">
      <c r="A282" s="6">
        <v>20200212</v>
      </c>
      <c r="B282" s="5">
        <v>0.66</v>
      </c>
      <c r="C282" s="5">
        <v>0.15</v>
      </c>
      <c r="D282" s="5">
        <v>-0.34</v>
      </c>
      <c r="E282" s="5">
        <v>0.21</v>
      </c>
      <c r="F282" s="5">
        <v>0.06</v>
      </c>
      <c r="G282" s="7">
        <v>6.0000000000000001E-3</v>
      </c>
      <c r="H282" s="8"/>
      <c r="I282" s="14">
        <v>81.8</v>
      </c>
      <c r="J282" s="15">
        <v>184.71</v>
      </c>
      <c r="K282" s="15">
        <v>2160</v>
      </c>
      <c r="L282" s="15">
        <v>227.44</v>
      </c>
      <c r="M282" s="15">
        <v>151.09</v>
      </c>
      <c r="O282" s="15">
        <f t="shared" si="10"/>
        <v>2.3779724655819567</v>
      </c>
      <c r="P282" s="15">
        <f t="shared" si="10"/>
        <v>0.1463890696161485</v>
      </c>
      <c r="Q282" s="15">
        <f t="shared" si="10"/>
        <v>0.42774781476659918</v>
      </c>
      <c r="R282" s="15">
        <f t="shared" si="9"/>
        <v>4.8387806272809364E-2</v>
      </c>
      <c r="S282" s="15">
        <f t="shared" si="9"/>
        <v>-0.59214422001447886</v>
      </c>
    </row>
    <row r="283" spans="1:19" ht="12.75">
      <c r="A283" s="6">
        <v>20200213</v>
      </c>
      <c r="B283" s="5">
        <v>-0.09</v>
      </c>
      <c r="C283" s="5">
        <v>0.16</v>
      </c>
      <c r="D283" s="5">
        <v>-0.02</v>
      </c>
      <c r="E283" s="5">
        <v>-0.12</v>
      </c>
      <c r="F283" s="5">
        <v>-0.4</v>
      </c>
      <c r="G283" s="7">
        <v>6.0000000000000001E-3</v>
      </c>
      <c r="H283" s="8"/>
      <c r="I283" s="14">
        <v>81.22</v>
      </c>
      <c r="J283" s="15">
        <v>183.71</v>
      </c>
      <c r="K283" s="15">
        <v>2149.87</v>
      </c>
      <c r="L283" s="15">
        <v>226.47</v>
      </c>
      <c r="M283" s="15">
        <v>150.09</v>
      </c>
      <c r="O283" s="15">
        <f t="shared" si="10"/>
        <v>-0.70904645476772554</v>
      </c>
      <c r="P283" s="15">
        <f t="shared" si="10"/>
        <v>-0.54138920469926077</v>
      </c>
      <c r="Q283" s="15">
        <f t="shared" si="10"/>
        <v>-0.46898148148148966</v>
      </c>
      <c r="R283" s="15">
        <f t="shared" si="9"/>
        <v>-0.42648610622582073</v>
      </c>
      <c r="S283" s="15">
        <f t="shared" si="9"/>
        <v>-0.66185717122244636</v>
      </c>
    </row>
    <row r="284" spans="1:19" ht="12.75">
      <c r="A284" s="6">
        <v>20200214</v>
      </c>
      <c r="B284" s="5">
        <v>0.15</v>
      </c>
      <c r="C284" s="5">
        <v>-0.56000000000000005</v>
      </c>
      <c r="D284" s="5">
        <v>-0.66</v>
      </c>
      <c r="E284" s="5">
        <v>-0.23</v>
      </c>
      <c r="F284" s="5">
        <v>-0.31</v>
      </c>
      <c r="G284" s="7">
        <v>6.0000000000000001E-3</v>
      </c>
      <c r="H284" s="8"/>
      <c r="I284" s="14">
        <v>81.239999999999995</v>
      </c>
      <c r="J284" s="15">
        <v>185.35</v>
      </c>
      <c r="K284" s="15">
        <v>2134.87</v>
      </c>
      <c r="L284" s="15">
        <v>226.8</v>
      </c>
      <c r="M284" s="15">
        <v>150.13</v>
      </c>
      <c r="O284" s="15">
        <f t="shared" si="10"/>
        <v>2.462447672986201E-2</v>
      </c>
      <c r="P284" s="15">
        <f t="shared" si="10"/>
        <v>0.89271133852266704</v>
      </c>
      <c r="Q284" s="15">
        <f t="shared" si="10"/>
        <v>-0.69771660612036879</v>
      </c>
      <c r="R284" s="15">
        <f t="shared" si="9"/>
        <v>0.14571466419392998</v>
      </c>
      <c r="S284" s="15">
        <f t="shared" si="9"/>
        <v>2.6650676260908668E-2</v>
      </c>
    </row>
    <row r="285" spans="1:19" ht="12.75">
      <c r="A285" s="6">
        <v>20200218</v>
      </c>
      <c r="B285" s="5">
        <v>-0.19</v>
      </c>
      <c r="C285" s="5">
        <v>-0.01</v>
      </c>
      <c r="D285" s="5">
        <v>-0.64</v>
      </c>
      <c r="E285" s="5">
        <v>-0.42</v>
      </c>
      <c r="F285" s="5">
        <v>-0.67</v>
      </c>
      <c r="G285" s="7">
        <v>6.0000000000000001E-3</v>
      </c>
      <c r="H285" s="8"/>
      <c r="I285" s="14">
        <v>79.75</v>
      </c>
      <c r="J285" s="15">
        <v>187.23</v>
      </c>
      <c r="K285" s="15">
        <v>2155.67</v>
      </c>
      <c r="L285" s="15">
        <v>226.77</v>
      </c>
      <c r="M285" s="15">
        <v>149.13999999999999</v>
      </c>
      <c r="O285" s="15">
        <f t="shared" si="10"/>
        <v>-1.8340718857705496</v>
      </c>
      <c r="P285" s="15">
        <f t="shared" si="10"/>
        <v>1.0142972754248802</v>
      </c>
      <c r="Q285" s="15">
        <f t="shared" si="10"/>
        <v>0.97429820082721719</v>
      </c>
      <c r="R285" s="15">
        <f t="shared" si="9"/>
        <v>-1.322751322750948E-2</v>
      </c>
      <c r="S285" s="15">
        <f t="shared" si="9"/>
        <v>-0.65942849530407077</v>
      </c>
    </row>
    <row r="286" spans="1:19" ht="12.75">
      <c r="A286" s="6">
        <v>20200219</v>
      </c>
      <c r="B286" s="5">
        <v>0.6</v>
      </c>
      <c r="C286" s="5">
        <v>0.18</v>
      </c>
      <c r="D286" s="5">
        <v>0.02</v>
      </c>
      <c r="E286" s="5">
        <v>0.19</v>
      </c>
      <c r="F286" s="5">
        <v>-0.24</v>
      </c>
      <c r="G286" s="7">
        <v>6.0000000000000001E-3</v>
      </c>
      <c r="H286" s="8"/>
      <c r="I286" s="14">
        <v>80.91</v>
      </c>
      <c r="J286" s="15">
        <v>187.28</v>
      </c>
      <c r="K286" s="15">
        <v>2170.2199999999998</v>
      </c>
      <c r="L286" s="15">
        <v>229.24</v>
      </c>
      <c r="M286" s="15">
        <v>148.94</v>
      </c>
      <c r="O286" s="15">
        <f t="shared" si="10"/>
        <v>1.4545454545454417</v>
      </c>
      <c r="P286" s="15">
        <f t="shared" si="10"/>
        <v>2.6705122042414153E-2</v>
      </c>
      <c r="Q286" s="15">
        <f t="shared" si="10"/>
        <v>0.67496416427375028</v>
      </c>
      <c r="R286" s="15">
        <f t="shared" si="9"/>
        <v>1.089209331040264</v>
      </c>
      <c r="S286" s="15">
        <f t="shared" si="9"/>
        <v>-0.1341021858656255</v>
      </c>
    </row>
    <row r="287" spans="1:19" ht="12.75">
      <c r="A287" s="6">
        <v>20200220</v>
      </c>
      <c r="B287" s="5">
        <v>-0.35</v>
      </c>
      <c r="C287" s="5">
        <v>0.63</v>
      </c>
      <c r="D287" s="5">
        <v>0.66</v>
      </c>
      <c r="E287" s="5">
        <v>0.16</v>
      </c>
      <c r="F287" s="5">
        <v>-0.05</v>
      </c>
      <c r="G287" s="7">
        <v>6.0000000000000001E-3</v>
      </c>
      <c r="H287" s="8"/>
      <c r="I287" s="14">
        <v>80.08</v>
      </c>
      <c r="J287" s="15">
        <v>184.42</v>
      </c>
      <c r="K287" s="15">
        <v>2153.1</v>
      </c>
      <c r="L287" s="15">
        <v>228.17</v>
      </c>
      <c r="M287" s="15">
        <v>148.37</v>
      </c>
      <c r="O287" s="15">
        <f t="shared" si="10"/>
        <v>-1.0258311704362866</v>
      </c>
      <c r="P287" s="15">
        <f t="shared" si="10"/>
        <v>-1.5271251601879587</v>
      </c>
      <c r="Q287" s="15">
        <f t="shared" si="10"/>
        <v>-0.78886011556431601</v>
      </c>
      <c r="R287" s="15">
        <f t="shared" si="9"/>
        <v>-0.46675972779620656</v>
      </c>
      <c r="S287" s="15">
        <f t="shared" si="9"/>
        <v>-0.38270444474284293</v>
      </c>
    </row>
    <row r="288" spans="1:19" ht="12.75">
      <c r="A288" s="6">
        <v>20200221</v>
      </c>
      <c r="B288" s="5">
        <v>-1.1200000000000001</v>
      </c>
      <c r="C288" s="5">
        <v>-7.0000000000000007E-2</v>
      </c>
      <c r="D288" s="5">
        <v>0.03</v>
      </c>
      <c r="E288" s="5">
        <v>-0.23</v>
      </c>
      <c r="F288" s="5">
        <v>0.39</v>
      </c>
      <c r="G288" s="7">
        <v>6.0000000000000001E-3</v>
      </c>
      <c r="H288" s="8"/>
      <c r="I288" s="14">
        <v>78.260000000000005</v>
      </c>
      <c r="J288" s="15">
        <v>178.59</v>
      </c>
      <c r="K288" s="15">
        <v>2095.9699999999998</v>
      </c>
      <c r="L288" s="15">
        <v>229.33</v>
      </c>
      <c r="M288" s="15">
        <v>149.93</v>
      </c>
      <c r="O288" s="15">
        <f t="shared" si="10"/>
        <v>-2.2727272727272596</v>
      </c>
      <c r="P288" s="15">
        <f t="shared" si="10"/>
        <v>-3.1612623359722258</v>
      </c>
      <c r="Q288" s="15">
        <f t="shared" si="10"/>
        <v>-2.6533834935674183</v>
      </c>
      <c r="R288" s="15">
        <f t="shared" si="9"/>
        <v>0.5083928649691094</v>
      </c>
      <c r="S288" s="15">
        <f t="shared" si="9"/>
        <v>1.0514254903282394</v>
      </c>
    </row>
    <row r="289" spans="1:19" ht="12.75">
      <c r="A289" s="6">
        <v>20200224</v>
      </c>
      <c r="B289" s="5">
        <v>-3.39</v>
      </c>
      <c r="C289" s="5">
        <v>0.15</v>
      </c>
      <c r="D289" s="5">
        <v>0</v>
      </c>
      <c r="E289" s="5">
        <v>-0.35</v>
      </c>
      <c r="F289" s="5">
        <v>0.22</v>
      </c>
      <c r="G289" s="7">
        <v>6.0000000000000001E-3</v>
      </c>
      <c r="H289" s="8"/>
      <c r="I289" s="14">
        <v>74.55</v>
      </c>
      <c r="J289" s="15">
        <v>170.89</v>
      </c>
      <c r="K289" s="15">
        <v>2009.29</v>
      </c>
      <c r="L289" s="15">
        <v>221.69</v>
      </c>
      <c r="M289" s="15">
        <v>145.91</v>
      </c>
      <c r="O289" s="15">
        <f t="shared" si="10"/>
        <v>-4.7406082289803368</v>
      </c>
      <c r="P289" s="15">
        <f t="shared" si="10"/>
        <v>-4.3115515986337556</v>
      </c>
      <c r="Q289" s="15">
        <f t="shared" si="10"/>
        <v>-4.1355553753154801</v>
      </c>
      <c r="R289" s="15">
        <f t="shared" si="9"/>
        <v>-3.3314437709850542</v>
      </c>
      <c r="S289" s="15">
        <f t="shared" si="9"/>
        <v>-2.6812512505836161</v>
      </c>
    </row>
    <row r="290" spans="1:19" ht="12.75">
      <c r="A290" s="6">
        <v>20200225</v>
      </c>
      <c r="B290" s="5">
        <v>-3.09</v>
      </c>
      <c r="C290" s="5">
        <v>-0.35</v>
      </c>
      <c r="D290" s="5">
        <v>-0.67</v>
      </c>
      <c r="E290" s="5">
        <v>-0.62</v>
      </c>
      <c r="F290" s="5">
        <v>-0.05</v>
      </c>
      <c r="G290" s="7">
        <v>6.0000000000000001E-3</v>
      </c>
      <c r="H290" s="8"/>
      <c r="I290" s="14">
        <v>72.02</v>
      </c>
      <c r="J290" s="15">
        <v>168.07</v>
      </c>
      <c r="K290" s="15">
        <v>1972.74</v>
      </c>
      <c r="L290" s="15">
        <v>218.05</v>
      </c>
      <c r="M290" s="15">
        <v>144.65</v>
      </c>
      <c r="O290" s="15">
        <f t="shared" si="10"/>
        <v>-3.3936955063715635</v>
      </c>
      <c r="P290" s="15">
        <f t="shared" si="10"/>
        <v>-1.6501843291005902</v>
      </c>
      <c r="Q290" s="15">
        <f t="shared" si="10"/>
        <v>-1.8190505103792831</v>
      </c>
      <c r="R290" s="15">
        <f t="shared" si="9"/>
        <v>-1.641932428165449</v>
      </c>
      <c r="S290" s="15">
        <f t="shared" si="9"/>
        <v>-0.86354602152011184</v>
      </c>
    </row>
    <row r="291" spans="1:19" ht="12.75">
      <c r="A291" s="6">
        <v>20200226</v>
      </c>
      <c r="B291" s="5">
        <v>-0.52</v>
      </c>
      <c r="C291" s="5">
        <v>-0.74</v>
      </c>
      <c r="D291" s="5">
        <v>-1.19</v>
      </c>
      <c r="E291" s="5">
        <v>-0.47</v>
      </c>
      <c r="F291" s="5">
        <v>-0.18</v>
      </c>
      <c r="G291" s="7">
        <v>6.0000000000000001E-3</v>
      </c>
      <c r="H291" s="8"/>
      <c r="I291" s="14">
        <v>73.16</v>
      </c>
      <c r="J291" s="15">
        <v>170.17</v>
      </c>
      <c r="K291" s="15">
        <v>1979.59</v>
      </c>
      <c r="L291" s="15">
        <v>216.06</v>
      </c>
      <c r="M291" s="15">
        <v>143.68</v>
      </c>
      <c r="O291" s="15">
        <f t="shared" si="10"/>
        <v>1.5828936406553806</v>
      </c>
      <c r="P291" s="15">
        <f t="shared" si="10"/>
        <v>1.2494793835901685</v>
      </c>
      <c r="Q291" s="15">
        <f t="shared" si="10"/>
        <v>0.34723278282997594</v>
      </c>
      <c r="R291" s="15">
        <f t="shared" si="9"/>
        <v>-0.91263471680808061</v>
      </c>
      <c r="S291" s="15">
        <f t="shared" si="9"/>
        <v>-0.6705841686830305</v>
      </c>
    </row>
    <row r="292" spans="1:19" ht="12.75">
      <c r="A292" s="6">
        <v>20200227</v>
      </c>
      <c r="B292" s="5">
        <v>-4.22</v>
      </c>
      <c r="C292" s="5">
        <v>0.71</v>
      </c>
      <c r="D292" s="5">
        <v>0.05</v>
      </c>
      <c r="E292" s="5">
        <v>-0.41</v>
      </c>
      <c r="F292" s="5">
        <v>0</v>
      </c>
      <c r="G292" s="7">
        <v>6.0000000000000001E-3</v>
      </c>
      <c r="H292" s="8"/>
      <c r="I292" s="14">
        <v>68.38</v>
      </c>
      <c r="J292" s="15">
        <v>158.18</v>
      </c>
      <c r="K292" s="15">
        <v>1884.3</v>
      </c>
      <c r="L292" s="15">
        <v>207.67</v>
      </c>
      <c r="M292" s="15">
        <v>139.12</v>
      </c>
      <c r="O292" s="15">
        <f t="shared" si="10"/>
        <v>-6.5336249316566448</v>
      </c>
      <c r="P292" s="15">
        <f t="shared" si="10"/>
        <v>-7.0458952811893845</v>
      </c>
      <c r="Q292" s="15">
        <f t="shared" si="10"/>
        <v>-4.8136230229491979</v>
      </c>
      <c r="R292" s="15">
        <f t="shared" si="9"/>
        <v>-3.88318059798205</v>
      </c>
      <c r="S292" s="15">
        <f t="shared" si="9"/>
        <v>-3.1737193763919813</v>
      </c>
    </row>
    <row r="293" spans="1:19" ht="12.75">
      <c r="A293" s="6">
        <v>20200228</v>
      </c>
      <c r="B293" s="5">
        <v>-0.78</v>
      </c>
      <c r="C293" s="5">
        <v>0.09</v>
      </c>
      <c r="D293" s="5">
        <v>-0.79</v>
      </c>
      <c r="E293" s="5">
        <v>0.26</v>
      </c>
      <c r="F293" s="5">
        <v>-0.5</v>
      </c>
      <c r="G293" s="7">
        <v>6.0000000000000001E-3</v>
      </c>
      <c r="H293" s="8"/>
      <c r="I293" s="14">
        <v>68.34</v>
      </c>
      <c r="J293" s="15">
        <v>162.01</v>
      </c>
      <c r="K293" s="15">
        <v>1883.75</v>
      </c>
      <c r="L293" s="15">
        <v>206.34</v>
      </c>
      <c r="M293" s="15">
        <v>134.47999999999999</v>
      </c>
      <c r="O293" s="15">
        <f t="shared" si="10"/>
        <v>-5.8496636443394756E-2</v>
      </c>
      <c r="P293" s="15">
        <f t="shared" si="10"/>
        <v>2.4212921987609048</v>
      </c>
      <c r="Q293" s="15">
        <f t="shared" si="10"/>
        <v>-2.9188558085224692E-2</v>
      </c>
      <c r="R293" s="15">
        <f t="shared" si="9"/>
        <v>-0.64043915827995956</v>
      </c>
      <c r="S293" s="15">
        <f t="shared" si="9"/>
        <v>-3.3352501437607929</v>
      </c>
    </row>
    <row r="294" spans="1:19" ht="12.75">
      <c r="A294" s="6">
        <v>20200302</v>
      </c>
      <c r="B294" s="5">
        <v>4.3099999999999996</v>
      </c>
      <c r="C294" s="5">
        <v>-1.91</v>
      </c>
      <c r="D294" s="5">
        <v>-0.43</v>
      </c>
      <c r="E294" s="5">
        <v>-0.52</v>
      </c>
      <c r="F294" s="5">
        <v>0.41</v>
      </c>
      <c r="G294" s="7">
        <v>6.0000000000000001E-3</v>
      </c>
      <c r="H294" s="8"/>
      <c r="I294" s="14">
        <v>74.7</v>
      </c>
      <c r="J294" s="15">
        <v>172.79</v>
      </c>
      <c r="K294" s="15">
        <v>1953.95</v>
      </c>
      <c r="L294" s="15">
        <v>217.63</v>
      </c>
      <c r="M294" s="15">
        <v>140.02000000000001</v>
      </c>
      <c r="O294" s="15">
        <f t="shared" si="10"/>
        <v>9.3064091308165064</v>
      </c>
      <c r="P294" s="15">
        <f t="shared" si="10"/>
        <v>6.6539102524535432</v>
      </c>
      <c r="Q294" s="15">
        <f t="shared" si="10"/>
        <v>3.7266091572661031</v>
      </c>
      <c r="R294" s="15">
        <f t="shared" si="9"/>
        <v>5.471551807696029</v>
      </c>
      <c r="S294" s="15">
        <f t="shared" si="9"/>
        <v>4.1195716835217278</v>
      </c>
    </row>
    <row r="295" spans="1:19" ht="12.75">
      <c r="A295" s="6">
        <v>20200303</v>
      </c>
      <c r="B295" s="5">
        <v>-2.79</v>
      </c>
      <c r="C295" s="5">
        <v>0.68</v>
      </c>
      <c r="D295" s="5">
        <v>-0.62</v>
      </c>
      <c r="E295" s="5">
        <v>-0.44</v>
      </c>
      <c r="F295" s="5">
        <v>0.33</v>
      </c>
      <c r="G295" s="7">
        <v>6.0000000000000001E-3</v>
      </c>
      <c r="H295" s="8"/>
      <c r="I295" s="14">
        <v>72.33</v>
      </c>
      <c r="J295" s="15">
        <v>164.51</v>
      </c>
      <c r="K295" s="15">
        <v>1908.99</v>
      </c>
      <c r="L295" s="15">
        <v>208.81</v>
      </c>
      <c r="M295" s="15">
        <v>135.59</v>
      </c>
      <c r="O295" s="15">
        <f t="shared" si="10"/>
        <v>-3.1726907630522105</v>
      </c>
      <c r="P295" s="15">
        <f t="shared" si="10"/>
        <v>-4.7919439782394768</v>
      </c>
      <c r="Q295" s="15">
        <f t="shared" si="10"/>
        <v>-2.3009800660201196</v>
      </c>
      <c r="R295" s="15">
        <f t="shared" si="9"/>
        <v>-4.0527500804117045</v>
      </c>
      <c r="S295" s="15">
        <f t="shared" si="9"/>
        <v>-3.1638337380374248</v>
      </c>
    </row>
    <row r="296" spans="1:19" ht="12.75">
      <c r="A296" s="6">
        <v>20200304</v>
      </c>
      <c r="B296" s="5">
        <v>4.03</v>
      </c>
      <c r="C296" s="5">
        <v>-1.23</v>
      </c>
      <c r="D296" s="5">
        <v>-1.17</v>
      </c>
      <c r="E296" s="5">
        <v>7.0000000000000007E-2</v>
      </c>
      <c r="F296" s="5">
        <v>0.28000000000000003</v>
      </c>
      <c r="G296" s="7">
        <v>6.0000000000000001E-3</v>
      </c>
      <c r="H296" s="8"/>
      <c r="I296" s="14">
        <v>75.69</v>
      </c>
      <c r="J296" s="15">
        <v>170.55</v>
      </c>
      <c r="K296" s="15">
        <v>1975.83</v>
      </c>
      <c r="L296" s="15">
        <v>217.86</v>
      </c>
      <c r="M296" s="15">
        <v>143.47999999999999</v>
      </c>
      <c r="O296" s="15">
        <f t="shared" si="10"/>
        <v>4.6453753629199568</v>
      </c>
      <c r="P296" s="15">
        <f t="shared" si="10"/>
        <v>3.6715093307397861</v>
      </c>
      <c r="Q296" s="15">
        <f t="shared" si="10"/>
        <v>3.5013279273333087</v>
      </c>
      <c r="R296" s="15">
        <f t="shared" si="9"/>
        <v>4.3340836166850361</v>
      </c>
      <c r="S296" s="15">
        <f t="shared" si="9"/>
        <v>5.8190132015635276</v>
      </c>
    </row>
    <row r="297" spans="1:19" ht="12.75">
      <c r="A297" s="6">
        <v>20200305</v>
      </c>
      <c r="B297" s="5">
        <v>-3.38</v>
      </c>
      <c r="C297" s="5">
        <v>-0.15</v>
      </c>
      <c r="D297" s="5">
        <v>-1.37</v>
      </c>
      <c r="E297" s="5">
        <v>-0.88</v>
      </c>
      <c r="F297" s="5">
        <v>0.06</v>
      </c>
      <c r="G297" s="7">
        <v>6.0000000000000001E-3</v>
      </c>
      <c r="H297" s="8"/>
      <c r="I297" s="14">
        <v>73.23</v>
      </c>
      <c r="J297" s="15">
        <v>166.27</v>
      </c>
      <c r="K297" s="15">
        <v>1924.03</v>
      </c>
      <c r="L297" s="15">
        <v>208.96</v>
      </c>
      <c r="M297" s="15">
        <v>142.01</v>
      </c>
      <c r="O297" s="15">
        <f t="shared" si="10"/>
        <v>-3.2500990883868375</v>
      </c>
      <c r="P297" s="15">
        <f t="shared" si="10"/>
        <v>-2.5095279976546481</v>
      </c>
      <c r="Q297" s="15">
        <f t="shared" si="10"/>
        <v>-2.6216830395327517</v>
      </c>
      <c r="R297" s="15">
        <f t="shared" si="9"/>
        <v>-4.0851923253465543</v>
      </c>
      <c r="S297" s="15">
        <f t="shared" si="9"/>
        <v>-1.0245330359632043</v>
      </c>
    </row>
    <row r="298" spans="1:19" ht="12.75">
      <c r="A298" s="6">
        <v>20200306</v>
      </c>
      <c r="B298" s="5">
        <v>-1.78</v>
      </c>
      <c r="C298" s="5">
        <v>-0.21</v>
      </c>
      <c r="D298" s="5">
        <v>-1.47</v>
      </c>
      <c r="E298" s="5">
        <v>0.69</v>
      </c>
      <c r="F298" s="5">
        <v>0.35</v>
      </c>
      <c r="G298" s="7">
        <v>6.0000000000000001E-3</v>
      </c>
      <c r="H298" s="8"/>
      <c r="I298" s="14">
        <v>72.260000000000005</v>
      </c>
      <c r="J298" s="15">
        <v>161.57</v>
      </c>
      <c r="K298" s="15">
        <v>1901.09</v>
      </c>
      <c r="L298" s="15">
        <v>205.98</v>
      </c>
      <c r="M298" s="15">
        <v>142.03</v>
      </c>
      <c r="O298" s="15">
        <f t="shared" si="10"/>
        <v>-1.3245937457326162</v>
      </c>
      <c r="P298" s="15">
        <f t="shared" si="10"/>
        <v>-2.8267276117158957</v>
      </c>
      <c r="Q298" s="15">
        <f t="shared" si="10"/>
        <v>-1.1922891015212933</v>
      </c>
      <c r="R298" s="15">
        <f t="shared" si="9"/>
        <v>-1.4261102603369102</v>
      </c>
      <c r="S298" s="15">
        <f t="shared" si="9"/>
        <v>1.4083515245411071E-2</v>
      </c>
    </row>
    <row r="299" spans="1:19" ht="12.75">
      <c r="A299" s="6">
        <v>20200309</v>
      </c>
      <c r="B299" s="5">
        <v>-7.79</v>
      </c>
      <c r="C299" s="5">
        <v>-1.33</v>
      </c>
      <c r="D299" s="5">
        <v>-4.8099999999999996</v>
      </c>
      <c r="E299" s="5">
        <v>0.08</v>
      </c>
      <c r="F299" s="5">
        <v>0.47</v>
      </c>
      <c r="G299" s="7">
        <v>6.0000000000000001E-3</v>
      </c>
      <c r="H299" s="8"/>
      <c r="I299" s="14">
        <v>66.540000000000006</v>
      </c>
      <c r="J299" s="15">
        <v>150.62</v>
      </c>
      <c r="K299" s="15">
        <v>1800.61</v>
      </c>
      <c r="L299" s="15">
        <v>193.13</v>
      </c>
      <c r="M299" s="15">
        <v>136.44</v>
      </c>
      <c r="O299" s="15">
        <f t="shared" si="10"/>
        <v>-7.9158593966233042</v>
      </c>
      <c r="P299" s="15">
        <f t="shared" si="10"/>
        <v>-6.7772482515318426</v>
      </c>
      <c r="Q299" s="15">
        <f t="shared" si="10"/>
        <v>-5.2853889084683026</v>
      </c>
      <c r="R299" s="15">
        <f t="shared" si="9"/>
        <v>-6.2384697543450773</v>
      </c>
      <c r="S299" s="15">
        <f t="shared" si="9"/>
        <v>-3.9357882137576627</v>
      </c>
    </row>
    <row r="300" spans="1:19" ht="12.75">
      <c r="A300" s="6">
        <v>20200310</v>
      </c>
      <c r="B300" s="5">
        <v>4.74</v>
      </c>
      <c r="C300" s="5">
        <v>-2.39</v>
      </c>
      <c r="D300" s="5">
        <v>0.79</v>
      </c>
      <c r="E300" s="5">
        <v>0.52</v>
      </c>
      <c r="F300" s="5">
        <v>0.06</v>
      </c>
      <c r="G300" s="7">
        <v>6.0000000000000001E-3</v>
      </c>
      <c r="H300" s="8"/>
      <c r="I300" s="14">
        <v>71.33</v>
      </c>
      <c r="J300" s="15">
        <v>160.91999999999999</v>
      </c>
      <c r="K300" s="15">
        <v>1891.82</v>
      </c>
      <c r="L300" s="15">
        <v>202.73</v>
      </c>
      <c r="M300" s="15">
        <v>141.63999999999999</v>
      </c>
      <c r="O300" s="15">
        <f t="shared" si="10"/>
        <v>7.1986774872257131</v>
      </c>
      <c r="P300" s="15">
        <f t="shared" si="10"/>
        <v>6.8384012747310985</v>
      </c>
      <c r="Q300" s="15">
        <f t="shared" si="10"/>
        <v>5.0655055786650083</v>
      </c>
      <c r="R300" s="15">
        <f t="shared" si="9"/>
        <v>4.9707450939781461</v>
      </c>
      <c r="S300" s="15">
        <f t="shared" si="9"/>
        <v>3.8111990618586944</v>
      </c>
    </row>
    <row r="301" spans="1:19" ht="12.75">
      <c r="A301" s="6">
        <v>20200311</v>
      </c>
      <c r="B301" s="5">
        <v>-5.05</v>
      </c>
      <c r="C301" s="5">
        <v>-1.05</v>
      </c>
      <c r="D301" s="5">
        <v>-0.83</v>
      </c>
      <c r="E301" s="5">
        <v>0.03</v>
      </c>
      <c r="F301" s="5">
        <v>0.1</v>
      </c>
      <c r="G301" s="7">
        <v>6.0000000000000001E-3</v>
      </c>
      <c r="H301" s="8"/>
      <c r="I301" s="14">
        <v>68.86</v>
      </c>
      <c r="J301" s="15">
        <v>153.63</v>
      </c>
      <c r="K301" s="15">
        <v>1820.86</v>
      </c>
      <c r="L301" s="15">
        <v>194.64</v>
      </c>
      <c r="M301" s="15">
        <v>131.80000000000001</v>
      </c>
      <c r="O301" s="15">
        <f t="shared" si="10"/>
        <v>-3.4627786345156286</v>
      </c>
      <c r="P301" s="15">
        <f t="shared" si="10"/>
        <v>-4.5302013422818703</v>
      </c>
      <c r="Q301" s="15">
        <f t="shared" si="10"/>
        <v>-3.750885390787706</v>
      </c>
      <c r="R301" s="15">
        <f t="shared" si="9"/>
        <v>-3.9905292753909194</v>
      </c>
      <c r="S301" s="15">
        <f t="shared" si="9"/>
        <v>-6.9471900593052638</v>
      </c>
    </row>
    <row r="302" spans="1:19" ht="12.75">
      <c r="A302" s="6">
        <v>20200312</v>
      </c>
      <c r="B302" s="5">
        <v>-9.6300000000000008</v>
      </c>
      <c r="C302" s="5">
        <v>-1.08</v>
      </c>
      <c r="D302" s="5">
        <v>-1.17</v>
      </c>
      <c r="E302" s="5">
        <v>-0.34</v>
      </c>
      <c r="F302" s="5">
        <v>-0.15</v>
      </c>
      <c r="G302" s="7">
        <v>6.0000000000000001E-3</v>
      </c>
      <c r="H302" s="8"/>
      <c r="I302" s="14">
        <v>62.06</v>
      </c>
      <c r="J302" s="15">
        <v>139.06</v>
      </c>
      <c r="K302" s="15">
        <v>1676.61</v>
      </c>
      <c r="L302" s="15">
        <v>175.97</v>
      </c>
      <c r="M302" s="15">
        <v>125.41</v>
      </c>
      <c r="O302" s="15">
        <f t="shared" si="10"/>
        <v>-9.8751089166424606</v>
      </c>
      <c r="P302" s="15">
        <f t="shared" si="10"/>
        <v>-9.4838247738071928</v>
      </c>
      <c r="Q302" s="15">
        <f t="shared" si="10"/>
        <v>-7.9220807750184026</v>
      </c>
      <c r="R302" s="15">
        <f t="shared" si="9"/>
        <v>-9.5920674064940314</v>
      </c>
      <c r="S302" s="15">
        <f t="shared" si="9"/>
        <v>-4.8482549317147345</v>
      </c>
    </row>
    <row r="303" spans="1:19" ht="12.75">
      <c r="A303" s="6">
        <v>20200313</v>
      </c>
      <c r="B303" s="5">
        <v>8.9600000000000009</v>
      </c>
      <c r="C303" s="5">
        <v>-2.06</v>
      </c>
      <c r="D303" s="5">
        <v>3.09</v>
      </c>
      <c r="E303" s="5">
        <v>1.21</v>
      </c>
      <c r="F303" s="5">
        <v>0.37</v>
      </c>
      <c r="G303" s="7">
        <v>6.0000000000000001E-3</v>
      </c>
      <c r="H303" s="8"/>
      <c r="I303" s="14">
        <v>69.489999999999995</v>
      </c>
      <c r="J303" s="15">
        <v>158.83000000000001</v>
      </c>
      <c r="K303" s="15">
        <v>1785</v>
      </c>
      <c r="L303" s="15">
        <v>196.4</v>
      </c>
      <c r="M303" s="15">
        <v>134.29</v>
      </c>
      <c r="O303" s="15">
        <f t="shared" si="10"/>
        <v>11.972284885594565</v>
      </c>
      <c r="P303" s="15">
        <f t="shared" si="10"/>
        <v>14.216884797928952</v>
      </c>
      <c r="Q303" s="15">
        <f t="shared" si="10"/>
        <v>6.4648308193318682</v>
      </c>
      <c r="R303" s="15">
        <f t="shared" si="9"/>
        <v>11.609933511393988</v>
      </c>
      <c r="S303" s="15">
        <f t="shared" si="9"/>
        <v>7.0807750578103734</v>
      </c>
    </row>
    <row r="304" spans="1:19" ht="12.75">
      <c r="A304" s="6">
        <v>20200316</v>
      </c>
      <c r="B304" s="5">
        <v>-12</v>
      </c>
      <c r="C304" s="5">
        <v>-0.83</v>
      </c>
      <c r="D304" s="5">
        <v>-0.74</v>
      </c>
      <c r="E304" s="5">
        <v>0.48</v>
      </c>
      <c r="F304" s="5">
        <v>1.38</v>
      </c>
      <c r="G304" s="7">
        <v>6.0000000000000001E-3</v>
      </c>
      <c r="H304" s="8"/>
      <c r="I304" s="14">
        <v>60.55</v>
      </c>
      <c r="J304" s="15">
        <v>135.41999999999999</v>
      </c>
      <c r="K304" s="15">
        <v>1689.15</v>
      </c>
      <c r="L304" s="15">
        <v>177.77</v>
      </c>
      <c r="M304" s="15">
        <v>127.13</v>
      </c>
      <c r="O304" s="15">
        <f t="shared" si="10"/>
        <v>-12.865160454741687</v>
      </c>
      <c r="P304" s="15">
        <f t="shared" si="10"/>
        <v>-14.739029150664251</v>
      </c>
      <c r="Q304" s="15">
        <f t="shared" si="10"/>
        <v>-5.3697478991596608</v>
      </c>
      <c r="R304" s="15">
        <f t="shared" si="9"/>
        <v>-9.4857433808553928</v>
      </c>
      <c r="S304" s="15">
        <f t="shared" si="9"/>
        <v>-5.3317447315511135</v>
      </c>
    </row>
    <row r="305" spans="1:19" ht="12.75">
      <c r="A305" s="6">
        <v>20200317</v>
      </c>
      <c r="B305" s="5">
        <v>5.87</v>
      </c>
      <c r="C305" s="5">
        <v>0.44</v>
      </c>
      <c r="D305" s="5">
        <v>-0.71</v>
      </c>
      <c r="E305" s="5">
        <v>-0.53</v>
      </c>
      <c r="F305" s="5">
        <v>-0.21</v>
      </c>
      <c r="G305" s="7">
        <v>6.0000000000000001E-3</v>
      </c>
      <c r="H305" s="8"/>
      <c r="I305" s="14">
        <v>63.22</v>
      </c>
      <c r="J305" s="15">
        <v>146.57</v>
      </c>
      <c r="K305" s="15">
        <v>1807.84</v>
      </c>
      <c r="L305" s="15">
        <v>187.6</v>
      </c>
      <c r="M305" s="15">
        <v>136.59</v>
      </c>
      <c r="O305" s="15">
        <f t="shared" si="10"/>
        <v>4.4095788604459063</v>
      </c>
      <c r="P305" s="15">
        <f t="shared" si="10"/>
        <v>8.2336434795451154</v>
      </c>
      <c r="Q305" s="15">
        <f t="shared" si="10"/>
        <v>7.0266110173755836</v>
      </c>
      <c r="R305" s="15">
        <f t="shared" si="9"/>
        <v>5.5296169207402768</v>
      </c>
      <c r="S305" s="15">
        <f t="shared" si="9"/>
        <v>7.4412019192952261</v>
      </c>
    </row>
    <row r="306" spans="1:19" ht="12.75">
      <c r="A306" s="6">
        <v>20200318</v>
      </c>
      <c r="B306" s="5">
        <v>-5.56</v>
      </c>
      <c r="C306" s="5">
        <v>-4.57</v>
      </c>
      <c r="D306" s="5">
        <v>-4.66</v>
      </c>
      <c r="E306" s="5">
        <v>0.13</v>
      </c>
      <c r="F306" s="5">
        <v>0.06</v>
      </c>
      <c r="G306" s="7">
        <v>6.0000000000000001E-3</v>
      </c>
      <c r="H306" s="8"/>
      <c r="I306" s="14">
        <v>61.67</v>
      </c>
      <c r="J306" s="15">
        <v>140.4</v>
      </c>
      <c r="K306" s="15">
        <v>1830</v>
      </c>
      <c r="L306" s="15">
        <v>172.44</v>
      </c>
      <c r="M306" s="15">
        <v>134.96</v>
      </c>
      <c r="O306" s="15">
        <f t="shared" si="10"/>
        <v>-2.4517557734893947</v>
      </c>
      <c r="P306" s="15">
        <f t="shared" si="10"/>
        <v>-4.2095926860885484</v>
      </c>
      <c r="Q306" s="15">
        <f t="shared" si="10"/>
        <v>1.2257721922294129</v>
      </c>
      <c r="R306" s="15">
        <f t="shared" si="9"/>
        <v>-8.0810234541577763</v>
      </c>
      <c r="S306" s="15">
        <f t="shared" si="9"/>
        <v>-1.1933523684017788</v>
      </c>
    </row>
    <row r="307" spans="1:19" ht="12.75">
      <c r="A307" s="6">
        <v>20200319</v>
      </c>
      <c r="B307" s="5">
        <v>1.31</v>
      </c>
      <c r="C307" s="5">
        <v>5.74</v>
      </c>
      <c r="D307" s="5">
        <v>0.76</v>
      </c>
      <c r="E307" s="5">
        <v>-1.38</v>
      </c>
      <c r="F307" s="5">
        <v>-1.7</v>
      </c>
      <c r="G307" s="7">
        <v>6.0000000000000001E-3</v>
      </c>
      <c r="H307" s="8"/>
      <c r="I307" s="14">
        <v>61.2</v>
      </c>
      <c r="J307" s="15">
        <v>142.71</v>
      </c>
      <c r="K307" s="15">
        <v>1880.93</v>
      </c>
      <c r="L307" s="15">
        <v>174.68</v>
      </c>
      <c r="M307" s="15">
        <v>127.05</v>
      </c>
      <c r="O307" s="15">
        <f t="shared" si="10"/>
        <v>-0.76212096643424321</v>
      </c>
      <c r="P307" s="15">
        <f t="shared" si="10"/>
        <v>1.6452991452991395</v>
      </c>
      <c r="Q307" s="15">
        <f t="shared" si="10"/>
        <v>2.7830601092896146</v>
      </c>
      <c r="R307" s="15">
        <f t="shared" si="9"/>
        <v>1.2990025516121495</v>
      </c>
      <c r="S307" s="15">
        <f t="shared" si="9"/>
        <v>-5.8609958506224196</v>
      </c>
    </row>
    <row r="308" spans="1:19" ht="12.75">
      <c r="A308" s="6">
        <v>20200320</v>
      </c>
      <c r="B308" s="5">
        <v>-4.1500000000000004</v>
      </c>
      <c r="C308" s="5">
        <v>0.22</v>
      </c>
      <c r="D308" s="5">
        <v>-0.9</v>
      </c>
      <c r="E308" s="5">
        <v>-0.96</v>
      </c>
      <c r="F308" s="5">
        <v>-1.1299999999999999</v>
      </c>
      <c r="G308" s="7">
        <v>6.0000000000000001E-3</v>
      </c>
      <c r="H308" s="8"/>
      <c r="I308" s="14">
        <v>57.31</v>
      </c>
      <c r="J308" s="15">
        <v>137.35</v>
      </c>
      <c r="K308" s="15">
        <v>1846.09</v>
      </c>
      <c r="L308" s="15">
        <v>170.06</v>
      </c>
      <c r="M308" s="15">
        <v>119.89</v>
      </c>
      <c r="O308" s="15">
        <f t="shared" si="10"/>
        <v>-6.356209150326797</v>
      </c>
      <c r="P308" s="15">
        <f t="shared" si="10"/>
        <v>-3.7558685446009488</v>
      </c>
      <c r="Q308" s="15">
        <f t="shared" si="10"/>
        <v>-1.8522752042872459</v>
      </c>
      <c r="R308" s="15">
        <f t="shared" si="9"/>
        <v>-2.6448362720403074</v>
      </c>
      <c r="S308" s="15">
        <f t="shared" si="9"/>
        <v>-5.6355765446674528</v>
      </c>
    </row>
    <row r="309" spans="1:19" ht="12.75">
      <c r="A309" s="6">
        <v>20200323</v>
      </c>
      <c r="B309" s="5">
        <v>-2.5499999999999998</v>
      </c>
      <c r="C309" s="5">
        <v>1.71</v>
      </c>
      <c r="D309" s="5">
        <v>-3.4</v>
      </c>
      <c r="E309" s="5">
        <v>0.32</v>
      </c>
      <c r="F309" s="5">
        <v>-1.05</v>
      </c>
      <c r="G309" s="7">
        <v>6.0000000000000001E-3</v>
      </c>
      <c r="H309" s="8"/>
      <c r="I309" s="14">
        <v>56.09</v>
      </c>
      <c r="J309" s="15">
        <v>135.97999999999999</v>
      </c>
      <c r="K309" s="15">
        <v>1902.83</v>
      </c>
      <c r="L309" s="15">
        <v>162.13</v>
      </c>
      <c r="M309" s="15">
        <v>111.14</v>
      </c>
      <c r="O309" s="15">
        <f t="shared" si="10"/>
        <v>-2.1287733379863893</v>
      </c>
      <c r="P309" s="15">
        <f t="shared" si="10"/>
        <v>-0.99745176556244042</v>
      </c>
      <c r="Q309" s="15">
        <f t="shared" si="10"/>
        <v>3.0735229593356728</v>
      </c>
      <c r="R309" s="15">
        <f t="shared" si="9"/>
        <v>-4.6630600964365554</v>
      </c>
      <c r="S309" s="15">
        <f t="shared" si="9"/>
        <v>-7.2983568270915011</v>
      </c>
    </row>
    <row r="310" spans="1:19" ht="12.75">
      <c r="A310" s="6">
        <v>20200324</v>
      </c>
      <c r="B310" s="5">
        <v>9.34</v>
      </c>
      <c r="C310" s="5">
        <v>-0.28999999999999998</v>
      </c>
      <c r="D310" s="5">
        <v>2.4300000000000002</v>
      </c>
      <c r="E310" s="5">
        <v>0.46</v>
      </c>
      <c r="F310" s="5">
        <v>0.16</v>
      </c>
      <c r="G310" s="7">
        <v>6.0000000000000001E-3</v>
      </c>
      <c r="H310" s="8"/>
      <c r="I310" s="14">
        <v>61.72</v>
      </c>
      <c r="J310" s="15">
        <v>148.34</v>
      </c>
      <c r="K310" s="15">
        <v>1940.1</v>
      </c>
      <c r="L310" s="15">
        <v>178.2</v>
      </c>
      <c r="M310" s="15">
        <v>119.18</v>
      </c>
      <c r="O310" s="15">
        <f t="shared" si="10"/>
        <v>10.037439828846484</v>
      </c>
      <c r="P310" s="15">
        <f t="shared" si="10"/>
        <v>9.0895719958817622</v>
      </c>
      <c r="Q310" s="15">
        <f t="shared" si="10"/>
        <v>1.958661572499909</v>
      </c>
      <c r="R310" s="15">
        <f t="shared" si="9"/>
        <v>9.9117991735027324</v>
      </c>
      <c r="S310" s="15">
        <f t="shared" si="9"/>
        <v>7.2341191290264506</v>
      </c>
    </row>
    <row r="311" spans="1:19" ht="12.75">
      <c r="A311" s="6">
        <v>20200325</v>
      </c>
      <c r="B311" s="5">
        <v>1.18</v>
      </c>
      <c r="C311" s="5">
        <v>-0.18</v>
      </c>
      <c r="D311" s="5">
        <v>1.87</v>
      </c>
      <c r="E311" s="5">
        <v>-7.0000000000000007E-2</v>
      </c>
      <c r="F311" s="5">
        <v>0.24</v>
      </c>
      <c r="G311" s="7">
        <v>6.0000000000000001E-3</v>
      </c>
      <c r="H311" s="8"/>
      <c r="I311" s="14">
        <v>61.38</v>
      </c>
      <c r="J311" s="15">
        <v>146.91999999999999</v>
      </c>
      <c r="K311" s="15">
        <v>1885.84</v>
      </c>
      <c r="L311" s="15">
        <v>180.47</v>
      </c>
      <c r="M311" s="15">
        <v>119.4</v>
      </c>
      <c r="O311" s="15">
        <f t="shared" si="10"/>
        <v>-0.550874918988975</v>
      </c>
      <c r="P311" s="15">
        <f t="shared" si="10"/>
        <v>-0.95726034784954228</v>
      </c>
      <c r="Q311" s="15">
        <f t="shared" si="10"/>
        <v>-2.796763053450857</v>
      </c>
      <c r="R311" s="15">
        <f t="shared" si="9"/>
        <v>1.273849607182953</v>
      </c>
      <c r="S311" s="15">
        <f t="shared" si="9"/>
        <v>0.18459473065950416</v>
      </c>
    </row>
    <row r="312" spans="1:19" ht="12.75">
      <c r="A312" s="6">
        <v>20200326</v>
      </c>
      <c r="B312" s="5">
        <v>6.02</v>
      </c>
      <c r="C312" s="5">
        <v>-0.52</v>
      </c>
      <c r="D312" s="5">
        <v>1.17</v>
      </c>
      <c r="E312" s="5">
        <v>-0.62</v>
      </c>
      <c r="F312" s="5">
        <v>-0.03</v>
      </c>
      <c r="G312" s="7">
        <v>6.0000000000000001E-3</v>
      </c>
      <c r="H312" s="8"/>
      <c r="I312" s="14">
        <v>64.61</v>
      </c>
      <c r="J312" s="15">
        <v>156.11000000000001</v>
      </c>
      <c r="K312" s="15">
        <v>1955.49</v>
      </c>
      <c r="L312" s="15">
        <v>183.9</v>
      </c>
      <c r="M312" s="15">
        <v>126.57</v>
      </c>
      <c r="O312" s="15">
        <f t="shared" si="10"/>
        <v>5.2623004235907489</v>
      </c>
      <c r="P312" s="15">
        <f t="shared" si="10"/>
        <v>6.2551048189491087</v>
      </c>
      <c r="Q312" s="15">
        <f t="shared" si="10"/>
        <v>3.6933143851016093</v>
      </c>
      <c r="R312" s="15">
        <f t="shared" si="9"/>
        <v>1.9005928963262697</v>
      </c>
      <c r="S312" s="15">
        <f t="shared" si="9"/>
        <v>6.0050251256281273</v>
      </c>
    </row>
    <row r="313" spans="1:19" ht="12.75">
      <c r="A313" s="6">
        <v>20200327</v>
      </c>
      <c r="B313" s="5">
        <v>-3.48</v>
      </c>
      <c r="C313" s="5">
        <v>-1.1100000000000001</v>
      </c>
      <c r="D313" s="5">
        <v>-0.75</v>
      </c>
      <c r="E313" s="5">
        <v>-1.1100000000000001</v>
      </c>
      <c r="F313" s="5">
        <v>0.78</v>
      </c>
      <c r="G313" s="7">
        <v>6.0000000000000001E-3</v>
      </c>
      <c r="H313" s="8"/>
      <c r="I313" s="14">
        <v>61.94</v>
      </c>
      <c r="J313" s="15">
        <v>149.69999999999999</v>
      </c>
      <c r="K313" s="15">
        <v>1900.1</v>
      </c>
      <c r="L313" s="15">
        <v>179.66</v>
      </c>
      <c r="M313" s="15">
        <v>123.16</v>
      </c>
      <c r="O313" s="15">
        <f t="shared" si="10"/>
        <v>-4.1324872310787857</v>
      </c>
      <c r="P313" s="15">
        <f t="shared" si="10"/>
        <v>-4.1060790468259718</v>
      </c>
      <c r="Q313" s="15">
        <f t="shared" si="10"/>
        <v>-2.8325381362216184</v>
      </c>
      <c r="R313" s="15">
        <f t="shared" si="9"/>
        <v>-2.3056008700380715</v>
      </c>
      <c r="S313" s="15">
        <f t="shared" si="9"/>
        <v>-2.6941613336493586</v>
      </c>
    </row>
    <row r="314" spans="1:19" ht="12.75">
      <c r="A314" s="6">
        <v>20200330</v>
      </c>
      <c r="B314" s="5">
        <v>3.16</v>
      </c>
      <c r="C314" s="5">
        <v>-0.78</v>
      </c>
      <c r="D314" s="5">
        <v>-2.12</v>
      </c>
      <c r="E314" s="5">
        <v>-0.26</v>
      </c>
      <c r="F314" s="5">
        <v>-0.13</v>
      </c>
      <c r="G314" s="7">
        <v>6.0000000000000001E-3</v>
      </c>
      <c r="H314" s="8"/>
      <c r="I314" s="14">
        <v>63.7</v>
      </c>
      <c r="J314" s="15">
        <v>160.22999999999999</v>
      </c>
      <c r="K314" s="15">
        <v>1963.95</v>
      </c>
      <c r="L314" s="15">
        <v>183.18</v>
      </c>
      <c r="M314" s="15">
        <v>133.01</v>
      </c>
      <c r="O314" s="15">
        <f t="shared" si="10"/>
        <v>2.841459476913144</v>
      </c>
      <c r="P314" s="15">
        <f t="shared" si="10"/>
        <v>7.0340681362725421</v>
      </c>
      <c r="Q314" s="15">
        <f t="shared" si="10"/>
        <v>3.3603494552918445</v>
      </c>
      <c r="R314" s="15">
        <f t="shared" si="9"/>
        <v>1.9592563731492874</v>
      </c>
      <c r="S314" s="15">
        <f t="shared" si="9"/>
        <v>7.9977265345891446</v>
      </c>
    </row>
    <row r="315" spans="1:19" ht="12.75">
      <c r="A315" s="6">
        <v>20200331</v>
      </c>
      <c r="B315" s="5">
        <v>-1.44</v>
      </c>
      <c r="C315" s="5">
        <v>1.52</v>
      </c>
      <c r="D315" s="5">
        <v>-0.43</v>
      </c>
      <c r="E315" s="5">
        <v>0.41</v>
      </c>
      <c r="F315" s="5">
        <v>-0.05</v>
      </c>
      <c r="G315" s="7">
        <v>6.0000000000000001E-3</v>
      </c>
      <c r="H315" s="8"/>
      <c r="I315" s="14">
        <v>63.57</v>
      </c>
      <c r="J315" s="15">
        <v>157.71</v>
      </c>
      <c r="K315" s="15">
        <v>1949.72</v>
      </c>
      <c r="L315" s="15">
        <v>182.83</v>
      </c>
      <c r="M315" s="15">
        <v>131.13</v>
      </c>
      <c r="O315" s="15">
        <f t="shared" si="10"/>
        <v>-0.20408163265306367</v>
      </c>
      <c r="P315" s="15">
        <f t="shared" si="10"/>
        <v>-1.5727391874180707</v>
      </c>
      <c r="Q315" s="15">
        <f t="shared" si="10"/>
        <v>-0.72456019756104162</v>
      </c>
      <c r="R315" s="15">
        <f t="shared" si="9"/>
        <v>-0.1910688939840588</v>
      </c>
      <c r="S315" s="15">
        <f t="shared" si="9"/>
        <v>-1.4134275618374548</v>
      </c>
    </row>
    <row r="316" spans="1:19" ht="12.75">
      <c r="A316" s="6">
        <v>20200401</v>
      </c>
      <c r="B316" s="5">
        <v>-4.51</v>
      </c>
      <c r="C316" s="5">
        <v>-2</v>
      </c>
      <c r="D316" s="5">
        <v>-1.46</v>
      </c>
      <c r="E316" s="5">
        <v>0.23</v>
      </c>
      <c r="F316" s="5">
        <v>0.24</v>
      </c>
      <c r="G316" s="7">
        <v>0</v>
      </c>
      <c r="H316" s="8"/>
      <c r="I316" s="14">
        <v>60.23</v>
      </c>
      <c r="J316" s="15">
        <v>152.11000000000001</v>
      </c>
      <c r="K316" s="15">
        <v>1907.7</v>
      </c>
      <c r="L316" s="15">
        <v>175.95</v>
      </c>
      <c r="M316" s="15">
        <v>128.81</v>
      </c>
      <c r="O316" s="15">
        <f t="shared" si="10"/>
        <v>-5.2540506528236612</v>
      </c>
      <c r="P316" s="15">
        <f t="shared" si="10"/>
        <v>-3.550821127385706</v>
      </c>
      <c r="Q316" s="15">
        <f t="shared" si="10"/>
        <v>-2.1551812567958462</v>
      </c>
      <c r="R316" s="15">
        <f t="shared" si="9"/>
        <v>-3.7630585790078386</v>
      </c>
      <c r="S316" s="15">
        <f t="shared" si="9"/>
        <v>-1.7692366353999844</v>
      </c>
    </row>
    <row r="317" spans="1:19" ht="12.75">
      <c r="A317" s="6">
        <v>20200402</v>
      </c>
      <c r="B317" s="5">
        <v>2.1</v>
      </c>
      <c r="C317" s="5">
        <v>-0.98</v>
      </c>
      <c r="D317" s="5">
        <v>-0.25</v>
      </c>
      <c r="E317" s="5">
        <v>-0.27</v>
      </c>
      <c r="F317" s="5">
        <v>0.81</v>
      </c>
      <c r="G317" s="7">
        <v>0</v>
      </c>
      <c r="H317" s="8"/>
      <c r="I317" s="14">
        <v>61.23</v>
      </c>
      <c r="J317" s="15">
        <v>155.26</v>
      </c>
      <c r="K317" s="15">
        <v>1918.83</v>
      </c>
      <c r="L317" s="15">
        <v>179.73</v>
      </c>
      <c r="M317" s="15">
        <v>133.15</v>
      </c>
      <c r="O317" s="15">
        <f t="shared" si="10"/>
        <v>1.6603021749958424</v>
      </c>
      <c r="P317" s="15">
        <f t="shared" si="10"/>
        <v>2.0708697653014196</v>
      </c>
      <c r="Q317" s="15">
        <f t="shared" si="10"/>
        <v>0.58342506683439765</v>
      </c>
      <c r="R317" s="15">
        <f t="shared" si="9"/>
        <v>2.1483375959079343</v>
      </c>
      <c r="S317" s="15">
        <f t="shared" si="9"/>
        <v>3.3693036254949238</v>
      </c>
    </row>
    <row r="318" spans="1:19" ht="12.75">
      <c r="A318" s="6">
        <v>20200403</v>
      </c>
      <c r="B318" s="5">
        <v>-1.64</v>
      </c>
      <c r="C318" s="5">
        <v>-1.37</v>
      </c>
      <c r="D318" s="5">
        <v>-1.18</v>
      </c>
      <c r="E318" s="5">
        <v>-0.23</v>
      </c>
      <c r="F318" s="5">
        <v>0.35</v>
      </c>
      <c r="G318" s="7">
        <v>0</v>
      </c>
      <c r="H318" s="8"/>
      <c r="I318" s="14">
        <v>60.35</v>
      </c>
      <c r="J318" s="15">
        <v>153.83000000000001</v>
      </c>
      <c r="K318" s="15">
        <v>1906.59</v>
      </c>
      <c r="L318" s="15">
        <v>178.34</v>
      </c>
      <c r="M318" s="15">
        <v>134.16999999999999</v>
      </c>
      <c r="O318" s="15">
        <f t="shared" si="10"/>
        <v>-1.4372039849746776</v>
      </c>
      <c r="P318" s="15">
        <f t="shared" si="10"/>
        <v>-0.9210356820816501</v>
      </c>
      <c r="Q318" s="15">
        <f t="shared" si="10"/>
        <v>-0.63788871343475329</v>
      </c>
      <c r="R318" s="15">
        <f t="shared" si="9"/>
        <v>-0.77338229566571437</v>
      </c>
      <c r="S318" s="15">
        <f t="shared" si="9"/>
        <v>0.76605332331955989</v>
      </c>
    </row>
    <row r="319" spans="1:19" ht="12.75">
      <c r="A319" s="6">
        <v>20200406</v>
      </c>
      <c r="B319" s="5">
        <v>7.06</v>
      </c>
      <c r="C319" s="5">
        <v>1.17</v>
      </c>
      <c r="D319" s="5">
        <v>0.34</v>
      </c>
      <c r="E319" s="5">
        <v>1.29</v>
      </c>
      <c r="F319" s="5">
        <v>-0.79</v>
      </c>
      <c r="G319" s="7">
        <v>0</v>
      </c>
      <c r="H319" s="8"/>
      <c r="I319" s="14">
        <v>65.62</v>
      </c>
      <c r="J319" s="15">
        <v>165.27</v>
      </c>
      <c r="K319" s="15">
        <v>1997.59</v>
      </c>
      <c r="L319" s="15">
        <v>185.24</v>
      </c>
      <c r="M319" s="15">
        <v>139.76</v>
      </c>
      <c r="O319" s="15">
        <f t="shared" si="10"/>
        <v>8.7323943661971946</v>
      </c>
      <c r="P319" s="15">
        <f t="shared" si="10"/>
        <v>7.4367808619905107</v>
      </c>
      <c r="Q319" s="15">
        <f t="shared" si="10"/>
        <v>4.7729191908066237</v>
      </c>
      <c r="R319" s="15">
        <f t="shared" si="9"/>
        <v>3.8690142424582241</v>
      </c>
      <c r="S319" s="15">
        <f t="shared" si="9"/>
        <v>4.1663561153760131</v>
      </c>
    </row>
    <row r="320" spans="1:19" ht="12.75">
      <c r="A320" s="6">
        <v>20200407</v>
      </c>
      <c r="B320" s="5">
        <v>-0.11</v>
      </c>
      <c r="C320" s="5">
        <v>0.12</v>
      </c>
      <c r="D320" s="5">
        <v>2.08</v>
      </c>
      <c r="E320" s="5">
        <v>0.9</v>
      </c>
      <c r="F320" s="5">
        <v>-0.34</v>
      </c>
      <c r="G320" s="7">
        <v>0</v>
      </c>
      <c r="H320" s="8"/>
      <c r="I320" s="14">
        <v>64.86</v>
      </c>
      <c r="J320" s="15">
        <v>163.49</v>
      </c>
      <c r="K320" s="15">
        <v>2011.6</v>
      </c>
      <c r="L320" s="15">
        <v>185.25</v>
      </c>
      <c r="M320" s="15">
        <v>137.47999999999999</v>
      </c>
      <c r="O320" s="15">
        <f t="shared" si="10"/>
        <v>-1.1581834806461577</v>
      </c>
      <c r="P320" s="15">
        <f t="shared" si="10"/>
        <v>-1.0770254734676632</v>
      </c>
      <c r="Q320" s="15">
        <f t="shared" si="10"/>
        <v>0.70134512087065559</v>
      </c>
      <c r="R320" s="15">
        <f t="shared" si="9"/>
        <v>5.3984020729869187E-3</v>
      </c>
      <c r="S320" s="15">
        <f t="shared" si="9"/>
        <v>-1.6313680595306246</v>
      </c>
    </row>
    <row r="321" spans="1:19" ht="12.75">
      <c r="A321" s="6">
        <v>20200408</v>
      </c>
      <c r="B321" s="5">
        <v>3.4</v>
      </c>
      <c r="C321" s="5">
        <v>0.85</v>
      </c>
      <c r="D321" s="5">
        <v>1.3</v>
      </c>
      <c r="E321" s="5">
        <v>0.46</v>
      </c>
      <c r="F321" s="5">
        <v>-0.09</v>
      </c>
      <c r="G321" s="7">
        <v>0</v>
      </c>
      <c r="H321" s="8"/>
      <c r="I321" s="14">
        <v>66.52</v>
      </c>
      <c r="J321" s="15">
        <v>165.13</v>
      </c>
      <c r="K321" s="15">
        <v>2043</v>
      </c>
      <c r="L321" s="15">
        <v>191.01</v>
      </c>
      <c r="M321" s="15">
        <v>143.26</v>
      </c>
      <c r="O321" s="15">
        <f t="shared" si="10"/>
        <v>2.5593586185630457</v>
      </c>
      <c r="P321" s="15">
        <f t="shared" si="10"/>
        <v>1.003119456847501</v>
      </c>
      <c r="Q321" s="15">
        <f t="shared" si="10"/>
        <v>1.5609465102406128</v>
      </c>
      <c r="R321" s="15">
        <f t="shared" si="9"/>
        <v>3.1093117408906856</v>
      </c>
      <c r="S321" s="15">
        <f t="shared" si="9"/>
        <v>4.2042478906022751</v>
      </c>
    </row>
    <row r="322" spans="1:19" ht="12.75">
      <c r="A322" s="6">
        <v>20200409</v>
      </c>
      <c r="B322" s="5">
        <v>1.59</v>
      </c>
      <c r="C322" s="5">
        <v>2.44</v>
      </c>
      <c r="D322" s="5">
        <v>3.16</v>
      </c>
      <c r="E322" s="5">
        <v>-0.88</v>
      </c>
      <c r="F322" s="5">
        <v>-7.0000000000000007E-2</v>
      </c>
      <c r="G322" s="7">
        <v>0</v>
      </c>
      <c r="H322" s="8"/>
      <c r="I322" s="14">
        <v>67</v>
      </c>
      <c r="J322" s="15">
        <v>165.14</v>
      </c>
      <c r="K322" s="15">
        <v>2042.76</v>
      </c>
      <c r="L322" s="15">
        <v>193.84</v>
      </c>
      <c r="M322" s="15">
        <v>141.22999999999999</v>
      </c>
      <c r="O322" s="15">
        <f t="shared" si="10"/>
        <v>0.72158749248347753</v>
      </c>
      <c r="P322" s="15">
        <f t="shared" si="10"/>
        <v>6.0558347968253656E-3</v>
      </c>
      <c r="Q322" s="15">
        <f t="shared" si="10"/>
        <v>-1.1747430249631208E-2</v>
      </c>
      <c r="R322" s="15">
        <f t="shared" si="9"/>
        <v>1.4815978221035531</v>
      </c>
      <c r="S322" s="15">
        <f t="shared" si="9"/>
        <v>-1.4170040485829927</v>
      </c>
    </row>
    <row r="323" spans="1:19" ht="12.75">
      <c r="A323" s="6">
        <v>20200413</v>
      </c>
      <c r="B323" s="5">
        <v>-0.92</v>
      </c>
      <c r="C323" s="5">
        <v>-1.45</v>
      </c>
      <c r="D323" s="5">
        <v>-2.41</v>
      </c>
      <c r="E323" s="5">
        <v>-0.49</v>
      </c>
      <c r="F323" s="5">
        <v>0.04</v>
      </c>
      <c r="G323" s="7">
        <v>0</v>
      </c>
      <c r="H323" s="8"/>
      <c r="I323" s="14">
        <v>68.31</v>
      </c>
      <c r="J323" s="15">
        <v>165.51</v>
      </c>
      <c r="K323" s="15">
        <v>2168.87</v>
      </c>
      <c r="L323" s="15">
        <v>188.77</v>
      </c>
      <c r="M323" s="15">
        <v>139.77000000000001</v>
      </c>
      <c r="O323" s="15">
        <f t="shared" si="10"/>
        <v>1.9552238805970124</v>
      </c>
      <c r="P323" s="15">
        <f t="shared" si="10"/>
        <v>0.22405231924427227</v>
      </c>
      <c r="Q323" s="15">
        <f t="shared" si="10"/>
        <v>6.1735103487438492</v>
      </c>
      <c r="R323" s="15">
        <f t="shared" si="9"/>
        <v>-2.6155592241023484</v>
      </c>
      <c r="S323" s="15">
        <f t="shared" si="9"/>
        <v>-1.0337746937619352</v>
      </c>
    </row>
    <row r="324" spans="1:19" ht="12.75">
      <c r="A324" s="6">
        <v>20200414</v>
      </c>
      <c r="B324" s="5">
        <v>3.02</v>
      </c>
      <c r="C324" s="5">
        <v>-0.72</v>
      </c>
      <c r="D324" s="5">
        <v>-3.12</v>
      </c>
      <c r="E324" s="5">
        <v>0.25</v>
      </c>
      <c r="F324" s="5">
        <v>-0.33</v>
      </c>
      <c r="G324" s="7">
        <v>0</v>
      </c>
      <c r="H324" s="8"/>
      <c r="I324" s="14">
        <v>71.760000000000005</v>
      </c>
      <c r="J324" s="15">
        <v>173.7</v>
      </c>
      <c r="K324" s="15">
        <v>2283.3200000000002</v>
      </c>
      <c r="L324" s="15">
        <v>192.94</v>
      </c>
      <c r="M324" s="15">
        <v>146.03</v>
      </c>
      <c r="O324" s="15">
        <f t="shared" si="10"/>
        <v>5.0505050505050608</v>
      </c>
      <c r="P324" s="15">
        <f t="shared" si="10"/>
        <v>4.948341489940189</v>
      </c>
      <c r="Q324" s="15">
        <f t="shared" si="10"/>
        <v>5.2769414487728872</v>
      </c>
      <c r="R324" s="15">
        <f t="shared" si="10"/>
        <v>2.2090374529851076</v>
      </c>
      <c r="S324" s="15">
        <f t="shared" si="10"/>
        <v>4.4787865779494895</v>
      </c>
    </row>
    <row r="325" spans="1:19" ht="12.75">
      <c r="A325" s="6">
        <v>20200415</v>
      </c>
      <c r="B325" s="5">
        <v>-2.15</v>
      </c>
      <c r="C325" s="5">
        <v>-1.95</v>
      </c>
      <c r="D325" s="5">
        <v>-2.5499999999999998</v>
      </c>
      <c r="E325" s="5">
        <v>-0.4</v>
      </c>
      <c r="F325" s="5">
        <v>-0.21</v>
      </c>
      <c r="G325" s="7">
        <v>0</v>
      </c>
      <c r="H325" s="8"/>
      <c r="I325" s="14">
        <v>71.11</v>
      </c>
      <c r="J325" s="15">
        <v>171.88</v>
      </c>
      <c r="K325" s="15">
        <v>2307.6799999999998</v>
      </c>
      <c r="L325" s="15">
        <v>188.57</v>
      </c>
      <c r="M325" s="15">
        <v>147.66</v>
      </c>
      <c r="O325" s="15">
        <f t="shared" ref="O325:R388" si="11">(I325/I324-1)*100</f>
        <v>-0.90579710144927938</v>
      </c>
      <c r="P325" s="15">
        <f t="shared" si="11"/>
        <v>-1.0477835348301601</v>
      </c>
      <c r="Q325" s="15">
        <f t="shared" si="11"/>
        <v>1.0668675437520703</v>
      </c>
      <c r="R325" s="15">
        <f t="shared" si="11"/>
        <v>-2.26495283507826</v>
      </c>
      <c r="S325" s="15">
        <f t="shared" ref="S325:S388" si="12">(M325/M324-1)*100</f>
        <v>1.1162089981510581</v>
      </c>
    </row>
    <row r="326" spans="1:19" ht="12.75">
      <c r="A326" s="6">
        <v>20200416</v>
      </c>
      <c r="B326" s="5">
        <v>0.62</v>
      </c>
      <c r="C326" s="5">
        <v>-0.8</v>
      </c>
      <c r="D326" s="5">
        <v>-2.98</v>
      </c>
      <c r="E326" s="5">
        <v>-0.28999999999999998</v>
      </c>
      <c r="F326" s="5">
        <v>-0.3</v>
      </c>
      <c r="G326" s="7">
        <v>0</v>
      </c>
      <c r="H326" s="8"/>
      <c r="I326" s="14">
        <v>71.67</v>
      </c>
      <c r="J326" s="15">
        <v>177.04</v>
      </c>
      <c r="K326" s="15">
        <v>2408.19</v>
      </c>
      <c r="L326" s="15">
        <v>187.96</v>
      </c>
      <c r="M326" s="15">
        <v>149.66999999999999</v>
      </c>
      <c r="O326" s="15">
        <f t="shared" si="11"/>
        <v>0.7875123048797672</v>
      </c>
      <c r="P326" s="15">
        <f t="shared" si="11"/>
        <v>3.0020944845240871</v>
      </c>
      <c r="Q326" s="15">
        <f t="shared" si="11"/>
        <v>4.3554565624350117</v>
      </c>
      <c r="R326" s="15">
        <f t="shared" si="11"/>
        <v>-0.32348729914619678</v>
      </c>
      <c r="S326" s="15">
        <f t="shared" si="12"/>
        <v>1.3612352702153441</v>
      </c>
    </row>
    <row r="327" spans="1:19" ht="12.75">
      <c r="A327" s="6">
        <v>20200417</v>
      </c>
      <c r="B327" s="5">
        <v>2.72</v>
      </c>
      <c r="C327" s="5">
        <v>1.51</v>
      </c>
      <c r="D327" s="5">
        <v>2.75</v>
      </c>
      <c r="E327" s="5">
        <v>-0.16</v>
      </c>
      <c r="F327" s="5">
        <v>-0.01</v>
      </c>
      <c r="G327" s="7">
        <v>0</v>
      </c>
      <c r="H327" s="8"/>
      <c r="I327" s="14">
        <v>70.7</v>
      </c>
      <c r="J327" s="15">
        <v>178.6</v>
      </c>
      <c r="K327" s="15">
        <v>2375</v>
      </c>
      <c r="L327" s="15">
        <v>191.2</v>
      </c>
      <c r="M327" s="15">
        <v>152.02000000000001</v>
      </c>
      <c r="O327" s="15">
        <f t="shared" si="11"/>
        <v>-1.3534254220733954</v>
      </c>
      <c r="P327" s="15">
        <f t="shared" si="11"/>
        <v>0.88115680072300417</v>
      </c>
      <c r="Q327" s="15">
        <f t="shared" si="11"/>
        <v>-1.3782135130533724</v>
      </c>
      <c r="R327" s="15">
        <f t="shared" si="11"/>
        <v>1.7237710151095875</v>
      </c>
      <c r="S327" s="15">
        <f t="shared" si="12"/>
        <v>1.570120932718666</v>
      </c>
    </row>
    <row r="328" spans="1:19" ht="12.75">
      <c r="A328" s="6">
        <v>20200420</v>
      </c>
      <c r="B328" s="5">
        <v>-1.56</v>
      </c>
      <c r="C328" s="5">
        <v>0.38</v>
      </c>
      <c r="D328" s="5">
        <v>-0.91</v>
      </c>
      <c r="E328" s="5">
        <v>-1.75</v>
      </c>
      <c r="F328" s="5">
        <v>-0.38</v>
      </c>
      <c r="G328" s="7">
        <v>0</v>
      </c>
      <c r="H328" s="8"/>
      <c r="I328" s="14">
        <v>69.23</v>
      </c>
      <c r="J328" s="15">
        <v>175.06</v>
      </c>
      <c r="K328" s="15">
        <v>2393.61</v>
      </c>
      <c r="L328" s="15">
        <v>188.75</v>
      </c>
      <c r="M328" s="15">
        <v>151.66999999999999</v>
      </c>
      <c r="O328" s="15">
        <f t="shared" si="11"/>
        <v>-2.0792079207920811</v>
      </c>
      <c r="P328" s="15">
        <f t="shared" si="11"/>
        <v>-1.9820828667413193</v>
      </c>
      <c r="Q328" s="15">
        <f t="shared" si="11"/>
        <v>0.78357894736842404</v>
      </c>
      <c r="R328" s="15">
        <f t="shared" si="11"/>
        <v>-1.2813807531380728</v>
      </c>
      <c r="S328" s="15">
        <f t="shared" si="12"/>
        <v>-0.23023286409684651</v>
      </c>
    </row>
    <row r="329" spans="1:19" ht="12.75">
      <c r="A329" s="6">
        <v>20200421</v>
      </c>
      <c r="B329" s="5">
        <v>-3.08</v>
      </c>
      <c r="C329" s="5">
        <v>0.93</v>
      </c>
      <c r="D329" s="5">
        <v>0.14000000000000001</v>
      </c>
      <c r="E329" s="5">
        <v>0.26</v>
      </c>
      <c r="F329" s="5">
        <v>0.41</v>
      </c>
      <c r="G329" s="7">
        <v>0</v>
      </c>
      <c r="H329" s="8"/>
      <c r="I329" s="14">
        <v>67.09</v>
      </c>
      <c r="J329" s="15">
        <v>167.82</v>
      </c>
      <c r="K329" s="15">
        <v>2328.12</v>
      </c>
      <c r="L329" s="15">
        <v>183.48</v>
      </c>
      <c r="M329" s="15">
        <v>149.68</v>
      </c>
      <c r="O329" s="15">
        <f t="shared" si="11"/>
        <v>-3.0911454571717512</v>
      </c>
      <c r="P329" s="15">
        <f t="shared" si="11"/>
        <v>-4.1357248943219567</v>
      </c>
      <c r="Q329" s="15">
        <f t="shared" si="11"/>
        <v>-2.7360346923684387</v>
      </c>
      <c r="R329" s="15">
        <f t="shared" si="11"/>
        <v>-2.7920529801324534</v>
      </c>
      <c r="S329" s="15">
        <f t="shared" si="12"/>
        <v>-1.3120590756246941</v>
      </c>
    </row>
    <row r="330" spans="1:19" ht="12.75">
      <c r="A330" s="6">
        <v>20200422</v>
      </c>
      <c r="B330" s="5">
        <v>2.31</v>
      </c>
      <c r="C330" s="5">
        <v>-0.88</v>
      </c>
      <c r="D330" s="5">
        <v>-1.62</v>
      </c>
      <c r="E330" s="5">
        <v>0.11</v>
      </c>
      <c r="F330" s="5">
        <v>0.04</v>
      </c>
      <c r="G330" s="7">
        <v>0</v>
      </c>
      <c r="H330" s="8"/>
      <c r="I330" s="14">
        <v>69.03</v>
      </c>
      <c r="J330" s="15">
        <v>173.52</v>
      </c>
      <c r="K330" s="15">
        <v>2363.4899999999998</v>
      </c>
      <c r="L330" s="15">
        <v>186.58</v>
      </c>
      <c r="M330" s="15">
        <v>152.99</v>
      </c>
      <c r="O330" s="15">
        <f t="shared" si="11"/>
        <v>2.8916380980771983</v>
      </c>
      <c r="P330" s="15">
        <f t="shared" si="11"/>
        <v>3.3964962459778425</v>
      </c>
      <c r="Q330" s="15">
        <f t="shared" si="11"/>
        <v>1.5192515849698385</v>
      </c>
      <c r="R330" s="15">
        <f t="shared" si="11"/>
        <v>1.6895574449531381</v>
      </c>
      <c r="S330" s="15">
        <f t="shared" si="12"/>
        <v>2.2113842864778244</v>
      </c>
    </row>
    <row r="331" spans="1:19" ht="12.75">
      <c r="A331" s="6">
        <v>20200423</v>
      </c>
      <c r="B331" s="5">
        <v>0.13</v>
      </c>
      <c r="C331" s="5">
        <v>1.25</v>
      </c>
      <c r="D331" s="5">
        <v>0.56999999999999995</v>
      </c>
      <c r="E331" s="5">
        <v>0.52</v>
      </c>
      <c r="F331" s="5">
        <v>-0.24</v>
      </c>
      <c r="G331" s="7">
        <v>0</v>
      </c>
      <c r="H331" s="8"/>
      <c r="I331" s="14">
        <v>68.760000000000005</v>
      </c>
      <c r="J331" s="15">
        <v>171.42</v>
      </c>
      <c r="K331" s="15">
        <v>2399.4499999999998</v>
      </c>
      <c r="L331" s="15">
        <v>185.63</v>
      </c>
      <c r="M331" s="15">
        <v>155.51</v>
      </c>
      <c r="O331" s="15">
        <f t="shared" si="11"/>
        <v>-0.39113428943936546</v>
      </c>
      <c r="P331" s="15">
        <f t="shared" si="11"/>
        <v>-1.210235131396975</v>
      </c>
      <c r="Q331" s="15">
        <f t="shared" si="11"/>
        <v>1.5214788300352389</v>
      </c>
      <c r="R331" s="15">
        <f t="shared" si="11"/>
        <v>-0.50916496945011547</v>
      </c>
      <c r="S331" s="15">
        <f t="shared" si="12"/>
        <v>1.6471664814693643</v>
      </c>
    </row>
    <row r="332" spans="1:19" ht="12.75">
      <c r="A332" s="6">
        <v>20200424</v>
      </c>
      <c r="B332" s="5">
        <v>1.44</v>
      </c>
      <c r="C332" s="5">
        <v>0.24</v>
      </c>
      <c r="D332" s="5">
        <v>-7.0000000000000007E-2</v>
      </c>
      <c r="E332" s="5">
        <v>-0.19</v>
      </c>
      <c r="F332" s="5">
        <v>0.15</v>
      </c>
      <c r="G332" s="7">
        <v>0</v>
      </c>
      <c r="H332" s="8"/>
      <c r="I332" s="14">
        <v>70.739999999999995</v>
      </c>
      <c r="J332" s="15">
        <v>174.55</v>
      </c>
      <c r="K332" s="15">
        <v>2410.2199999999998</v>
      </c>
      <c r="L332" s="15">
        <v>186.52</v>
      </c>
      <c r="M332" s="15">
        <v>154.86000000000001</v>
      </c>
      <c r="O332" s="15">
        <f t="shared" si="11"/>
        <v>2.8795811518324443</v>
      </c>
      <c r="P332" s="15">
        <f t="shared" si="11"/>
        <v>1.8259246295648346</v>
      </c>
      <c r="Q332" s="15">
        <f t="shared" si="11"/>
        <v>0.44885286211422404</v>
      </c>
      <c r="R332" s="15">
        <f t="shared" si="11"/>
        <v>0.47944836502720189</v>
      </c>
      <c r="S332" s="15">
        <f t="shared" si="12"/>
        <v>-0.41797955115425722</v>
      </c>
    </row>
    <row r="333" spans="1:19" ht="12.75">
      <c r="A333" s="6">
        <v>20200427</v>
      </c>
      <c r="B333" s="5">
        <v>1.73</v>
      </c>
      <c r="C333" s="5">
        <v>2.15</v>
      </c>
      <c r="D333" s="5">
        <v>2.72</v>
      </c>
      <c r="E333" s="5">
        <v>-0.13</v>
      </c>
      <c r="F333" s="5">
        <v>0.14000000000000001</v>
      </c>
      <c r="G333" s="7">
        <v>0</v>
      </c>
      <c r="H333" s="8"/>
      <c r="I333" s="14">
        <v>70.790000000000006</v>
      </c>
      <c r="J333" s="15">
        <v>174.05</v>
      </c>
      <c r="K333" s="15">
        <v>2376</v>
      </c>
      <c r="L333" s="15">
        <v>187.46</v>
      </c>
      <c r="M333" s="15">
        <v>154.29</v>
      </c>
      <c r="O333" s="15">
        <f t="shared" si="11"/>
        <v>7.0681368391301014E-2</v>
      </c>
      <c r="P333" s="15">
        <f t="shared" si="11"/>
        <v>-0.2864508736751592</v>
      </c>
      <c r="Q333" s="15">
        <f t="shared" si="11"/>
        <v>-1.4197874052990889</v>
      </c>
      <c r="R333" s="15">
        <f t="shared" si="11"/>
        <v>0.50396740295945985</v>
      </c>
      <c r="S333" s="15">
        <f t="shared" si="12"/>
        <v>-0.36807438977142226</v>
      </c>
    </row>
    <row r="334" spans="1:19" ht="12.75">
      <c r="A334" s="6">
        <v>20200428</v>
      </c>
      <c r="B334" s="5">
        <v>-0.45</v>
      </c>
      <c r="C334" s="5">
        <v>1.72</v>
      </c>
      <c r="D334" s="5">
        <v>2.82</v>
      </c>
      <c r="E334" s="5">
        <v>1.35</v>
      </c>
      <c r="F334" s="5">
        <v>0.73</v>
      </c>
      <c r="G334" s="7">
        <v>0</v>
      </c>
      <c r="H334" s="8"/>
      <c r="I334" s="14">
        <v>69.650000000000006</v>
      </c>
      <c r="J334" s="15">
        <v>169.81</v>
      </c>
      <c r="K334" s="15">
        <v>2314.08</v>
      </c>
      <c r="L334" s="15">
        <v>187.12</v>
      </c>
      <c r="M334" s="15">
        <v>151.38999999999999</v>
      </c>
      <c r="O334" s="15">
        <f t="shared" si="11"/>
        <v>-1.6103969487215708</v>
      </c>
      <c r="P334" s="15">
        <f t="shared" si="11"/>
        <v>-2.4360815857512264</v>
      </c>
      <c r="Q334" s="15">
        <f t="shared" si="11"/>
        <v>-2.6060606060606117</v>
      </c>
      <c r="R334" s="15">
        <f t="shared" si="11"/>
        <v>-0.18137202603222269</v>
      </c>
      <c r="S334" s="15">
        <f t="shared" si="12"/>
        <v>-1.8795774191457726</v>
      </c>
    </row>
    <row r="335" spans="1:19" ht="12.75">
      <c r="A335" s="6">
        <v>20200429</v>
      </c>
      <c r="B335" s="5">
        <v>2.92</v>
      </c>
      <c r="C335" s="5">
        <v>2.31</v>
      </c>
      <c r="D335" s="5">
        <v>2.0499999999999998</v>
      </c>
      <c r="E335" s="5">
        <v>1.23</v>
      </c>
      <c r="F335" s="5">
        <v>-0.87</v>
      </c>
      <c r="G335" s="7">
        <v>0</v>
      </c>
      <c r="H335" s="8"/>
      <c r="I335" s="14">
        <v>71.930000000000007</v>
      </c>
      <c r="J335" s="15">
        <v>177.43</v>
      </c>
      <c r="K335" s="15">
        <v>2372.71</v>
      </c>
      <c r="L335" s="15">
        <v>189.61</v>
      </c>
      <c r="M335" s="15">
        <v>150.24</v>
      </c>
      <c r="O335" s="15">
        <f t="shared" si="11"/>
        <v>3.2735104091887957</v>
      </c>
      <c r="P335" s="15">
        <f t="shared" si="11"/>
        <v>4.4873682350862865</v>
      </c>
      <c r="Q335" s="15">
        <f t="shared" si="11"/>
        <v>2.5336202724192791</v>
      </c>
      <c r="R335" s="15">
        <f t="shared" si="11"/>
        <v>1.3306968790081308</v>
      </c>
      <c r="S335" s="15">
        <f t="shared" si="12"/>
        <v>-0.7596274522755686</v>
      </c>
    </row>
    <row r="336" spans="1:19" ht="12.75">
      <c r="A336" s="6">
        <v>20200430</v>
      </c>
      <c r="B336" s="5">
        <v>-1.18</v>
      </c>
      <c r="C336" s="5">
        <v>-2.0499999999999998</v>
      </c>
      <c r="D336" s="5">
        <v>-1.69</v>
      </c>
      <c r="E336" s="5">
        <v>0.64</v>
      </c>
      <c r="F336" s="5">
        <v>-0.05</v>
      </c>
      <c r="G336" s="7">
        <v>0</v>
      </c>
      <c r="H336" s="8"/>
      <c r="I336" s="14">
        <v>73.45</v>
      </c>
      <c r="J336" s="15">
        <v>179.21</v>
      </c>
      <c r="K336" s="15">
        <v>2474</v>
      </c>
      <c r="L336" s="15">
        <v>187.36</v>
      </c>
      <c r="M336" s="15">
        <v>150.04</v>
      </c>
      <c r="O336" s="15">
        <f t="shared" si="11"/>
        <v>2.1131655776449376</v>
      </c>
      <c r="P336" s="15">
        <f t="shared" si="11"/>
        <v>1.0032125345206477</v>
      </c>
      <c r="Q336" s="15">
        <f t="shared" si="11"/>
        <v>4.2689582797729164</v>
      </c>
      <c r="R336" s="15">
        <f t="shared" si="11"/>
        <v>-1.1866462739307027</v>
      </c>
      <c r="S336" s="15">
        <f t="shared" si="12"/>
        <v>-0.13312034078808432</v>
      </c>
    </row>
    <row r="337" spans="1:19" ht="12.75">
      <c r="A337" s="6">
        <v>20200501</v>
      </c>
      <c r="B337" s="5">
        <v>-2.91</v>
      </c>
      <c r="C337" s="5">
        <v>-0.9</v>
      </c>
      <c r="D337" s="5">
        <v>-0.98</v>
      </c>
      <c r="E337" s="5">
        <v>-0.36</v>
      </c>
      <c r="F337" s="5">
        <v>0.36</v>
      </c>
      <c r="G337" s="7">
        <v>0</v>
      </c>
      <c r="H337" s="8"/>
      <c r="I337" s="14">
        <v>72.27</v>
      </c>
      <c r="J337" s="15">
        <v>174.57</v>
      </c>
      <c r="K337" s="15">
        <v>2286.04</v>
      </c>
      <c r="L337" s="15">
        <v>182.67</v>
      </c>
      <c r="M337" s="15">
        <v>148.29</v>
      </c>
      <c r="O337" s="15">
        <f t="shared" si="11"/>
        <v>-1.6065350578625015</v>
      </c>
      <c r="P337" s="15">
        <f t="shared" si="11"/>
        <v>-2.589141230958103</v>
      </c>
      <c r="Q337" s="15">
        <f t="shared" si="11"/>
        <v>-7.5974130962004889</v>
      </c>
      <c r="R337" s="15">
        <f t="shared" si="11"/>
        <v>-2.5032023911187196</v>
      </c>
      <c r="S337" s="15">
        <f t="shared" si="12"/>
        <v>-1.1663556384963969</v>
      </c>
    </row>
    <row r="338" spans="1:19" ht="12.75">
      <c r="A338" s="6">
        <v>20200504</v>
      </c>
      <c r="B338" s="5">
        <v>0.53</v>
      </c>
      <c r="C338" s="5">
        <v>-0.14000000000000001</v>
      </c>
      <c r="D338" s="5">
        <v>-1.24</v>
      </c>
      <c r="E338" s="5">
        <v>-0.75</v>
      </c>
      <c r="F338" s="5">
        <v>-0.44</v>
      </c>
      <c r="G338" s="7">
        <v>0</v>
      </c>
      <c r="H338" s="8"/>
      <c r="I338" s="14">
        <v>73.290000000000006</v>
      </c>
      <c r="J338" s="15">
        <v>178.84</v>
      </c>
      <c r="K338" s="15">
        <v>2315.9899999999998</v>
      </c>
      <c r="L338" s="15">
        <v>177.95</v>
      </c>
      <c r="M338" s="15">
        <v>148.27000000000001</v>
      </c>
      <c r="O338" s="15">
        <f t="shared" si="11"/>
        <v>1.4113740141137532</v>
      </c>
      <c r="P338" s="15">
        <f t="shared" si="11"/>
        <v>2.4460101964827841</v>
      </c>
      <c r="Q338" s="15">
        <f t="shared" si="11"/>
        <v>1.3101258070724819</v>
      </c>
      <c r="R338" s="15">
        <f t="shared" si="11"/>
        <v>-2.5838944544807618</v>
      </c>
      <c r="S338" s="15">
        <f t="shared" si="12"/>
        <v>-1.3487086115027136E-2</v>
      </c>
    </row>
    <row r="339" spans="1:19" ht="12.75">
      <c r="A339" s="6">
        <v>20200505</v>
      </c>
      <c r="B339" s="5">
        <v>0.95</v>
      </c>
      <c r="C339" s="5">
        <v>-0.28999999999999998</v>
      </c>
      <c r="D339" s="5">
        <v>-2.0099999999999998</v>
      </c>
      <c r="E339" s="5">
        <v>-0.48</v>
      </c>
      <c r="F339" s="5">
        <v>-0.51</v>
      </c>
      <c r="G339" s="7">
        <v>0</v>
      </c>
      <c r="H339" s="8"/>
      <c r="I339" s="14">
        <v>74.39</v>
      </c>
      <c r="J339" s="15">
        <v>180.76</v>
      </c>
      <c r="K339" s="15">
        <v>2317.8000000000002</v>
      </c>
      <c r="L339" s="15">
        <v>176.03</v>
      </c>
      <c r="M339" s="15">
        <v>149.5</v>
      </c>
      <c r="O339" s="15">
        <f t="shared" si="11"/>
        <v>1.5008868877063541</v>
      </c>
      <c r="P339" s="15">
        <f t="shared" si="11"/>
        <v>1.0735853276671925</v>
      </c>
      <c r="Q339" s="15">
        <f t="shared" si="11"/>
        <v>7.8152323628355447E-2</v>
      </c>
      <c r="R339" s="15">
        <f t="shared" si="11"/>
        <v>-1.0789547625737472</v>
      </c>
      <c r="S339" s="15">
        <f t="shared" si="12"/>
        <v>0.82956768058271013</v>
      </c>
    </row>
    <row r="340" spans="1:19" ht="12.75">
      <c r="A340" s="6">
        <v>20200506</v>
      </c>
      <c r="B340" s="5">
        <v>-0.52</v>
      </c>
      <c r="C340" s="5">
        <v>0.1</v>
      </c>
      <c r="D340" s="5">
        <v>-2.69</v>
      </c>
      <c r="E340" s="5">
        <v>0.22</v>
      </c>
      <c r="F340" s="5">
        <v>-0.56999999999999995</v>
      </c>
      <c r="G340" s="7">
        <v>0</v>
      </c>
      <c r="H340" s="8"/>
      <c r="I340" s="14">
        <v>75.16</v>
      </c>
      <c r="J340" s="15">
        <v>182.54</v>
      </c>
      <c r="K340" s="15">
        <v>2351.2600000000002</v>
      </c>
      <c r="L340" s="15">
        <v>172.38</v>
      </c>
      <c r="M340" s="15">
        <v>148.08000000000001</v>
      </c>
      <c r="O340" s="15">
        <f t="shared" si="11"/>
        <v>1.0350853609355948</v>
      </c>
      <c r="P340" s="15">
        <f t="shared" si="11"/>
        <v>0.98473113520689548</v>
      </c>
      <c r="Q340" s="15">
        <f t="shared" si="11"/>
        <v>1.4436103201311612</v>
      </c>
      <c r="R340" s="15">
        <f t="shared" si="11"/>
        <v>-2.0735101971254943</v>
      </c>
      <c r="S340" s="15">
        <f t="shared" si="12"/>
        <v>-0.94983277591972337</v>
      </c>
    </row>
    <row r="341" spans="1:19" ht="12.75">
      <c r="A341" s="6">
        <v>20200507</v>
      </c>
      <c r="B341" s="5">
        <v>1.33</v>
      </c>
      <c r="C341" s="5">
        <v>0.15</v>
      </c>
      <c r="D341" s="5">
        <v>0.4</v>
      </c>
      <c r="E341" s="5">
        <v>-0.1</v>
      </c>
      <c r="F341" s="5">
        <v>-0.61</v>
      </c>
      <c r="G341" s="7">
        <v>0</v>
      </c>
      <c r="H341" s="8"/>
      <c r="I341" s="14">
        <v>75.94</v>
      </c>
      <c r="J341" s="15">
        <v>183.6</v>
      </c>
      <c r="K341" s="15">
        <v>2367.61</v>
      </c>
      <c r="L341" s="15">
        <v>173.48</v>
      </c>
      <c r="M341" s="15">
        <v>147.59</v>
      </c>
      <c r="O341" s="15">
        <f t="shared" si="11"/>
        <v>1.0377860564129815</v>
      </c>
      <c r="P341" s="15">
        <f t="shared" si="11"/>
        <v>0.5806946422701964</v>
      </c>
      <c r="Q341" s="15">
        <f t="shared" si="11"/>
        <v>0.69537184318195777</v>
      </c>
      <c r="R341" s="15">
        <f t="shared" si="11"/>
        <v>0.63812507251421735</v>
      </c>
      <c r="S341" s="15">
        <f t="shared" si="12"/>
        <v>-0.33090221501891337</v>
      </c>
    </row>
    <row r="342" spans="1:19" ht="12.75">
      <c r="A342" s="6">
        <v>20200508</v>
      </c>
      <c r="B342" s="5">
        <v>1.9</v>
      </c>
      <c r="C342" s="5">
        <v>1.9</v>
      </c>
      <c r="D342" s="5">
        <v>2.44</v>
      </c>
      <c r="E342" s="5">
        <v>0.84</v>
      </c>
      <c r="F342" s="5">
        <v>0.41</v>
      </c>
      <c r="G342" s="7">
        <v>0</v>
      </c>
      <c r="H342" s="8"/>
      <c r="I342" s="14">
        <v>77.53</v>
      </c>
      <c r="J342" s="15">
        <v>184.68</v>
      </c>
      <c r="K342" s="15">
        <v>2379.61</v>
      </c>
      <c r="L342" s="15">
        <v>176.83</v>
      </c>
      <c r="M342" s="15">
        <v>148.69999999999999</v>
      </c>
      <c r="O342" s="15">
        <f t="shared" si="11"/>
        <v>2.0937582301817192</v>
      </c>
      <c r="P342" s="15">
        <f t="shared" si="11"/>
        <v>0.58823529411764497</v>
      </c>
      <c r="Q342" s="15">
        <f t="shared" si="11"/>
        <v>0.50684023128808597</v>
      </c>
      <c r="R342" s="15">
        <f t="shared" si="11"/>
        <v>1.9310583352547983</v>
      </c>
      <c r="S342" s="15">
        <f t="shared" si="12"/>
        <v>0.75208347449013946</v>
      </c>
    </row>
    <row r="343" spans="1:19" ht="12.75">
      <c r="A343" s="6">
        <v>20200511</v>
      </c>
      <c r="B343" s="5">
        <v>7.0000000000000007E-2</v>
      </c>
      <c r="C343" s="5">
        <v>-0.22</v>
      </c>
      <c r="D343" s="5">
        <v>-3.77</v>
      </c>
      <c r="E343" s="5">
        <v>-0.84</v>
      </c>
      <c r="F343" s="5">
        <v>-0.04</v>
      </c>
      <c r="G343" s="7">
        <v>0</v>
      </c>
      <c r="H343" s="8"/>
      <c r="I343" s="14">
        <v>78.75</v>
      </c>
      <c r="J343" s="15">
        <v>186.74</v>
      </c>
      <c r="K343" s="15">
        <v>2409</v>
      </c>
      <c r="L343" s="15">
        <v>174.64</v>
      </c>
      <c r="M343" s="15">
        <v>149.11000000000001</v>
      </c>
      <c r="O343" s="15">
        <f t="shared" si="11"/>
        <v>1.5735844189346038</v>
      </c>
      <c r="P343" s="15">
        <f t="shared" si="11"/>
        <v>1.1154429283084299</v>
      </c>
      <c r="Q343" s="15">
        <f t="shared" si="11"/>
        <v>1.2350763360382544</v>
      </c>
      <c r="R343" s="15">
        <f t="shared" si="11"/>
        <v>-1.2384776338856707</v>
      </c>
      <c r="S343" s="15">
        <f t="shared" si="12"/>
        <v>0.27572293207802634</v>
      </c>
    </row>
    <row r="344" spans="1:19" ht="12.75">
      <c r="A344" s="6">
        <v>20200512</v>
      </c>
      <c r="B344" s="5">
        <v>-2.06</v>
      </c>
      <c r="C344" s="5">
        <v>-1.1200000000000001</v>
      </c>
      <c r="D344" s="5">
        <v>-1.33</v>
      </c>
      <c r="E344" s="5">
        <v>-0.63</v>
      </c>
      <c r="F344" s="5">
        <v>-0.02</v>
      </c>
      <c r="G344" s="7">
        <v>0</v>
      </c>
      <c r="H344" s="8"/>
      <c r="I344" s="14">
        <v>77.849999999999994</v>
      </c>
      <c r="J344" s="15">
        <v>182.51</v>
      </c>
      <c r="K344" s="15">
        <v>2356.9499999999998</v>
      </c>
      <c r="L344" s="15">
        <v>172.81</v>
      </c>
      <c r="M344" s="15">
        <v>147.13999999999999</v>
      </c>
      <c r="O344" s="15">
        <f t="shared" si="11"/>
        <v>-1.1428571428571455</v>
      </c>
      <c r="P344" s="15">
        <f t="shared" si="11"/>
        <v>-2.2651815358252225</v>
      </c>
      <c r="Q344" s="15">
        <f t="shared" si="11"/>
        <v>-2.1606475716064888</v>
      </c>
      <c r="R344" s="15">
        <f t="shared" si="11"/>
        <v>-1.0478699038021011</v>
      </c>
      <c r="S344" s="15">
        <f t="shared" si="12"/>
        <v>-1.3211722889142408</v>
      </c>
    </row>
    <row r="345" spans="1:19" ht="12.75">
      <c r="A345" s="6">
        <v>20200513</v>
      </c>
      <c r="B345" s="5">
        <v>-1.89</v>
      </c>
      <c r="C345" s="5">
        <v>-1.43</v>
      </c>
      <c r="D345" s="5">
        <v>-2.14</v>
      </c>
      <c r="E345" s="5">
        <v>-7.0000000000000007E-2</v>
      </c>
      <c r="F345" s="5">
        <v>-0.27</v>
      </c>
      <c r="G345" s="7">
        <v>0</v>
      </c>
      <c r="H345" s="8"/>
      <c r="I345" s="14">
        <v>76.91</v>
      </c>
      <c r="J345" s="15">
        <v>179.75</v>
      </c>
      <c r="K345" s="15">
        <v>2367.92</v>
      </c>
      <c r="L345" s="15">
        <v>170.57</v>
      </c>
      <c r="M345" s="15">
        <v>147.13</v>
      </c>
      <c r="O345" s="15">
        <f t="shared" si="11"/>
        <v>-1.2074502247912622</v>
      </c>
      <c r="P345" s="15">
        <f t="shared" si="11"/>
        <v>-1.5122459043340086</v>
      </c>
      <c r="Q345" s="15">
        <f t="shared" si="11"/>
        <v>0.4654320201955997</v>
      </c>
      <c r="R345" s="15">
        <f t="shared" si="11"/>
        <v>-1.2962212834905396</v>
      </c>
      <c r="S345" s="15">
        <f t="shared" si="12"/>
        <v>-6.7962484708417037E-3</v>
      </c>
    </row>
    <row r="346" spans="1:19" ht="12.75">
      <c r="A346" s="6">
        <v>20200514</v>
      </c>
      <c r="B346" s="5">
        <v>1.1399999999999999</v>
      </c>
      <c r="C346" s="5">
        <v>-1.08</v>
      </c>
      <c r="D346" s="5">
        <v>0.92</v>
      </c>
      <c r="E346" s="5">
        <v>0.61</v>
      </c>
      <c r="F346" s="5">
        <v>0.17</v>
      </c>
      <c r="G346" s="7">
        <v>0</v>
      </c>
      <c r="H346" s="8"/>
      <c r="I346" s="14">
        <v>77.39</v>
      </c>
      <c r="J346" s="15">
        <v>180.53</v>
      </c>
      <c r="K346" s="15">
        <v>2388.85</v>
      </c>
      <c r="L346" s="15">
        <v>170.93</v>
      </c>
      <c r="M346" s="15">
        <v>147.63999999999999</v>
      </c>
      <c r="O346" s="15">
        <f t="shared" si="11"/>
        <v>0.62410609803666972</v>
      </c>
      <c r="P346" s="15">
        <f t="shared" si="11"/>
        <v>0.433936022253123</v>
      </c>
      <c r="Q346" s="15">
        <f t="shared" si="11"/>
        <v>0.88389810466569241</v>
      </c>
      <c r="R346" s="15">
        <f t="shared" si="11"/>
        <v>0.21105704402886172</v>
      </c>
      <c r="S346" s="15">
        <f t="shared" si="12"/>
        <v>0.34663223000066523</v>
      </c>
    </row>
    <row r="347" spans="1:19" ht="12.75">
      <c r="A347" s="6">
        <v>20200515</v>
      </c>
      <c r="B347" s="5">
        <v>0.56999999999999995</v>
      </c>
      <c r="C347" s="5">
        <v>1.34</v>
      </c>
      <c r="D347" s="5">
        <v>-1.17</v>
      </c>
      <c r="E347" s="5">
        <v>0</v>
      </c>
      <c r="F347" s="5">
        <v>-0.77</v>
      </c>
      <c r="G347" s="7">
        <v>0</v>
      </c>
      <c r="H347" s="8"/>
      <c r="I347" s="14">
        <v>76.930000000000007</v>
      </c>
      <c r="J347" s="15">
        <v>183.16</v>
      </c>
      <c r="K347" s="15">
        <v>2409.7800000000002</v>
      </c>
      <c r="L347" s="15">
        <v>169.25</v>
      </c>
      <c r="M347" s="15">
        <v>150.44</v>
      </c>
      <c r="O347" s="15">
        <f t="shared" si="11"/>
        <v>-0.59439204031528359</v>
      </c>
      <c r="P347" s="15">
        <f t="shared" si="11"/>
        <v>1.4568215809006801</v>
      </c>
      <c r="Q347" s="15">
        <f t="shared" si="11"/>
        <v>0.87615379785253023</v>
      </c>
      <c r="R347" s="15">
        <f t="shared" si="11"/>
        <v>-0.98285848007957366</v>
      </c>
      <c r="S347" s="15">
        <f t="shared" si="12"/>
        <v>1.8965050121918292</v>
      </c>
    </row>
    <row r="348" spans="1:19" ht="12.75">
      <c r="A348" s="6">
        <v>20200518</v>
      </c>
      <c r="B348" s="5">
        <v>3.24</v>
      </c>
      <c r="C348" s="5">
        <v>2.66</v>
      </c>
      <c r="D348" s="5">
        <v>4.59</v>
      </c>
      <c r="E348" s="5">
        <v>1.66</v>
      </c>
      <c r="F348" s="5">
        <v>0.31</v>
      </c>
      <c r="G348" s="7">
        <v>0</v>
      </c>
      <c r="H348" s="8"/>
      <c r="I348" s="14">
        <v>78.739999999999995</v>
      </c>
      <c r="J348" s="15">
        <v>184.91</v>
      </c>
      <c r="K348" s="15">
        <v>2426.2600000000002</v>
      </c>
      <c r="L348" s="15">
        <v>175.46</v>
      </c>
      <c r="M348" s="15">
        <v>150.52000000000001</v>
      </c>
      <c r="O348" s="15">
        <f t="shared" si="11"/>
        <v>2.352788249057558</v>
      </c>
      <c r="P348" s="15">
        <f t="shared" si="11"/>
        <v>0.95544878794495691</v>
      </c>
      <c r="Q348" s="15">
        <f t="shared" si="11"/>
        <v>0.68387985625244507</v>
      </c>
      <c r="R348" s="15">
        <f t="shared" si="11"/>
        <v>3.6691285081240865</v>
      </c>
      <c r="S348" s="15">
        <f t="shared" si="12"/>
        <v>5.3177346450428153E-2</v>
      </c>
    </row>
    <row r="349" spans="1:19" ht="12.75">
      <c r="A349" s="6">
        <v>20200519</v>
      </c>
      <c r="B349" s="5">
        <v>-1.01</v>
      </c>
      <c r="C349" s="5">
        <v>-0.75</v>
      </c>
      <c r="D349" s="5">
        <v>-1.45</v>
      </c>
      <c r="E349" s="5">
        <v>0.52</v>
      </c>
      <c r="F349" s="5">
        <v>-0.59</v>
      </c>
      <c r="G349" s="7">
        <v>0</v>
      </c>
      <c r="H349" s="8"/>
      <c r="I349" s="14">
        <v>78.290000000000006</v>
      </c>
      <c r="J349" s="15">
        <v>183.63</v>
      </c>
      <c r="K349" s="15">
        <v>2449.33</v>
      </c>
      <c r="L349" s="15">
        <v>172.49</v>
      </c>
      <c r="M349" s="15">
        <v>149.02000000000001</v>
      </c>
      <c r="O349" s="15">
        <f t="shared" si="11"/>
        <v>-0.57150114300227317</v>
      </c>
      <c r="P349" s="15">
        <f t="shared" si="11"/>
        <v>-0.69222865177653858</v>
      </c>
      <c r="Q349" s="15">
        <f t="shared" si="11"/>
        <v>0.95084615828475716</v>
      </c>
      <c r="R349" s="15">
        <f t="shared" si="11"/>
        <v>-1.6926934913940483</v>
      </c>
      <c r="S349" s="15">
        <f t="shared" si="12"/>
        <v>-0.9965453095934107</v>
      </c>
    </row>
    <row r="350" spans="1:19" ht="12.75">
      <c r="A350" s="6">
        <v>20200520</v>
      </c>
      <c r="B350" s="5">
        <v>1.8</v>
      </c>
      <c r="C350" s="5">
        <v>1.22</v>
      </c>
      <c r="D350" s="5">
        <v>1.32</v>
      </c>
      <c r="E350" s="5">
        <v>-0.25</v>
      </c>
      <c r="F350" s="5">
        <v>-0.26</v>
      </c>
      <c r="G350" s="7">
        <v>0</v>
      </c>
      <c r="H350" s="8"/>
      <c r="I350" s="14">
        <v>79.81</v>
      </c>
      <c r="J350" s="15">
        <v>185.66</v>
      </c>
      <c r="K350" s="15">
        <v>2497.94</v>
      </c>
      <c r="L350" s="15">
        <v>176.02</v>
      </c>
      <c r="M350" s="15">
        <v>147.68</v>
      </c>
      <c r="O350" s="15">
        <f t="shared" si="11"/>
        <v>1.9414995529441814</v>
      </c>
      <c r="P350" s="15">
        <f t="shared" si="11"/>
        <v>1.1054838534008571</v>
      </c>
      <c r="Q350" s="15">
        <f t="shared" si="11"/>
        <v>1.9846243666635344</v>
      </c>
      <c r="R350" s="15">
        <f t="shared" si="11"/>
        <v>2.0464954490115428</v>
      </c>
      <c r="S350" s="15">
        <f t="shared" si="12"/>
        <v>-0.89920815997852621</v>
      </c>
    </row>
    <row r="351" spans="1:19" ht="12.75">
      <c r="A351" s="6">
        <v>20200521</v>
      </c>
      <c r="B351" s="5">
        <v>-0.7</v>
      </c>
      <c r="C351" s="5">
        <v>0.75</v>
      </c>
      <c r="D351" s="5">
        <v>0.42</v>
      </c>
      <c r="E351" s="5">
        <v>0.15</v>
      </c>
      <c r="F351" s="5">
        <v>0.03</v>
      </c>
      <c r="G351" s="7">
        <v>0</v>
      </c>
      <c r="H351" s="8"/>
      <c r="I351" s="14">
        <v>79.209999999999994</v>
      </c>
      <c r="J351" s="15">
        <v>183.43</v>
      </c>
      <c r="K351" s="15">
        <v>2446.7399999999998</v>
      </c>
      <c r="L351" s="15">
        <v>174.94</v>
      </c>
      <c r="M351" s="15">
        <v>146.71</v>
      </c>
      <c r="O351" s="15">
        <f t="shared" si="11"/>
        <v>-0.75178549054004673</v>
      </c>
      <c r="P351" s="15">
        <f t="shared" si="11"/>
        <v>-1.2011203274803317</v>
      </c>
      <c r="Q351" s="15">
        <f t="shared" si="11"/>
        <v>-2.0496889436896093</v>
      </c>
      <c r="R351" s="15">
        <f t="shared" si="11"/>
        <v>-0.61356664015453921</v>
      </c>
      <c r="S351" s="15">
        <f t="shared" si="12"/>
        <v>-0.65682556879740339</v>
      </c>
    </row>
    <row r="352" spans="1:19" ht="12.75">
      <c r="A352" s="6">
        <v>20200522</v>
      </c>
      <c r="B352" s="5">
        <v>0.27</v>
      </c>
      <c r="C352" s="5">
        <v>0.25</v>
      </c>
      <c r="D352" s="5">
        <v>-0.85</v>
      </c>
      <c r="E352" s="5">
        <v>-0.55000000000000004</v>
      </c>
      <c r="F352" s="5">
        <v>-0.34</v>
      </c>
      <c r="G352" s="7">
        <v>0</v>
      </c>
      <c r="H352" s="8"/>
      <c r="I352" s="14">
        <v>79.72</v>
      </c>
      <c r="J352" s="15">
        <v>183.51</v>
      </c>
      <c r="K352" s="15">
        <v>2436.88</v>
      </c>
      <c r="L352" s="15">
        <v>174.93</v>
      </c>
      <c r="M352" s="15">
        <v>144.37</v>
      </c>
      <c r="O352" s="15">
        <f t="shared" si="11"/>
        <v>0.64385809872491429</v>
      </c>
      <c r="P352" s="15">
        <f t="shared" si="11"/>
        <v>4.3613367497119526E-2</v>
      </c>
      <c r="Q352" s="15">
        <f t="shared" si="11"/>
        <v>-0.40298519662896881</v>
      </c>
      <c r="R352" s="15">
        <f t="shared" si="11"/>
        <v>-5.7162455699089065E-3</v>
      </c>
      <c r="S352" s="15">
        <f t="shared" si="12"/>
        <v>-1.5949833003885194</v>
      </c>
    </row>
    <row r="353" spans="1:19" ht="12.75">
      <c r="A353" s="6">
        <v>20200526</v>
      </c>
      <c r="B353" s="5">
        <v>1.23</v>
      </c>
      <c r="C353" s="5">
        <v>1.24</v>
      </c>
      <c r="D353" s="5">
        <v>4.5599999999999996</v>
      </c>
      <c r="E353" s="5">
        <v>1.03</v>
      </c>
      <c r="F353" s="5">
        <v>0.57999999999999996</v>
      </c>
      <c r="G353" s="7">
        <v>0</v>
      </c>
      <c r="H353" s="8"/>
      <c r="I353" s="14">
        <v>79.180000000000007</v>
      </c>
      <c r="J353" s="15">
        <v>181.57</v>
      </c>
      <c r="K353" s="15">
        <v>2421.86</v>
      </c>
      <c r="L353" s="15">
        <v>180.34</v>
      </c>
      <c r="M353" s="15">
        <v>144.56</v>
      </c>
      <c r="O353" s="15">
        <f t="shared" si="11"/>
        <v>-0.67737079779226494</v>
      </c>
      <c r="P353" s="15">
        <f t="shared" si="11"/>
        <v>-1.0571630973788881</v>
      </c>
      <c r="Q353" s="15">
        <f t="shared" si="11"/>
        <v>-0.61636190538721936</v>
      </c>
      <c r="R353" s="15">
        <f t="shared" si="11"/>
        <v>3.0926656376836448</v>
      </c>
      <c r="S353" s="15">
        <f t="shared" si="12"/>
        <v>0.13160628939530294</v>
      </c>
    </row>
    <row r="354" spans="1:19" ht="12.75">
      <c r="A354" s="6">
        <v>20200527</v>
      </c>
      <c r="B354" s="5">
        <v>1.54</v>
      </c>
      <c r="C354" s="5">
        <v>1.42</v>
      </c>
      <c r="D354" s="5">
        <v>3.64</v>
      </c>
      <c r="E354" s="5">
        <v>0.77</v>
      </c>
      <c r="F354" s="5">
        <v>0.36</v>
      </c>
      <c r="G354" s="7">
        <v>0</v>
      </c>
      <c r="H354" s="8"/>
      <c r="I354" s="14">
        <v>79.53</v>
      </c>
      <c r="J354" s="15">
        <v>181.81</v>
      </c>
      <c r="K354" s="15">
        <v>2410.39</v>
      </c>
      <c r="L354" s="15">
        <v>185.77</v>
      </c>
      <c r="M354" s="15">
        <v>144.88999999999999</v>
      </c>
      <c r="O354" s="15">
        <f t="shared" si="11"/>
        <v>0.44203081586258186</v>
      </c>
      <c r="P354" s="15">
        <f t="shared" si="11"/>
        <v>0.13218042628186932</v>
      </c>
      <c r="Q354" s="15">
        <f t="shared" si="11"/>
        <v>-0.47360293328269076</v>
      </c>
      <c r="R354" s="15">
        <f t="shared" si="11"/>
        <v>3.0109792613951525</v>
      </c>
      <c r="S354" s="15">
        <f t="shared" si="12"/>
        <v>0.22827891532926081</v>
      </c>
    </row>
    <row r="355" spans="1:19" ht="12.75">
      <c r="A355" s="6">
        <v>20200528</v>
      </c>
      <c r="B355" s="5">
        <v>-0.41</v>
      </c>
      <c r="C355" s="5">
        <v>-2.08</v>
      </c>
      <c r="D355" s="5">
        <v>-2.44</v>
      </c>
      <c r="E355" s="5">
        <v>-0.24</v>
      </c>
      <c r="F355" s="5">
        <v>0.1</v>
      </c>
      <c r="G355" s="7">
        <v>0</v>
      </c>
      <c r="H355" s="8"/>
      <c r="I355" s="14">
        <v>79.56</v>
      </c>
      <c r="J355" s="15">
        <v>181.4</v>
      </c>
      <c r="K355" s="15">
        <v>2401.1</v>
      </c>
      <c r="L355" s="15">
        <v>185.1</v>
      </c>
      <c r="M355" s="15">
        <v>146.97</v>
      </c>
      <c r="O355" s="15">
        <f t="shared" si="11"/>
        <v>3.772161448509781E-2</v>
      </c>
      <c r="P355" s="15">
        <f t="shared" si="11"/>
        <v>-0.22551014795665347</v>
      </c>
      <c r="Q355" s="15">
        <f t="shared" si="11"/>
        <v>-0.38541480839200393</v>
      </c>
      <c r="R355" s="15">
        <f t="shared" si="11"/>
        <v>-0.36066103245949721</v>
      </c>
      <c r="S355" s="15">
        <f t="shared" si="12"/>
        <v>1.435571813099612</v>
      </c>
    </row>
    <row r="356" spans="1:19" ht="12.75">
      <c r="A356" s="6">
        <v>20200529</v>
      </c>
      <c r="B356" s="5">
        <v>0.6</v>
      </c>
      <c r="C356" s="5">
        <v>-0.79</v>
      </c>
      <c r="D356" s="5">
        <v>-1.96</v>
      </c>
      <c r="E356" s="5">
        <v>-0.32</v>
      </c>
      <c r="F356" s="5">
        <v>-0.38</v>
      </c>
      <c r="G356" s="7">
        <v>0</v>
      </c>
      <c r="H356" s="8"/>
      <c r="I356" s="14">
        <v>79.489999999999995</v>
      </c>
      <c r="J356" s="15">
        <v>183.25</v>
      </c>
      <c r="K356" s="15">
        <v>2442.37</v>
      </c>
      <c r="L356" s="15">
        <v>185.58</v>
      </c>
      <c r="M356" s="15">
        <v>148.75</v>
      </c>
      <c r="O356" s="15">
        <f t="shared" si="11"/>
        <v>-8.7983911513334068E-2</v>
      </c>
      <c r="P356" s="15">
        <f t="shared" si="11"/>
        <v>1.0198456449834525</v>
      </c>
      <c r="Q356" s="15">
        <f t="shared" si="11"/>
        <v>1.7187955520386433</v>
      </c>
      <c r="R356" s="15">
        <f t="shared" si="11"/>
        <v>0.25931928687197292</v>
      </c>
      <c r="S356" s="15">
        <f t="shared" si="12"/>
        <v>1.2111315234401676</v>
      </c>
    </row>
    <row r="357" spans="1:19" ht="12.75">
      <c r="A357" s="6">
        <v>20200601</v>
      </c>
      <c r="B357" s="5">
        <v>0.52</v>
      </c>
      <c r="C357" s="5">
        <v>0.26</v>
      </c>
      <c r="D357" s="5">
        <v>0.44</v>
      </c>
      <c r="E357" s="5">
        <v>-0.01</v>
      </c>
      <c r="F357" s="5">
        <v>-0.13</v>
      </c>
      <c r="G357" s="7">
        <v>0</v>
      </c>
      <c r="H357" s="8"/>
      <c r="I357" s="14">
        <v>80.459999999999994</v>
      </c>
      <c r="J357" s="15">
        <v>182.83</v>
      </c>
      <c r="K357" s="15">
        <v>2471.04</v>
      </c>
      <c r="L357" s="15">
        <v>183.84</v>
      </c>
      <c r="M357" s="15">
        <v>147.19</v>
      </c>
      <c r="O357" s="15">
        <f t="shared" si="11"/>
        <v>1.2202792804126394</v>
      </c>
      <c r="P357" s="15">
        <f t="shared" si="11"/>
        <v>-0.22919508867665916</v>
      </c>
      <c r="Q357" s="15">
        <f t="shared" si="11"/>
        <v>1.1738598164897196</v>
      </c>
      <c r="R357" s="15">
        <f t="shared" si="11"/>
        <v>-0.93760103459424871</v>
      </c>
      <c r="S357" s="15">
        <f t="shared" si="12"/>
        <v>-1.0487394957983232</v>
      </c>
    </row>
    <row r="358" spans="1:19" ht="12.75">
      <c r="A358" s="6">
        <v>20200602</v>
      </c>
      <c r="B358" s="5">
        <v>0.81</v>
      </c>
      <c r="C358" s="5">
        <v>0.06</v>
      </c>
      <c r="D358" s="5">
        <v>0.54</v>
      </c>
      <c r="E358" s="5">
        <v>0.14000000000000001</v>
      </c>
      <c r="F358" s="5">
        <v>0.26</v>
      </c>
      <c r="G358" s="7">
        <v>0</v>
      </c>
      <c r="H358" s="8"/>
      <c r="I358" s="14">
        <v>80.83</v>
      </c>
      <c r="J358" s="15">
        <v>184.91</v>
      </c>
      <c r="K358" s="15">
        <v>2472.41</v>
      </c>
      <c r="L358" s="15">
        <v>185.94</v>
      </c>
      <c r="M358" s="15">
        <v>148.25</v>
      </c>
      <c r="O358" s="15">
        <f t="shared" si="11"/>
        <v>0.45985582898335764</v>
      </c>
      <c r="P358" s="15">
        <f t="shared" si="11"/>
        <v>1.1376688727232853</v>
      </c>
      <c r="Q358" s="15">
        <f t="shared" si="11"/>
        <v>5.5442242942227438E-2</v>
      </c>
      <c r="R358" s="15">
        <f t="shared" si="11"/>
        <v>1.1422976501305415</v>
      </c>
      <c r="S358" s="15">
        <f t="shared" si="12"/>
        <v>0.72015761940349421</v>
      </c>
    </row>
    <row r="359" spans="1:19" ht="12.75">
      <c r="A359" s="6">
        <v>20200603</v>
      </c>
      <c r="B359" s="5">
        <v>1.42</v>
      </c>
      <c r="C359" s="5">
        <v>0.77</v>
      </c>
      <c r="D359" s="5">
        <v>2.67</v>
      </c>
      <c r="E359" s="5">
        <v>0.73</v>
      </c>
      <c r="F359" s="5">
        <v>0.16</v>
      </c>
      <c r="G359" s="7">
        <v>0</v>
      </c>
      <c r="H359" s="8"/>
      <c r="I359" s="14">
        <v>81.28</v>
      </c>
      <c r="J359" s="15">
        <v>185.36</v>
      </c>
      <c r="K359" s="15">
        <v>2478.4</v>
      </c>
      <c r="L359" s="15">
        <v>190.82</v>
      </c>
      <c r="M359" s="15">
        <v>148.65</v>
      </c>
      <c r="O359" s="15">
        <f t="shared" si="11"/>
        <v>0.55672398861810191</v>
      </c>
      <c r="P359" s="15">
        <f t="shared" si="11"/>
        <v>0.24336163539020461</v>
      </c>
      <c r="Q359" s="15">
        <f t="shared" si="11"/>
        <v>0.24227373291647591</v>
      </c>
      <c r="R359" s="15">
        <f t="shared" si="11"/>
        <v>2.6245025276971035</v>
      </c>
      <c r="S359" s="15">
        <f t="shared" si="12"/>
        <v>0.26981450252951955</v>
      </c>
    </row>
    <row r="360" spans="1:19" ht="12.75">
      <c r="A360" s="6">
        <v>20200604</v>
      </c>
      <c r="B360" s="5">
        <v>-0.34</v>
      </c>
      <c r="C360" s="5">
        <v>0.51</v>
      </c>
      <c r="D360" s="5">
        <v>2.88</v>
      </c>
      <c r="E360" s="5">
        <v>0.99</v>
      </c>
      <c r="F360" s="5">
        <v>0.63</v>
      </c>
      <c r="G360" s="7">
        <v>0</v>
      </c>
      <c r="H360" s="8"/>
      <c r="I360" s="14">
        <v>80.58</v>
      </c>
      <c r="J360" s="15">
        <v>182.92</v>
      </c>
      <c r="K360" s="15">
        <v>2460.6</v>
      </c>
      <c r="L360" s="15">
        <v>192.05</v>
      </c>
      <c r="M360" s="15">
        <v>146.72999999999999</v>
      </c>
      <c r="O360" s="15">
        <f t="shared" si="11"/>
        <v>-0.8612204724409489</v>
      </c>
      <c r="P360" s="15">
        <f t="shared" si="11"/>
        <v>-1.3163573586534416</v>
      </c>
      <c r="Q360" s="15">
        <f t="shared" si="11"/>
        <v>-0.71820529373790576</v>
      </c>
      <c r="R360" s="15">
        <f t="shared" si="11"/>
        <v>0.64458652132901584</v>
      </c>
      <c r="S360" s="15">
        <f t="shared" si="12"/>
        <v>-1.2916246215943561</v>
      </c>
    </row>
    <row r="361" spans="1:19" ht="12.75">
      <c r="A361" s="6">
        <v>20200605</v>
      </c>
      <c r="B361" s="5">
        <v>2.5</v>
      </c>
      <c r="C361" s="5">
        <v>1.08</v>
      </c>
      <c r="D361" s="5">
        <v>2.79</v>
      </c>
      <c r="E361" s="5">
        <v>0.72</v>
      </c>
      <c r="F361" s="5">
        <v>0.04</v>
      </c>
      <c r="G361" s="7">
        <v>0</v>
      </c>
      <c r="H361" s="8"/>
      <c r="I361" s="14">
        <v>82.88</v>
      </c>
      <c r="J361" s="15">
        <v>187.2</v>
      </c>
      <c r="K361" s="15">
        <v>2483</v>
      </c>
      <c r="L361" s="15">
        <v>200.66</v>
      </c>
      <c r="M361" s="15">
        <v>147.30000000000001</v>
      </c>
      <c r="O361" s="15">
        <f t="shared" si="11"/>
        <v>2.8543062794738061</v>
      </c>
      <c r="P361" s="15">
        <f t="shared" si="11"/>
        <v>2.3398206866389604</v>
      </c>
      <c r="Q361" s="15">
        <f t="shared" si="11"/>
        <v>0.91034706982038305</v>
      </c>
      <c r="R361" s="15">
        <f t="shared" si="11"/>
        <v>4.4832074980473813</v>
      </c>
      <c r="S361" s="15">
        <f t="shared" si="12"/>
        <v>0.38846861582499947</v>
      </c>
    </row>
    <row r="362" spans="1:19" ht="12.75">
      <c r="A362" s="6">
        <v>20200608</v>
      </c>
      <c r="B362" s="5">
        <v>1.39</v>
      </c>
      <c r="C362" s="5">
        <v>0.68</v>
      </c>
      <c r="D362" s="5">
        <v>2.1</v>
      </c>
      <c r="E362" s="5">
        <v>-0.48</v>
      </c>
      <c r="F362" s="5">
        <v>0.56000000000000005</v>
      </c>
      <c r="G362" s="7">
        <v>0</v>
      </c>
      <c r="H362" s="8"/>
      <c r="I362" s="14">
        <v>83.37</v>
      </c>
      <c r="J362" s="15">
        <v>188.36</v>
      </c>
      <c r="K362" s="15">
        <v>2524.06</v>
      </c>
      <c r="L362" s="15">
        <v>201.56</v>
      </c>
      <c r="M362" s="15">
        <v>146.77000000000001</v>
      </c>
      <c r="O362" s="15">
        <f t="shared" si="11"/>
        <v>0.59121621621622822</v>
      </c>
      <c r="P362" s="15">
        <f t="shared" si="11"/>
        <v>0.61965811965813966</v>
      </c>
      <c r="Q362" s="15">
        <f t="shared" si="11"/>
        <v>1.6536447845348246</v>
      </c>
      <c r="R362" s="15">
        <f t="shared" si="11"/>
        <v>0.44851988438154855</v>
      </c>
      <c r="S362" s="15">
        <f t="shared" si="12"/>
        <v>-0.35980991174473509</v>
      </c>
    </row>
    <row r="363" spans="1:19" ht="12.75">
      <c r="A363" s="6">
        <v>20200609</v>
      </c>
      <c r="B363" s="5">
        <v>-0.85</v>
      </c>
      <c r="C363" s="5">
        <v>-0.79</v>
      </c>
      <c r="D363" s="5">
        <v>-1.95</v>
      </c>
      <c r="E363" s="5">
        <v>-0.04</v>
      </c>
      <c r="F363" s="5">
        <v>-0.46</v>
      </c>
      <c r="G363" s="7">
        <v>0</v>
      </c>
      <c r="H363" s="8"/>
      <c r="I363" s="14">
        <v>86</v>
      </c>
      <c r="J363" s="15">
        <v>189.8</v>
      </c>
      <c r="K363" s="15">
        <v>2600.86</v>
      </c>
      <c r="L363" s="15">
        <v>196.07</v>
      </c>
      <c r="M363" s="15">
        <v>145.96</v>
      </c>
      <c r="O363" s="15">
        <f t="shared" si="11"/>
        <v>3.154611970732879</v>
      </c>
      <c r="P363" s="15">
        <f t="shared" si="11"/>
        <v>0.76449352304097662</v>
      </c>
      <c r="Q363" s="15">
        <f t="shared" si="11"/>
        <v>3.0427168926253856</v>
      </c>
      <c r="R363" s="15">
        <f t="shared" si="11"/>
        <v>-2.723754713236759</v>
      </c>
      <c r="S363" s="15">
        <f t="shared" si="12"/>
        <v>-0.55188389997956611</v>
      </c>
    </row>
    <row r="364" spans="1:19" ht="12.75">
      <c r="A364" s="6">
        <v>20200610</v>
      </c>
      <c r="B364" s="5">
        <v>-0.56000000000000005</v>
      </c>
      <c r="C364" s="5">
        <v>-1.8</v>
      </c>
      <c r="D364" s="5">
        <v>-4.09</v>
      </c>
      <c r="E364" s="5">
        <v>-0.32</v>
      </c>
      <c r="F364" s="5">
        <v>-0.5</v>
      </c>
      <c r="G364" s="7">
        <v>0</v>
      </c>
      <c r="H364" s="8"/>
      <c r="I364" s="14">
        <v>88.21</v>
      </c>
      <c r="J364" s="15">
        <v>196.84</v>
      </c>
      <c r="K364" s="15">
        <v>2647.45</v>
      </c>
      <c r="L364" s="15">
        <v>191.51</v>
      </c>
      <c r="M364" s="15">
        <v>147.80000000000001</v>
      </c>
      <c r="O364" s="15">
        <f t="shared" si="11"/>
        <v>2.5697674418604599</v>
      </c>
      <c r="P364" s="15">
        <f t="shared" si="11"/>
        <v>3.7091675447839867</v>
      </c>
      <c r="Q364" s="15">
        <f t="shared" si="11"/>
        <v>1.7913305598917129</v>
      </c>
      <c r="R364" s="15">
        <f t="shared" si="11"/>
        <v>-2.3257000051002175</v>
      </c>
      <c r="S364" s="15">
        <f t="shared" si="12"/>
        <v>1.2606193477665117</v>
      </c>
    </row>
    <row r="365" spans="1:19" ht="12.75">
      <c r="A365" s="6">
        <v>20200611</v>
      </c>
      <c r="B365" s="5">
        <v>-5.91</v>
      </c>
      <c r="C365" s="5">
        <v>-1.47</v>
      </c>
      <c r="D365" s="5">
        <v>-3.05</v>
      </c>
      <c r="E365" s="5">
        <v>-0.21</v>
      </c>
      <c r="F365" s="5">
        <v>-0.22</v>
      </c>
      <c r="G365" s="7">
        <v>0</v>
      </c>
      <c r="H365" s="8"/>
      <c r="I365" s="14">
        <v>83.98</v>
      </c>
      <c r="J365" s="15">
        <v>186.27</v>
      </c>
      <c r="K365" s="15">
        <v>2557.96</v>
      </c>
      <c r="L365" s="15">
        <v>178.02</v>
      </c>
      <c r="M365" s="15">
        <v>140.87</v>
      </c>
      <c r="O365" s="15">
        <f t="shared" si="11"/>
        <v>-4.7953746740732273</v>
      </c>
      <c r="P365" s="15">
        <f t="shared" si="11"/>
        <v>-5.3698435277382606</v>
      </c>
      <c r="Q365" s="15">
        <f t="shared" si="11"/>
        <v>-3.38023380989253</v>
      </c>
      <c r="R365" s="15">
        <f t="shared" si="11"/>
        <v>-7.044018589107603</v>
      </c>
      <c r="S365" s="15">
        <f t="shared" si="12"/>
        <v>-4.6887686062246363</v>
      </c>
    </row>
    <row r="366" spans="1:19" ht="12.75">
      <c r="A366" s="6">
        <v>20200612</v>
      </c>
      <c r="B366" s="5">
        <v>1.29</v>
      </c>
      <c r="C366" s="5">
        <v>0.8</v>
      </c>
      <c r="D366" s="5">
        <v>1.84</v>
      </c>
      <c r="E366" s="5">
        <v>0.14000000000000001</v>
      </c>
      <c r="F366" s="5">
        <v>0.09</v>
      </c>
      <c r="G366" s="7">
        <v>0</v>
      </c>
      <c r="H366" s="8"/>
      <c r="I366" s="14">
        <v>84.7</v>
      </c>
      <c r="J366" s="15">
        <v>187.74</v>
      </c>
      <c r="K366" s="15">
        <v>2545.02</v>
      </c>
      <c r="L366" s="15">
        <v>181.21</v>
      </c>
      <c r="M366" s="15">
        <v>142.15</v>
      </c>
      <c r="O366" s="15">
        <f t="shared" si="11"/>
        <v>0.85734698737793824</v>
      </c>
      <c r="P366" s="15">
        <f t="shared" si="11"/>
        <v>0.78917700112739464</v>
      </c>
      <c r="Q366" s="15">
        <f t="shared" si="11"/>
        <v>-0.50587186664373673</v>
      </c>
      <c r="R366" s="15">
        <f t="shared" si="11"/>
        <v>1.7919334906190354</v>
      </c>
      <c r="S366" s="15">
        <f t="shared" si="12"/>
        <v>0.90863917086676516</v>
      </c>
    </row>
    <row r="367" spans="1:19" ht="12.75">
      <c r="A367" s="6">
        <v>20200615</v>
      </c>
      <c r="B367" s="5">
        <v>1.1000000000000001</v>
      </c>
      <c r="C367" s="5">
        <v>1.43</v>
      </c>
      <c r="D367" s="5">
        <v>-0.36</v>
      </c>
      <c r="E367" s="5">
        <v>-0.77</v>
      </c>
      <c r="F367" s="5">
        <v>-0.23</v>
      </c>
      <c r="G367" s="7">
        <v>0</v>
      </c>
      <c r="H367" s="8"/>
      <c r="I367" s="14">
        <v>85.75</v>
      </c>
      <c r="J367" s="15">
        <v>188.94</v>
      </c>
      <c r="K367" s="15">
        <v>2572.6799999999998</v>
      </c>
      <c r="L367" s="15">
        <v>181.55</v>
      </c>
      <c r="M367" s="15">
        <v>141.25</v>
      </c>
      <c r="O367" s="15">
        <f t="shared" si="11"/>
        <v>1.2396694214876103</v>
      </c>
      <c r="P367" s="15">
        <f t="shared" si="11"/>
        <v>0.63918184723552596</v>
      </c>
      <c r="Q367" s="15">
        <f t="shared" si="11"/>
        <v>1.0868283942758739</v>
      </c>
      <c r="R367" s="15">
        <f t="shared" si="11"/>
        <v>0.18762761437007835</v>
      </c>
      <c r="S367" s="15">
        <f t="shared" si="12"/>
        <v>-0.63313401336616559</v>
      </c>
    </row>
    <row r="368" spans="1:19" ht="12.75">
      <c r="A368" s="6">
        <v>20200616</v>
      </c>
      <c r="B368" s="5">
        <v>1.86</v>
      </c>
      <c r="C368" s="5">
        <v>0.61</v>
      </c>
      <c r="D368" s="5">
        <v>0.47</v>
      </c>
      <c r="E368" s="5">
        <v>0.64</v>
      </c>
      <c r="F368" s="5">
        <v>0.12</v>
      </c>
      <c r="G368" s="7">
        <v>0</v>
      </c>
      <c r="H368" s="8"/>
      <c r="I368" s="14">
        <v>88.02</v>
      </c>
      <c r="J368" s="15">
        <v>193.57</v>
      </c>
      <c r="K368" s="15">
        <v>2615.27</v>
      </c>
      <c r="L368" s="15">
        <v>182.3</v>
      </c>
      <c r="M368" s="15">
        <v>144.46</v>
      </c>
      <c r="O368" s="15">
        <f t="shared" si="11"/>
        <v>2.6472303206997116</v>
      </c>
      <c r="P368" s="15">
        <f t="shared" si="11"/>
        <v>2.4505133904943355</v>
      </c>
      <c r="Q368" s="15">
        <f t="shared" si="11"/>
        <v>1.6554721146819773</v>
      </c>
      <c r="R368" s="15">
        <f t="shared" si="11"/>
        <v>0.41310933627098922</v>
      </c>
      <c r="S368" s="15">
        <f t="shared" si="12"/>
        <v>2.2725663716814282</v>
      </c>
    </row>
    <row r="369" spans="1:19" ht="12.75">
      <c r="A369" s="6">
        <v>20200617</v>
      </c>
      <c r="B369" s="5">
        <v>-0.4</v>
      </c>
      <c r="C369" s="5">
        <v>-1.32</v>
      </c>
      <c r="D369" s="5">
        <v>-1.99</v>
      </c>
      <c r="E369" s="5">
        <v>-0.55000000000000004</v>
      </c>
      <c r="F369" s="5">
        <v>-0.23</v>
      </c>
      <c r="G369" s="7">
        <v>0</v>
      </c>
      <c r="H369" s="8"/>
      <c r="I369" s="14">
        <v>87.9</v>
      </c>
      <c r="J369" s="15">
        <v>194.24</v>
      </c>
      <c r="K369" s="15">
        <v>2640.98</v>
      </c>
      <c r="L369" s="15">
        <v>180.86</v>
      </c>
      <c r="M369" s="15">
        <v>144.02000000000001</v>
      </c>
      <c r="O369" s="15">
        <f t="shared" si="11"/>
        <v>-0.13633265167006803</v>
      </c>
      <c r="P369" s="15">
        <f t="shared" si="11"/>
        <v>0.34612801570492735</v>
      </c>
      <c r="Q369" s="15">
        <f t="shared" si="11"/>
        <v>0.98307249347104886</v>
      </c>
      <c r="R369" s="15">
        <f t="shared" si="11"/>
        <v>-0.78990674712012821</v>
      </c>
      <c r="S369" s="15">
        <f t="shared" si="12"/>
        <v>-0.3045825834140925</v>
      </c>
    </row>
    <row r="370" spans="1:19" ht="12.75">
      <c r="A370" s="6">
        <v>20200618</v>
      </c>
      <c r="B370" s="5">
        <v>0.19</v>
      </c>
      <c r="C370" s="5">
        <v>0.01</v>
      </c>
      <c r="D370" s="5">
        <v>-0.53</v>
      </c>
      <c r="E370" s="5">
        <v>-0.4</v>
      </c>
      <c r="F370" s="5">
        <v>-0.26</v>
      </c>
      <c r="G370" s="7">
        <v>0</v>
      </c>
      <c r="H370" s="8"/>
      <c r="I370" s="14">
        <v>87.93</v>
      </c>
      <c r="J370" s="15">
        <v>196.32</v>
      </c>
      <c r="K370" s="15">
        <v>2653.98</v>
      </c>
      <c r="L370" s="15">
        <v>180.73</v>
      </c>
      <c r="M370" s="15">
        <v>143.41</v>
      </c>
      <c r="O370" s="15">
        <f t="shared" si="11"/>
        <v>3.4129692832762792E-2</v>
      </c>
      <c r="P370" s="15">
        <f t="shared" si="11"/>
        <v>1.0708401976935678</v>
      </c>
      <c r="Q370" s="15">
        <f t="shared" si="11"/>
        <v>0.49224151640678837</v>
      </c>
      <c r="R370" s="15">
        <f t="shared" si="11"/>
        <v>-7.1878801282776461E-2</v>
      </c>
      <c r="S370" s="15">
        <f t="shared" si="12"/>
        <v>-0.42355228440494885</v>
      </c>
    </row>
    <row r="371" spans="1:19" ht="12.75">
      <c r="A371" s="6">
        <v>20200619</v>
      </c>
      <c r="B371" s="5">
        <v>-0.45</v>
      </c>
      <c r="C371" s="5">
        <v>-0.13</v>
      </c>
      <c r="D371" s="5">
        <v>-0.65</v>
      </c>
      <c r="E371" s="5">
        <v>-0.73</v>
      </c>
      <c r="F371" s="5">
        <v>-0.19</v>
      </c>
      <c r="G371" s="7">
        <v>0</v>
      </c>
      <c r="H371" s="8"/>
      <c r="I371" s="14">
        <v>87.43</v>
      </c>
      <c r="J371" s="15">
        <v>195.15</v>
      </c>
      <c r="K371" s="15">
        <v>2675.01</v>
      </c>
      <c r="L371" s="15">
        <v>179.72</v>
      </c>
      <c r="M371" s="15">
        <v>143.83000000000001</v>
      </c>
      <c r="O371" s="15">
        <f t="shared" si="11"/>
        <v>-0.56863414079381114</v>
      </c>
      <c r="P371" s="15">
        <f t="shared" si="11"/>
        <v>-0.59596577017114738</v>
      </c>
      <c r="Q371" s="15">
        <f t="shared" si="11"/>
        <v>0.7923948183482965</v>
      </c>
      <c r="R371" s="15">
        <f t="shared" si="11"/>
        <v>-0.55884468544237231</v>
      </c>
      <c r="S371" s="15">
        <f t="shared" si="12"/>
        <v>0.29286660623388805</v>
      </c>
    </row>
    <row r="372" spans="1:19" ht="12.75">
      <c r="A372" s="6">
        <v>20200622</v>
      </c>
      <c r="B372" s="5">
        <v>0.71</v>
      </c>
      <c r="C372" s="5">
        <v>0.47</v>
      </c>
      <c r="D372" s="5">
        <v>-1.33</v>
      </c>
      <c r="E372" s="5">
        <v>-0.38</v>
      </c>
      <c r="F372" s="5">
        <v>-0.51</v>
      </c>
      <c r="G372" s="7">
        <v>0</v>
      </c>
      <c r="H372" s="8"/>
      <c r="I372" s="14">
        <v>89.72</v>
      </c>
      <c r="J372" s="15">
        <v>200.57</v>
      </c>
      <c r="K372" s="15">
        <v>2713.82</v>
      </c>
      <c r="L372" s="15">
        <v>180.17</v>
      </c>
      <c r="M372" s="15">
        <v>143.38999999999999</v>
      </c>
      <c r="O372" s="15">
        <f t="shared" si="11"/>
        <v>2.6192382477410403</v>
      </c>
      <c r="P372" s="15">
        <f t="shared" si="11"/>
        <v>2.7773507558288335</v>
      </c>
      <c r="Q372" s="15">
        <f t="shared" si="11"/>
        <v>1.4508356978104819</v>
      </c>
      <c r="R372" s="15">
        <f t="shared" si="11"/>
        <v>0.25038949476963168</v>
      </c>
      <c r="S372" s="15">
        <f t="shared" si="12"/>
        <v>-0.30591670722381892</v>
      </c>
    </row>
    <row r="373" spans="1:19" ht="12.75">
      <c r="A373" s="6">
        <v>20200623</v>
      </c>
      <c r="B373" s="5">
        <v>0.42</v>
      </c>
      <c r="C373" s="5">
        <v>0.22</v>
      </c>
      <c r="D373" s="5">
        <v>-0.6</v>
      </c>
      <c r="E373" s="5">
        <v>0.57999999999999996</v>
      </c>
      <c r="F373" s="5">
        <v>-0.09</v>
      </c>
      <c r="G373" s="7">
        <v>0</v>
      </c>
      <c r="H373" s="8"/>
      <c r="I373" s="14">
        <v>91.63</v>
      </c>
      <c r="J373" s="15">
        <v>201.91</v>
      </c>
      <c r="K373" s="15">
        <v>2764.41</v>
      </c>
      <c r="L373" s="15">
        <v>181.01</v>
      </c>
      <c r="M373" s="15">
        <v>142.86000000000001</v>
      </c>
      <c r="O373" s="15">
        <f t="shared" si="11"/>
        <v>2.1288452964779214</v>
      </c>
      <c r="P373" s="15">
        <f t="shared" si="11"/>
        <v>0.66809592660916906</v>
      </c>
      <c r="Q373" s="15">
        <f t="shared" si="11"/>
        <v>1.8641619562093092</v>
      </c>
      <c r="R373" s="15">
        <f t="shared" si="11"/>
        <v>0.46622634178832278</v>
      </c>
      <c r="S373" s="15">
        <f t="shared" si="12"/>
        <v>-0.36962131250434238</v>
      </c>
    </row>
    <row r="374" spans="1:19" ht="12.75">
      <c r="A374" s="6">
        <v>20200624</v>
      </c>
      <c r="B374" s="5">
        <v>-2.61</v>
      </c>
      <c r="C374" s="5">
        <v>-0.7</v>
      </c>
      <c r="D374" s="5">
        <v>-1.36</v>
      </c>
      <c r="E374" s="5">
        <v>-7.0000000000000007E-2</v>
      </c>
      <c r="F374" s="5">
        <v>0.26</v>
      </c>
      <c r="G374" s="7">
        <v>0</v>
      </c>
      <c r="H374" s="8"/>
      <c r="I374" s="14">
        <v>90.02</v>
      </c>
      <c r="J374" s="15">
        <v>197.84</v>
      </c>
      <c r="K374" s="15">
        <v>2734.4</v>
      </c>
      <c r="L374" s="15">
        <v>177.53</v>
      </c>
      <c r="M374" s="15">
        <v>139.82</v>
      </c>
      <c r="O374" s="15">
        <f t="shared" si="11"/>
        <v>-1.7570664629488197</v>
      </c>
      <c r="P374" s="15">
        <f t="shared" si="11"/>
        <v>-2.0157495914021051</v>
      </c>
      <c r="Q374" s="15">
        <f t="shared" si="11"/>
        <v>-1.0855842657203407</v>
      </c>
      <c r="R374" s="15">
        <f t="shared" si="11"/>
        <v>-1.9225457157063142</v>
      </c>
      <c r="S374" s="15">
        <f t="shared" si="12"/>
        <v>-2.1279574408512025</v>
      </c>
    </row>
    <row r="375" spans="1:19" ht="12.75">
      <c r="A375" s="6">
        <v>20200625</v>
      </c>
      <c r="B375" s="5">
        <v>1.1200000000000001</v>
      </c>
      <c r="C375" s="5">
        <v>0.33</v>
      </c>
      <c r="D375" s="5">
        <v>0.53</v>
      </c>
      <c r="E375" s="5">
        <v>-0.81</v>
      </c>
      <c r="F375" s="5">
        <v>0.15</v>
      </c>
      <c r="G375" s="7">
        <v>0</v>
      </c>
      <c r="H375" s="8"/>
      <c r="I375" s="14">
        <v>91.21</v>
      </c>
      <c r="J375" s="15">
        <v>200.34</v>
      </c>
      <c r="K375" s="15">
        <v>2754.58</v>
      </c>
      <c r="L375" s="15">
        <v>178.85</v>
      </c>
      <c r="M375" s="15">
        <v>139.66999999999999</v>
      </c>
      <c r="O375" s="15">
        <f t="shared" si="11"/>
        <v>1.3219284603421366</v>
      </c>
      <c r="P375" s="15">
        <f t="shared" si="11"/>
        <v>1.2636473918317792</v>
      </c>
      <c r="Q375" s="15">
        <f t="shared" si="11"/>
        <v>0.73800468110005735</v>
      </c>
      <c r="R375" s="15">
        <f t="shared" si="11"/>
        <v>0.74353630372330226</v>
      </c>
      <c r="S375" s="15">
        <f t="shared" si="12"/>
        <v>-0.1072807895866168</v>
      </c>
    </row>
    <row r="376" spans="1:19" ht="12.75">
      <c r="A376" s="6">
        <v>20200626</v>
      </c>
      <c r="B376" s="5">
        <v>-2.44</v>
      </c>
      <c r="C376" s="5">
        <v>-0.2</v>
      </c>
      <c r="D376" s="5">
        <v>-1.4</v>
      </c>
      <c r="E376" s="5">
        <v>0.01</v>
      </c>
      <c r="F376" s="5">
        <v>0.63</v>
      </c>
      <c r="G376" s="7">
        <v>0</v>
      </c>
      <c r="H376" s="8"/>
      <c r="I376" s="14">
        <v>88.41</v>
      </c>
      <c r="J376" s="15">
        <v>196.33</v>
      </c>
      <c r="K376" s="15">
        <v>2692.87</v>
      </c>
      <c r="L376" s="15">
        <v>175.37</v>
      </c>
      <c r="M376" s="15">
        <v>137.81</v>
      </c>
      <c r="O376" s="15">
        <f t="shared" si="11"/>
        <v>-3.0698388334612359</v>
      </c>
      <c r="P376" s="15">
        <f t="shared" si="11"/>
        <v>-2.0015972846161523</v>
      </c>
      <c r="Q376" s="15">
        <f t="shared" si="11"/>
        <v>-2.2402689339209636</v>
      </c>
      <c r="R376" s="15">
        <f t="shared" si="11"/>
        <v>-1.945764607212741</v>
      </c>
      <c r="S376" s="15">
        <f t="shared" si="12"/>
        <v>-1.3317104603708607</v>
      </c>
    </row>
    <row r="377" spans="1:19" ht="12.75">
      <c r="A377" s="6">
        <v>20200629</v>
      </c>
      <c r="B377" s="5">
        <v>1.51</v>
      </c>
      <c r="C377" s="5">
        <v>1.49</v>
      </c>
      <c r="D377" s="5">
        <v>1.83</v>
      </c>
      <c r="E377" s="5">
        <v>1.47</v>
      </c>
      <c r="F377" s="5">
        <v>0.36</v>
      </c>
      <c r="G377" s="7">
        <v>0</v>
      </c>
      <c r="H377" s="8"/>
      <c r="I377" s="14">
        <v>90.45</v>
      </c>
      <c r="J377" s="15">
        <v>198.44</v>
      </c>
      <c r="K377" s="15">
        <v>2680.38</v>
      </c>
      <c r="L377" s="15">
        <v>177.19</v>
      </c>
      <c r="M377" s="15">
        <v>139.04</v>
      </c>
      <c r="O377" s="15">
        <f t="shared" si="11"/>
        <v>2.3074312860536184</v>
      </c>
      <c r="P377" s="15">
        <f t="shared" si="11"/>
        <v>1.0747211327866379</v>
      </c>
      <c r="Q377" s="15">
        <f t="shared" si="11"/>
        <v>-0.46381741413434874</v>
      </c>
      <c r="R377" s="15">
        <f t="shared" si="11"/>
        <v>1.0378057820607856</v>
      </c>
      <c r="S377" s="15">
        <f t="shared" si="12"/>
        <v>0.89253319788114016</v>
      </c>
    </row>
    <row r="378" spans="1:19" ht="12.75">
      <c r="A378" s="6">
        <v>20200630</v>
      </c>
      <c r="B378" s="5">
        <v>1.58</v>
      </c>
      <c r="C378" s="5">
        <v>0</v>
      </c>
      <c r="D378" s="5">
        <v>0.01</v>
      </c>
      <c r="E378" s="5">
        <v>-0.4</v>
      </c>
      <c r="F378" s="5">
        <v>-0.3</v>
      </c>
      <c r="G378" s="7">
        <v>0</v>
      </c>
      <c r="H378" s="8"/>
      <c r="I378" s="14">
        <v>91.2</v>
      </c>
      <c r="J378" s="15">
        <v>203.51</v>
      </c>
      <c r="K378" s="15">
        <v>2758.82</v>
      </c>
      <c r="L378" s="15">
        <v>178.51</v>
      </c>
      <c r="M378" s="15">
        <v>140.63</v>
      </c>
      <c r="O378" s="15">
        <f t="shared" si="11"/>
        <v>0.82918739635158278</v>
      </c>
      <c r="P378" s="15">
        <f t="shared" si="11"/>
        <v>2.5549284418463936</v>
      </c>
      <c r="Q378" s="15">
        <f t="shared" si="11"/>
        <v>2.9264507271357099</v>
      </c>
      <c r="R378" s="15">
        <f t="shared" si="11"/>
        <v>0.74496303403126518</v>
      </c>
      <c r="S378" s="15">
        <f t="shared" si="12"/>
        <v>1.1435558112773414</v>
      </c>
    </row>
    <row r="379" spans="1:19" ht="12.75">
      <c r="A379" s="6">
        <v>20200701</v>
      </c>
      <c r="B379" s="5">
        <v>0.41</v>
      </c>
      <c r="C379" s="5">
        <v>-1.7</v>
      </c>
      <c r="D379" s="5">
        <v>-2.56</v>
      </c>
      <c r="E379" s="5">
        <v>-0.39</v>
      </c>
      <c r="F379" s="5">
        <v>-1.22</v>
      </c>
      <c r="G379" s="7">
        <v>0</v>
      </c>
      <c r="H379" s="8"/>
      <c r="I379" s="14">
        <v>91.03</v>
      </c>
      <c r="J379" s="15">
        <v>204.7</v>
      </c>
      <c r="K379" s="15">
        <v>2878.7</v>
      </c>
      <c r="L379" s="15">
        <v>177.99</v>
      </c>
      <c r="M379" s="15">
        <v>140.38</v>
      </c>
      <c r="O379" s="15">
        <f t="shared" si="11"/>
        <v>-0.18640350877192624</v>
      </c>
      <c r="P379" s="15">
        <f t="shared" si="11"/>
        <v>0.58473785071986306</v>
      </c>
      <c r="Q379" s="15">
        <f t="shared" si="11"/>
        <v>4.3453360494704052</v>
      </c>
      <c r="R379" s="15">
        <f t="shared" si="11"/>
        <v>-0.29130020727129446</v>
      </c>
      <c r="S379" s="15">
        <f t="shared" si="12"/>
        <v>-0.17777145701486363</v>
      </c>
    </row>
    <row r="380" spans="1:19" ht="12.75">
      <c r="A380" s="6">
        <v>20200702</v>
      </c>
      <c r="B380" s="5">
        <v>0.5</v>
      </c>
      <c r="C380" s="5">
        <v>0.02</v>
      </c>
      <c r="D380" s="5">
        <v>-0.13</v>
      </c>
      <c r="E380" s="5">
        <v>0.41</v>
      </c>
      <c r="F380" s="5">
        <v>0.15</v>
      </c>
      <c r="G380" s="7">
        <v>0</v>
      </c>
      <c r="H380" s="8"/>
      <c r="I380" s="14">
        <v>91.03</v>
      </c>
      <c r="J380" s="15">
        <v>206.26</v>
      </c>
      <c r="K380" s="15">
        <v>2890.3</v>
      </c>
      <c r="L380" s="15">
        <v>178.83</v>
      </c>
      <c r="M380" s="15">
        <v>140.97</v>
      </c>
      <c r="O380" s="15">
        <f t="shared" si="11"/>
        <v>0</v>
      </c>
      <c r="P380" s="15">
        <f t="shared" si="11"/>
        <v>0.76209086468002063</v>
      </c>
      <c r="Q380" s="15">
        <f t="shared" si="11"/>
        <v>0.40295966929517757</v>
      </c>
      <c r="R380" s="15">
        <f t="shared" si="11"/>
        <v>0.47193662565312433</v>
      </c>
      <c r="S380" s="15">
        <f t="shared" si="12"/>
        <v>0.42028779028351337</v>
      </c>
    </row>
    <row r="381" spans="1:19" ht="12.75">
      <c r="A381" s="6">
        <v>20200706</v>
      </c>
      <c r="B381" s="5">
        <v>1.65</v>
      </c>
      <c r="C381" s="5">
        <v>-0.67</v>
      </c>
      <c r="D381" s="5">
        <v>0.37</v>
      </c>
      <c r="E381" s="5">
        <v>0.27</v>
      </c>
      <c r="F381" s="5">
        <v>0.04</v>
      </c>
      <c r="G381" s="7">
        <v>0</v>
      </c>
      <c r="H381" s="8"/>
      <c r="I381" s="14">
        <v>93.46</v>
      </c>
      <c r="J381" s="15">
        <v>210.7</v>
      </c>
      <c r="K381" s="15">
        <v>3057.04</v>
      </c>
      <c r="L381" s="15">
        <v>182.72</v>
      </c>
      <c r="M381" s="15">
        <v>142.97999999999999</v>
      </c>
      <c r="O381" s="15">
        <f t="shared" si="11"/>
        <v>2.6694496319894512</v>
      </c>
      <c r="P381" s="15">
        <f t="shared" si="11"/>
        <v>2.1526229031319621</v>
      </c>
      <c r="Q381" s="15">
        <f t="shared" si="11"/>
        <v>5.7689513199321807</v>
      </c>
      <c r="R381" s="15">
        <f t="shared" si="11"/>
        <v>2.1752502376558569</v>
      </c>
      <c r="S381" s="15">
        <f t="shared" si="12"/>
        <v>1.4258352841029831</v>
      </c>
    </row>
    <row r="382" spans="1:19" ht="12.75">
      <c r="A382" s="6">
        <v>20200707</v>
      </c>
      <c r="B382" s="5">
        <v>-1.03</v>
      </c>
      <c r="C382" s="5">
        <v>-0.98</v>
      </c>
      <c r="D382" s="5">
        <v>-1.51</v>
      </c>
      <c r="E382" s="5">
        <v>-1.0900000000000001</v>
      </c>
      <c r="F382" s="5">
        <v>-7.0000000000000007E-2</v>
      </c>
      <c r="G382" s="7">
        <v>0</v>
      </c>
      <c r="H382" s="8"/>
      <c r="I382" s="14">
        <v>93.17</v>
      </c>
      <c r="J382" s="15">
        <v>208.25</v>
      </c>
      <c r="K382" s="15">
        <v>3000.12</v>
      </c>
      <c r="L382" s="15">
        <v>181.15</v>
      </c>
      <c r="M382" s="15">
        <v>142.85</v>
      </c>
      <c r="O382" s="15">
        <f t="shared" si="11"/>
        <v>-0.31029317355016905</v>
      </c>
      <c r="P382" s="15">
        <f t="shared" si="11"/>
        <v>-1.1627906976744096</v>
      </c>
      <c r="Q382" s="15">
        <f t="shared" si="11"/>
        <v>-1.8619318033130106</v>
      </c>
      <c r="R382" s="15">
        <f t="shared" si="11"/>
        <v>-0.85923817863396978</v>
      </c>
      <c r="S382" s="15">
        <f t="shared" si="12"/>
        <v>-9.0921807245769592E-2</v>
      </c>
    </row>
    <row r="383" spans="1:19" ht="12.75">
      <c r="A383" s="6">
        <v>20200708</v>
      </c>
      <c r="B383" s="5">
        <v>0.91</v>
      </c>
      <c r="C383" s="5">
        <v>0.09</v>
      </c>
      <c r="D383" s="5">
        <v>-0.47</v>
      </c>
      <c r="E383" s="5">
        <v>-0.44</v>
      </c>
      <c r="F383" s="5">
        <v>-0.28000000000000003</v>
      </c>
      <c r="G383" s="7">
        <v>0</v>
      </c>
      <c r="H383" s="8"/>
      <c r="I383" s="14">
        <v>95.34</v>
      </c>
      <c r="J383" s="15">
        <v>212.83</v>
      </c>
      <c r="K383" s="15">
        <v>3081.11</v>
      </c>
      <c r="L383" s="15">
        <v>181.2</v>
      </c>
      <c r="M383" s="15">
        <v>143.27000000000001</v>
      </c>
      <c r="O383" s="15">
        <f t="shared" si="11"/>
        <v>2.3290758827948954</v>
      </c>
      <c r="P383" s="15">
        <f t="shared" si="11"/>
        <v>2.1992797118847607</v>
      </c>
      <c r="Q383" s="15">
        <f t="shared" si="11"/>
        <v>2.6995586843193031</v>
      </c>
      <c r="R383" s="15">
        <f t="shared" si="11"/>
        <v>2.7601435274626773E-2</v>
      </c>
      <c r="S383" s="15">
        <f t="shared" si="12"/>
        <v>0.29401470073504576</v>
      </c>
    </row>
    <row r="384" spans="1:19" ht="12.75">
      <c r="A384" s="6">
        <v>20200709</v>
      </c>
      <c r="B384" s="5">
        <v>-0.53</v>
      </c>
      <c r="C384" s="5">
        <v>-1.57</v>
      </c>
      <c r="D384" s="5">
        <v>-2.63</v>
      </c>
      <c r="E384" s="5">
        <v>-0.32</v>
      </c>
      <c r="F384" s="5">
        <v>-0.57999999999999996</v>
      </c>
      <c r="G384" s="7">
        <v>0</v>
      </c>
      <c r="H384" s="8"/>
      <c r="I384" s="14">
        <v>95.68</v>
      </c>
      <c r="J384" s="15">
        <v>214.32</v>
      </c>
      <c r="K384" s="15">
        <v>3182.63</v>
      </c>
      <c r="L384" s="15">
        <v>178.8</v>
      </c>
      <c r="M384" s="15">
        <v>142.49</v>
      </c>
      <c r="O384" s="15">
        <f t="shared" si="11"/>
        <v>0.35661841829242036</v>
      </c>
      <c r="P384" s="15">
        <f t="shared" si="11"/>
        <v>0.70008927312878999</v>
      </c>
      <c r="Q384" s="15">
        <f t="shared" si="11"/>
        <v>3.2949164424509236</v>
      </c>
      <c r="R384" s="15">
        <f t="shared" si="11"/>
        <v>-1.3245033112582627</v>
      </c>
      <c r="S384" s="15">
        <f t="shared" si="12"/>
        <v>-0.54442660710546376</v>
      </c>
    </row>
    <row r="385" spans="1:19" ht="12.75">
      <c r="A385" s="6">
        <v>20200710</v>
      </c>
      <c r="B385" s="5">
        <v>1.1100000000000001</v>
      </c>
      <c r="C385" s="5">
        <v>0.66</v>
      </c>
      <c r="D385" s="5">
        <v>3.07</v>
      </c>
      <c r="E385" s="5">
        <v>0.85</v>
      </c>
      <c r="F385" s="5">
        <v>0.19</v>
      </c>
      <c r="G385" s="7">
        <v>0</v>
      </c>
      <c r="H385" s="8"/>
      <c r="I385" s="14">
        <v>95.92</v>
      </c>
      <c r="J385" s="15">
        <v>213.67</v>
      </c>
      <c r="K385" s="15">
        <v>3200</v>
      </c>
      <c r="L385" s="15">
        <v>182.9</v>
      </c>
      <c r="M385" s="15">
        <v>142.37</v>
      </c>
      <c r="O385" s="15">
        <f t="shared" si="11"/>
        <v>0.25083612040133207</v>
      </c>
      <c r="P385" s="15">
        <f t="shared" si="11"/>
        <v>-0.30328480776409261</v>
      </c>
      <c r="Q385" s="15">
        <f t="shared" si="11"/>
        <v>0.54577503511246128</v>
      </c>
      <c r="R385" s="15">
        <f t="shared" si="11"/>
        <v>2.2930648769574846</v>
      </c>
      <c r="S385" s="15">
        <f t="shared" si="12"/>
        <v>-8.421643624114683E-2</v>
      </c>
    </row>
    <row r="386" spans="1:19" ht="12.75">
      <c r="A386" s="6">
        <v>20200713</v>
      </c>
      <c r="B386" s="5">
        <v>-1.2</v>
      </c>
      <c r="C386" s="5">
        <v>-0.28000000000000003</v>
      </c>
      <c r="D386" s="5">
        <v>2.04</v>
      </c>
      <c r="E386" s="5">
        <v>1.07</v>
      </c>
      <c r="F386" s="5">
        <v>1.0900000000000001</v>
      </c>
      <c r="G386" s="7">
        <v>0</v>
      </c>
      <c r="H386" s="8"/>
      <c r="I386" s="14">
        <v>95.48</v>
      </c>
      <c r="J386" s="15">
        <v>207.07</v>
      </c>
      <c r="K386" s="15">
        <v>3104</v>
      </c>
      <c r="L386" s="15">
        <v>184.13</v>
      </c>
      <c r="M386" s="15">
        <v>145.21</v>
      </c>
      <c r="O386" s="15">
        <f t="shared" si="11"/>
        <v>-0.45871559633027248</v>
      </c>
      <c r="P386" s="15">
        <f t="shared" si="11"/>
        <v>-3.0888753685589854</v>
      </c>
      <c r="Q386" s="15">
        <f t="shared" si="11"/>
        <v>-3.0000000000000027</v>
      </c>
      <c r="R386" s="15">
        <f t="shared" si="11"/>
        <v>0.6724986331328564</v>
      </c>
      <c r="S386" s="15">
        <f t="shared" si="12"/>
        <v>1.9948022757603434</v>
      </c>
    </row>
    <row r="387" spans="1:19" ht="12.75">
      <c r="A387" s="6">
        <v>20200714</v>
      </c>
      <c r="B387" s="5">
        <v>1.35</v>
      </c>
      <c r="C387" s="5">
        <v>0.39</v>
      </c>
      <c r="D387" s="5">
        <v>-0.28999999999999998</v>
      </c>
      <c r="E387" s="5">
        <v>-0.01</v>
      </c>
      <c r="F387" s="5">
        <v>0.51</v>
      </c>
      <c r="G387" s="7">
        <v>0</v>
      </c>
      <c r="H387" s="8"/>
      <c r="I387" s="14">
        <v>97.06</v>
      </c>
      <c r="J387" s="15">
        <v>208.35</v>
      </c>
      <c r="K387" s="15">
        <v>3084</v>
      </c>
      <c r="L387" s="15">
        <v>189.71</v>
      </c>
      <c r="M387" s="15">
        <v>147.91999999999999</v>
      </c>
      <c r="O387" s="15">
        <f t="shared" si="11"/>
        <v>1.654796816087134</v>
      </c>
      <c r="P387" s="15">
        <f t="shared" si="11"/>
        <v>0.61814845221421777</v>
      </c>
      <c r="Q387" s="15">
        <f t="shared" si="11"/>
        <v>-0.64432989690721421</v>
      </c>
      <c r="R387" s="15">
        <f t="shared" si="11"/>
        <v>3.0304676044099255</v>
      </c>
      <c r="S387" s="15">
        <f t="shared" si="12"/>
        <v>1.8662626540871807</v>
      </c>
    </row>
    <row r="388" spans="1:19" ht="12.75">
      <c r="A388" s="6">
        <v>20200715</v>
      </c>
      <c r="B388" s="5">
        <v>1.1399999999999999</v>
      </c>
      <c r="C388" s="5">
        <v>2.7</v>
      </c>
      <c r="D388" s="5">
        <v>1.27</v>
      </c>
      <c r="E388" s="5">
        <v>0.19</v>
      </c>
      <c r="F388" s="5">
        <v>0.1</v>
      </c>
      <c r="G388" s="7">
        <v>0</v>
      </c>
      <c r="H388" s="8"/>
      <c r="I388" s="14">
        <v>97.73</v>
      </c>
      <c r="J388" s="15">
        <v>208.04</v>
      </c>
      <c r="K388" s="15">
        <v>3008.87</v>
      </c>
      <c r="L388" s="15">
        <v>190.56</v>
      </c>
      <c r="M388" s="15">
        <v>148.26</v>
      </c>
      <c r="O388" s="15">
        <f t="shared" si="11"/>
        <v>0.69029466309500354</v>
      </c>
      <c r="P388" s="15">
        <f t="shared" si="11"/>
        <v>-0.14878809695224593</v>
      </c>
      <c r="Q388" s="15">
        <f t="shared" si="11"/>
        <v>-2.4361219195849548</v>
      </c>
      <c r="R388" s="15">
        <f t="shared" ref="R388:S451" si="13">(L388/L387-1)*100</f>
        <v>0.44805229033788585</v>
      </c>
      <c r="S388" s="15">
        <f t="shared" si="12"/>
        <v>0.22985397512169659</v>
      </c>
    </row>
    <row r="389" spans="1:19" ht="12.75">
      <c r="A389" s="6">
        <v>20200716</v>
      </c>
      <c r="B389" s="5">
        <v>-0.37</v>
      </c>
      <c r="C389" s="5">
        <v>-0.16</v>
      </c>
      <c r="D389" s="5">
        <v>0.81</v>
      </c>
      <c r="E389" s="5">
        <v>0.26</v>
      </c>
      <c r="F389" s="5">
        <v>0.33</v>
      </c>
      <c r="G389" s="7">
        <v>0</v>
      </c>
      <c r="H389" s="8"/>
      <c r="I389" s="14">
        <v>96.52</v>
      </c>
      <c r="J389" s="15">
        <v>203.92</v>
      </c>
      <c r="K389" s="15">
        <v>2999.9</v>
      </c>
      <c r="L389" s="15">
        <v>191.01</v>
      </c>
      <c r="M389" s="15">
        <v>149.25</v>
      </c>
      <c r="O389" s="15">
        <f t="shared" ref="O389:S452" si="14">(I389/I388-1)*100</f>
        <v>-1.2381049831167612</v>
      </c>
      <c r="P389" s="15">
        <f t="shared" si="14"/>
        <v>-1.980388386848686</v>
      </c>
      <c r="Q389" s="15">
        <f t="shared" si="14"/>
        <v>-0.29811856278270099</v>
      </c>
      <c r="R389" s="15">
        <f t="shared" si="13"/>
        <v>0.23614609571787071</v>
      </c>
      <c r="S389" s="15">
        <f t="shared" si="13"/>
        <v>0.66774585188182911</v>
      </c>
    </row>
    <row r="390" spans="1:19" ht="12.75">
      <c r="A390" s="6">
        <v>20200717</v>
      </c>
      <c r="B390" s="5">
        <v>0.3</v>
      </c>
      <c r="C390" s="5">
        <v>-0.15</v>
      </c>
      <c r="D390" s="5">
        <v>-1.42</v>
      </c>
      <c r="E390" s="5">
        <v>-1.0900000000000001</v>
      </c>
      <c r="F390" s="5">
        <v>0.03</v>
      </c>
      <c r="G390" s="7">
        <v>0</v>
      </c>
      <c r="H390" s="8"/>
      <c r="I390" s="14">
        <v>96.33</v>
      </c>
      <c r="J390" s="15">
        <v>202.88</v>
      </c>
      <c r="K390" s="15">
        <v>2961.97</v>
      </c>
      <c r="L390" s="15">
        <v>190.76</v>
      </c>
      <c r="M390" s="15">
        <v>149.35</v>
      </c>
      <c r="O390" s="15">
        <f t="shared" si="14"/>
        <v>-0.19685039370078705</v>
      </c>
      <c r="P390" s="15">
        <f t="shared" si="14"/>
        <v>-0.51000392310709408</v>
      </c>
      <c r="Q390" s="15">
        <f t="shared" si="14"/>
        <v>-1.2643754791826445</v>
      </c>
      <c r="R390" s="15">
        <f t="shared" si="13"/>
        <v>-0.13088319983246555</v>
      </c>
      <c r="S390" s="15">
        <f t="shared" si="13"/>
        <v>6.7001675041877817E-2</v>
      </c>
    </row>
    <row r="391" spans="1:19" ht="12.75">
      <c r="A391" s="6">
        <v>20200720</v>
      </c>
      <c r="B391" s="5">
        <v>1.01</v>
      </c>
      <c r="C391" s="5">
        <v>-1.1000000000000001</v>
      </c>
      <c r="D391" s="5">
        <v>-2.39</v>
      </c>
      <c r="E391" s="5">
        <v>-0.85</v>
      </c>
      <c r="F391" s="5">
        <v>-1.21</v>
      </c>
      <c r="G391" s="7">
        <v>0</v>
      </c>
      <c r="H391" s="8"/>
      <c r="I391" s="14">
        <v>98.36</v>
      </c>
      <c r="J391" s="15">
        <v>211.6</v>
      </c>
      <c r="K391" s="15">
        <v>3196.84</v>
      </c>
      <c r="L391" s="15">
        <v>190.48</v>
      </c>
      <c r="M391" s="15">
        <v>149.6</v>
      </c>
      <c r="O391" s="15">
        <f t="shared" si="14"/>
        <v>2.1073393543029173</v>
      </c>
      <c r="P391" s="15">
        <f t="shared" si="14"/>
        <v>4.2981072555205113</v>
      </c>
      <c r="Q391" s="15">
        <f t="shared" si="14"/>
        <v>7.9295198803499112</v>
      </c>
      <c r="R391" s="15">
        <f t="shared" si="13"/>
        <v>-0.14678129586915833</v>
      </c>
      <c r="S391" s="15">
        <f t="shared" si="13"/>
        <v>0.16739203213926857</v>
      </c>
    </row>
    <row r="392" spans="1:19" ht="12.75">
      <c r="A392" s="6">
        <v>20200721</v>
      </c>
      <c r="B392" s="5">
        <v>0.16</v>
      </c>
      <c r="C392" s="5">
        <v>1.45</v>
      </c>
      <c r="D392" s="5">
        <v>3.26</v>
      </c>
      <c r="E392" s="5">
        <v>0.53</v>
      </c>
      <c r="F392" s="5">
        <v>0.89</v>
      </c>
      <c r="G392" s="7">
        <v>0</v>
      </c>
      <c r="H392" s="8"/>
      <c r="I392" s="14">
        <v>97</v>
      </c>
      <c r="J392" s="15">
        <v>208.75</v>
      </c>
      <c r="K392" s="15">
        <v>3138.29</v>
      </c>
      <c r="L392" s="15">
        <v>192.27</v>
      </c>
      <c r="M392" s="15">
        <v>149.74</v>
      </c>
      <c r="O392" s="15">
        <f t="shared" si="14"/>
        <v>-1.3826758845058906</v>
      </c>
      <c r="P392" s="15">
        <f t="shared" si="14"/>
        <v>-1.3468809073723942</v>
      </c>
      <c r="Q392" s="15">
        <f t="shared" si="14"/>
        <v>-1.8314961024011311</v>
      </c>
      <c r="R392" s="15">
        <f t="shared" si="13"/>
        <v>0.93973120537589327</v>
      </c>
      <c r="S392" s="15">
        <f t="shared" si="13"/>
        <v>9.3582887700538464E-2</v>
      </c>
    </row>
    <row r="393" spans="1:19" ht="12.75">
      <c r="A393" s="6">
        <v>20200722</v>
      </c>
      <c r="B393" s="5">
        <v>0.49</v>
      </c>
      <c r="C393" s="5">
        <v>-0.64</v>
      </c>
      <c r="D393" s="5">
        <v>-0.36</v>
      </c>
      <c r="E393" s="5">
        <v>0.49</v>
      </c>
      <c r="F393" s="5">
        <v>0</v>
      </c>
      <c r="G393" s="7">
        <v>0</v>
      </c>
      <c r="H393" s="8"/>
      <c r="I393" s="14">
        <v>97.27</v>
      </c>
      <c r="J393" s="15">
        <v>211.75</v>
      </c>
      <c r="K393" s="15">
        <v>3099.91</v>
      </c>
      <c r="L393" s="15">
        <v>192.1</v>
      </c>
      <c r="M393" s="15">
        <v>150.01</v>
      </c>
      <c r="O393" s="15">
        <f t="shared" si="14"/>
        <v>0.27835051546392098</v>
      </c>
      <c r="P393" s="15">
        <f t="shared" si="14"/>
        <v>1.4371257485029876</v>
      </c>
      <c r="Q393" s="15">
        <f t="shared" si="14"/>
        <v>-1.2229589999649515</v>
      </c>
      <c r="R393" s="15">
        <f t="shared" si="13"/>
        <v>-8.8417329796652844E-2</v>
      </c>
      <c r="S393" s="15">
        <f t="shared" si="13"/>
        <v>0.1803125417390028</v>
      </c>
    </row>
    <row r="394" spans="1:19" ht="12.75">
      <c r="A394" s="6">
        <v>20200723</v>
      </c>
      <c r="B394" s="5">
        <v>-1.2</v>
      </c>
      <c r="C394" s="5">
        <v>1.22</v>
      </c>
      <c r="D394" s="5">
        <v>1.96</v>
      </c>
      <c r="E394" s="5">
        <v>-0.2</v>
      </c>
      <c r="F394" s="5">
        <v>0.1</v>
      </c>
      <c r="G394" s="7">
        <v>0</v>
      </c>
      <c r="H394" s="8"/>
      <c r="I394" s="14">
        <v>92.85</v>
      </c>
      <c r="J394" s="15">
        <v>202.54</v>
      </c>
      <c r="K394" s="15">
        <v>2986.55</v>
      </c>
      <c r="L394" s="15">
        <v>193.25</v>
      </c>
      <c r="M394" s="15">
        <v>149.61000000000001</v>
      </c>
      <c r="O394" s="15">
        <f t="shared" si="14"/>
        <v>-4.544052636989826</v>
      </c>
      <c r="P394" s="15">
        <f t="shared" si="14"/>
        <v>-4.3494687131050753</v>
      </c>
      <c r="Q394" s="15">
        <f t="shared" si="14"/>
        <v>-3.6568803610427247</v>
      </c>
      <c r="R394" s="15">
        <f t="shared" si="13"/>
        <v>0.59864653826131597</v>
      </c>
      <c r="S394" s="15">
        <f t="shared" si="13"/>
        <v>-0.26664889007398385</v>
      </c>
    </row>
    <row r="395" spans="1:19" ht="12.75">
      <c r="A395" s="6">
        <v>20200724</v>
      </c>
      <c r="B395" s="5">
        <v>-0.75</v>
      </c>
      <c r="C395" s="5">
        <v>-0.82</v>
      </c>
      <c r="D395" s="5">
        <v>0.45</v>
      </c>
      <c r="E395" s="5">
        <v>0.28000000000000003</v>
      </c>
      <c r="F395" s="5">
        <v>0.03</v>
      </c>
      <c r="G395" s="7">
        <v>0</v>
      </c>
      <c r="H395" s="8"/>
      <c r="I395" s="14">
        <v>92.62</v>
      </c>
      <c r="J395" s="15">
        <v>201.3</v>
      </c>
      <c r="K395" s="15">
        <v>3008.91</v>
      </c>
      <c r="L395" s="15">
        <v>194.52</v>
      </c>
      <c r="M395" s="15">
        <v>148.12</v>
      </c>
      <c r="O395" s="15">
        <f t="shared" si="14"/>
        <v>-0.24771136241248382</v>
      </c>
      <c r="P395" s="15">
        <f t="shared" si="14"/>
        <v>-0.61222474572922847</v>
      </c>
      <c r="Q395" s="15">
        <f t="shared" si="14"/>
        <v>0.74868995998726984</v>
      </c>
      <c r="R395" s="15">
        <f t="shared" si="13"/>
        <v>0.65717981888746557</v>
      </c>
      <c r="S395" s="15">
        <f t="shared" si="13"/>
        <v>-0.99592273243768181</v>
      </c>
    </row>
    <row r="396" spans="1:19" ht="12.75">
      <c r="A396" s="6">
        <v>20200727</v>
      </c>
      <c r="B396" s="5">
        <v>0.88</v>
      </c>
      <c r="C396" s="5">
        <v>0.28999999999999998</v>
      </c>
      <c r="D396" s="5">
        <v>-1.99</v>
      </c>
      <c r="E396" s="5">
        <v>-0.23</v>
      </c>
      <c r="F396" s="5">
        <v>0.09</v>
      </c>
      <c r="G396" s="7">
        <v>0</v>
      </c>
      <c r="H396" s="8"/>
      <c r="I396" s="14">
        <v>94.81</v>
      </c>
      <c r="J396" s="15">
        <v>203.85</v>
      </c>
      <c r="K396" s="15">
        <v>3055.21</v>
      </c>
      <c r="L396" s="15">
        <v>192.14</v>
      </c>
      <c r="M396" s="15">
        <v>147.18</v>
      </c>
      <c r="O396" s="15">
        <f t="shared" si="14"/>
        <v>2.3645001079680483</v>
      </c>
      <c r="P396" s="15">
        <f t="shared" si="14"/>
        <v>1.2667660208643738</v>
      </c>
      <c r="Q396" s="15">
        <f t="shared" si="14"/>
        <v>1.5387632066097057</v>
      </c>
      <c r="R396" s="15">
        <f t="shared" si="13"/>
        <v>-1.2235245733086653</v>
      </c>
      <c r="S396" s="15">
        <f t="shared" si="13"/>
        <v>-0.63462057790980575</v>
      </c>
    </row>
    <row r="397" spans="1:19" ht="12.75">
      <c r="A397" s="6">
        <v>20200728</v>
      </c>
      <c r="B397" s="5">
        <v>-0.81</v>
      </c>
      <c r="C397" s="5">
        <v>-0.46</v>
      </c>
      <c r="D397" s="5">
        <v>1</v>
      </c>
      <c r="E397" s="5">
        <v>0.27</v>
      </c>
      <c r="F397" s="5">
        <v>7.0000000000000007E-2</v>
      </c>
      <c r="G397" s="7">
        <v>0</v>
      </c>
      <c r="H397" s="8"/>
      <c r="I397" s="14">
        <v>93.25</v>
      </c>
      <c r="J397" s="15">
        <v>202.02</v>
      </c>
      <c r="K397" s="15">
        <v>3000.33</v>
      </c>
      <c r="L397" s="15">
        <v>194.12</v>
      </c>
      <c r="M397" s="15">
        <v>146.83000000000001</v>
      </c>
      <c r="O397" s="15">
        <f t="shared" si="14"/>
        <v>-1.6453960552684332</v>
      </c>
      <c r="P397" s="15">
        <f t="shared" si="14"/>
        <v>-0.89771891096394052</v>
      </c>
      <c r="Q397" s="15">
        <f t="shared" si="14"/>
        <v>-1.796275869743813</v>
      </c>
      <c r="R397" s="15">
        <f t="shared" si="13"/>
        <v>1.0304985947746426</v>
      </c>
      <c r="S397" s="15">
        <f t="shared" si="13"/>
        <v>-0.23780404946324163</v>
      </c>
    </row>
    <row r="398" spans="1:19" ht="12.75">
      <c r="A398" s="6">
        <v>20200729</v>
      </c>
      <c r="B398" s="5">
        <v>1.35</v>
      </c>
      <c r="C398" s="5">
        <v>0.65</v>
      </c>
      <c r="D398" s="5">
        <v>0.89</v>
      </c>
      <c r="E398" s="5">
        <v>0.23</v>
      </c>
      <c r="F398" s="5">
        <v>0.16</v>
      </c>
      <c r="G398" s="7">
        <v>0</v>
      </c>
      <c r="H398" s="8"/>
      <c r="I398" s="14">
        <v>95.04</v>
      </c>
      <c r="J398" s="15">
        <v>204.06</v>
      </c>
      <c r="K398" s="15">
        <v>3033.53</v>
      </c>
      <c r="L398" s="15">
        <v>196.41</v>
      </c>
      <c r="M398" s="15">
        <v>146.54</v>
      </c>
      <c r="O398" s="15">
        <f t="shared" si="14"/>
        <v>1.919571045576407</v>
      </c>
      <c r="P398" s="15">
        <f t="shared" si="14"/>
        <v>1.0098010098010146</v>
      </c>
      <c r="Q398" s="15">
        <f t="shared" si="14"/>
        <v>1.1065449467225319</v>
      </c>
      <c r="R398" s="15">
        <f t="shared" si="13"/>
        <v>1.1796826705130714</v>
      </c>
      <c r="S398" s="15">
        <f t="shared" si="13"/>
        <v>-0.19750732139209859</v>
      </c>
    </row>
    <row r="399" spans="1:19" ht="12.75">
      <c r="A399" s="6">
        <v>20200730</v>
      </c>
      <c r="B399" s="5">
        <v>-0.28999999999999998</v>
      </c>
      <c r="C399" s="5">
        <v>0.01</v>
      </c>
      <c r="D399" s="5">
        <v>-1.86</v>
      </c>
      <c r="E399" s="5">
        <v>-0.53</v>
      </c>
      <c r="F399" s="5">
        <v>-0.15</v>
      </c>
      <c r="G399" s="7">
        <v>0</v>
      </c>
      <c r="H399" s="8"/>
      <c r="I399" s="14">
        <v>96.19</v>
      </c>
      <c r="J399" s="15">
        <v>203.9</v>
      </c>
      <c r="K399" s="15">
        <v>3051.88</v>
      </c>
      <c r="L399" s="15">
        <v>194.3</v>
      </c>
      <c r="M399" s="15">
        <v>146.84</v>
      </c>
      <c r="O399" s="15">
        <f t="shared" si="14"/>
        <v>1.210016835016825</v>
      </c>
      <c r="P399" s="15">
        <f t="shared" si="14"/>
        <v>-7.8408311280997456E-2</v>
      </c>
      <c r="Q399" s="15">
        <f t="shared" si="14"/>
        <v>0.60490583577548218</v>
      </c>
      <c r="R399" s="15">
        <f t="shared" si="13"/>
        <v>-1.0742833867929291</v>
      </c>
      <c r="S399" s="15">
        <f t="shared" si="13"/>
        <v>0.2047222601337495</v>
      </c>
    </row>
    <row r="400" spans="1:19" ht="12.75">
      <c r="A400" s="6">
        <v>20200731</v>
      </c>
      <c r="B400" s="5">
        <v>0.61</v>
      </c>
      <c r="C400" s="5">
        <v>-1.82</v>
      </c>
      <c r="D400" s="5">
        <v>-0.67</v>
      </c>
      <c r="E400" s="5">
        <v>0.75</v>
      </c>
      <c r="F400" s="5">
        <v>0.69</v>
      </c>
      <c r="G400" s="7">
        <v>0</v>
      </c>
      <c r="H400" s="8"/>
      <c r="I400" s="14">
        <v>106.26</v>
      </c>
      <c r="J400" s="15">
        <v>205.01</v>
      </c>
      <c r="K400" s="15">
        <v>3164.68</v>
      </c>
      <c r="L400" s="15">
        <v>195.78</v>
      </c>
      <c r="M400" s="15">
        <v>145.76</v>
      </c>
      <c r="O400" s="15">
        <f t="shared" si="14"/>
        <v>10.46886370724609</v>
      </c>
      <c r="P400" s="15">
        <f t="shared" si="14"/>
        <v>0.54438450220695156</v>
      </c>
      <c r="Q400" s="15">
        <f t="shared" si="14"/>
        <v>3.696082414773838</v>
      </c>
      <c r="R400" s="15">
        <f t="shared" si="13"/>
        <v>0.76170869788985129</v>
      </c>
      <c r="S400" s="15">
        <f t="shared" si="13"/>
        <v>-0.73549441569055185</v>
      </c>
    </row>
    <row r="401" spans="1:19" ht="12.75">
      <c r="A401" s="6">
        <v>20200803</v>
      </c>
      <c r="B401" s="5">
        <v>0.98</v>
      </c>
      <c r="C401" s="5">
        <v>1.08</v>
      </c>
      <c r="D401" s="5">
        <v>-0.83</v>
      </c>
      <c r="E401" s="5">
        <v>-0.23</v>
      </c>
      <c r="F401" s="5">
        <v>0.41</v>
      </c>
      <c r="G401" s="7">
        <v>0</v>
      </c>
      <c r="H401" s="8"/>
      <c r="I401" s="14">
        <v>108.94</v>
      </c>
      <c r="J401" s="15">
        <v>216.54</v>
      </c>
      <c r="K401" s="15">
        <v>3111.89</v>
      </c>
      <c r="L401" s="15">
        <v>199.26</v>
      </c>
      <c r="M401" s="15">
        <v>147.35</v>
      </c>
      <c r="O401" s="15">
        <f t="shared" si="14"/>
        <v>2.5221155655938299</v>
      </c>
      <c r="P401" s="15">
        <f t="shared" si="14"/>
        <v>5.6241158967855309</v>
      </c>
      <c r="Q401" s="15">
        <f t="shared" si="14"/>
        <v>-1.6680991443052684</v>
      </c>
      <c r="R401" s="15">
        <f t="shared" si="13"/>
        <v>1.7775053631627236</v>
      </c>
      <c r="S401" s="15">
        <f t="shared" si="13"/>
        <v>1.0908342480790312</v>
      </c>
    </row>
    <row r="402" spans="1:19" ht="12.75">
      <c r="A402" s="6">
        <v>20200804</v>
      </c>
      <c r="B402" s="5">
        <v>0.37</v>
      </c>
      <c r="C402" s="5">
        <v>0.44</v>
      </c>
      <c r="D402" s="5">
        <v>0.05</v>
      </c>
      <c r="E402" s="5">
        <v>0.12</v>
      </c>
      <c r="F402" s="5">
        <v>0.11</v>
      </c>
      <c r="G402" s="7">
        <v>0</v>
      </c>
      <c r="H402" s="8"/>
      <c r="I402" s="14">
        <v>109.67</v>
      </c>
      <c r="J402" s="15">
        <v>213.29</v>
      </c>
      <c r="K402" s="15">
        <v>3138.83</v>
      </c>
      <c r="L402" s="15">
        <v>200.24</v>
      </c>
      <c r="M402" s="15">
        <v>147.22</v>
      </c>
      <c r="O402" s="15">
        <f t="shared" si="14"/>
        <v>0.67009362952084039</v>
      </c>
      <c r="P402" s="15">
        <f t="shared" si="14"/>
        <v>-1.5008774360395272</v>
      </c>
      <c r="Q402" s="15">
        <f t="shared" si="14"/>
        <v>0.86571183428720833</v>
      </c>
      <c r="R402" s="15">
        <f t="shared" si="13"/>
        <v>0.49181973301215542</v>
      </c>
      <c r="S402" s="15">
        <f t="shared" si="13"/>
        <v>-8.8225313878520506E-2</v>
      </c>
    </row>
    <row r="403" spans="1:19" ht="12.75">
      <c r="A403" s="6">
        <v>20200805</v>
      </c>
      <c r="B403" s="5">
        <v>0.78</v>
      </c>
      <c r="C403" s="5">
        <v>1.25</v>
      </c>
      <c r="D403" s="5">
        <v>0.86</v>
      </c>
      <c r="E403" s="5">
        <v>0.16</v>
      </c>
      <c r="F403" s="5">
        <v>-0.09</v>
      </c>
      <c r="G403" s="7">
        <v>0</v>
      </c>
      <c r="H403" s="8"/>
      <c r="I403" s="14">
        <v>110.06</v>
      </c>
      <c r="J403" s="15">
        <v>212.94</v>
      </c>
      <c r="K403" s="15">
        <v>3205.03</v>
      </c>
      <c r="L403" s="15">
        <v>203.62</v>
      </c>
      <c r="M403" s="15">
        <v>148.4</v>
      </c>
      <c r="O403" s="15">
        <f t="shared" si="14"/>
        <v>0.35561229141971573</v>
      </c>
      <c r="P403" s="15">
        <f t="shared" si="14"/>
        <v>-0.16409583196586031</v>
      </c>
      <c r="Q403" s="15">
        <f t="shared" si="14"/>
        <v>2.1090661169926417</v>
      </c>
      <c r="R403" s="15">
        <f t="shared" si="13"/>
        <v>1.6879744306831812</v>
      </c>
      <c r="S403" s="15">
        <f t="shared" si="13"/>
        <v>0.8015215324004954</v>
      </c>
    </row>
    <row r="404" spans="1:19" ht="12.75">
      <c r="A404" s="6">
        <v>20200806</v>
      </c>
      <c r="B404" s="5">
        <v>0.53</v>
      </c>
      <c r="C404" s="5">
        <v>-0.6</v>
      </c>
      <c r="D404" s="5">
        <v>-0.82</v>
      </c>
      <c r="E404" s="5">
        <v>0.59</v>
      </c>
      <c r="F404" s="5">
        <v>7.0000000000000007E-2</v>
      </c>
      <c r="G404" s="7">
        <v>0</v>
      </c>
      <c r="H404" s="8"/>
      <c r="I404" s="14">
        <v>113.9</v>
      </c>
      <c r="J404" s="15">
        <v>216.35</v>
      </c>
      <c r="K404" s="15">
        <v>3225</v>
      </c>
      <c r="L404" s="15">
        <v>205.02</v>
      </c>
      <c r="M404" s="15">
        <v>147.55000000000001</v>
      </c>
      <c r="O404" s="15">
        <f t="shared" si="14"/>
        <v>3.4890059967290554</v>
      </c>
      <c r="P404" s="15">
        <f t="shared" si="14"/>
        <v>1.6013900629285205</v>
      </c>
      <c r="Q404" s="15">
        <f t="shared" si="14"/>
        <v>0.623083091265908</v>
      </c>
      <c r="R404" s="15">
        <f t="shared" si="13"/>
        <v>0.68755524997545781</v>
      </c>
      <c r="S404" s="15">
        <f t="shared" si="13"/>
        <v>-0.5727762803234504</v>
      </c>
    </row>
    <row r="405" spans="1:19" ht="12.75">
      <c r="A405" s="6">
        <v>20200807</v>
      </c>
      <c r="B405" s="5">
        <v>0.02</v>
      </c>
      <c r="C405" s="5">
        <v>1.58</v>
      </c>
      <c r="D405" s="5">
        <v>2.37</v>
      </c>
      <c r="E405" s="5">
        <v>0.5</v>
      </c>
      <c r="F405" s="5">
        <v>0.11</v>
      </c>
      <c r="G405" s="7">
        <v>0</v>
      </c>
      <c r="H405" s="8"/>
      <c r="I405" s="14">
        <v>111.11</v>
      </c>
      <c r="J405" s="15">
        <v>212.48</v>
      </c>
      <c r="K405" s="15">
        <v>3167.46</v>
      </c>
      <c r="L405" s="15">
        <v>209.48</v>
      </c>
      <c r="M405" s="15">
        <v>148.6</v>
      </c>
      <c r="O405" s="15">
        <f t="shared" si="14"/>
        <v>-2.4495171202809529</v>
      </c>
      <c r="P405" s="15">
        <f t="shared" si="14"/>
        <v>-1.7887681996764493</v>
      </c>
      <c r="Q405" s="15">
        <f t="shared" si="14"/>
        <v>-1.7841860465116266</v>
      </c>
      <c r="R405" s="15">
        <f t="shared" si="13"/>
        <v>2.1753975221929567</v>
      </c>
      <c r="S405" s="15">
        <f t="shared" si="13"/>
        <v>0.71162317858350921</v>
      </c>
    </row>
    <row r="406" spans="1:19" ht="12.75">
      <c r="A406" s="6">
        <v>20200810</v>
      </c>
      <c r="B406" s="5">
        <v>0.24</v>
      </c>
      <c r="C406" s="5">
        <v>1.32</v>
      </c>
      <c r="D406" s="5">
        <v>1.73</v>
      </c>
      <c r="E406" s="5">
        <v>0.85</v>
      </c>
      <c r="F406" s="5">
        <v>1.31</v>
      </c>
      <c r="G406" s="7">
        <v>0</v>
      </c>
      <c r="H406" s="8"/>
      <c r="I406" s="14">
        <v>112.73</v>
      </c>
      <c r="J406" s="15">
        <v>208.25</v>
      </c>
      <c r="K406" s="15">
        <v>3148.16</v>
      </c>
      <c r="L406" s="15">
        <v>212.58</v>
      </c>
      <c r="M406" s="15">
        <v>148.03</v>
      </c>
      <c r="O406" s="15">
        <f t="shared" si="14"/>
        <v>1.4580145801458055</v>
      </c>
      <c r="P406" s="15">
        <f t="shared" si="14"/>
        <v>-1.9907756024096335</v>
      </c>
      <c r="Q406" s="15">
        <f t="shared" si="14"/>
        <v>-0.60932103325693765</v>
      </c>
      <c r="R406" s="15">
        <f t="shared" si="13"/>
        <v>1.4798548787473775</v>
      </c>
      <c r="S406" s="15">
        <f t="shared" si="13"/>
        <v>-0.3835800807536982</v>
      </c>
    </row>
    <row r="407" spans="1:19" ht="12.75">
      <c r="A407" s="6">
        <v>20200811</v>
      </c>
      <c r="B407" s="5">
        <v>-0.83</v>
      </c>
      <c r="C407" s="5">
        <v>0.2</v>
      </c>
      <c r="D407" s="5">
        <v>1.63</v>
      </c>
      <c r="E407" s="5">
        <v>0.9</v>
      </c>
      <c r="F407" s="5">
        <v>0.02</v>
      </c>
      <c r="G407" s="7">
        <v>0</v>
      </c>
      <c r="H407" s="8"/>
      <c r="I407" s="14">
        <v>109.38</v>
      </c>
      <c r="J407" s="15">
        <v>203.38</v>
      </c>
      <c r="K407" s="15">
        <v>3080.67</v>
      </c>
      <c r="L407" s="15">
        <v>212.66</v>
      </c>
      <c r="M407" s="15">
        <v>146.97</v>
      </c>
      <c r="O407" s="15">
        <f t="shared" si="14"/>
        <v>-2.9717022975250695</v>
      </c>
      <c r="P407" s="15">
        <f t="shared" si="14"/>
        <v>-2.3385354141656656</v>
      </c>
      <c r="Q407" s="15">
        <f t="shared" si="14"/>
        <v>-2.1437919292539021</v>
      </c>
      <c r="R407" s="15">
        <f t="shared" si="13"/>
        <v>3.7632891146843761E-2</v>
      </c>
      <c r="S407" s="15">
        <f t="shared" si="13"/>
        <v>-0.716071066675672</v>
      </c>
    </row>
    <row r="408" spans="1:19" ht="12.75">
      <c r="A408" s="6">
        <v>20200812</v>
      </c>
      <c r="B408" s="5">
        <v>1.4</v>
      </c>
      <c r="C408" s="5">
        <v>-0.84</v>
      </c>
      <c r="D408" s="5">
        <v>-1.34</v>
      </c>
      <c r="E408" s="5">
        <v>0.92</v>
      </c>
      <c r="F408" s="5">
        <v>-0.16</v>
      </c>
      <c r="G408" s="7">
        <v>0</v>
      </c>
      <c r="H408" s="8"/>
      <c r="I408" s="14">
        <v>113.01</v>
      </c>
      <c r="J408" s="15">
        <v>209.19</v>
      </c>
      <c r="K408" s="15">
        <v>3162.24</v>
      </c>
      <c r="L408" s="15">
        <v>213.24</v>
      </c>
      <c r="M408" s="15">
        <v>149.66</v>
      </c>
      <c r="O408" s="15">
        <f t="shared" si="14"/>
        <v>3.3187054306089037</v>
      </c>
      <c r="P408" s="15">
        <f t="shared" si="14"/>
        <v>2.8567214082013903</v>
      </c>
      <c r="Q408" s="15">
        <f t="shared" si="14"/>
        <v>2.6478006407697041</v>
      </c>
      <c r="R408" s="15">
        <f t="shared" si="13"/>
        <v>0.27273582243958483</v>
      </c>
      <c r="S408" s="15">
        <f t="shared" si="13"/>
        <v>1.8303055045247207</v>
      </c>
    </row>
    <row r="409" spans="1:19" ht="12.75">
      <c r="A409" s="6">
        <v>20200813</v>
      </c>
      <c r="B409" s="5">
        <v>-0.01</v>
      </c>
      <c r="C409" s="5">
        <v>-0.13</v>
      </c>
      <c r="D409" s="5">
        <v>-1.33</v>
      </c>
      <c r="E409" s="5">
        <v>-0.63</v>
      </c>
      <c r="F409" s="5">
        <v>-0.51</v>
      </c>
      <c r="G409" s="7">
        <v>0</v>
      </c>
      <c r="H409" s="8"/>
      <c r="I409" s="14">
        <v>115.01</v>
      </c>
      <c r="J409" s="15">
        <v>208.7</v>
      </c>
      <c r="K409" s="15">
        <v>3161.02</v>
      </c>
      <c r="L409" s="15">
        <v>211.98</v>
      </c>
      <c r="M409" s="15">
        <v>148</v>
      </c>
      <c r="O409" s="15">
        <f t="shared" si="14"/>
        <v>1.7697548889478831</v>
      </c>
      <c r="P409" s="15">
        <f t="shared" si="14"/>
        <v>-0.23423681820354814</v>
      </c>
      <c r="Q409" s="15">
        <f t="shared" si="14"/>
        <v>-3.8580246913577643E-2</v>
      </c>
      <c r="R409" s="15">
        <f t="shared" si="13"/>
        <v>-0.59088351153631091</v>
      </c>
      <c r="S409" s="15">
        <f t="shared" si="13"/>
        <v>-1.1091808098356304</v>
      </c>
    </row>
    <row r="410" spans="1:19" ht="12.75">
      <c r="A410" s="6">
        <v>20200814</v>
      </c>
      <c r="B410" s="5">
        <v>-0.04</v>
      </c>
      <c r="C410" s="5">
        <v>0.06</v>
      </c>
      <c r="D410" s="5">
        <v>1.08</v>
      </c>
      <c r="E410" s="5">
        <v>0.43</v>
      </c>
      <c r="F410" s="5">
        <v>0.2</v>
      </c>
      <c r="G410" s="7">
        <v>0</v>
      </c>
      <c r="H410" s="8"/>
      <c r="I410" s="14">
        <v>114.91</v>
      </c>
      <c r="J410" s="15">
        <v>208.9</v>
      </c>
      <c r="K410" s="15">
        <v>3148.02</v>
      </c>
      <c r="L410" s="15">
        <v>210.96</v>
      </c>
      <c r="M410" s="15">
        <v>148.24</v>
      </c>
      <c r="O410" s="15">
        <f t="shared" si="14"/>
        <v>-8.6948960959920552E-2</v>
      </c>
      <c r="P410" s="15">
        <f t="shared" si="14"/>
        <v>9.5831336847163051E-2</v>
      </c>
      <c r="Q410" s="15">
        <f t="shared" si="14"/>
        <v>-0.41125965669309705</v>
      </c>
      <c r="R410" s="15">
        <f t="shared" si="13"/>
        <v>-0.48117746957259122</v>
      </c>
      <c r="S410" s="15">
        <f t="shared" si="13"/>
        <v>0.16216216216216051</v>
      </c>
    </row>
    <row r="411" spans="1:19" ht="12.75">
      <c r="A411" s="6">
        <v>20200817</v>
      </c>
      <c r="B411" s="5">
        <v>0.45</v>
      </c>
      <c r="C411" s="5">
        <v>0.04</v>
      </c>
      <c r="D411" s="5">
        <v>-1.93</v>
      </c>
      <c r="E411" s="5">
        <v>-0.79</v>
      </c>
      <c r="F411" s="5">
        <v>-0.48</v>
      </c>
      <c r="G411" s="7">
        <v>0</v>
      </c>
      <c r="H411" s="8"/>
      <c r="I411" s="14">
        <v>114.61</v>
      </c>
      <c r="J411" s="15">
        <v>210.28</v>
      </c>
      <c r="K411" s="15">
        <v>3182.41</v>
      </c>
      <c r="L411" s="15">
        <v>206.78</v>
      </c>
      <c r="M411" s="15">
        <v>148.99</v>
      </c>
      <c r="O411" s="15">
        <f t="shared" si="14"/>
        <v>-0.26107388390914643</v>
      </c>
      <c r="P411" s="15">
        <f t="shared" si="14"/>
        <v>0.66060315940641434</v>
      </c>
      <c r="Q411" s="15">
        <f t="shared" si="14"/>
        <v>1.0924327037312276</v>
      </c>
      <c r="R411" s="15">
        <f t="shared" si="13"/>
        <v>-1.9814182783466139</v>
      </c>
      <c r="S411" s="15">
        <f t="shared" si="13"/>
        <v>0.50593631948192552</v>
      </c>
    </row>
    <row r="412" spans="1:19" ht="12.75">
      <c r="A412" s="6">
        <v>20200818</v>
      </c>
      <c r="B412" s="5">
        <v>0.22</v>
      </c>
      <c r="C412" s="5">
        <v>-1.32</v>
      </c>
      <c r="D412" s="5">
        <v>-1.41</v>
      </c>
      <c r="E412" s="5">
        <v>0.02</v>
      </c>
      <c r="F412" s="5">
        <v>-0.53</v>
      </c>
      <c r="G412" s="7">
        <v>0</v>
      </c>
      <c r="H412" s="8"/>
      <c r="I412" s="14">
        <v>115.56</v>
      </c>
      <c r="J412" s="15">
        <v>211.49</v>
      </c>
      <c r="K412" s="15">
        <v>3312.49</v>
      </c>
      <c r="L412" s="15">
        <v>208.33</v>
      </c>
      <c r="M412" s="15">
        <v>150.09</v>
      </c>
      <c r="O412" s="15">
        <f t="shared" si="14"/>
        <v>0.82889800191956464</v>
      </c>
      <c r="P412" s="15">
        <f t="shared" si="14"/>
        <v>0.57542324519688215</v>
      </c>
      <c r="Q412" s="15">
        <f t="shared" si="14"/>
        <v>4.0874683023243374</v>
      </c>
      <c r="R412" s="15">
        <f t="shared" si="13"/>
        <v>0.74958893510010949</v>
      </c>
      <c r="S412" s="15">
        <f t="shared" si="13"/>
        <v>0.73830458420027778</v>
      </c>
    </row>
    <row r="413" spans="1:19" ht="12.75">
      <c r="A413" s="6">
        <v>20200819</v>
      </c>
      <c r="B413" s="5">
        <v>-0.38</v>
      </c>
      <c r="C413" s="5">
        <v>0.48</v>
      </c>
      <c r="D413" s="5">
        <v>0.08</v>
      </c>
      <c r="E413" s="5">
        <v>-0.03</v>
      </c>
      <c r="F413" s="5">
        <v>-0.11</v>
      </c>
      <c r="G413" s="7">
        <v>0</v>
      </c>
      <c r="H413" s="8"/>
      <c r="I413" s="14">
        <v>115.71</v>
      </c>
      <c r="J413" s="15">
        <v>209.7</v>
      </c>
      <c r="K413" s="15">
        <v>3260.48</v>
      </c>
      <c r="L413" s="15">
        <v>207.21</v>
      </c>
      <c r="M413" s="15">
        <v>150.38999999999999</v>
      </c>
      <c r="O413" s="15">
        <f t="shared" si="14"/>
        <v>0.12980269989615323</v>
      </c>
      <c r="P413" s="15">
        <f t="shared" si="14"/>
        <v>-0.84637571516384957</v>
      </c>
      <c r="Q413" s="15">
        <f t="shared" si="14"/>
        <v>-1.5701179475258731</v>
      </c>
      <c r="R413" s="15">
        <f t="shared" si="13"/>
        <v>-0.53760860173762692</v>
      </c>
      <c r="S413" s="15">
        <f t="shared" si="13"/>
        <v>0.19988007195681501</v>
      </c>
    </row>
    <row r="414" spans="1:19" ht="12.75">
      <c r="A414" s="6">
        <v>20200820</v>
      </c>
      <c r="B414" s="5">
        <v>0.31</v>
      </c>
      <c r="C414" s="5">
        <v>-0.96</v>
      </c>
      <c r="D414" s="5">
        <v>-1.54</v>
      </c>
      <c r="E414" s="5">
        <v>0.09</v>
      </c>
      <c r="F414" s="5">
        <v>-0.45</v>
      </c>
      <c r="G414" s="7">
        <v>0</v>
      </c>
      <c r="H414" s="8"/>
      <c r="I414" s="14">
        <v>118.28</v>
      </c>
      <c r="J414" s="15">
        <v>214.58</v>
      </c>
      <c r="K414" s="15">
        <v>3297.37</v>
      </c>
      <c r="L414" s="15">
        <v>206.12</v>
      </c>
      <c r="M414" s="15">
        <v>151.41999999999999</v>
      </c>
      <c r="O414" s="15">
        <f t="shared" si="14"/>
        <v>2.2210699161697489</v>
      </c>
      <c r="P414" s="15">
        <f t="shared" si="14"/>
        <v>2.3271340009537456</v>
      </c>
      <c r="Q414" s="15">
        <f t="shared" si="14"/>
        <v>1.1314285013249492</v>
      </c>
      <c r="R414" s="15">
        <f t="shared" si="13"/>
        <v>-0.52603638820520882</v>
      </c>
      <c r="S414" s="15">
        <f t="shared" si="13"/>
        <v>0.68488596316245154</v>
      </c>
    </row>
    <row r="415" spans="1:19" ht="12.75">
      <c r="A415" s="6">
        <v>20200821</v>
      </c>
      <c r="B415" s="5">
        <v>0.25</v>
      </c>
      <c r="C415" s="5">
        <v>-1.25</v>
      </c>
      <c r="D415" s="5">
        <v>-0.43</v>
      </c>
      <c r="E415" s="5">
        <v>0.6</v>
      </c>
      <c r="F415" s="5">
        <v>0.71</v>
      </c>
      <c r="G415" s="7">
        <v>0</v>
      </c>
      <c r="H415" s="8"/>
      <c r="I415" s="14">
        <v>124.37</v>
      </c>
      <c r="J415" s="15">
        <v>213.02</v>
      </c>
      <c r="K415" s="15">
        <v>3284.72</v>
      </c>
      <c r="L415" s="15">
        <v>207.43</v>
      </c>
      <c r="M415" s="15">
        <v>152.76</v>
      </c>
      <c r="O415" s="15">
        <f t="shared" si="14"/>
        <v>5.1487994589110686</v>
      </c>
      <c r="P415" s="15">
        <f t="shared" si="14"/>
        <v>-0.72700158449063856</v>
      </c>
      <c r="Q415" s="15">
        <f t="shared" si="14"/>
        <v>-0.38363908205630848</v>
      </c>
      <c r="R415" s="15">
        <f t="shared" si="13"/>
        <v>0.63555210556958119</v>
      </c>
      <c r="S415" s="15">
        <f t="shared" si="13"/>
        <v>0.88495575221239076</v>
      </c>
    </row>
    <row r="416" spans="1:19" ht="12.75">
      <c r="A416" s="6">
        <v>20200824</v>
      </c>
      <c r="B416" s="5">
        <v>0.92</v>
      </c>
      <c r="C416" s="5">
        <v>0.22</v>
      </c>
      <c r="D416" s="5">
        <v>2.59</v>
      </c>
      <c r="E416" s="5">
        <v>1.1000000000000001</v>
      </c>
      <c r="F416" s="5">
        <v>0.56999999999999995</v>
      </c>
      <c r="G416" s="7">
        <v>0</v>
      </c>
      <c r="H416" s="8"/>
      <c r="I416" s="14">
        <v>125.86</v>
      </c>
      <c r="J416" s="15">
        <v>213.69</v>
      </c>
      <c r="K416" s="15">
        <v>3307.46</v>
      </c>
      <c r="L416" s="15">
        <v>212.61</v>
      </c>
      <c r="M416" s="15">
        <v>152.15</v>
      </c>
      <c r="O416" s="15">
        <f t="shared" si="14"/>
        <v>1.1980381120848982</v>
      </c>
      <c r="P416" s="15">
        <f t="shared" si="14"/>
        <v>0.31452445779738269</v>
      </c>
      <c r="Q416" s="15">
        <f t="shared" si="14"/>
        <v>0.69229645144792684</v>
      </c>
      <c r="R416" s="15">
        <f t="shared" si="13"/>
        <v>2.4972279805235642</v>
      </c>
      <c r="S416" s="15">
        <f t="shared" si="13"/>
        <v>-0.39931919350614242</v>
      </c>
    </row>
    <row r="417" spans="1:19" ht="12.75">
      <c r="A417" s="6">
        <v>20200825</v>
      </c>
      <c r="B417" s="5">
        <v>0.36</v>
      </c>
      <c r="C417" s="5">
        <v>-0.01</v>
      </c>
      <c r="D417" s="5">
        <v>-0.65</v>
      </c>
      <c r="E417" s="5">
        <v>-0.46</v>
      </c>
      <c r="F417" s="5">
        <v>-0.69</v>
      </c>
      <c r="G417" s="7">
        <v>0</v>
      </c>
      <c r="H417" s="8"/>
      <c r="I417" s="14">
        <v>124.83</v>
      </c>
      <c r="J417" s="15">
        <v>216.47</v>
      </c>
      <c r="K417" s="15">
        <v>3346.49</v>
      </c>
      <c r="L417" s="15">
        <v>213.35</v>
      </c>
      <c r="M417" s="15">
        <v>152.06</v>
      </c>
      <c r="O417" s="15">
        <f t="shared" si="14"/>
        <v>-0.8183696170347976</v>
      </c>
      <c r="P417" s="15">
        <f t="shared" si="14"/>
        <v>1.3009499742617781</v>
      </c>
      <c r="Q417" s="15">
        <f t="shared" si="14"/>
        <v>1.1800596227921067</v>
      </c>
      <c r="R417" s="15">
        <f t="shared" si="13"/>
        <v>0.34805512440618802</v>
      </c>
      <c r="S417" s="15">
        <f t="shared" si="13"/>
        <v>-5.9152152481101172E-2</v>
      </c>
    </row>
    <row r="418" spans="1:19" ht="12.75">
      <c r="A418" s="6">
        <v>20200826</v>
      </c>
      <c r="B418" s="5">
        <v>1</v>
      </c>
      <c r="C418" s="5">
        <v>-1.72</v>
      </c>
      <c r="D418" s="5">
        <v>-1.76</v>
      </c>
      <c r="E418" s="5">
        <v>-0.14000000000000001</v>
      </c>
      <c r="F418" s="5">
        <v>-0.87</v>
      </c>
      <c r="G418" s="7">
        <v>0</v>
      </c>
      <c r="H418" s="8"/>
      <c r="I418" s="14">
        <v>126.52</v>
      </c>
      <c r="J418" s="15">
        <v>221.15</v>
      </c>
      <c r="K418" s="15">
        <v>3441.85</v>
      </c>
      <c r="L418" s="15">
        <v>214.66</v>
      </c>
      <c r="M418" s="15">
        <v>152.30000000000001</v>
      </c>
      <c r="O418" s="15">
        <f t="shared" si="14"/>
        <v>1.3538412240647224</v>
      </c>
      <c r="P418" s="15">
        <f t="shared" si="14"/>
        <v>2.1619623966369517</v>
      </c>
      <c r="Q418" s="15">
        <f t="shared" si="14"/>
        <v>2.849552815039047</v>
      </c>
      <c r="R418" s="15">
        <f t="shared" si="13"/>
        <v>0.61401453011482587</v>
      </c>
      <c r="S418" s="15">
        <f t="shared" si="13"/>
        <v>0.15783243456530816</v>
      </c>
    </row>
    <row r="419" spans="1:19" ht="12.75">
      <c r="A419" s="6">
        <v>20200827</v>
      </c>
      <c r="B419" s="5">
        <v>0.18</v>
      </c>
      <c r="C419" s="5">
        <v>0</v>
      </c>
      <c r="D419" s="5">
        <v>0.98</v>
      </c>
      <c r="E419" s="5">
        <v>0.56999999999999995</v>
      </c>
      <c r="F419" s="5">
        <v>-0.51</v>
      </c>
      <c r="G419" s="7">
        <v>0</v>
      </c>
      <c r="H419" s="8"/>
      <c r="I419" s="14">
        <v>125.01</v>
      </c>
      <c r="J419" s="15">
        <v>226.58</v>
      </c>
      <c r="K419" s="15">
        <v>3400</v>
      </c>
      <c r="L419" s="15">
        <v>216.87</v>
      </c>
      <c r="M419" s="15">
        <v>152.97999999999999</v>
      </c>
      <c r="O419" s="15">
        <f t="shared" si="14"/>
        <v>-1.1934871957002824</v>
      </c>
      <c r="P419" s="15">
        <f t="shared" si="14"/>
        <v>2.4553470495139118</v>
      </c>
      <c r="Q419" s="15">
        <f t="shared" si="14"/>
        <v>-1.2159158592036201</v>
      </c>
      <c r="R419" s="15">
        <f t="shared" si="13"/>
        <v>1.0295350787291602</v>
      </c>
      <c r="S419" s="15">
        <f t="shared" si="13"/>
        <v>0.44648719632303102</v>
      </c>
    </row>
    <row r="420" spans="1:19" ht="12.75">
      <c r="A420" s="6">
        <v>20200828</v>
      </c>
      <c r="B420" s="5">
        <v>0.7</v>
      </c>
      <c r="C420" s="5">
        <v>0.37</v>
      </c>
      <c r="D420" s="5">
        <v>-0.22</v>
      </c>
      <c r="E420" s="5">
        <v>0.14000000000000001</v>
      </c>
      <c r="F420" s="5">
        <v>-7.0000000000000007E-2</v>
      </c>
      <c r="G420" s="7">
        <v>0</v>
      </c>
      <c r="H420" s="8"/>
      <c r="I420" s="14">
        <v>124.81</v>
      </c>
      <c r="J420" s="15">
        <v>228.91</v>
      </c>
      <c r="K420" s="15">
        <v>3401.8</v>
      </c>
      <c r="L420" s="15">
        <v>218.55</v>
      </c>
      <c r="M420" s="15">
        <v>153.63999999999999</v>
      </c>
      <c r="O420" s="15">
        <f t="shared" si="14"/>
        <v>-0.15998720102392561</v>
      </c>
      <c r="P420" s="15">
        <f t="shared" si="14"/>
        <v>1.0283343631388497</v>
      </c>
      <c r="Q420" s="15">
        <f t="shared" si="14"/>
        <v>5.2941176470588935E-2</v>
      </c>
      <c r="R420" s="15">
        <f t="shared" si="13"/>
        <v>0.77465762899433521</v>
      </c>
      <c r="S420" s="15">
        <f t="shared" si="13"/>
        <v>0.43142894496013273</v>
      </c>
    </row>
    <row r="421" spans="1:19" ht="12.75">
      <c r="A421" s="6">
        <v>20200831</v>
      </c>
      <c r="B421" s="5">
        <v>-0.04</v>
      </c>
      <c r="C421" s="5">
        <v>-0.95</v>
      </c>
      <c r="D421" s="5">
        <v>-1.75</v>
      </c>
      <c r="E421" s="5">
        <v>-0.69</v>
      </c>
      <c r="F421" s="5">
        <v>-0.11</v>
      </c>
      <c r="G421" s="7">
        <v>0</v>
      </c>
      <c r="H421" s="8"/>
      <c r="I421" s="14">
        <v>129.04</v>
      </c>
      <c r="J421" s="15">
        <v>225.53</v>
      </c>
      <c r="K421" s="15">
        <v>3450.96</v>
      </c>
      <c r="L421" s="15">
        <v>218.04</v>
      </c>
      <c r="M421" s="15">
        <v>153.41</v>
      </c>
      <c r="O421" s="15">
        <f t="shared" si="14"/>
        <v>3.3891515102956404</v>
      </c>
      <c r="P421" s="15">
        <f t="shared" si="14"/>
        <v>-1.4765628412913401</v>
      </c>
      <c r="Q421" s="15">
        <f t="shared" si="14"/>
        <v>1.4451172908460208</v>
      </c>
      <c r="R421" s="15">
        <f t="shared" si="13"/>
        <v>-0.23335621139328744</v>
      </c>
      <c r="S421" s="15">
        <f t="shared" si="13"/>
        <v>-0.14970059880239361</v>
      </c>
    </row>
    <row r="422" spans="1:19" ht="12.75">
      <c r="A422" s="6">
        <v>20200901</v>
      </c>
      <c r="B422" s="5">
        <v>0.92</v>
      </c>
      <c r="C422" s="5">
        <v>0.2</v>
      </c>
      <c r="D422" s="5">
        <v>-0.31</v>
      </c>
      <c r="E422" s="5">
        <v>0.6</v>
      </c>
      <c r="F422" s="5">
        <v>0.12</v>
      </c>
      <c r="G422" s="7">
        <v>0</v>
      </c>
      <c r="H422" s="8"/>
      <c r="I422" s="14">
        <v>134.18</v>
      </c>
      <c r="J422" s="15">
        <v>227.27</v>
      </c>
      <c r="K422" s="15">
        <v>3499.12</v>
      </c>
      <c r="L422" s="15">
        <v>218.55</v>
      </c>
      <c r="M422" s="15">
        <v>151.52000000000001</v>
      </c>
      <c r="O422" s="15">
        <f t="shared" si="14"/>
        <v>3.9832610043397443</v>
      </c>
      <c r="P422" s="15">
        <f t="shared" si="14"/>
        <v>0.77151598456968173</v>
      </c>
      <c r="Q422" s="15">
        <f t="shared" si="14"/>
        <v>1.3955537009991303</v>
      </c>
      <c r="R422" s="15">
        <f t="shared" si="13"/>
        <v>0.23390203632362994</v>
      </c>
      <c r="S422" s="15">
        <f t="shared" si="13"/>
        <v>-1.2319926993025088</v>
      </c>
    </row>
    <row r="423" spans="1:19" ht="12.75">
      <c r="A423" s="6">
        <v>20200902</v>
      </c>
      <c r="B423" s="5">
        <v>1.27</v>
      </c>
      <c r="C423" s="5">
        <v>-0.26</v>
      </c>
      <c r="D423" s="5">
        <v>-0.46</v>
      </c>
      <c r="E423" s="5">
        <v>0.76</v>
      </c>
      <c r="F423" s="5">
        <v>-0.42</v>
      </c>
      <c r="G423" s="7">
        <v>0</v>
      </c>
      <c r="H423" s="8"/>
      <c r="I423" s="14">
        <v>131.4</v>
      </c>
      <c r="J423" s="15">
        <v>231.65</v>
      </c>
      <c r="K423" s="15">
        <v>3531.45</v>
      </c>
      <c r="L423" s="15">
        <v>221.68</v>
      </c>
      <c r="M423" s="15">
        <v>153.83000000000001</v>
      </c>
      <c r="O423" s="15">
        <f t="shared" si="14"/>
        <v>-2.0718437919213017</v>
      </c>
      <c r="P423" s="15">
        <f t="shared" si="14"/>
        <v>1.9272231266775242</v>
      </c>
      <c r="Q423" s="15">
        <f t="shared" si="14"/>
        <v>0.92394659228605125</v>
      </c>
      <c r="R423" s="15">
        <f t="shared" si="13"/>
        <v>1.4321665522763594</v>
      </c>
      <c r="S423" s="15">
        <f t="shared" si="13"/>
        <v>1.5245512143611473</v>
      </c>
    </row>
    <row r="424" spans="1:19" ht="12.75">
      <c r="A424" s="6">
        <v>20200903</v>
      </c>
      <c r="B424" s="5">
        <v>-3.7</v>
      </c>
      <c r="C424" s="5">
        <v>0.43</v>
      </c>
      <c r="D424" s="5">
        <v>2.59</v>
      </c>
      <c r="E424" s="5">
        <v>-0.11</v>
      </c>
      <c r="F424" s="5">
        <v>-0.14000000000000001</v>
      </c>
      <c r="G424" s="7">
        <v>0</v>
      </c>
      <c r="H424" s="8"/>
      <c r="I424" s="14">
        <v>120.88</v>
      </c>
      <c r="J424" s="15">
        <v>217.3</v>
      </c>
      <c r="K424" s="15">
        <v>3368</v>
      </c>
      <c r="L424" s="15">
        <v>218.15</v>
      </c>
      <c r="M424" s="15">
        <v>149.55000000000001</v>
      </c>
      <c r="O424" s="15">
        <f t="shared" si="14"/>
        <v>-8.0060882800608866</v>
      </c>
      <c r="P424" s="15">
        <f t="shared" si="14"/>
        <v>-6.1946902654867237</v>
      </c>
      <c r="Q424" s="15">
        <f t="shared" si="14"/>
        <v>-4.6284104263121346</v>
      </c>
      <c r="R424" s="15">
        <f t="shared" si="13"/>
        <v>-1.5923854204258348</v>
      </c>
      <c r="S424" s="15">
        <f t="shared" si="13"/>
        <v>-2.7822921406747692</v>
      </c>
    </row>
    <row r="425" spans="1:19" ht="12.75">
      <c r="A425" s="6">
        <v>20200904</v>
      </c>
      <c r="B425" s="5">
        <v>-0.87</v>
      </c>
      <c r="C425" s="5">
        <v>0.34</v>
      </c>
      <c r="D425" s="5">
        <v>2.1</v>
      </c>
      <c r="E425" s="5">
        <v>0.79</v>
      </c>
      <c r="F425" s="5">
        <v>0.9</v>
      </c>
      <c r="G425" s="7">
        <v>0</v>
      </c>
      <c r="H425" s="8"/>
      <c r="I425" s="14">
        <v>120.96</v>
      </c>
      <c r="J425" s="15">
        <v>214.25</v>
      </c>
      <c r="K425" s="15">
        <v>3294.62</v>
      </c>
      <c r="L425" s="15">
        <v>218.32</v>
      </c>
      <c r="M425" s="15">
        <v>148.59</v>
      </c>
      <c r="O425" s="15">
        <f t="shared" si="14"/>
        <v>6.6181336863002649E-2</v>
      </c>
      <c r="P425" s="15">
        <f t="shared" si="14"/>
        <v>-1.4035895075931948</v>
      </c>
      <c r="Q425" s="15">
        <f t="shared" si="14"/>
        <v>-2.1787410926365824</v>
      </c>
      <c r="R425" s="15">
        <f t="shared" si="13"/>
        <v>7.792803117121494E-2</v>
      </c>
      <c r="S425" s="15">
        <f t="shared" si="13"/>
        <v>-0.64192577733199752</v>
      </c>
    </row>
    <row r="426" spans="1:19" ht="12.75">
      <c r="A426" s="6">
        <v>20200908</v>
      </c>
      <c r="B426" s="5">
        <v>-2.91</v>
      </c>
      <c r="C426" s="5">
        <v>0.89</v>
      </c>
      <c r="D426" s="5">
        <v>-0.25</v>
      </c>
      <c r="E426" s="5">
        <v>-0.68</v>
      </c>
      <c r="F426" s="5">
        <v>-0.59</v>
      </c>
      <c r="G426" s="7">
        <v>0</v>
      </c>
      <c r="H426" s="8"/>
      <c r="I426" s="14">
        <v>112.82</v>
      </c>
      <c r="J426" s="15">
        <v>202.66</v>
      </c>
      <c r="K426" s="15">
        <v>3149.84</v>
      </c>
      <c r="L426" s="15">
        <v>217.8</v>
      </c>
      <c r="M426" s="15">
        <v>147.26</v>
      </c>
      <c r="O426" s="15">
        <f t="shared" si="14"/>
        <v>-6.7294973544973598</v>
      </c>
      <c r="P426" s="15">
        <f t="shared" si="14"/>
        <v>-5.4095682613768954</v>
      </c>
      <c r="Q426" s="15">
        <f t="shared" si="14"/>
        <v>-4.3944369912159775</v>
      </c>
      <c r="R426" s="15">
        <f t="shared" si="13"/>
        <v>-0.23818248442651901</v>
      </c>
      <c r="S426" s="15">
        <f t="shared" si="13"/>
        <v>-0.89508042263948262</v>
      </c>
    </row>
    <row r="427" spans="1:19" ht="12.75">
      <c r="A427" s="6">
        <v>20200909</v>
      </c>
      <c r="B427" s="5">
        <v>2.0699999999999998</v>
      </c>
      <c r="C427" s="5">
        <v>-0.62</v>
      </c>
      <c r="D427" s="5">
        <v>-2</v>
      </c>
      <c r="E427" s="5">
        <v>-0.15</v>
      </c>
      <c r="F427" s="5">
        <v>-0.2</v>
      </c>
      <c r="G427" s="7">
        <v>0</v>
      </c>
      <c r="H427" s="8"/>
      <c r="I427" s="14">
        <v>117.32</v>
      </c>
      <c r="J427" s="15">
        <v>211.29</v>
      </c>
      <c r="K427" s="15">
        <v>3268.61</v>
      </c>
      <c r="L427" s="15">
        <v>219.63</v>
      </c>
      <c r="M427" s="15">
        <v>149.69999999999999</v>
      </c>
      <c r="O427" s="15">
        <f t="shared" si="14"/>
        <v>3.9886544938840585</v>
      </c>
      <c r="P427" s="15">
        <f t="shared" si="14"/>
        <v>4.2583637619658443</v>
      </c>
      <c r="Q427" s="15">
        <f t="shared" si="14"/>
        <v>3.7706677164554447</v>
      </c>
      <c r="R427" s="15">
        <f t="shared" si="13"/>
        <v>0.84022038567492796</v>
      </c>
      <c r="S427" s="15">
        <f t="shared" si="13"/>
        <v>1.6569333152247623</v>
      </c>
    </row>
    <row r="428" spans="1:19" ht="12.75">
      <c r="A428" s="6">
        <v>20200910</v>
      </c>
      <c r="B428" s="5">
        <v>-1.64</v>
      </c>
      <c r="C428" s="5">
        <v>0.37</v>
      </c>
      <c r="D428" s="5">
        <v>-0.06</v>
      </c>
      <c r="E428" s="5">
        <v>-0.37</v>
      </c>
      <c r="F428" s="5">
        <v>-0.36</v>
      </c>
      <c r="G428" s="7">
        <v>0</v>
      </c>
      <c r="H428" s="8"/>
      <c r="I428" s="14">
        <v>113.49</v>
      </c>
      <c r="J428" s="15">
        <v>205.37</v>
      </c>
      <c r="K428" s="15">
        <v>3175.11</v>
      </c>
      <c r="L428" s="15">
        <v>217.8</v>
      </c>
      <c r="M428" s="15">
        <v>146.91</v>
      </c>
      <c r="O428" s="15">
        <f t="shared" si="14"/>
        <v>-3.2645755199454451</v>
      </c>
      <c r="P428" s="15">
        <f t="shared" si="14"/>
        <v>-2.8018363386814293</v>
      </c>
      <c r="Q428" s="15">
        <f t="shared" si="14"/>
        <v>-2.8605431666671732</v>
      </c>
      <c r="R428" s="15">
        <f t="shared" si="13"/>
        <v>-0.83321950553202351</v>
      </c>
      <c r="S428" s="15">
        <f t="shared" si="13"/>
        <v>-1.8637274549098137</v>
      </c>
    </row>
    <row r="429" spans="1:19" ht="12.75">
      <c r="A429" s="6">
        <v>20200911</v>
      </c>
      <c r="B429" s="5">
        <v>-0.06</v>
      </c>
      <c r="C429" s="5">
        <v>-0.61</v>
      </c>
      <c r="D429" s="5">
        <v>0.89</v>
      </c>
      <c r="E429" s="5">
        <v>0.22</v>
      </c>
      <c r="F429" s="5">
        <v>0.46</v>
      </c>
      <c r="G429" s="7">
        <v>0</v>
      </c>
      <c r="H429" s="8"/>
      <c r="I429" s="14">
        <v>112</v>
      </c>
      <c r="J429" s="15">
        <v>204.03</v>
      </c>
      <c r="K429" s="15">
        <v>3116.22</v>
      </c>
      <c r="L429" s="15">
        <v>217.93</v>
      </c>
      <c r="M429" s="15">
        <v>147.78</v>
      </c>
      <c r="O429" s="15">
        <f t="shared" si="14"/>
        <v>-1.3128910036126484</v>
      </c>
      <c r="P429" s="15">
        <f t="shared" si="14"/>
        <v>-0.65248088815309524</v>
      </c>
      <c r="Q429" s="15">
        <f t="shared" si="14"/>
        <v>-1.8547388909360696</v>
      </c>
      <c r="R429" s="15">
        <f t="shared" si="13"/>
        <v>5.9687786960505029E-2</v>
      </c>
      <c r="S429" s="15">
        <f t="shared" si="13"/>
        <v>0.59219930569736068</v>
      </c>
    </row>
    <row r="430" spans="1:19" ht="12.75">
      <c r="A430" s="6">
        <v>20200914</v>
      </c>
      <c r="B430" s="5">
        <v>1.59</v>
      </c>
      <c r="C430" s="5">
        <v>1.02</v>
      </c>
      <c r="D430" s="5">
        <v>-0.8</v>
      </c>
      <c r="E430" s="5">
        <v>-0.8</v>
      </c>
      <c r="F430" s="5">
        <v>0.01</v>
      </c>
      <c r="G430" s="7">
        <v>0</v>
      </c>
      <c r="H430" s="8"/>
      <c r="I430" s="14">
        <v>115.36</v>
      </c>
      <c r="J430" s="15">
        <v>205.41</v>
      </c>
      <c r="K430" s="15">
        <v>3102.97</v>
      </c>
      <c r="L430" s="15">
        <v>219.94</v>
      </c>
      <c r="M430" s="15">
        <v>148.35</v>
      </c>
      <c r="O430" s="15">
        <f t="shared" si="14"/>
        <v>3.0000000000000027</v>
      </c>
      <c r="P430" s="15">
        <f t="shared" si="14"/>
        <v>0.6763711218938262</v>
      </c>
      <c r="Q430" s="15">
        <f t="shared" si="14"/>
        <v>-0.42519462682352183</v>
      </c>
      <c r="R430" s="15">
        <f t="shared" si="13"/>
        <v>0.92231450465745102</v>
      </c>
      <c r="S430" s="15">
        <f t="shared" si="13"/>
        <v>0.3857084855866777</v>
      </c>
    </row>
    <row r="431" spans="1:19" ht="12.75">
      <c r="A431" s="6">
        <v>20200915</v>
      </c>
      <c r="B431" s="5">
        <v>0.56999999999999995</v>
      </c>
      <c r="C431" s="5">
        <v>-0.65</v>
      </c>
      <c r="D431" s="5">
        <v>-1.45</v>
      </c>
      <c r="E431" s="5">
        <v>0.14000000000000001</v>
      </c>
      <c r="F431" s="5">
        <v>-0.35</v>
      </c>
      <c r="G431" s="7">
        <v>0</v>
      </c>
      <c r="H431" s="8"/>
      <c r="I431" s="14">
        <v>115.54</v>
      </c>
      <c r="J431" s="15">
        <v>208.78</v>
      </c>
      <c r="K431" s="15">
        <v>3156.13</v>
      </c>
      <c r="L431" s="15">
        <v>218.94</v>
      </c>
      <c r="M431" s="15">
        <v>148.88999999999999</v>
      </c>
      <c r="O431" s="15">
        <f t="shared" si="14"/>
        <v>0.15603328710125375</v>
      </c>
      <c r="P431" s="15">
        <f t="shared" si="14"/>
        <v>1.6406211966311313</v>
      </c>
      <c r="Q431" s="15">
        <f t="shared" si="14"/>
        <v>1.7131973560814417</v>
      </c>
      <c r="R431" s="15">
        <f t="shared" si="13"/>
        <v>-0.45466945530598935</v>
      </c>
      <c r="S431" s="15">
        <f t="shared" si="13"/>
        <v>0.3640040444893744</v>
      </c>
    </row>
    <row r="432" spans="1:19" ht="12.75">
      <c r="A432" s="6">
        <v>20200916</v>
      </c>
      <c r="B432" s="5">
        <v>-0.39</v>
      </c>
      <c r="C432" s="5">
        <v>1.21</v>
      </c>
      <c r="D432" s="5">
        <v>1.32</v>
      </c>
      <c r="E432" s="5">
        <v>-0.92</v>
      </c>
      <c r="F432" s="5">
        <v>0.28999999999999998</v>
      </c>
      <c r="G432" s="7">
        <v>0</v>
      </c>
      <c r="H432" s="8"/>
      <c r="I432" s="14">
        <v>112.13</v>
      </c>
      <c r="J432" s="15">
        <v>205.05</v>
      </c>
      <c r="K432" s="15">
        <v>3078.1</v>
      </c>
      <c r="L432" s="15">
        <v>219.59</v>
      </c>
      <c r="M432" s="15">
        <v>148.4</v>
      </c>
      <c r="O432" s="15">
        <f t="shared" si="14"/>
        <v>-2.9513588367664934</v>
      </c>
      <c r="P432" s="15">
        <f t="shared" si="14"/>
        <v>-1.7865695947887672</v>
      </c>
      <c r="Q432" s="15">
        <f t="shared" si="14"/>
        <v>-2.4723316213210556</v>
      </c>
      <c r="R432" s="15">
        <f t="shared" si="13"/>
        <v>0.29688499132183299</v>
      </c>
      <c r="S432" s="15">
        <f t="shared" si="13"/>
        <v>-0.32910202162669266</v>
      </c>
    </row>
    <row r="433" spans="1:19" ht="12.75">
      <c r="A433" s="6">
        <v>20200917</v>
      </c>
      <c r="B433" s="5">
        <v>-0.85</v>
      </c>
      <c r="C433" s="5">
        <v>0.48</v>
      </c>
      <c r="D433" s="5">
        <v>0.21</v>
      </c>
      <c r="E433" s="5">
        <v>7.0000000000000007E-2</v>
      </c>
      <c r="F433" s="5">
        <v>0.64</v>
      </c>
      <c r="G433" s="7">
        <v>0</v>
      </c>
      <c r="H433" s="8"/>
      <c r="I433" s="14">
        <v>110.34</v>
      </c>
      <c r="J433" s="15">
        <v>202.91</v>
      </c>
      <c r="K433" s="15">
        <v>3008.73</v>
      </c>
      <c r="L433" s="15">
        <v>218.05</v>
      </c>
      <c r="M433" s="15">
        <v>147.16999999999999</v>
      </c>
      <c r="O433" s="15">
        <f t="shared" si="14"/>
        <v>-1.5963613662712817</v>
      </c>
      <c r="P433" s="15">
        <f t="shared" si="14"/>
        <v>-1.0436478907583591</v>
      </c>
      <c r="Q433" s="15">
        <f t="shared" si="14"/>
        <v>-2.2536629739124736</v>
      </c>
      <c r="R433" s="15">
        <f t="shared" si="13"/>
        <v>-0.7013069811922179</v>
      </c>
      <c r="S433" s="15">
        <f t="shared" si="13"/>
        <v>-0.82884097035041959</v>
      </c>
    </row>
    <row r="434" spans="1:19" ht="12.75">
      <c r="A434" s="6">
        <v>20200918</v>
      </c>
      <c r="B434" s="5">
        <v>-0.88</v>
      </c>
      <c r="C434" s="5">
        <v>0.77</v>
      </c>
      <c r="D434" s="5">
        <v>-0.2</v>
      </c>
      <c r="E434" s="5">
        <v>-1.1000000000000001</v>
      </c>
      <c r="F434" s="5">
        <v>-0.46</v>
      </c>
      <c r="G434" s="7">
        <v>0</v>
      </c>
      <c r="H434" s="8"/>
      <c r="I434" s="14">
        <v>106.84</v>
      </c>
      <c r="J434" s="15">
        <v>200.39</v>
      </c>
      <c r="K434" s="15">
        <v>2954.91</v>
      </c>
      <c r="L434" s="15">
        <v>218.21</v>
      </c>
      <c r="M434" s="15">
        <v>149.18</v>
      </c>
      <c r="O434" s="15">
        <f t="shared" si="14"/>
        <v>-3.1720137756026778</v>
      </c>
      <c r="P434" s="15">
        <f t="shared" si="14"/>
        <v>-1.2419299196688272</v>
      </c>
      <c r="Q434" s="15">
        <f t="shared" si="14"/>
        <v>-1.7887946076916239</v>
      </c>
      <c r="R434" s="15">
        <f t="shared" si="13"/>
        <v>7.3377665673013404E-2</v>
      </c>
      <c r="S434" s="15">
        <f t="shared" si="13"/>
        <v>1.3657674797852959</v>
      </c>
    </row>
    <row r="435" spans="1:19" ht="12.75">
      <c r="A435" s="6">
        <v>20200921</v>
      </c>
      <c r="B435" s="5">
        <v>-1.08</v>
      </c>
      <c r="C435" s="5">
        <v>-2.66</v>
      </c>
      <c r="D435" s="5">
        <v>-1.91</v>
      </c>
      <c r="E435" s="5">
        <v>-0.5</v>
      </c>
      <c r="F435" s="5">
        <v>-0.31</v>
      </c>
      <c r="G435" s="7">
        <v>0</v>
      </c>
      <c r="H435" s="8"/>
      <c r="I435" s="14">
        <v>110.08</v>
      </c>
      <c r="J435" s="15">
        <v>202.54</v>
      </c>
      <c r="K435" s="15">
        <v>2960.47</v>
      </c>
      <c r="L435" s="15">
        <v>213.02</v>
      </c>
      <c r="M435" s="15">
        <v>145.1</v>
      </c>
      <c r="O435" s="15">
        <f t="shared" si="14"/>
        <v>3.0325720703856085</v>
      </c>
      <c r="P435" s="15">
        <f t="shared" si="14"/>
        <v>1.0729078297320171</v>
      </c>
      <c r="Q435" s="15">
        <f t="shared" si="14"/>
        <v>0.1881613991627562</v>
      </c>
      <c r="R435" s="15">
        <f t="shared" si="13"/>
        <v>-2.3784427844736666</v>
      </c>
      <c r="S435" s="15">
        <f t="shared" si="13"/>
        <v>-2.7349510658265297</v>
      </c>
    </row>
    <row r="436" spans="1:19" ht="12.75">
      <c r="A436" s="6">
        <v>20200922</v>
      </c>
      <c r="B436" s="5">
        <v>1.02</v>
      </c>
      <c r="C436" s="5">
        <v>-0.47</v>
      </c>
      <c r="D436" s="5">
        <v>-1.62</v>
      </c>
      <c r="E436" s="5">
        <v>0.57999999999999996</v>
      </c>
      <c r="F436" s="5">
        <v>-0.5</v>
      </c>
      <c r="G436" s="7">
        <v>0</v>
      </c>
      <c r="H436" s="8"/>
      <c r="I436" s="14">
        <v>111.81</v>
      </c>
      <c r="J436" s="15">
        <v>207.42</v>
      </c>
      <c r="K436" s="15">
        <v>3128.99</v>
      </c>
      <c r="L436" s="15">
        <v>214.16</v>
      </c>
      <c r="M436" s="15">
        <v>144.21</v>
      </c>
      <c r="O436" s="15">
        <f t="shared" si="14"/>
        <v>1.5715843023255793</v>
      </c>
      <c r="P436" s="15">
        <f t="shared" si="14"/>
        <v>2.4094006122247436</v>
      </c>
      <c r="Q436" s="15">
        <f t="shared" si="14"/>
        <v>5.6923393920560006</v>
      </c>
      <c r="R436" s="15">
        <f t="shared" si="13"/>
        <v>0.53516101774480074</v>
      </c>
      <c r="S436" s="15">
        <f t="shared" si="13"/>
        <v>-0.61337008959337913</v>
      </c>
    </row>
    <row r="437" spans="1:19" ht="12.75">
      <c r="A437" s="6">
        <v>20200923</v>
      </c>
      <c r="B437" s="5">
        <v>-2.48</v>
      </c>
      <c r="C437" s="5">
        <v>-0.65</v>
      </c>
      <c r="D437" s="5">
        <v>0.16</v>
      </c>
      <c r="E437" s="5">
        <v>0.18</v>
      </c>
      <c r="F437" s="5">
        <v>-0.19</v>
      </c>
      <c r="G437" s="7">
        <v>0</v>
      </c>
      <c r="H437" s="8"/>
      <c r="I437" s="14">
        <v>107.12</v>
      </c>
      <c r="J437" s="15">
        <v>200.59</v>
      </c>
      <c r="K437" s="15">
        <v>2999.86</v>
      </c>
      <c r="L437" s="15">
        <v>209.61</v>
      </c>
      <c r="M437" s="15">
        <v>144.44</v>
      </c>
      <c r="O437" s="15">
        <f t="shared" si="14"/>
        <v>-4.1946158662015893</v>
      </c>
      <c r="P437" s="15">
        <f t="shared" si="14"/>
        <v>-3.2928357921126139</v>
      </c>
      <c r="Q437" s="15">
        <f t="shared" si="14"/>
        <v>-4.126890785844628</v>
      </c>
      <c r="R437" s="15">
        <f t="shared" si="13"/>
        <v>-2.1245797534553579</v>
      </c>
      <c r="S437" s="15">
        <f t="shared" si="13"/>
        <v>0.15948963317382603</v>
      </c>
    </row>
    <row r="438" spans="1:19" ht="12.75">
      <c r="A438" s="6">
        <v>20200924</v>
      </c>
      <c r="B438" s="5">
        <v>0.25</v>
      </c>
      <c r="C438" s="5">
        <v>-0.2</v>
      </c>
      <c r="D438" s="5">
        <v>0.36</v>
      </c>
      <c r="E438" s="5">
        <v>0.52</v>
      </c>
      <c r="F438" s="5">
        <v>0.11</v>
      </c>
      <c r="G438" s="7">
        <v>0</v>
      </c>
      <c r="H438" s="8"/>
      <c r="I438" s="14">
        <v>108.22</v>
      </c>
      <c r="J438" s="15">
        <v>203.19</v>
      </c>
      <c r="K438" s="15">
        <v>3019.79</v>
      </c>
      <c r="L438" s="15">
        <v>208.72</v>
      </c>
      <c r="M438" s="15">
        <v>144.66999999999999</v>
      </c>
      <c r="O438" s="15">
        <f t="shared" si="14"/>
        <v>1.026885735623595</v>
      </c>
      <c r="P438" s="15">
        <f t="shared" si="14"/>
        <v>1.2961762799740706</v>
      </c>
      <c r="Q438" s="15">
        <f t="shared" si="14"/>
        <v>0.66436433700238773</v>
      </c>
      <c r="R438" s="15">
        <f t="shared" si="13"/>
        <v>-0.42459806306951453</v>
      </c>
      <c r="S438" s="15">
        <f t="shared" si="13"/>
        <v>0.15923566878979223</v>
      </c>
    </row>
    <row r="439" spans="1:19" ht="12.75">
      <c r="A439" s="6">
        <v>20200925</v>
      </c>
      <c r="B439" s="5">
        <v>1.72</v>
      </c>
      <c r="C439" s="5">
        <v>-0.17</v>
      </c>
      <c r="D439" s="5">
        <v>-1.35</v>
      </c>
      <c r="E439" s="5">
        <v>-0.5</v>
      </c>
      <c r="F439" s="5">
        <v>-0.63</v>
      </c>
      <c r="G439" s="7">
        <v>0</v>
      </c>
      <c r="H439" s="8"/>
      <c r="I439" s="14">
        <v>112.28</v>
      </c>
      <c r="J439" s="15">
        <v>207.82</v>
      </c>
      <c r="K439" s="15">
        <v>3095.13</v>
      </c>
      <c r="L439" s="15">
        <v>210.45</v>
      </c>
      <c r="M439" s="15">
        <v>145.66</v>
      </c>
      <c r="O439" s="15">
        <f t="shared" si="14"/>
        <v>3.7516170763260082</v>
      </c>
      <c r="P439" s="15">
        <f t="shared" si="14"/>
        <v>2.2786554456420083</v>
      </c>
      <c r="Q439" s="15">
        <f t="shared" si="14"/>
        <v>2.4948754714731791</v>
      </c>
      <c r="R439" s="15">
        <f t="shared" si="13"/>
        <v>0.82886163280950775</v>
      </c>
      <c r="S439" s="15">
        <f t="shared" si="13"/>
        <v>0.68431602958458626</v>
      </c>
    </row>
    <row r="440" spans="1:19" ht="12.75">
      <c r="A440" s="6">
        <v>20200928</v>
      </c>
      <c r="B440" s="5">
        <v>1.66</v>
      </c>
      <c r="C440" s="5">
        <v>0.88</v>
      </c>
      <c r="D440" s="5">
        <v>1.03</v>
      </c>
      <c r="E440" s="5">
        <v>0.39</v>
      </c>
      <c r="F440" s="5">
        <v>0.17</v>
      </c>
      <c r="G440" s="7">
        <v>0</v>
      </c>
      <c r="H440" s="8"/>
      <c r="I440" s="14">
        <v>114.96</v>
      </c>
      <c r="J440" s="15">
        <v>209.44</v>
      </c>
      <c r="K440" s="15">
        <v>3174.05</v>
      </c>
      <c r="L440" s="15">
        <v>213.54</v>
      </c>
      <c r="M440" s="15">
        <v>147.11000000000001</v>
      </c>
      <c r="O440" s="15">
        <f t="shared" si="14"/>
        <v>2.386889918061974</v>
      </c>
      <c r="P440" s="15">
        <f t="shared" si="14"/>
        <v>0.77952073910114716</v>
      </c>
      <c r="Q440" s="15">
        <f t="shared" si="14"/>
        <v>2.5498121242080396</v>
      </c>
      <c r="R440" s="15">
        <f t="shared" si="13"/>
        <v>1.4682822523164774</v>
      </c>
      <c r="S440" s="15">
        <f t="shared" si="13"/>
        <v>0.99546890017851997</v>
      </c>
    </row>
    <row r="441" spans="1:19" ht="12.75">
      <c r="A441" s="6">
        <v>20200929</v>
      </c>
      <c r="B441" s="5">
        <v>-0.42</v>
      </c>
      <c r="C441" s="5">
        <v>0.41</v>
      </c>
      <c r="D441" s="5">
        <v>-1.32</v>
      </c>
      <c r="E441" s="5">
        <v>-0.78</v>
      </c>
      <c r="F441" s="5">
        <v>-0.57999999999999996</v>
      </c>
      <c r="G441" s="7">
        <v>0</v>
      </c>
      <c r="H441" s="8"/>
      <c r="I441" s="14">
        <v>114.09</v>
      </c>
      <c r="J441" s="15">
        <v>207.26</v>
      </c>
      <c r="K441" s="15">
        <v>3144.88</v>
      </c>
      <c r="L441" s="15">
        <v>210.44</v>
      </c>
      <c r="M441" s="15">
        <v>147.06</v>
      </c>
      <c r="O441" s="15">
        <f t="shared" si="14"/>
        <v>-0.75678496868475387</v>
      </c>
      <c r="P441" s="15">
        <f t="shared" si="14"/>
        <v>-1.0408708938120736</v>
      </c>
      <c r="Q441" s="15">
        <f t="shared" si="14"/>
        <v>-0.91901513838786864</v>
      </c>
      <c r="R441" s="15">
        <f t="shared" si="13"/>
        <v>-1.451718647560174</v>
      </c>
      <c r="S441" s="15">
        <f t="shared" si="13"/>
        <v>-3.3988172116106163E-2</v>
      </c>
    </row>
    <row r="442" spans="1:19" ht="12.75">
      <c r="A442" s="6">
        <v>20200930</v>
      </c>
      <c r="B442" s="5">
        <v>0.79</v>
      </c>
      <c r="C442" s="5">
        <v>-0.68</v>
      </c>
      <c r="D442" s="5">
        <v>0.16</v>
      </c>
      <c r="E442" s="5">
        <v>0.33</v>
      </c>
      <c r="F442" s="5">
        <v>0.12</v>
      </c>
      <c r="G442" s="7">
        <v>0</v>
      </c>
      <c r="H442" s="8"/>
      <c r="I442" s="14">
        <v>115.81</v>
      </c>
      <c r="J442" s="15">
        <v>210.33</v>
      </c>
      <c r="K442" s="15">
        <v>3148.73</v>
      </c>
      <c r="L442" s="15">
        <v>212.94</v>
      </c>
      <c r="M442" s="15">
        <v>148.88</v>
      </c>
      <c r="O442" s="15">
        <f t="shared" si="14"/>
        <v>1.5075817337189878</v>
      </c>
      <c r="P442" s="15">
        <f t="shared" si="14"/>
        <v>1.4812313036765445</v>
      </c>
      <c r="Q442" s="15">
        <f t="shared" si="14"/>
        <v>0.12242120526060329</v>
      </c>
      <c r="R442" s="15">
        <f t="shared" si="13"/>
        <v>1.1879870747006249</v>
      </c>
      <c r="S442" s="15">
        <f t="shared" si="13"/>
        <v>1.2375900992791955</v>
      </c>
    </row>
    <row r="443" spans="1:19" ht="12.75">
      <c r="A443" s="6">
        <v>20201001</v>
      </c>
      <c r="B443" s="5">
        <v>0.79</v>
      </c>
      <c r="C443" s="5">
        <v>0.8</v>
      </c>
      <c r="D443" s="5">
        <v>-0.54</v>
      </c>
      <c r="E443" s="5">
        <v>-0.01</v>
      </c>
      <c r="F443" s="5">
        <v>-0.57999999999999996</v>
      </c>
      <c r="G443" s="7">
        <v>0</v>
      </c>
      <c r="H443" s="8"/>
      <c r="I443" s="14">
        <v>116.79</v>
      </c>
      <c r="J443" s="15">
        <v>212.46</v>
      </c>
      <c r="K443" s="15">
        <v>3221.26</v>
      </c>
      <c r="L443" s="15">
        <v>212.02</v>
      </c>
      <c r="M443" s="15">
        <v>147.32</v>
      </c>
      <c r="O443" s="15">
        <f t="shared" si="14"/>
        <v>0.84621362576633441</v>
      </c>
      <c r="P443" s="15">
        <f t="shared" si="14"/>
        <v>1.0126943374696884</v>
      </c>
      <c r="Q443" s="15">
        <f t="shared" si="14"/>
        <v>2.3034683824907143</v>
      </c>
      <c r="R443" s="15">
        <f t="shared" si="13"/>
        <v>-0.43204658589273137</v>
      </c>
      <c r="S443" s="15">
        <f t="shared" si="13"/>
        <v>-1.0478237506716837</v>
      </c>
    </row>
    <row r="444" spans="1:19" ht="12.75">
      <c r="A444" s="6">
        <v>20201002</v>
      </c>
      <c r="B444" s="5">
        <v>-0.96</v>
      </c>
      <c r="C444" s="5">
        <v>1.71</v>
      </c>
      <c r="D444" s="5">
        <v>2.4900000000000002</v>
      </c>
      <c r="E444" s="5">
        <v>0.56999999999999995</v>
      </c>
      <c r="F444" s="5">
        <v>0.36</v>
      </c>
      <c r="G444" s="7">
        <v>0</v>
      </c>
      <c r="H444" s="8"/>
      <c r="I444" s="14">
        <v>113.02</v>
      </c>
      <c r="J444" s="15">
        <v>206.19</v>
      </c>
      <c r="K444" s="15">
        <v>3125</v>
      </c>
      <c r="L444" s="15">
        <v>211.18</v>
      </c>
      <c r="M444" s="15">
        <v>146.24</v>
      </c>
      <c r="O444" s="15">
        <f t="shared" si="14"/>
        <v>-3.2280160972686156</v>
      </c>
      <c r="P444" s="15">
        <f t="shared" si="14"/>
        <v>-2.9511437447048872</v>
      </c>
      <c r="Q444" s="15">
        <f t="shared" si="14"/>
        <v>-2.9882716700918355</v>
      </c>
      <c r="R444" s="15">
        <f t="shared" si="13"/>
        <v>-0.39618903876993405</v>
      </c>
      <c r="S444" s="15">
        <f t="shared" si="13"/>
        <v>-0.73309801792016405</v>
      </c>
    </row>
    <row r="445" spans="1:19" ht="12.75">
      <c r="A445" s="6">
        <v>20201005</v>
      </c>
      <c r="B445" s="5">
        <v>1.93</v>
      </c>
      <c r="C445" s="5">
        <v>0.88</v>
      </c>
      <c r="D445" s="5">
        <v>-0.11</v>
      </c>
      <c r="E445" s="5">
        <v>-0.47</v>
      </c>
      <c r="F445" s="5">
        <v>0.13</v>
      </c>
      <c r="G445" s="7">
        <v>0</v>
      </c>
      <c r="H445" s="8"/>
      <c r="I445" s="14">
        <v>116.5</v>
      </c>
      <c r="J445" s="15">
        <v>210.38</v>
      </c>
      <c r="K445" s="15">
        <v>3199.2</v>
      </c>
      <c r="L445" s="15">
        <v>212.36</v>
      </c>
      <c r="M445" s="15">
        <v>148.22999999999999</v>
      </c>
      <c r="O445" s="15">
        <f t="shared" si="14"/>
        <v>3.0791010440629929</v>
      </c>
      <c r="P445" s="15">
        <f t="shared" si="14"/>
        <v>2.0321063097143321</v>
      </c>
      <c r="Q445" s="15">
        <f t="shared" si="14"/>
        <v>2.3743999999999987</v>
      </c>
      <c r="R445" s="15">
        <f t="shared" si="13"/>
        <v>0.55876503456766535</v>
      </c>
      <c r="S445" s="15">
        <f t="shared" si="13"/>
        <v>1.3607768052516178</v>
      </c>
    </row>
    <row r="446" spans="1:19" ht="12.75">
      <c r="A446" s="6">
        <v>20201006</v>
      </c>
      <c r="B446" s="5">
        <v>-1.28</v>
      </c>
      <c r="C446" s="5">
        <v>0.84</v>
      </c>
      <c r="D446" s="5">
        <v>0.23</v>
      </c>
      <c r="E446" s="5">
        <v>-0.53</v>
      </c>
      <c r="F446" s="5">
        <v>-0.06</v>
      </c>
      <c r="G446" s="7">
        <v>0</v>
      </c>
      <c r="H446" s="8"/>
      <c r="I446" s="14">
        <v>113.16</v>
      </c>
      <c r="J446" s="15">
        <v>205.91</v>
      </c>
      <c r="K446" s="15">
        <v>3099.96</v>
      </c>
      <c r="L446" s="15">
        <v>210.26</v>
      </c>
      <c r="M446" s="15">
        <v>146.26</v>
      </c>
      <c r="O446" s="15">
        <f t="shared" si="14"/>
        <v>-2.8669527896995728</v>
      </c>
      <c r="P446" s="15">
        <f t="shared" si="14"/>
        <v>-2.1247266850461077</v>
      </c>
      <c r="Q446" s="15">
        <f t="shared" si="14"/>
        <v>-3.1020255063765823</v>
      </c>
      <c r="R446" s="15">
        <f t="shared" si="13"/>
        <v>-0.98888679600679374</v>
      </c>
      <c r="S446" s="15">
        <f t="shared" si="13"/>
        <v>-1.3290157188153517</v>
      </c>
    </row>
    <row r="447" spans="1:19" ht="12.75">
      <c r="A447" s="6">
        <v>20201007</v>
      </c>
      <c r="B447" s="5">
        <v>1.84</v>
      </c>
      <c r="C447" s="5">
        <v>0.48</v>
      </c>
      <c r="D447" s="5">
        <v>0.19</v>
      </c>
      <c r="E447" s="5">
        <v>-0.28000000000000003</v>
      </c>
      <c r="F447" s="5">
        <v>0.13</v>
      </c>
      <c r="G447" s="7">
        <v>0</v>
      </c>
      <c r="H447" s="8"/>
      <c r="I447" s="14">
        <v>115.08</v>
      </c>
      <c r="J447" s="15">
        <v>209.83</v>
      </c>
      <c r="K447" s="15">
        <v>3195.69</v>
      </c>
      <c r="L447" s="15">
        <v>213.29</v>
      </c>
      <c r="M447" s="15">
        <v>147.88</v>
      </c>
      <c r="O447" s="15">
        <f t="shared" si="14"/>
        <v>1.6967126193001114</v>
      </c>
      <c r="P447" s="15">
        <f t="shared" si="14"/>
        <v>1.9037443543295618</v>
      </c>
      <c r="Q447" s="15">
        <f t="shared" si="14"/>
        <v>3.0881043626369342</v>
      </c>
      <c r="R447" s="15">
        <f t="shared" si="13"/>
        <v>1.4410729572909675</v>
      </c>
      <c r="S447" s="15">
        <f t="shared" si="13"/>
        <v>1.1076165732257559</v>
      </c>
    </row>
    <row r="448" spans="1:19" ht="12.75">
      <c r="A448" s="6">
        <v>20201008</v>
      </c>
      <c r="B448" s="5">
        <v>0.8</v>
      </c>
      <c r="C448" s="5">
        <v>0.28999999999999998</v>
      </c>
      <c r="D448" s="5">
        <v>1.01</v>
      </c>
      <c r="E448" s="5">
        <v>0.22</v>
      </c>
      <c r="F448" s="5">
        <v>0.27</v>
      </c>
      <c r="G448" s="7">
        <v>0</v>
      </c>
      <c r="H448" s="8"/>
      <c r="I448" s="14">
        <v>114.97</v>
      </c>
      <c r="J448" s="15">
        <v>210.58</v>
      </c>
      <c r="K448" s="15">
        <v>3190.55</v>
      </c>
      <c r="L448" s="15">
        <v>215.15</v>
      </c>
      <c r="M448" s="15">
        <v>148.88999999999999</v>
      </c>
      <c r="O448" s="15">
        <f t="shared" si="14"/>
        <v>-9.5585679527288026E-2</v>
      </c>
      <c r="P448" s="15">
        <f t="shared" si="14"/>
        <v>0.35743220702473266</v>
      </c>
      <c r="Q448" s="15">
        <f t="shared" si="14"/>
        <v>-0.16084163357521497</v>
      </c>
      <c r="R448" s="15">
        <f t="shared" si="13"/>
        <v>0.87205213559005124</v>
      </c>
      <c r="S448" s="15">
        <f t="shared" si="13"/>
        <v>0.68298620503111085</v>
      </c>
    </row>
    <row r="449" spans="1:19" ht="12.75">
      <c r="A449" s="6">
        <v>20201009</v>
      </c>
      <c r="B449" s="5">
        <v>0.93</v>
      </c>
      <c r="C449" s="5">
        <v>-0.33</v>
      </c>
      <c r="D449" s="5">
        <v>-1.44</v>
      </c>
      <c r="E449" s="5">
        <v>-0.17</v>
      </c>
      <c r="F449" s="5">
        <v>-0.31</v>
      </c>
      <c r="G449" s="7">
        <v>0</v>
      </c>
      <c r="H449" s="8"/>
      <c r="I449" s="14">
        <v>116.97</v>
      </c>
      <c r="J449" s="15">
        <v>215.81</v>
      </c>
      <c r="K449" s="15">
        <v>3286.65</v>
      </c>
      <c r="L449" s="15">
        <v>215.68</v>
      </c>
      <c r="M449" s="15">
        <v>150.97</v>
      </c>
      <c r="O449" s="15">
        <f t="shared" si="14"/>
        <v>1.7395842393667982</v>
      </c>
      <c r="P449" s="15">
        <f t="shared" si="14"/>
        <v>2.4836166777471691</v>
      </c>
      <c r="Q449" s="15">
        <f t="shared" si="14"/>
        <v>3.0120198711820922</v>
      </c>
      <c r="R449" s="15">
        <f t="shared" si="13"/>
        <v>0.24633976295607152</v>
      </c>
      <c r="S449" s="15">
        <f t="shared" si="13"/>
        <v>1.3970044999664255</v>
      </c>
    </row>
    <row r="450" spans="1:19" ht="12.75">
      <c r="A450" s="6">
        <v>20201012</v>
      </c>
      <c r="B450" s="5">
        <v>1.53</v>
      </c>
      <c r="C450" s="5">
        <v>-1.01</v>
      </c>
      <c r="D450" s="5">
        <v>-0.1</v>
      </c>
      <c r="E450" s="5">
        <v>0.78</v>
      </c>
      <c r="F450" s="5">
        <v>0.34</v>
      </c>
      <c r="G450" s="7">
        <v>0</v>
      </c>
      <c r="H450" s="8"/>
      <c r="I450" s="14">
        <v>124.4</v>
      </c>
      <c r="J450" s="15">
        <v>221.4</v>
      </c>
      <c r="K450" s="15">
        <v>3442.93</v>
      </c>
      <c r="L450" s="15">
        <v>216.41</v>
      </c>
      <c r="M450" s="15">
        <v>151.84</v>
      </c>
      <c r="O450" s="15">
        <f t="shared" si="14"/>
        <v>6.3520560827562633</v>
      </c>
      <c r="P450" s="15">
        <f t="shared" si="14"/>
        <v>2.5902414160604348</v>
      </c>
      <c r="Q450" s="15">
        <f t="shared" si="14"/>
        <v>4.7549936865805442</v>
      </c>
      <c r="R450" s="15">
        <f t="shared" si="13"/>
        <v>0.33846439169138431</v>
      </c>
      <c r="S450" s="15">
        <f t="shared" si="13"/>
        <v>0.57627343180763901</v>
      </c>
    </row>
    <row r="451" spans="1:19" ht="12.75">
      <c r="A451" s="6">
        <v>20201013</v>
      </c>
      <c r="B451" s="5">
        <v>-0.41</v>
      </c>
      <c r="C451" s="5">
        <v>-0.18</v>
      </c>
      <c r="D451" s="5">
        <v>-1.71</v>
      </c>
      <c r="E451" s="5">
        <v>-0.86</v>
      </c>
      <c r="F451" s="5">
        <v>-0.97</v>
      </c>
      <c r="G451" s="7">
        <v>0</v>
      </c>
      <c r="H451" s="8"/>
      <c r="I451" s="14">
        <v>121.1</v>
      </c>
      <c r="J451" s="15">
        <v>222.86</v>
      </c>
      <c r="K451" s="15">
        <v>3443.63</v>
      </c>
      <c r="L451" s="15">
        <v>212.31</v>
      </c>
      <c r="M451" s="15">
        <v>148.36000000000001</v>
      </c>
      <c r="O451" s="15">
        <f t="shared" si="14"/>
        <v>-2.6527331189710734</v>
      </c>
      <c r="P451" s="15">
        <f t="shared" si="14"/>
        <v>0.65943992773260796</v>
      </c>
      <c r="Q451" s="15">
        <f t="shared" si="14"/>
        <v>2.0331519955396615E-2</v>
      </c>
      <c r="R451" s="15">
        <f t="shared" si="13"/>
        <v>-1.8945520077630396</v>
      </c>
      <c r="S451" s="15">
        <f t="shared" si="13"/>
        <v>-2.2918861959957737</v>
      </c>
    </row>
    <row r="452" spans="1:19" ht="12.75">
      <c r="A452" s="6">
        <v>20201014</v>
      </c>
      <c r="B452" s="5">
        <v>-0.65</v>
      </c>
      <c r="C452" s="5">
        <v>-0.01</v>
      </c>
      <c r="D452" s="5">
        <v>0.03</v>
      </c>
      <c r="E452" s="5">
        <v>0.33</v>
      </c>
      <c r="F452" s="5">
        <v>0.67</v>
      </c>
      <c r="G452" s="7">
        <v>0</v>
      </c>
      <c r="H452" s="8"/>
      <c r="I452" s="14">
        <v>121.19</v>
      </c>
      <c r="J452" s="15">
        <v>220.86</v>
      </c>
      <c r="K452" s="15">
        <v>3363.71</v>
      </c>
      <c r="L452" s="15">
        <v>210.91</v>
      </c>
      <c r="M452" s="15">
        <v>148.1</v>
      </c>
      <c r="O452" s="15">
        <f t="shared" si="14"/>
        <v>7.4318744838985928E-2</v>
      </c>
      <c r="P452" s="15">
        <f t="shared" si="14"/>
        <v>-0.89742439199497204</v>
      </c>
      <c r="Q452" s="15">
        <f t="shared" si="14"/>
        <v>-2.3208068230326728</v>
      </c>
      <c r="R452" s="15">
        <f t="shared" si="14"/>
        <v>-0.65941312232113969</v>
      </c>
      <c r="S452" s="15">
        <f t="shared" si="14"/>
        <v>-0.17524939336749368</v>
      </c>
    </row>
    <row r="453" spans="1:19" ht="12.75">
      <c r="A453" s="6">
        <v>20201015</v>
      </c>
      <c r="B453" s="5">
        <v>-0.08</v>
      </c>
      <c r="C453" s="5">
        <v>1.18</v>
      </c>
      <c r="D453" s="5">
        <v>1.1299999999999999</v>
      </c>
      <c r="E453" s="5">
        <v>0.15</v>
      </c>
      <c r="F453" s="5">
        <v>0.19</v>
      </c>
      <c r="G453" s="7">
        <v>0</v>
      </c>
      <c r="H453" s="8"/>
      <c r="I453" s="14">
        <v>120.71</v>
      </c>
      <c r="J453" s="15">
        <v>219.66</v>
      </c>
      <c r="K453" s="15">
        <v>3338.65</v>
      </c>
      <c r="L453" s="15">
        <v>211.65</v>
      </c>
      <c r="M453" s="15">
        <v>147.19</v>
      </c>
      <c r="O453" s="15">
        <f t="shared" ref="O453:R516" si="15">(I453/I452-1)*100</f>
        <v>-0.39607228319168408</v>
      </c>
      <c r="P453" s="15">
        <f t="shared" si="15"/>
        <v>-0.54333061668025984</v>
      </c>
      <c r="Q453" s="15">
        <f t="shared" si="15"/>
        <v>-0.745010717332939</v>
      </c>
      <c r="R453" s="15">
        <f t="shared" si="15"/>
        <v>0.35086055663553495</v>
      </c>
      <c r="S453" s="15">
        <f t="shared" ref="S453:S516" si="16">(M453/M452-1)*100</f>
        <v>-0.61444969615124245</v>
      </c>
    </row>
    <row r="454" spans="1:19" ht="12.75">
      <c r="A454" s="6">
        <v>20201016</v>
      </c>
      <c r="B454" s="5">
        <v>-0.06</v>
      </c>
      <c r="C454" s="5">
        <v>-0.14000000000000001</v>
      </c>
      <c r="D454" s="5">
        <v>0.05</v>
      </c>
      <c r="E454" s="5">
        <v>-0.04</v>
      </c>
      <c r="F454" s="5">
        <v>-0.13</v>
      </c>
      <c r="G454" s="7">
        <v>0</v>
      </c>
      <c r="H454" s="8"/>
      <c r="I454" s="14">
        <v>119.02</v>
      </c>
      <c r="J454" s="15">
        <v>219.66</v>
      </c>
      <c r="K454" s="15">
        <v>3272.71</v>
      </c>
      <c r="L454" s="15">
        <v>211.91</v>
      </c>
      <c r="M454" s="15">
        <v>148.1</v>
      </c>
      <c r="O454" s="15">
        <f t="shared" si="15"/>
        <v>-1.4000497059067141</v>
      </c>
      <c r="P454" s="15">
        <f t="shared" si="15"/>
        <v>0</v>
      </c>
      <c r="Q454" s="15">
        <f t="shared" si="15"/>
        <v>-1.975049795576056</v>
      </c>
      <c r="R454" s="15">
        <f t="shared" si="15"/>
        <v>0.12284431845026589</v>
      </c>
      <c r="S454" s="15">
        <f t="shared" si="16"/>
        <v>0.6182485223180878</v>
      </c>
    </row>
    <row r="455" spans="1:19" ht="12.75">
      <c r="A455" s="6">
        <v>20201019</v>
      </c>
      <c r="B455" s="5">
        <v>-1.53</v>
      </c>
      <c r="C455" s="5">
        <v>0.35</v>
      </c>
      <c r="D455" s="5">
        <v>0.3</v>
      </c>
      <c r="E455" s="5">
        <v>-0.34</v>
      </c>
      <c r="F455" s="5">
        <v>-0.24</v>
      </c>
      <c r="G455" s="7">
        <v>0</v>
      </c>
      <c r="H455" s="8"/>
      <c r="I455" s="14">
        <v>115.98</v>
      </c>
      <c r="J455" s="15">
        <v>214.22</v>
      </c>
      <c r="K455" s="15">
        <v>3207.21</v>
      </c>
      <c r="L455" s="15">
        <v>208.99</v>
      </c>
      <c r="M455" s="15">
        <v>144.32</v>
      </c>
      <c r="O455" s="15">
        <f t="shared" si="15"/>
        <v>-2.55419257267685</v>
      </c>
      <c r="P455" s="15">
        <f t="shared" si="15"/>
        <v>-2.4765546754074497</v>
      </c>
      <c r="Q455" s="15">
        <f t="shared" si="15"/>
        <v>-2.0013994518304434</v>
      </c>
      <c r="R455" s="15">
        <f t="shared" si="15"/>
        <v>-1.3779434665659895</v>
      </c>
      <c r="S455" s="15">
        <f t="shared" si="16"/>
        <v>-2.5523295070898011</v>
      </c>
    </row>
    <row r="456" spans="1:19" ht="12.75">
      <c r="A456" s="6">
        <v>20201020</v>
      </c>
      <c r="B456" s="5">
        <v>0.34</v>
      </c>
      <c r="C456" s="5">
        <v>-0.09</v>
      </c>
      <c r="D456" s="5">
        <v>1.27</v>
      </c>
      <c r="E456" s="5">
        <v>0.54</v>
      </c>
      <c r="F456" s="5">
        <v>0.18</v>
      </c>
      <c r="G456" s="7">
        <v>0</v>
      </c>
      <c r="H456" s="8"/>
      <c r="I456" s="14">
        <v>117.51</v>
      </c>
      <c r="J456" s="15">
        <v>214.65</v>
      </c>
      <c r="K456" s="15">
        <v>3217.01</v>
      </c>
      <c r="L456" s="15">
        <v>210.06</v>
      </c>
      <c r="M456" s="15">
        <v>144.55000000000001</v>
      </c>
      <c r="O456" s="15">
        <f t="shared" si="15"/>
        <v>1.3191929643041833</v>
      </c>
      <c r="P456" s="15">
        <f t="shared" si="15"/>
        <v>0.20072822332182216</v>
      </c>
      <c r="Q456" s="15">
        <f t="shared" si="15"/>
        <v>0.30556153167395905</v>
      </c>
      <c r="R456" s="15">
        <f t="shared" si="15"/>
        <v>0.51198621943633338</v>
      </c>
      <c r="S456" s="15">
        <f t="shared" si="16"/>
        <v>0.15936807095344729</v>
      </c>
    </row>
    <row r="457" spans="1:19" ht="12.75">
      <c r="A457" s="6">
        <v>20201021</v>
      </c>
      <c r="B457" s="5">
        <v>-0.36</v>
      </c>
      <c r="C457" s="5">
        <v>-0.48</v>
      </c>
      <c r="D457" s="5">
        <v>0.38</v>
      </c>
      <c r="E457" s="5">
        <v>0.51</v>
      </c>
      <c r="F457" s="5">
        <v>-0.02</v>
      </c>
      <c r="G457" s="7">
        <v>0</v>
      </c>
      <c r="H457" s="8"/>
      <c r="I457" s="14">
        <v>116.87</v>
      </c>
      <c r="J457" s="15">
        <v>214.8</v>
      </c>
      <c r="K457" s="15">
        <v>3184.94</v>
      </c>
      <c r="L457" s="15">
        <v>210.18</v>
      </c>
      <c r="M457" s="15">
        <v>143.93</v>
      </c>
      <c r="O457" s="15">
        <f t="shared" si="15"/>
        <v>-0.54463449919155416</v>
      </c>
      <c r="P457" s="15">
        <f t="shared" si="15"/>
        <v>6.9881201956678574E-2</v>
      </c>
      <c r="Q457" s="15">
        <f t="shared" si="15"/>
        <v>-0.99688841501891501</v>
      </c>
      <c r="R457" s="15">
        <f t="shared" si="15"/>
        <v>5.7126535275631163E-2</v>
      </c>
      <c r="S457" s="15">
        <f t="shared" si="16"/>
        <v>-0.42891732964372986</v>
      </c>
    </row>
    <row r="458" spans="1:19" ht="12.75">
      <c r="A458" s="6">
        <v>20201022</v>
      </c>
      <c r="B458" s="5">
        <v>0.67</v>
      </c>
      <c r="C458" s="5">
        <v>0.95</v>
      </c>
      <c r="D458" s="5">
        <v>1.05</v>
      </c>
      <c r="E458" s="5">
        <v>-0.57999999999999996</v>
      </c>
      <c r="F458" s="5">
        <v>-0.06</v>
      </c>
      <c r="G458" s="7">
        <v>0</v>
      </c>
      <c r="H458" s="8"/>
      <c r="I458" s="14">
        <v>115.75</v>
      </c>
      <c r="J458" s="15">
        <v>214.89</v>
      </c>
      <c r="K458" s="15">
        <v>3176.4</v>
      </c>
      <c r="L458" s="15">
        <v>211.61</v>
      </c>
      <c r="M458" s="15">
        <v>145.08000000000001</v>
      </c>
      <c r="O458" s="15">
        <f t="shared" si="15"/>
        <v>-0.95832976811842663</v>
      </c>
      <c r="P458" s="15">
        <f t="shared" si="15"/>
        <v>4.1899441340764731E-2</v>
      </c>
      <c r="Q458" s="15">
        <f t="shared" si="15"/>
        <v>-0.26813691937681572</v>
      </c>
      <c r="R458" s="15">
        <f t="shared" si="15"/>
        <v>0.68036920734608763</v>
      </c>
      <c r="S458" s="15">
        <f t="shared" si="16"/>
        <v>0.79899951365247635</v>
      </c>
    </row>
    <row r="459" spans="1:19" ht="12.75">
      <c r="A459" s="6">
        <v>20201023</v>
      </c>
      <c r="B459" s="5">
        <v>0.38</v>
      </c>
      <c r="C459" s="5">
        <v>0.38</v>
      </c>
      <c r="D459" s="5">
        <v>0.04</v>
      </c>
      <c r="E459" s="5">
        <v>-0.15</v>
      </c>
      <c r="F459" s="5">
        <v>-0.36</v>
      </c>
      <c r="G459" s="7">
        <v>0</v>
      </c>
      <c r="H459" s="8"/>
      <c r="I459" s="14">
        <v>115.04</v>
      </c>
      <c r="J459" s="15">
        <v>216.23</v>
      </c>
      <c r="K459" s="15">
        <v>3204.4</v>
      </c>
      <c r="L459" s="15">
        <v>212.71</v>
      </c>
      <c r="M459" s="15">
        <v>145.24</v>
      </c>
      <c r="O459" s="15">
        <f t="shared" si="15"/>
        <v>-0.61339092872569889</v>
      </c>
      <c r="P459" s="15">
        <f t="shared" si="15"/>
        <v>0.62357485224999731</v>
      </c>
      <c r="Q459" s="15">
        <f t="shared" si="15"/>
        <v>0.88150107039415282</v>
      </c>
      <c r="R459" s="15">
        <f t="shared" si="15"/>
        <v>0.51982420490523928</v>
      </c>
      <c r="S459" s="15">
        <f t="shared" si="16"/>
        <v>0.11028398125172423</v>
      </c>
    </row>
    <row r="460" spans="1:19" ht="12.75">
      <c r="A460" s="6">
        <v>20201026</v>
      </c>
      <c r="B460" s="5">
        <v>-1.85</v>
      </c>
      <c r="C460" s="5">
        <v>-0.48</v>
      </c>
      <c r="D460" s="5">
        <v>-0.41</v>
      </c>
      <c r="E460" s="5">
        <v>-0.14000000000000001</v>
      </c>
      <c r="F460" s="5">
        <v>-0.03</v>
      </c>
      <c r="G460" s="7">
        <v>0</v>
      </c>
      <c r="H460" s="8"/>
      <c r="I460" s="14">
        <v>115.05</v>
      </c>
      <c r="J460" s="15">
        <v>210.08</v>
      </c>
      <c r="K460" s="15">
        <v>3207.04</v>
      </c>
      <c r="L460" s="15">
        <v>208.49</v>
      </c>
      <c r="M460" s="15">
        <v>143.97</v>
      </c>
      <c r="O460" s="15">
        <f t="shared" si="15"/>
        <v>8.6926286508859363E-3</v>
      </c>
      <c r="P460" s="15">
        <f t="shared" si="15"/>
        <v>-2.8441936826527181</v>
      </c>
      <c r="Q460" s="15">
        <f t="shared" si="15"/>
        <v>8.2386718262394965E-2</v>
      </c>
      <c r="R460" s="15">
        <f t="shared" si="15"/>
        <v>-1.9839217714258894</v>
      </c>
      <c r="S460" s="15">
        <f t="shared" si="16"/>
        <v>-0.87441476177362309</v>
      </c>
    </row>
    <row r="461" spans="1:19" ht="12.75">
      <c r="A461" s="6">
        <v>20201027</v>
      </c>
      <c r="B461" s="5">
        <v>-0.23</v>
      </c>
      <c r="C461" s="5">
        <v>-0.63</v>
      </c>
      <c r="D461" s="5">
        <v>-2.34</v>
      </c>
      <c r="E461" s="5">
        <v>-0.38</v>
      </c>
      <c r="F461" s="5">
        <v>-0.73</v>
      </c>
      <c r="G461" s="7">
        <v>0</v>
      </c>
      <c r="H461" s="8"/>
      <c r="I461" s="14">
        <v>116.6</v>
      </c>
      <c r="J461" s="15">
        <v>213.25</v>
      </c>
      <c r="K461" s="15">
        <v>3286.33</v>
      </c>
      <c r="L461" s="15">
        <v>206.88</v>
      </c>
      <c r="M461" s="15">
        <v>143.15</v>
      </c>
      <c r="O461" s="15">
        <f t="shared" si="15"/>
        <v>1.3472403302911662</v>
      </c>
      <c r="P461" s="15">
        <f t="shared" si="15"/>
        <v>1.5089489718202564</v>
      </c>
      <c r="Q461" s="15">
        <f t="shared" si="15"/>
        <v>2.4723732787866659</v>
      </c>
      <c r="R461" s="15">
        <f t="shared" si="15"/>
        <v>-0.77221929109310139</v>
      </c>
      <c r="S461" s="15">
        <f t="shared" si="16"/>
        <v>-0.56956310342431982</v>
      </c>
    </row>
    <row r="462" spans="1:19" ht="12.75">
      <c r="A462" s="6">
        <v>20201028</v>
      </c>
      <c r="B462" s="5">
        <v>-3.41</v>
      </c>
      <c r="C462" s="5">
        <v>0.2</v>
      </c>
      <c r="D462" s="5">
        <v>0.57999999999999996</v>
      </c>
      <c r="E462" s="5">
        <v>-0.47</v>
      </c>
      <c r="F462" s="5">
        <v>-0.01</v>
      </c>
      <c r="G462" s="7">
        <v>0</v>
      </c>
      <c r="H462" s="8"/>
      <c r="I462" s="14">
        <v>111.2</v>
      </c>
      <c r="J462" s="15">
        <v>202.68</v>
      </c>
      <c r="K462" s="15">
        <v>3162.78</v>
      </c>
      <c r="L462" s="15">
        <v>200.7</v>
      </c>
      <c r="M462" s="15">
        <v>138.36000000000001</v>
      </c>
      <c r="O462" s="15">
        <f t="shared" si="15"/>
        <v>-4.631217838765</v>
      </c>
      <c r="P462" s="15">
        <f t="shared" si="15"/>
        <v>-4.9566236811254383</v>
      </c>
      <c r="Q462" s="15">
        <f t="shared" si="15"/>
        <v>-3.7595128912799258</v>
      </c>
      <c r="R462" s="15">
        <f t="shared" si="15"/>
        <v>-2.987238979118334</v>
      </c>
      <c r="S462" s="15">
        <f t="shared" si="16"/>
        <v>-3.3461404121550742</v>
      </c>
    </row>
    <row r="463" spans="1:19" ht="12.75">
      <c r="A463" s="6">
        <v>20201029</v>
      </c>
      <c r="B463" s="5">
        <v>1.1299999999999999</v>
      </c>
      <c r="C463" s="5">
        <v>0.16</v>
      </c>
      <c r="D463" s="5">
        <v>0.28000000000000003</v>
      </c>
      <c r="E463" s="5">
        <v>0.3</v>
      </c>
      <c r="F463" s="5">
        <v>0.6</v>
      </c>
      <c r="G463" s="7">
        <v>0</v>
      </c>
      <c r="H463" s="8"/>
      <c r="I463" s="14">
        <v>115.32</v>
      </c>
      <c r="J463" s="15">
        <v>204.72</v>
      </c>
      <c r="K463" s="15">
        <v>3211.01</v>
      </c>
      <c r="L463" s="15">
        <v>201.51</v>
      </c>
      <c r="M463" s="15">
        <v>137.19</v>
      </c>
      <c r="O463" s="15">
        <f t="shared" si="15"/>
        <v>3.705035971223003</v>
      </c>
      <c r="P463" s="15">
        <f t="shared" si="15"/>
        <v>1.0065127294256904</v>
      </c>
      <c r="Q463" s="15">
        <f t="shared" si="15"/>
        <v>1.524924275479167</v>
      </c>
      <c r="R463" s="15">
        <f t="shared" si="15"/>
        <v>0.40358744394619617</v>
      </c>
      <c r="S463" s="15">
        <f t="shared" si="16"/>
        <v>-0.84562012142238574</v>
      </c>
    </row>
    <row r="464" spans="1:19" ht="12.75">
      <c r="A464" s="6">
        <v>20201030</v>
      </c>
      <c r="B464" s="5">
        <v>-1.45</v>
      </c>
      <c r="C464" s="5">
        <v>-0.23</v>
      </c>
      <c r="D464" s="5">
        <v>1.88</v>
      </c>
      <c r="E464" s="5">
        <v>0.22</v>
      </c>
      <c r="F464" s="5">
        <v>-0.08</v>
      </c>
      <c r="G464" s="7">
        <v>0</v>
      </c>
      <c r="H464" s="8"/>
      <c r="I464" s="14">
        <v>108.86</v>
      </c>
      <c r="J464" s="15">
        <v>202.47</v>
      </c>
      <c r="K464" s="15">
        <v>3036.15</v>
      </c>
      <c r="L464" s="15">
        <v>201.9</v>
      </c>
      <c r="M464" s="15">
        <v>137.11000000000001</v>
      </c>
      <c r="O464" s="15">
        <f t="shared" si="15"/>
        <v>-5.6018036767256252</v>
      </c>
      <c r="P464" s="15">
        <f t="shared" si="15"/>
        <v>-1.0990621336459561</v>
      </c>
      <c r="Q464" s="15">
        <f t="shared" si="15"/>
        <v>-5.4456385996929368</v>
      </c>
      <c r="R464" s="15">
        <f t="shared" si="15"/>
        <v>0.19353878219443565</v>
      </c>
      <c r="S464" s="15">
        <f t="shared" si="16"/>
        <v>-5.831328814052128E-2</v>
      </c>
    </row>
    <row r="465" spans="1:19" ht="12.75">
      <c r="A465" s="6">
        <v>20201102</v>
      </c>
      <c r="B465" s="5">
        <v>1.17</v>
      </c>
      <c r="C465" s="5">
        <v>0.84</v>
      </c>
      <c r="D465" s="5">
        <v>0.97</v>
      </c>
      <c r="E465" s="5">
        <v>0.43</v>
      </c>
      <c r="F465" s="5">
        <v>0.39</v>
      </c>
      <c r="G465" s="7">
        <v>0</v>
      </c>
      <c r="H465" s="8"/>
      <c r="I465" s="14">
        <v>108.77</v>
      </c>
      <c r="J465" s="15">
        <v>202.33</v>
      </c>
      <c r="K465" s="15">
        <v>3004.48</v>
      </c>
      <c r="L465" s="15">
        <v>204.31</v>
      </c>
      <c r="M465" s="15">
        <v>138.69</v>
      </c>
      <c r="O465" s="15">
        <f t="shared" si="15"/>
        <v>-8.2674995406950558E-2</v>
      </c>
      <c r="P465" s="15">
        <f t="shared" si="15"/>
        <v>-6.9146046327839272E-2</v>
      </c>
      <c r="Q465" s="15">
        <f t="shared" si="15"/>
        <v>-1.043097343675381</v>
      </c>
      <c r="R465" s="15">
        <f t="shared" si="15"/>
        <v>1.1936602278355579</v>
      </c>
      <c r="S465" s="15">
        <f t="shared" si="16"/>
        <v>1.1523594194442266</v>
      </c>
    </row>
    <row r="466" spans="1:19" ht="12.75">
      <c r="A466" s="6">
        <v>20201103</v>
      </c>
      <c r="B466" s="5">
        <v>1.93</v>
      </c>
      <c r="C466" s="5">
        <v>1</v>
      </c>
      <c r="D466" s="5">
        <v>-0.21</v>
      </c>
      <c r="E466" s="5">
        <v>-0.17</v>
      </c>
      <c r="F466" s="5">
        <v>0.02</v>
      </c>
      <c r="G466" s="7">
        <v>0</v>
      </c>
      <c r="H466" s="8"/>
      <c r="I466" s="14">
        <v>110.44</v>
      </c>
      <c r="J466" s="15">
        <v>206.43</v>
      </c>
      <c r="K466" s="15">
        <v>3048.41</v>
      </c>
      <c r="L466" s="15">
        <v>206.63</v>
      </c>
      <c r="M466" s="15">
        <v>138.5</v>
      </c>
      <c r="O466" s="15">
        <f t="shared" si="15"/>
        <v>1.5353498207226313</v>
      </c>
      <c r="P466" s="15">
        <f t="shared" si="15"/>
        <v>2.0263925270597616</v>
      </c>
      <c r="Q466" s="15">
        <f t="shared" si="15"/>
        <v>1.4621498562147117</v>
      </c>
      <c r="R466" s="15">
        <f t="shared" si="15"/>
        <v>1.1355293426655644</v>
      </c>
      <c r="S466" s="15">
        <f t="shared" si="16"/>
        <v>-0.13699617852764856</v>
      </c>
    </row>
    <row r="467" spans="1:19" ht="12.75">
      <c r="A467" s="6">
        <v>20201104</v>
      </c>
      <c r="B467" s="5">
        <v>2.25</v>
      </c>
      <c r="C467" s="5">
        <v>-2.5499999999999998</v>
      </c>
      <c r="D467" s="5">
        <v>-5.0199999999999996</v>
      </c>
      <c r="E467" s="5">
        <v>-0.69</v>
      </c>
      <c r="F467" s="5">
        <v>-1.72</v>
      </c>
      <c r="G467" s="7">
        <v>0</v>
      </c>
      <c r="H467" s="8"/>
      <c r="I467" s="14">
        <v>114.95</v>
      </c>
      <c r="J467" s="15">
        <v>216.39</v>
      </c>
      <c r="K467" s="15">
        <v>3241.16</v>
      </c>
      <c r="L467" s="15">
        <v>206.17</v>
      </c>
      <c r="M467" s="15">
        <v>139.4</v>
      </c>
      <c r="O467" s="15">
        <f t="shared" si="15"/>
        <v>4.0836653386454147</v>
      </c>
      <c r="P467" s="15">
        <f t="shared" si="15"/>
        <v>4.8248801046359535</v>
      </c>
      <c r="Q467" s="15">
        <f t="shared" si="15"/>
        <v>6.3229683671159664</v>
      </c>
      <c r="R467" s="15">
        <f t="shared" si="15"/>
        <v>-0.22262014228331406</v>
      </c>
      <c r="S467" s="15">
        <f t="shared" si="16"/>
        <v>0.64981949458484678</v>
      </c>
    </row>
    <row r="468" spans="1:19" ht="12.75">
      <c r="A468" s="6">
        <v>20201105</v>
      </c>
      <c r="B468" s="5">
        <v>2.13</v>
      </c>
      <c r="C468" s="5">
        <v>1.05</v>
      </c>
      <c r="D468" s="5">
        <v>0.52</v>
      </c>
      <c r="E468" s="5">
        <v>0.35</v>
      </c>
      <c r="F468" s="5">
        <v>0.56000000000000005</v>
      </c>
      <c r="G468" s="7">
        <v>0</v>
      </c>
      <c r="H468" s="8"/>
      <c r="I468" s="14">
        <v>119.03</v>
      </c>
      <c r="J468" s="15">
        <v>223.29</v>
      </c>
      <c r="K468" s="15">
        <v>3322</v>
      </c>
      <c r="L468" s="15">
        <v>207.45</v>
      </c>
      <c r="M468" s="15">
        <v>139.76</v>
      </c>
      <c r="O468" s="15">
        <f t="shared" si="15"/>
        <v>3.5493692909960739</v>
      </c>
      <c r="P468" s="15">
        <f t="shared" si="15"/>
        <v>3.1886870927491984</v>
      </c>
      <c r="Q468" s="15">
        <f t="shared" si="15"/>
        <v>2.4941687543965863</v>
      </c>
      <c r="R468" s="15">
        <f t="shared" si="15"/>
        <v>0.62084687393897386</v>
      </c>
      <c r="S468" s="15">
        <f t="shared" si="16"/>
        <v>0.25824964131992978</v>
      </c>
    </row>
    <row r="469" spans="1:19" ht="12.75">
      <c r="A469" s="6">
        <v>20201106</v>
      </c>
      <c r="B469" s="5">
        <v>0.01</v>
      </c>
      <c r="C469" s="5">
        <v>-1.0900000000000001</v>
      </c>
      <c r="D469" s="5">
        <v>-0.91</v>
      </c>
      <c r="E469" s="5">
        <v>-0.21</v>
      </c>
      <c r="F469" s="5">
        <v>-0.1</v>
      </c>
      <c r="G469" s="7">
        <v>0</v>
      </c>
      <c r="H469" s="8"/>
      <c r="I469" s="14">
        <v>118.69</v>
      </c>
      <c r="J469" s="15">
        <v>223.72</v>
      </c>
      <c r="K469" s="15">
        <v>3311.37</v>
      </c>
      <c r="L469" s="15">
        <v>208.85</v>
      </c>
      <c r="M469" s="15">
        <v>142.25</v>
      </c>
      <c r="O469" s="15">
        <f t="shared" si="15"/>
        <v>-0.28564227505670781</v>
      </c>
      <c r="P469" s="15">
        <f t="shared" si="15"/>
        <v>0.19257467866899969</v>
      </c>
      <c r="Q469" s="15">
        <f t="shared" si="15"/>
        <v>-0.3199879590608079</v>
      </c>
      <c r="R469" s="15">
        <f t="shared" si="15"/>
        <v>0.6748614123885277</v>
      </c>
      <c r="S469" s="15">
        <f t="shared" si="16"/>
        <v>1.7816256439610934</v>
      </c>
    </row>
    <row r="470" spans="1:19" ht="12.75">
      <c r="A470" s="6">
        <v>20201109</v>
      </c>
      <c r="B470" s="5">
        <v>0.87</v>
      </c>
      <c r="C470" s="5">
        <v>2.81</v>
      </c>
      <c r="D470" s="5">
        <v>6.74</v>
      </c>
      <c r="E470" s="5">
        <v>0.71</v>
      </c>
      <c r="F470" s="5">
        <v>0.84</v>
      </c>
      <c r="G470" s="7">
        <v>0</v>
      </c>
      <c r="H470" s="8"/>
      <c r="I470" s="14">
        <v>116.32</v>
      </c>
      <c r="J470" s="15">
        <v>218.39</v>
      </c>
      <c r="K470" s="15">
        <v>3143.74</v>
      </c>
      <c r="L470" s="15">
        <v>221.5</v>
      </c>
      <c r="M470" s="15">
        <v>146.08000000000001</v>
      </c>
      <c r="O470" s="15">
        <f t="shared" si="15"/>
        <v>-1.9967983823405588</v>
      </c>
      <c r="P470" s="15">
        <f t="shared" si="15"/>
        <v>-2.3824423386375915</v>
      </c>
      <c r="Q470" s="15">
        <f t="shared" si="15"/>
        <v>-5.0622551995095684</v>
      </c>
      <c r="R470" s="15">
        <f t="shared" si="15"/>
        <v>6.0569786928417635</v>
      </c>
      <c r="S470" s="15">
        <f t="shared" si="16"/>
        <v>2.6924428822495683</v>
      </c>
    </row>
    <row r="471" spans="1:19" ht="12.75">
      <c r="A471" s="6">
        <v>20201110</v>
      </c>
      <c r="B471" s="5">
        <v>-0.17</v>
      </c>
      <c r="C471" s="5">
        <v>2.06</v>
      </c>
      <c r="D471" s="5">
        <v>2.16</v>
      </c>
      <c r="E471" s="5">
        <v>0.33</v>
      </c>
      <c r="F471" s="5">
        <v>1.3</v>
      </c>
      <c r="G471" s="7">
        <v>0</v>
      </c>
      <c r="H471" s="8"/>
      <c r="I471" s="14">
        <v>115.97</v>
      </c>
      <c r="J471" s="15">
        <v>211.01</v>
      </c>
      <c r="K471" s="15">
        <v>3035.02</v>
      </c>
      <c r="L471" s="15">
        <v>228.48</v>
      </c>
      <c r="M471" s="15">
        <v>148.28</v>
      </c>
      <c r="O471" s="15">
        <f t="shared" si="15"/>
        <v>-0.30089408528197747</v>
      </c>
      <c r="P471" s="15">
        <f t="shared" si="15"/>
        <v>-3.3792756078575015</v>
      </c>
      <c r="Q471" s="15">
        <f t="shared" si="15"/>
        <v>-3.458301259009966</v>
      </c>
      <c r="R471" s="15">
        <f t="shared" si="15"/>
        <v>3.1512415349887135</v>
      </c>
      <c r="S471" s="15">
        <f t="shared" si="16"/>
        <v>1.5060240963855387</v>
      </c>
    </row>
    <row r="472" spans="1:19" ht="12.75">
      <c r="A472" s="6">
        <v>20201111</v>
      </c>
      <c r="B472" s="5">
        <v>0.88</v>
      </c>
      <c r="C472" s="5">
        <v>-1.08</v>
      </c>
      <c r="D472" s="5">
        <v>-1.79</v>
      </c>
      <c r="E472" s="5">
        <v>-0.63</v>
      </c>
      <c r="F472" s="5">
        <v>-0.21</v>
      </c>
      <c r="G472" s="7">
        <v>0</v>
      </c>
      <c r="H472" s="8"/>
      <c r="I472" s="14">
        <v>119.49</v>
      </c>
      <c r="J472" s="15">
        <v>216.55</v>
      </c>
      <c r="K472" s="15">
        <v>3137.39</v>
      </c>
      <c r="L472" s="15">
        <v>227.37</v>
      </c>
      <c r="M472" s="15">
        <v>147.80000000000001</v>
      </c>
      <c r="O472" s="15">
        <f t="shared" si="15"/>
        <v>3.0352677416573215</v>
      </c>
      <c r="P472" s="15">
        <f t="shared" si="15"/>
        <v>2.6254679872991904</v>
      </c>
      <c r="Q472" s="15">
        <f t="shared" si="15"/>
        <v>3.3729596510072346</v>
      </c>
      <c r="R472" s="15">
        <f t="shared" si="15"/>
        <v>-0.48581932773108516</v>
      </c>
      <c r="S472" s="15">
        <f t="shared" si="16"/>
        <v>-0.32371189641218212</v>
      </c>
    </row>
    <row r="473" spans="1:19" ht="12.75">
      <c r="A473" s="6">
        <v>20201112</v>
      </c>
      <c r="B473" s="5">
        <v>-0.94</v>
      </c>
      <c r="C473" s="5">
        <v>-0.56000000000000005</v>
      </c>
      <c r="D473" s="5">
        <v>-1.2</v>
      </c>
      <c r="E473" s="5">
        <v>-0.65</v>
      </c>
      <c r="F473" s="5">
        <v>-0.24</v>
      </c>
      <c r="G473" s="7">
        <v>0</v>
      </c>
      <c r="H473" s="8"/>
      <c r="I473" s="14">
        <v>119.21</v>
      </c>
      <c r="J473" s="15">
        <v>215.44</v>
      </c>
      <c r="K473" s="15">
        <v>3110.28</v>
      </c>
      <c r="L473" s="15">
        <v>224.72</v>
      </c>
      <c r="M473" s="15">
        <v>148.30000000000001</v>
      </c>
      <c r="O473" s="15">
        <f t="shared" si="15"/>
        <v>-0.23432923257176164</v>
      </c>
      <c r="P473" s="15">
        <f t="shared" si="15"/>
        <v>-0.5125836989148036</v>
      </c>
      <c r="Q473" s="15">
        <f t="shared" si="15"/>
        <v>-0.86409403995039158</v>
      </c>
      <c r="R473" s="15">
        <f t="shared" si="15"/>
        <v>-1.1655011655011704</v>
      </c>
      <c r="S473" s="15">
        <f t="shared" si="16"/>
        <v>0.33829499323410062</v>
      </c>
    </row>
    <row r="474" spans="1:19" ht="12.75">
      <c r="A474" s="6">
        <v>20201113</v>
      </c>
      <c r="B474" s="5">
        <v>1.31</v>
      </c>
      <c r="C474" s="5">
        <v>0.91</v>
      </c>
      <c r="D474" s="5">
        <v>1.1299999999999999</v>
      </c>
      <c r="E474" s="5">
        <v>0.57999999999999996</v>
      </c>
      <c r="F474" s="5">
        <v>0.43</v>
      </c>
      <c r="G474" s="7">
        <v>0</v>
      </c>
      <c r="H474" s="8"/>
      <c r="I474" s="14">
        <v>119.26</v>
      </c>
      <c r="J474" s="15">
        <v>216.51</v>
      </c>
      <c r="K474" s="15">
        <v>3128.81</v>
      </c>
      <c r="L474" s="15">
        <v>227.42</v>
      </c>
      <c r="M474" s="15">
        <v>149.9</v>
      </c>
      <c r="O474" s="15">
        <f t="shared" si="15"/>
        <v>4.194279003439938E-2</v>
      </c>
      <c r="P474" s="15">
        <f t="shared" si="15"/>
        <v>0.49665800222800094</v>
      </c>
      <c r="Q474" s="15">
        <f t="shared" si="15"/>
        <v>0.59576629756805666</v>
      </c>
      <c r="R474" s="15">
        <f t="shared" si="15"/>
        <v>1.2014951940192198</v>
      </c>
      <c r="S474" s="15">
        <f t="shared" si="16"/>
        <v>1.0788941335131419</v>
      </c>
    </row>
    <row r="475" spans="1:19" ht="12.75">
      <c r="A475" s="6">
        <v>20201116</v>
      </c>
      <c r="B475" s="5">
        <v>1.22</v>
      </c>
      <c r="C475" s="5">
        <v>1.25</v>
      </c>
      <c r="D475" s="5">
        <v>1.97</v>
      </c>
      <c r="E475" s="5">
        <v>0.68</v>
      </c>
      <c r="F475" s="5">
        <v>0.85</v>
      </c>
      <c r="G475" s="7">
        <v>0</v>
      </c>
      <c r="H475" s="8"/>
      <c r="I475" s="14">
        <v>120.3</v>
      </c>
      <c r="J475" s="15">
        <v>217.23</v>
      </c>
      <c r="K475" s="15">
        <v>3131.06</v>
      </c>
      <c r="L475" s="15">
        <v>233.1</v>
      </c>
      <c r="M475" s="15">
        <v>150.85</v>
      </c>
      <c r="O475" s="15">
        <f t="shared" si="15"/>
        <v>0.87204427301692533</v>
      </c>
      <c r="P475" s="15">
        <f t="shared" si="15"/>
        <v>0.33254815020091755</v>
      </c>
      <c r="Q475" s="15">
        <f t="shared" si="15"/>
        <v>7.1912324493972335E-2</v>
      </c>
      <c r="R475" s="15">
        <f t="shared" si="15"/>
        <v>2.4975815671445023</v>
      </c>
      <c r="S475" s="15">
        <f t="shared" si="16"/>
        <v>0.63375583722480311</v>
      </c>
    </row>
    <row r="476" spans="1:19" ht="12.75">
      <c r="A476" s="6">
        <v>20201117</v>
      </c>
      <c r="B476" s="5">
        <v>-0.19</v>
      </c>
      <c r="C476" s="5">
        <v>0.61</v>
      </c>
      <c r="D476" s="5">
        <v>0</v>
      </c>
      <c r="E476" s="5">
        <v>-0.41</v>
      </c>
      <c r="F476" s="5">
        <v>-0.4</v>
      </c>
      <c r="G476" s="7">
        <v>0</v>
      </c>
      <c r="H476" s="8"/>
      <c r="I476" s="14">
        <v>119.39</v>
      </c>
      <c r="J476" s="15">
        <v>214.46</v>
      </c>
      <c r="K476" s="15">
        <v>3135.66</v>
      </c>
      <c r="L476" s="15">
        <v>233.16</v>
      </c>
      <c r="M476" s="15">
        <v>149.35</v>
      </c>
      <c r="O476" s="15">
        <f t="shared" si="15"/>
        <v>-0.75644222776392045</v>
      </c>
      <c r="P476" s="15">
        <f t="shared" si="15"/>
        <v>-1.2751461584495583</v>
      </c>
      <c r="Q476" s="15">
        <f t="shared" si="15"/>
        <v>0.14691510223374671</v>
      </c>
      <c r="R476" s="15">
        <f t="shared" si="15"/>
        <v>2.5740025740028649E-2</v>
      </c>
      <c r="S476" s="15">
        <f t="shared" si="16"/>
        <v>-0.99436526350679122</v>
      </c>
    </row>
    <row r="477" spans="1:19" ht="12.75">
      <c r="A477" s="6">
        <v>20201118</v>
      </c>
      <c r="B477" s="5">
        <v>-0.93</v>
      </c>
      <c r="C477" s="5">
        <v>-0.05</v>
      </c>
      <c r="D477" s="5">
        <v>0.01</v>
      </c>
      <c r="E477" s="5">
        <v>0.06</v>
      </c>
      <c r="F477" s="5">
        <v>-0.41</v>
      </c>
      <c r="G477" s="7">
        <v>0</v>
      </c>
      <c r="H477" s="8"/>
      <c r="I477" s="14">
        <v>118.03</v>
      </c>
      <c r="J477" s="15">
        <v>211.08</v>
      </c>
      <c r="K477" s="15">
        <v>3105.46</v>
      </c>
      <c r="L477" s="15">
        <v>230.07</v>
      </c>
      <c r="M477" s="15">
        <v>147.37</v>
      </c>
      <c r="O477" s="15">
        <f t="shared" si="15"/>
        <v>-1.139123879721915</v>
      </c>
      <c r="P477" s="15">
        <f t="shared" si="15"/>
        <v>-1.576051478131113</v>
      </c>
      <c r="Q477" s="15">
        <f t="shared" si="15"/>
        <v>-0.96311462339666587</v>
      </c>
      <c r="R477" s="15">
        <f t="shared" si="15"/>
        <v>-1.3252702007205408</v>
      </c>
      <c r="S477" s="15">
        <f t="shared" si="16"/>
        <v>-1.3257448945430128</v>
      </c>
    </row>
    <row r="478" spans="1:19" ht="12.75">
      <c r="A478" s="6">
        <v>20201119</v>
      </c>
      <c r="B478" s="5">
        <v>0.59</v>
      </c>
      <c r="C478" s="5">
        <v>0.28999999999999998</v>
      </c>
      <c r="D478" s="5">
        <v>-0.75</v>
      </c>
      <c r="E478" s="5">
        <v>-0.65</v>
      </c>
      <c r="F478" s="5">
        <v>-0.18</v>
      </c>
      <c r="G478" s="7">
        <v>0</v>
      </c>
      <c r="H478" s="8"/>
      <c r="I478" s="14">
        <v>118.64</v>
      </c>
      <c r="J478" s="15">
        <v>212.42</v>
      </c>
      <c r="K478" s="15">
        <v>3117.02</v>
      </c>
      <c r="L478" s="15">
        <v>229.53</v>
      </c>
      <c r="M478" s="15">
        <v>147.13999999999999</v>
      </c>
      <c r="O478" s="15">
        <f t="shared" si="15"/>
        <v>0.51681775819707454</v>
      </c>
      <c r="P478" s="15">
        <f t="shared" si="15"/>
        <v>0.63483039605836122</v>
      </c>
      <c r="Q478" s="15">
        <f t="shared" si="15"/>
        <v>0.3722475897290467</v>
      </c>
      <c r="R478" s="15">
        <f t="shared" si="15"/>
        <v>-0.23471117485982518</v>
      </c>
      <c r="S478" s="15">
        <f t="shared" si="16"/>
        <v>-0.15606975639548271</v>
      </c>
    </row>
    <row r="479" spans="1:19" ht="12.75">
      <c r="A479" s="6">
        <v>20201120</v>
      </c>
      <c r="B479" s="5">
        <v>-0.51</v>
      </c>
      <c r="C479" s="5">
        <v>0.6</v>
      </c>
      <c r="D479" s="5">
        <v>-0.6</v>
      </c>
      <c r="E479" s="5">
        <v>-0.73</v>
      </c>
      <c r="F479" s="5">
        <v>-0.1</v>
      </c>
      <c r="G479" s="7">
        <v>0</v>
      </c>
      <c r="H479" s="8"/>
      <c r="I479" s="14">
        <v>117.34</v>
      </c>
      <c r="J479" s="15">
        <v>210.39</v>
      </c>
      <c r="K479" s="15">
        <v>3099.4</v>
      </c>
      <c r="L479" s="15">
        <v>227.01</v>
      </c>
      <c r="M479" s="15">
        <v>146.36000000000001</v>
      </c>
      <c r="O479" s="15">
        <f t="shared" si="15"/>
        <v>-1.0957518543492917</v>
      </c>
      <c r="P479" s="15">
        <f t="shared" si="15"/>
        <v>-0.95565389323039041</v>
      </c>
      <c r="Q479" s="15">
        <f t="shared" si="15"/>
        <v>-0.56528350796594129</v>
      </c>
      <c r="R479" s="15">
        <f t="shared" si="15"/>
        <v>-1.0978956999085132</v>
      </c>
      <c r="S479" s="15">
        <f t="shared" si="16"/>
        <v>-0.53010738072581942</v>
      </c>
    </row>
    <row r="480" spans="1:19" ht="12.75">
      <c r="A480" s="6">
        <v>20201123</v>
      </c>
      <c r="B480" s="5">
        <v>0.83</v>
      </c>
      <c r="C480" s="5">
        <v>1.42</v>
      </c>
      <c r="D480" s="5">
        <v>1.58</v>
      </c>
      <c r="E480" s="5">
        <v>0.32</v>
      </c>
      <c r="F480" s="5">
        <v>0.05</v>
      </c>
      <c r="G480" s="7">
        <v>0</v>
      </c>
      <c r="H480" s="8"/>
      <c r="I480" s="14">
        <v>113.85</v>
      </c>
      <c r="J480" s="15">
        <v>210.11</v>
      </c>
      <c r="K480" s="15">
        <v>3098.39</v>
      </c>
      <c r="L480" s="15">
        <v>229.54</v>
      </c>
      <c r="M480" s="15">
        <v>143.87</v>
      </c>
      <c r="O480" s="15">
        <f t="shared" si="15"/>
        <v>-2.9742628259758042</v>
      </c>
      <c r="P480" s="15">
        <f t="shared" si="15"/>
        <v>-0.13308617329719219</v>
      </c>
      <c r="Q480" s="15">
        <f t="shared" si="15"/>
        <v>-3.2586952313362616E-2</v>
      </c>
      <c r="R480" s="15">
        <f t="shared" si="15"/>
        <v>1.1144883485308954</v>
      </c>
      <c r="S480" s="15">
        <f t="shared" si="16"/>
        <v>-1.701284503962841</v>
      </c>
    </row>
    <row r="481" spans="1:19" ht="12.75">
      <c r="A481" s="6">
        <v>20201124</v>
      </c>
      <c r="B481" s="5">
        <v>1.56</v>
      </c>
      <c r="C481" s="5">
        <v>0.49</v>
      </c>
      <c r="D481" s="5">
        <v>2.75</v>
      </c>
      <c r="E481" s="5">
        <v>0.52</v>
      </c>
      <c r="F481" s="5">
        <v>0.52</v>
      </c>
      <c r="G481" s="7">
        <v>0</v>
      </c>
      <c r="H481" s="8"/>
      <c r="I481" s="14">
        <v>115.17</v>
      </c>
      <c r="J481" s="15">
        <v>213.86</v>
      </c>
      <c r="K481" s="15">
        <v>3118.06</v>
      </c>
      <c r="L481" s="15">
        <v>233.92</v>
      </c>
      <c r="M481" s="15">
        <v>143.87</v>
      </c>
      <c r="O481" s="15">
        <f t="shared" si="15"/>
        <v>1.1594202898550732</v>
      </c>
      <c r="P481" s="15">
        <f t="shared" si="15"/>
        <v>1.7847794012660012</v>
      </c>
      <c r="Q481" s="15">
        <f t="shared" si="15"/>
        <v>0.6348458392907208</v>
      </c>
      <c r="R481" s="15">
        <f t="shared" si="15"/>
        <v>1.9081641543957417</v>
      </c>
      <c r="S481" s="15">
        <f t="shared" si="16"/>
        <v>0</v>
      </c>
    </row>
    <row r="482" spans="1:19" ht="12.75">
      <c r="A482" s="6">
        <v>20201125</v>
      </c>
      <c r="B482" s="5">
        <v>0.03</v>
      </c>
      <c r="C482" s="5">
        <v>-0.26</v>
      </c>
      <c r="D482" s="5">
        <v>-1.33</v>
      </c>
      <c r="E482" s="5">
        <v>-0.38</v>
      </c>
      <c r="F482" s="5">
        <v>-0.53</v>
      </c>
      <c r="G482" s="7">
        <v>0</v>
      </c>
      <c r="H482" s="8"/>
      <c r="I482" s="14">
        <v>116.03</v>
      </c>
      <c r="J482" s="15">
        <v>213.87</v>
      </c>
      <c r="K482" s="15">
        <v>3185.07</v>
      </c>
      <c r="L482" s="15">
        <v>233.13</v>
      </c>
      <c r="M482" s="15">
        <v>143.68</v>
      </c>
      <c r="O482" s="15">
        <f t="shared" si="15"/>
        <v>0.74672223669358662</v>
      </c>
      <c r="P482" s="15">
        <f t="shared" si="15"/>
        <v>4.6759562330356275E-3</v>
      </c>
      <c r="Q482" s="15">
        <f t="shared" si="15"/>
        <v>2.1490927050794584</v>
      </c>
      <c r="R482" s="15">
        <f t="shared" si="15"/>
        <v>-0.33772229822160993</v>
      </c>
      <c r="S482" s="15">
        <f t="shared" si="16"/>
        <v>-0.1320636685896992</v>
      </c>
    </row>
    <row r="483" spans="1:19" ht="12.75">
      <c r="A483" s="6">
        <v>20201127</v>
      </c>
      <c r="B483" s="5">
        <v>0.43</v>
      </c>
      <c r="C483" s="5">
        <v>0.13</v>
      </c>
      <c r="D483" s="5">
        <v>-1.63</v>
      </c>
      <c r="E483" s="5">
        <v>-0.75</v>
      </c>
      <c r="F483" s="5">
        <v>-0.31</v>
      </c>
      <c r="G483" s="7">
        <v>0</v>
      </c>
      <c r="H483" s="8"/>
      <c r="I483" s="14">
        <v>116.59</v>
      </c>
      <c r="J483" s="15">
        <v>215.23</v>
      </c>
      <c r="K483" s="15">
        <v>3195.34</v>
      </c>
      <c r="L483" s="15">
        <v>231.55</v>
      </c>
      <c r="M483" s="15">
        <v>144</v>
      </c>
      <c r="O483" s="15">
        <f t="shared" si="15"/>
        <v>0.48263380160302738</v>
      </c>
      <c r="P483" s="15">
        <f t="shared" si="15"/>
        <v>0.63590031327440677</v>
      </c>
      <c r="Q483" s="15">
        <f t="shared" si="15"/>
        <v>0.32244189295682624</v>
      </c>
      <c r="R483" s="15">
        <f t="shared" si="15"/>
        <v>-0.67773345343798974</v>
      </c>
      <c r="S483" s="15">
        <f t="shared" si="16"/>
        <v>0.22271714922048602</v>
      </c>
    </row>
    <row r="484" spans="1:19" ht="12.75">
      <c r="A484" s="6">
        <v>20201130</v>
      </c>
      <c r="B484" s="5">
        <v>-0.53</v>
      </c>
      <c r="C484" s="5">
        <v>-1.55</v>
      </c>
      <c r="D484" s="5">
        <v>-2.08</v>
      </c>
      <c r="E484" s="5">
        <v>-0.47</v>
      </c>
      <c r="F484" s="5">
        <v>0.48</v>
      </c>
      <c r="G484" s="7">
        <v>0</v>
      </c>
      <c r="H484" s="8"/>
      <c r="I484" s="14">
        <v>119.05</v>
      </c>
      <c r="J484" s="15">
        <v>214.07</v>
      </c>
      <c r="K484" s="15">
        <v>3168.04</v>
      </c>
      <c r="L484" s="15">
        <v>228.91</v>
      </c>
      <c r="M484" s="15">
        <v>144.68</v>
      </c>
      <c r="O484" s="15">
        <f t="shared" si="15"/>
        <v>2.1099579723818485</v>
      </c>
      <c r="P484" s="15">
        <f t="shared" si="15"/>
        <v>-0.53895832365375984</v>
      </c>
      <c r="Q484" s="15">
        <f t="shared" si="15"/>
        <v>-0.85436917511125809</v>
      </c>
      <c r="R484" s="15">
        <f t="shared" si="15"/>
        <v>-1.1401425178147351</v>
      </c>
      <c r="S484" s="15">
        <f t="shared" si="16"/>
        <v>0.47222222222222943</v>
      </c>
    </row>
    <row r="485" spans="1:19" ht="12.75">
      <c r="A485" s="6">
        <v>20201201</v>
      </c>
      <c r="B485" s="5">
        <v>0.98</v>
      </c>
      <c r="C485" s="5">
        <v>-0.06</v>
      </c>
      <c r="D485" s="5">
        <v>0.53</v>
      </c>
      <c r="E485" s="5">
        <v>1.03</v>
      </c>
      <c r="F485" s="5">
        <v>0.47</v>
      </c>
      <c r="G485" s="7">
        <v>0</v>
      </c>
      <c r="H485" s="8"/>
      <c r="I485" s="14">
        <v>122.72</v>
      </c>
      <c r="J485" s="15">
        <v>216.21</v>
      </c>
      <c r="K485" s="15">
        <v>3220.08</v>
      </c>
      <c r="L485" s="15">
        <v>229.68</v>
      </c>
      <c r="M485" s="15">
        <v>147.44999999999999</v>
      </c>
      <c r="O485" s="15">
        <f t="shared" si="15"/>
        <v>3.0827383452330936</v>
      </c>
      <c r="P485" s="15">
        <f t="shared" si="15"/>
        <v>0.9996730041575308</v>
      </c>
      <c r="Q485" s="15">
        <f t="shared" si="15"/>
        <v>1.6426560270703661</v>
      </c>
      <c r="R485" s="15">
        <f t="shared" si="15"/>
        <v>0.33637674195099443</v>
      </c>
      <c r="S485" s="15">
        <f t="shared" si="16"/>
        <v>1.9145700857063686</v>
      </c>
    </row>
    <row r="486" spans="1:19" ht="12.75">
      <c r="A486" s="6">
        <v>20201202</v>
      </c>
      <c r="B486" s="5">
        <v>0.11</v>
      </c>
      <c r="C486" s="5">
        <v>0.21</v>
      </c>
      <c r="D486" s="5">
        <v>1.07</v>
      </c>
      <c r="E486" s="5">
        <v>0.37</v>
      </c>
      <c r="F486" s="5">
        <v>0.61</v>
      </c>
      <c r="G486" s="7">
        <v>0</v>
      </c>
      <c r="H486" s="8"/>
      <c r="I486" s="14">
        <v>123.08</v>
      </c>
      <c r="J486" s="15">
        <v>215.37</v>
      </c>
      <c r="K486" s="15">
        <v>3203.53</v>
      </c>
      <c r="L486" s="15">
        <v>230.42</v>
      </c>
      <c r="M486" s="15">
        <v>148.13999999999999</v>
      </c>
      <c r="O486" s="15">
        <f t="shared" si="15"/>
        <v>0.29335071707952132</v>
      </c>
      <c r="P486" s="15">
        <f t="shared" si="15"/>
        <v>-0.38851116969612631</v>
      </c>
      <c r="Q486" s="15">
        <f t="shared" si="15"/>
        <v>-0.51396238602766653</v>
      </c>
      <c r="R486" s="15">
        <f t="shared" si="15"/>
        <v>0.32218739115290607</v>
      </c>
      <c r="S486" s="15">
        <f t="shared" si="16"/>
        <v>0.46795523906408842</v>
      </c>
    </row>
    <row r="487" spans="1:19" ht="12.75">
      <c r="A487" s="6">
        <v>20201203</v>
      </c>
      <c r="B487" s="5">
        <v>0.18</v>
      </c>
      <c r="C487" s="5">
        <v>0.55000000000000004</v>
      </c>
      <c r="D487" s="5">
        <v>-0.06</v>
      </c>
      <c r="E487" s="5">
        <v>-0.27</v>
      </c>
      <c r="F487" s="5">
        <v>0.21</v>
      </c>
      <c r="G487" s="7">
        <v>0</v>
      </c>
      <c r="H487" s="8"/>
      <c r="I487" s="14">
        <v>122.94</v>
      </c>
      <c r="J487" s="15">
        <v>214.24</v>
      </c>
      <c r="K487" s="15">
        <v>3186.73</v>
      </c>
      <c r="L487" s="15">
        <v>231.02</v>
      </c>
      <c r="M487" s="15">
        <v>149</v>
      </c>
      <c r="O487" s="15">
        <f t="shared" si="15"/>
        <v>-0.11374715632109789</v>
      </c>
      <c r="P487" s="15">
        <f t="shared" si="15"/>
        <v>-0.5246784603240906</v>
      </c>
      <c r="Q487" s="15">
        <f t="shared" si="15"/>
        <v>-0.52442149753553213</v>
      </c>
      <c r="R487" s="15">
        <f t="shared" si="15"/>
        <v>0.26039406301536783</v>
      </c>
      <c r="S487" s="15">
        <f t="shared" si="16"/>
        <v>0.58053192925611175</v>
      </c>
    </row>
    <row r="488" spans="1:19" ht="12.75">
      <c r="A488" s="6">
        <v>20201204</v>
      </c>
      <c r="B488" s="5">
        <v>1.02</v>
      </c>
      <c r="C488" s="5">
        <v>1.59</v>
      </c>
      <c r="D488" s="5">
        <v>0.85</v>
      </c>
      <c r="E488" s="5">
        <v>-0.32</v>
      </c>
      <c r="F488" s="5">
        <v>0.6</v>
      </c>
      <c r="G488" s="7">
        <v>0</v>
      </c>
      <c r="H488" s="8"/>
      <c r="I488" s="14">
        <v>122.25</v>
      </c>
      <c r="J488" s="15">
        <v>214.36</v>
      </c>
      <c r="K488" s="15">
        <v>3162.58</v>
      </c>
      <c r="L488" s="15">
        <v>231.35</v>
      </c>
      <c r="M488" s="15">
        <v>150.27000000000001</v>
      </c>
      <c r="O488" s="15">
        <f t="shared" si="15"/>
        <v>-0.56124938994631668</v>
      </c>
      <c r="P488" s="15">
        <f t="shared" si="15"/>
        <v>5.6011949215828416E-2</v>
      </c>
      <c r="Q488" s="15">
        <f t="shared" si="15"/>
        <v>-0.75783012680710193</v>
      </c>
      <c r="R488" s="15">
        <f t="shared" si="15"/>
        <v>0.14284477534411977</v>
      </c>
      <c r="S488" s="15">
        <f t="shared" si="16"/>
        <v>0.85234899328858749</v>
      </c>
    </row>
    <row r="489" spans="1:19" ht="12.75">
      <c r="A489" s="6">
        <v>20201207</v>
      </c>
      <c r="B489" s="5">
        <v>0.03</v>
      </c>
      <c r="C489" s="5">
        <v>-7.0000000000000007E-2</v>
      </c>
      <c r="D489" s="5">
        <v>-1.04</v>
      </c>
      <c r="E489" s="5">
        <v>-0.55000000000000004</v>
      </c>
      <c r="F489" s="5">
        <v>-0.5</v>
      </c>
      <c r="G489" s="7">
        <v>0</v>
      </c>
      <c r="H489" s="8"/>
      <c r="I489" s="14">
        <v>123.75</v>
      </c>
      <c r="J489" s="15">
        <v>214.29</v>
      </c>
      <c r="K489" s="15">
        <v>3158</v>
      </c>
      <c r="L489" s="15">
        <v>229.24</v>
      </c>
      <c r="M489" s="15">
        <v>148.97</v>
      </c>
      <c r="O489" s="15">
        <f t="shared" si="15"/>
        <v>1.2269938650306678</v>
      </c>
      <c r="P489" s="15">
        <f t="shared" si="15"/>
        <v>-3.2655346146681641E-2</v>
      </c>
      <c r="Q489" s="15">
        <f t="shared" si="15"/>
        <v>-0.14481847099520051</v>
      </c>
      <c r="R489" s="15">
        <f t="shared" si="15"/>
        <v>-0.91203803760535607</v>
      </c>
      <c r="S489" s="15">
        <f t="shared" si="16"/>
        <v>-0.86510946962136126</v>
      </c>
    </row>
    <row r="490" spans="1:19" ht="12.75">
      <c r="A490" s="6">
        <v>20201208</v>
      </c>
      <c r="B490" s="5">
        <v>0.47</v>
      </c>
      <c r="C490" s="5">
        <v>0.88</v>
      </c>
      <c r="D490" s="5">
        <v>-0.73</v>
      </c>
      <c r="E490" s="5">
        <v>-0.7</v>
      </c>
      <c r="F490" s="5">
        <v>0</v>
      </c>
      <c r="G490" s="7">
        <v>0</v>
      </c>
      <c r="H490" s="8"/>
      <c r="I490" s="14">
        <v>124.38</v>
      </c>
      <c r="J490" s="15">
        <v>216.01</v>
      </c>
      <c r="K490" s="15">
        <v>3177.29</v>
      </c>
      <c r="L490" s="15">
        <v>228.19</v>
      </c>
      <c r="M490" s="15">
        <v>151.55000000000001</v>
      </c>
      <c r="O490" s="15">
        <f t="shared" si="15"/>
        <v>0.50909090909090349</v>
      </c>
      <c r="P490" s="15">
        <f t="shared" si="15"/>
        <v>0.80265061365438761</v>
      </c>
      <c r="Q490" s="15">
        <f t="shared" si="15"/>
        <v>0.6108296390120227</v>
      </c>
      <c r="R490" s="15">
        <f t="shared" si="15"/>
        <v>-0.45803524690281039</v>
      </c>
      <c r="S490" s="15">
        <f t="shared" si="16"/>
        <v>1.7318923273142328</v>
      </c>
    </row>
    <row r="491" spans="1:19" ht="12.75">
      <c r="A491" s="6">
        <v>20201209</v>
      </c>
      <c r="B491" s="5">
        <v>-1.03</v>
      </c>
      <c r="C491" s="5">
        <v>0.28999999999999998</v>
      </c>
      <c r="D491" s="5">
        <v>1.3</v>
      </c>
      <c r="E491" s="5">
        <v>0.86</v>
      </c>
      <c r="F491" s="5">
        <v>0.28999999999999998</v>
      </c>
      <c r="G491" s="7">
        <v>0</v>
      </c>
      <c r="H491" s="8"/>
      <c r="I491" s="14">
        <v>121.78</v>
      </c>
      <c r="J491" s="15">
        <v>211.8</v>
      </c>
      <c r="K491" s="15">
        <v>3104.2</v>
      </c>
      <c r="L491" s="15">
        <v>227.51</v>
      </c>
      <c r="M491" s="15">
        <v>153.1</v>
      </c>
      <c r="O491" s="15">
        <f t="shared" si="15"/>
        <v>-2.0903682264029499</v>
      </c>
      <c r="P491" s="15">
        <f t="shared" si="15"/>
        <v>-1.9489838433405793</v>
      </c>
      <c r="Q491" s="15">
        <f t="shared" si="15"/>
        <v>-2.3003880665598664</v>
      </c>
      <c r="R491" s="15">
        <f t="shared" si="15"/>
        <v>-0.29799728296595607</v>
      </c>
      <c r="S491" s="15">
        <f t="shared" si="16"/>
        <v>1.0227647641042337</v>
      </c>
    </row>
    <row r="492" spans="1:19" ht="12.75">
      <c r="A492" s="6">
        <v>20201210</v>
      </c>
      <c r="B492" s="5">
        <v>0.24</v>
      </c>
      <c r="C492" s="5">
        <v>0.91</v>
      </c>
      <c r="D492" s="5">
        <v>-0.46</v>
      </c>
      <c r="E492" s="5">
        <v>-1.5</v>
      </c>
      <c r="F492" s="5">
        <v>-0.26</v>
      </c>
      <c r="G492" s="7">
        <v>0</v>
      </c>
      <c r="H492" s="8"/>
      <c r="I492" s="14">
        <v>123.24</v>
      </c>
      <c r="J492" s="15">
        <v>210.52</v>
      </c>
      <c r="K492" s="15">
        <v>3101.49</v>
      </c>
      <c r="L492" s="15">
        <v>227.35</v>
      </c>
      <c r="M492" s="15">
        <v>152.25</v>
      </c>
      <c r="O492" s="15">
        <f t="shared" si="15"/>
        <v>1.1988832320578124</v>
      </c>
      <c r="P492" s="15">
        <f t="shared" si="15"/>
        <v>-0.60434372049102958</v>
      </c>
      <c r="Q492" s="15">
        <f t="shared" si="15"/>
        <v>-8.7301075961598862E-2</v>
      </c>
      <c r="R492" s="15">
        <f t="shared" si="15"/>
        <v>-7.0326579051471771E-2</v>
      </c>
      <c r="S492" s="15">
        <f t="shared" si="16"/>
        <v>-0.55519268451992287</v>
      </c>
    </row>
    <row r="493" spans="1:19" ht="12.75">
      <c r="A493" s="6">
        <v>20201211</v>
      </c>
      <c r="B493" s="5">
        <v>-0.2</v>
      </c>
      <c r="C493" s="5">
        <v>-0.59</v>
      </c>
      <c r="D493" s="5">
        <v>-0.75</v>
      </c>
      <c r="E493" s="5">
        <v>-0.57999999999999996</v>
      </c>
      <c r="F493" s="5">
        <v>-0.56000000000000005</v>
      </c>
      <c r="G493" s="7">
        <v>0</v>
      </c>
      <c r="H493" s="8"/>
      <c r="I493" s="14">
        <v>122.41</v>
      </c>
      <c r="J493" s="15">
        <v>213.26</v>
      </c>
      <c r="K493" s="15">
        <v>3116.42</v>
      </c>
      <c r="L493" s="15">
        <v>226.39</v>
      </c>
      <c r="M493" s="15">
        <v>152.94999999999999</v>
      </c>
      <c r="O493" s="15">
        <f t="shared" si="15"/>
        <v>-0.67348263550794929</v>
      </c>
      <c r="P493" s="15">
        <f t="shared" si="15"/>
        <v>1.3015390461713849</v>
      </c>
      <c r="Q493" s="15">
        <f t="shared" si="15"/>
        <v>0.48138152952290625</v>
      </c>
      <c r="R493" s="15">
        <f t="shared" si="15"/>
        <v>-0.42225643281285086</v>
      </c>
      <c r="S493" s="15">
        <f t="shared" si="16"/>
        <v>0.45977011494251485</v>
      </c>
    </row>
    <row r="494" spans="1:19" ht="12.75">
      <c r="A494" s="6">
        <v>20201214</v>
      </c>
      <c r="B494" s="5">
        <v>-0.28000000000000003</v>
      </c>
      <c r="C494" s="5">
        <v>0.22</v>
      </c>
      <c r="D494" s="5">
        <v>-1.55</v>
      </c>
      <c r="E494" s="5">
        <v>-0.39</v>
      </c>
      <c r="F494" s="5">
        <v>-0.82</v>
      </c>
      <c r="G494" s="7">
        <v>0</v>
      </c>
      <c r="H494" s="8"/>
      <c r="I494" s="14">
        <v>121.78</v>
      </c>
      <c r="J494" s="15">
        <v>214.2</v>
      </c>
      <c r="K494" s="15">
        <v>3156.97</v>
      </c>
      <c r="L494" s="15">
        <v>222.85</v>
      </c>
      <c r="M494" s="15">
        <v>149.07</v>
      </c>
      <c r="O494" s="15">
        <f t="shared" si="15"/>
        <v>-0.51466383465402776</v>
      </c>
      <c r="P494" s="15">
        <f t="shared" si="15"/>
        <v>0.44077651692768782</v>
      </c>
      <c r="Q494" s="15">
        <f t="shared" si="15"/>
        <v>1.3011724992138429</v>
      </c>
      <c r="R494" s="15">
        <f t="shared" si="15"/>
        <v>-1.5636733071248687</v>
      </c>
      <c r="S494" s="15">
        <f t="shared" si="16"/>
        <v>-2.5367767244197426</v>
      </c>
    </row>
    <row r="495" spans="1:19" ht="12.75">
      <c r="A495" s="6">
        <v>20201215</v>
      </c>
      <c r="B495" s="5">
        <v>1.28</v>
      </c>
      <c r="C495" s="5">
        <v>1.1499999999999999</v>
      </c>
      <c r="D495" s="5">
        <v>0.4</v>
      </c>
      <c r="E495" s="5">
        <v>0.45</v>
      </c>
      <c r="F495" s="5">
        <v>0.59</v>
      </c>
      <c r="G495" s="7">
        <v>0</v>
      </c>
      <c r="H495" s="8"/>
      <c r="I495" s="14">
        <v>127.88</v>
      </c>
      <c r="J495" s="15">
        <v>214.13</v>
      </c>
      <c r="K495" s="15">
        <v>3165.12</v>
      </c>
      <c r="L495" s="15">
        <v>224.38</v>
      </c>
      <c r="M495" s="15">
        <v>150.57</v>
      </c>
      <c r="O495" s="15">
        <f t="shared" si="15"/>
        <v>5.0090326818853725</v>
      </c>
      <c r="P495" s="15">
        <f t="shared" si="15"/>
        <v>-3.2679738562091387E-2</v>
      </c>
      <c r="Q495" s="15">
        <f t="shared" si="15"/>
        <v>0.25815893087359765</v>
      </c>
      <c r="R495" s="15">
        <f t="shared" si="15"/>
        <v>0.6865604666816294</v>
      </c>
      <c r="S495" s="15">
        <f t="shared" si="16"/>
        <v>1.0062386798148415</v>
      </c>
    </row>
    <row r="496" spans="1:19" ht="12.75">
      <c r="A496" s="6">
        <v>20201216</v>
      </c>
      <c r="B496" s="5">
        <v>0.17</v>
      </c>
      <c r="C496" s="5">
        <v>-0.57999999999999996</v>
      </c>
      <c r="D496" s="5">
        <v>-0.39</v>
      </c>
      <c r="E496" s="5">
        <v>0.04</v>
      </c>
      <c r="F496" s="5">
        <v>-0.2</v>
      </c>
      <c r="G496" s="7">
        <v>0</v>
      </c>
      <c r="H496" s="8"/>
      <c r="I496" s="14">
        <v>127.81</v>
      </c>
      <c r="J496" s="15">
        <v>219.28</v>
      </c>
      <c r="K496" s="15">
        <v>3240.96</v>
      </c>
      <c r="L496" s="15">
        <v>221.91</v>
      </c>
      <c r="M496" s="15">
        <v>149.66999999999999</v>
      </c>
      <c r="O496" s="15">
        <f t="shared" si="15"/>
        <v>-5.4738817641530879E-2</v>
      </c>
      <c r="P496" s="15">
        <f t="shared" si="15"/>
        <v>2.4050810255452415</v>
      </c>
      <c r="Q496" s="15">
        <f t="shared" si="15"/>
        <v>2.3961176827418829</v>
      </c>
      <c r="R496" s="15">
        <f t="shared" si="15"/>
        <v>-1.1008111239860896</v>
      </c>
      <c r="S496" s="15">
        <f t="shared" si="16"/>
        <v>-0.59772863120143294</v>
      </c>
    </row>
    <row r="497" spans="1:19" ht="12.75">
      <c r="A497" s="6">
        <v>20201217</v>
      </c>
      <c r="B497" s="5">
        <v>0.79</v>
      </c>
      <c r="C497" s="5">
        <v>0.49</v>
      </c>
      <c r="D497" s="5">
        <v>-0.72</v>
      </c>
      <c r="E497" s="5">
        <v>-0.57999999999999996</v>
      </c>
      <c r="F497" s="5">
        <v>-0.22</v>
      </c>
      <c r="G497" s="7">
        <v>0</v>
      </c>
      <c r="H497" s="8"/>
      <c r="I497" s="14">
        <v>128.69999999999999</v>
      </c>
      <c r="J497" s="15">
        <v>219.42</v>
      </c>
      <c r="K497" s="15">
        <v>3236.08</v>
      </c>
      <c r="L497" s="15">
        <v>224.68</v>
      </c>
      <c r="M497" s="15">
        <v>153.62</v>
      </c>
      <c r="O497" s="15">
        <f t="shared" si="15"/>
        <v>0.69634613879976381</v>
      </c>
      <c r="P497" s="15">
        <f t="shared" si="15"/>
        <v>6.3845311929955351E-2</v>
      </c>
      <c r="Q497" s="15">
        <f t="shared" si="15"/>
        <v>-0.15057266982623219</v>
      </c>
      <c r="R497" s="15">
        <f t="shared" si="15"/>
        <v>1.2482537965841978</v>
      </c>
      <c r="S497" s="15">
        <f t="shared" si="16"/>
        <v>2.6391394401015678</v>
      </c>
    </row>
    <row r="498" spans="1:19" ht="12.75">
      <c r="A498" s="6">
        <v>20201218</v>
      </c>
      <c r="B498" s="5">
        <v>-0.12</v>
      </c>
      <c r="C498" s="5">
        <v>-0.18</v>
      </c>
      <c r="D498" s="5">
        <v>-1.19</v>
      </c>
      <c r="E498" s="5">
        <v>-0.4</v>
      </c>
      <c r="F498" s="5">
        <v>-0.76</v>
      </c>
      <c r="G498" s="7">
        <v>0</v>
      </c>
      <c r="H498" s="8"/>
      <c r="I498" s="14">
        <v>126.66</v>
      </c>
      <c r="J498" s="15">
        <v>218.59</v>
      </c>
      <c r="K498" s="15">
        <v>3201.65</v>
      </c>
      <c r="L498" s="15">
        <v>223.43</v>
      </c>
      <c r="M498" s="15">
        <v>154.51</v>
      </c>
      <c r="O498" s="15">
        <f t="shared" si="15"/>
        <v>-1.5850815850815825</v>
      </c>
      <c r="P498" s="15">
        <f t="shared" si="15"/>
        <v>-0.37826998450459781</v>
      </c>
      <c r="Q498" s="15">
        <f t="shared" si="15"/>
        <v>-1.0639415589231316</v>
      </c>
      <c r="R498" s="15">
        <f t="shared" si="15"/>
        <v>-0.55634680434395456</v>
      </c>
      <c r="S498" s="15">
        <f t="shared" si="16"/>
        <v>0.57935164692095587</v>
      </c>
    </row>
    <row r="499" spans="1:19" ht="12.75">
      <c r="A499" s="6">
        <v>20201221</v>
      </c>
      <c r="B499" s="5">
        <v>-0.23</v>
      </c>
      <c r="C499" s="5">
        <v>0.24</v>
      </c>
      <c r="D499" s="5">
        <v>-0.05</v>
      </c>
      <c r="E499" s="5">
        <v>-1</v>
      </c>
      <c r="F499" s="5">
        <v>0.31</v>
      </c>
      <c r="G499" s="7">
        <v>0</v>
      </c>
      <c r="H499" s="8"/>
      <c r="I499" s="14">
        <v>128.22999999999999</v>
      </c>
      <c r="J499" s="15">
        <v>222.59</v>
      </c>
      <c r="K499" s="15">
        <v>3206.18</v>
      </c>
      <c r="L499" s="15">
        <v>223.49</v>
      </c>
      <c r="M499" s="15">
        <v>153.02000000000001</v>
      </c>
      <c r="O499" s="15">
        <f t="shared" si="15"/>
        <v>1.2395389231012022</v>
      </c>
      <c r="P499" s="15">
        <f t="shared" si="15"/>
        <v>1.8299098769385624</v>
      </c>
      <c r="Q499" s="15">
        <f t="shared" si="15"/>
        <v>0.14148954445363238</v>
      </c>
      <c r="R499" s="15">
        <f t="shared" si="15"/>
        <v>2.6854048247781925E-2</v>
      </c>
      <c r="S499" s="15">
        <f t="shared" si="16"/>
        <v>-0.96433887774253213</v>
      </c>
    </row>
    <row r="500" spans="1:19" ht="12.75">
      <c r="A500" s="6">
        <v>20201222</v>
      </c>
      <c r="B500" s="5">
        <v>0.06</v>
      </c>
      <c r="C500" s="5">
        <v>0.85</v>
      </c>
      <c r="D500" s="5">
        <v>-1.61</v>
      </c>
      <c r="E500" s="5">
        <v>-0.83</v>
      </c>
      <c r="F500" s="5">
        <v>-0.08</v>
      </c>
      <c r="G500" s="7">
        <v>0</v>
      </c>
      <c r="H500" s="8"/>
      <c r="I500" s="14">
        <v>131.88</v>
      </c>
      <c r="J500" s="15">
        <v>223.94</v>
      </c>
      <c r="K500" s="15">
        <v>3206.52</v>
      </c>
      <c r="L500" s="15">
        <v>221.88</v>
      </c>
      <c r="M500" s="15">
        <v>152.72</v>
      </c>
      <c r="O500" s="15">
        <f t="shared" si="15"/>
        <v>2.8464477891289031</v>
      </c>
      <c r="P500" s="15">
        <f t="shared" si="15"/>
        <v>0.60649624870838803</v>
      </c>
      <c r="Q500" s="15">
        <f t="shared" si="15"/>
        <v>1.060452002070722E-2</v>
      </c>
      <c r="R500" s="15">
        <f t="shared" si="15"/>
        <v>-0.72039017405700623</v>
      </c>
      <c r="S500" s="15">
        <f t="shared" si="16"/>
        <v>-0.19605280355510235</v>
      </c>
    </row>
    <row r="501" spans="1:19" ht="12.75">
      <c r="A501" s="6">
        <v>20201223</v>
      </c>
      <c r="B501" s="5">
        <v>0.1</v>
      </c>
      <c r="C501" s="5">
        <v>0.85</v>
      </c>
      <c r="D501" s="5">
        <v>2.0299999999999998</v>
      </c>
      <c r="E501" s="5">
        <v>0.28999999999999998</v>
      </c>
      <c r="F501" s="5">
        <v>0.41</v>
      </c>
      <c r="G501" s="7">
        <v>0</v>
      </c>
      <c r="H501" s="8"/>
      <c r="I501" s="14">
        <v>130.96</v>
      </c>
      <c r="J501" s="15">
        <v>221.02</v>
      </c>
      <c r="K501" s="15">
        <v>3185.27</v>
      </c>
      <c r="L501" s="15">
        <v>224.24</v>
      </c>
      <c r="M501" s="15">
        <v>151.94</v>
      </c>
      <c r="O501" s="15">
        <f t="shared" si="15"/>
        <v>-0.69760388231724368</v>
      </c>
      <c r="P501" s="15">
        <f t="shared" si="15"/>
        <v>-1.3039206930427705</v>
      </c>
      <c r="Q501" s="15">
        <f t="shared" si="15"/>
        <v>-0.66271222384391981</v>
      </c>
      <c r="R501" s="15">
        <f t="shared" si="15"/>
        <v>1.0636380025238923</v>
      </c>
      <c r="S501" s="15">
        <f t="shared" si="16"/>
        <v>-0.51073860660031389</v>
      </c>
    </row>
    <row r="502" spans="1:19" ht="12.75">
      <c r="A502" s="6">
        <v>20201224</v>
      </c>
      <c r="B502" s="5">
        <v>0.21</v>
      </c>
      <c r="C502" s="5">
        <v>-0.44</v>
      </c>
      <c r="D502" s="5">
        <v>-0.19</v>
      </c>
      <c r="E502" s="5">
        <v>0.24</v>
      </c>
      <c r="F502" s="5">
        <v>-0.08</v>
      </c>
      <c r="G502" s="7">
        <v>0</v>
      </c>
      <c r="H502" s="8"/>
      <c r="I502" s="14">
        <v>131.97</v>
      </c>
      <c r="J502" s="15">
        <v>222.75</v>
      </c>
      <c r="K502" s="15">
        <v>3172.69</v>
      </c>
      <c r="L502" s="15">
        <v>226.53</v>
      </c>
      <c r="M502" s="15">
        <v>152.47</v>
      </c>
      <c r="O502" s="15">
        <f t="shared" si="15"/>
        <v>0.77122785583383369</v>
      </c>
      <c r="P502" s="15">
        <f t="shared" si="15"/>
        <v>0.78273459415436619</v>
      </c>
      <c r="Q502" s="15">
        <f t="shared" si="15"/>
        <v>-0.39494297186737359</v>
      </c>
      <c r="R502" s="15">
        <f t="shared" si="15"/>
        <v>1.0212272565108815</v>
      </c>
      <c r="S502" s="15">
        <f t="shared" si="16"/>
        <v>0.34882190338292318</v>
      </c>
    </row>
    <row r="503" spans="1:19" ht="12.75">
      <c r="A503" s="6">
        <v>20201228</v>
      </c>
      <c r="B503" s="5">
        <v>0.46</v>
      </c>
      <c r="C503" s="5">
        <v>-0.67</v>
      </c>
      <c r="D503" s="5">
        <v>0.34</v>
      </c>
      <c r="E503" s="5">
        <v>1.37</v>
      </c>
      <c r="F503" s="5">
        <v>0.45</v>
      </c>
      <c r="G503" s="7">
        <v>0</v>
      </c>
      <c r="H503" s="8"/>
      <c r="I503" s="14">
        <v>136.69</v>
      </c>
      <c r="J503" s="15">
        <v>224.96</v>
      </c>
      <c r="K503" s="15">
        <v>3283.96</v>
      </c>
      <c r="L503" s="15">
        <v>228.41</v>
      </c>
      <c r="M503" s="15">
        <v>153.19</v>
      </c>
      <c r="O503" s="15">
        <f t="shared" si="15"/>
        <v>3.5765704326740977</v>
      </c>
      <c r="P503" s="15">
        <f t="shared" si="15"/>
        <v>0.9921436588103294</v>
      </c>
      <c r="Q503" s="15">
        <f t="shared" si="15"/>
        <v>3.5071185650032088</v>
      </c>
      <c r="R503" s="15">
        <f t="shared" si="15"/>
        <v>0.82991215291572384</v>
      </c>
      <c r="S503" s="15">
        <f t="shared" si="16"/>
        <v>0.47222404407425422</v>
      </c>
    </row>
    <row r="504" spans="1:19" ht="12.75">
      <c r="A504" s="6">
        <v>20201229</v>
      </c>
      <c r="B504" s="5">
        <v>-0.4</v>
      </c>
      <c r="C504" s="5">
        <v>-1.43</v>
      </c>
      <c r="D504" s="5">
        <v>0.24</v>
      </c>
      <c r="E504" s="5">
        <v>0.77</v>
      </c>
      <c r="F504" s="5">
        <v>-0.28999999999999998</v>
      </c>
      <c r="G504" s="7">
        <v>0</v>
      </c>
      <c r="H504" s="8"/>
      <c r="I504" s="14">
        <v>134.87</v>
      </c>
      <c r="J504" s="15">
        <v>224.15</v>
      </c>
      <c r="K504" s="15">
        <v>3322</v>
      </c>
      <c r="L504" s="15">
        <v>229.57</v>
      </c>
      <c r="M504" s="15">
        <v>154.13999999999999</v>
      </c>
      <c r="O504" s="15">
        <f t="shared" si="15"/>
        <v>-1.3314799912210074</v>
      </c>
      <c r="P504" s="15">
        <f t="shared" si="15"/>
        <v>-0.36006401137980149</v>
      </c>
      <c r="Q504" s="15">
        <f t="shared" si="15"/>
        <v>1.1583575926625178</v>
      </c>
      <c r="R504" s="15">
        <f t="shared" si="15"/>
        <v>0.50785867518934324</v>
      </c>
      <c r="S504" s="15">
        <f t="shared" si="16"/>
        <v>0.62014491807558247</v>
      </c>
    </row>
    <row r="505" spans="1:19" ht="12.75">
      <c r="A505" s="6">
        <v>20201230</v>
      </c>
      <c r="B505" s="5">
        <v>0.27</v>
      </c>
      <c r="C505" s="5">
        <v>1.05</v>
      </c>
      <c r="D505" s="5">
        <v>0.04</v>
      </c>
      <c r="E505" s="5">
        <v>-0.64</v>
      </c>
      <c r="F505" s="5">
        <v>-0.04</v>
      </c>
      <c r="G505" s="7">
        <v>0</v>
      </c>
      <c r="H505" s="8"/>
      <c r="I505" s="14">
        <v>133.72</v>
      </c>
      <c r="J505" s="15">
        <v>221.68</v>
      </c>
      <c r="K505" s="15">
        <v>3285.85</v>
      </c>
      <c r="L505" s="15">
        <v>229.65</v>
      </c>
      <c r="M505" s="15">
        <v>156.05000000000001</v>
      </c>
      <c r="O505" s="15">
        <f t="shared" si="15"/>
        <v>-0.85267294431675689</v>
      </c>
      <c r="P505" s="15">
        <f t="shared" si="15"/>
        <v>-1.1019406647334362</v>
      </c>
      <c r="Q505" s="15">
        <f t="shared" si="15"/>
        <v>-1.0881998795906123</v>
      </c>
      <c r="R505" s="15">
        <f t="shared" si="15"/>
        <v>3.4847758853517874E-2</v>
      </c>
      <c r="S505" s="15">
        <f t="shared" si="16"/>
        <v>1.2391332554820389</v>
      </c>
    </row>
    <row r="506" spans="1:19" ht="12.75">
      <c r="A506" s="6">
        <v>20201231</v>
      </c>
      <c r="B506" s="5">
        <v>0.39</v>
      </c>
      <c r="C506" s="5">
        <v>-0.7</v>
      </c>
      <c r="D506" s="5">
        <v>0.43</v>
      </c>
      <c r="E506" s="5">
        <v>0.55000000000000004</v>
      </c>
      <c r="F506" s="5">
        <v>-0.24</v>
      </c>
      <c r="G506" s="7">
        <v>0</v>
      </c>
      <c r="H506" s="8"/>
      <c r="I506" s="14">
        <v>132.69</v>
      </c>
      <c r="J506" s="15">
        <v>222.42</v>
      </c>
      <c r="K506" s="15">
        <v>3256.93</v>
      </c>
      <c r="L506" s="15">
        <v>231.87</v>
      </c>
      <c r="M506" s="15">
        <v>157.38</v>
      </c>
      <c r="O506" s="15">
        <f t="shared" si="15"/>
        <v>-0.77026622793897603</v>
      </c>
      <c r="P506" s="15">
        <f t="shared" si="15"/>
        <v>0.33381450739804475</v>
      </c>
      <c r="Q506" s="15">
        <f t="shared" si="15"/>
        <v>-0.88013755953558759</v>
      </c>
      <c r="R506" s="15">
        <f t="shared" si="15"/>
        <v>0.96668843892879774</v>
      </c>
      <c r="S506" s="15">
        <f t="shared" si="16"/>
        <v>0.85229093239345133</v>
      </c>
    </row>
    <row r="507" spans="1:19" ht="12.75">
      <c r="A507" s="6">
        <v>20210104</v>
      </c>
      <c r="B507" s="5">
        <v>-1.41</v>
      </c>
      <c r="C507" s="5">
        <v>0.16</v>
      </c>
      <c r="D507" s="5">
        <v>0.56999999999999995</v>
      </c>
      <c r="E507" s="5">
        <v>-0.64</v>
      </c>
      <c r="F507" s="5">
        <v>0.1</v>
      </c>
      <c r="G507" s="7">
        <v>0</v>
      </c>
      <c r="H507" s="8"/>
      <c r="I507" s="14">
        <v>129.41</v>
      </c>
      <c r="J507" s="15">
        <v>217.69</v>
      </c>
      <c r="K507" s="15">
        <v>3186.63</v>
      </c>
      <c r="L507" s="15">
        <v>228.45</v>
      </c>
      <c r="M507" s="15">
        <v>156.5</v>
      </c>
      <c r="O507" s="15">
        <f t="shared" si="15"/>
        <v>-2.471927048006628</v>
      </c>
      <c r="P507" s="15">
        <f t="shared" si="15"/>
        <v>-2.1266073194856516</v>
      </c>
      <c r="Q507" s="15">
        <f t="shared" si="15"/>
        <v>-2.158474391528209</v>
      </c>
      <c r="R507" s="15">
        <f t="shared" si="15"/>
        <v>-1.4749644197179501</v>
      </c>
      <c r="S507" s="15">
        <f t="shared" si="16"/>
        <v>-0.55915618248824073</v>
      </c>
    </row>
    <row r="508" spans="1:19" ht="12.75">
      <c r="A508" s="6">
        <v>20210105</v>
      </c>
      <c r="B508" s="5">
        <v>0.86</v>
      </c>
      <c r="C508" s="5">
        <v>1.3</v>
      </c>
      <c r="D508" s="5">
        <v>0.5</v>
      </c>
      <c r="E508" s="5">
        <v>0.37</v>
      </c>
      <c r="F508" s="5">
        <v>0.57999999999999996</v>
      </c>
      <c r="G508" s="7">
        <v>0</v>
      </c>
      <c r="H508" s="8"/>
      <c r="I508" s="14">
        <v>131.01</v>
      </c>
      <c r="J508" s="15">
        <v>217.9</v>
      </c>
      <c r="K508" s="15">
        <v>3218.51</v>
      </c>
      <c r="L508" s="15">
        <v>227.47</v>
      </c>
      <c r="M508" s="15">
        <v>158.34</v>
      </c>
      <c r="O508" s="15">
        <f t="shared" si="15"/>
        <v>1.2363804960976665</v>
      </c>
      <c r="P508" s="15">
        <f t="shared" si="15"/>
        <v>9.6467453718585006E-2</v>
      </c>
      <c r="Q508" s="15">
        <f t="shared" si="15"/>
        <v>1.0004299212647894</v>
      </c>
      <c r="R508" s="15">
        <f t="shared" si="15"/>
        <v>-0.42897789450645485</v>
      </c>
      <c r="S508" s="15">
        <f t="shared" si="16"/>
        <v>1.1757188498402682</v>
      </c>
    </row>
    <row r="509" spans="1:19" ht="12.75">
      <c r="A509" s="6">
        <v>20210106</v>
      </c>
      <c r="B509" s="5">
        <v>0.79</v>
      </c>
      <c r="C509" s="5">
        <v>3.14</v>
      </c>
      <c r="D509" s="5">
        <v>3.96</v>
      </c>
      <c r="E509" s="5">
        <v>0.05</v>
      </c>
      <c r="F509" s="5">
        <v>0.56000000000000005</v>
      </c>
      <c r="G509" s="7">
        <v>0</v>
      </c>
      <c r="H509" s="8"/>
      <c r="I509" s="14">
        <v>126.6</v>
      </c>
      <c r="J509" s="15">
        <v>212.25</v>
      </c>
      <c r="K509" s="15">
        <v>3138.38</v>
      </c>
      <c r="L509" s="15">
        <v>230.27</v>
      </c>
      <c r="M509" s="15">
        <v>159.83000000000001</v>
      </c>
      <c r="O509" s="15">
        <f t="shared" si="15"/>
        <v>-3.3661552553240215</v>
      </c>
      <c r="P509" s="15">
        <f t="shared" si="15"/>
        <v>-2.5929325378614032</v>
      </c>
      <c r="Q509" s="15">
        <f t="shared" si="15"/>
        <v>-2.4896613650415955</v>
      </c>
      <c r="R509" s="15">
        <f t="shared" si="15"/>
        <v>1.2309315514133834</v>
      </c>
      <c r="S509" s="15">
        <f t="shared" si="16"/>
        <v>0.94101300997853077</v>
      </c>
    </row>
    <row r="510" spans="1:19" ht="12.75">
      <c r="A510" s="6">
        <v>20210107</v>
      </c>
      <c r="B510" s="5">
        <v>1.76</v>
      </c>
      <c r="C510" s="5">
        <v>0.01</v>
      </c>
      <c r="D510" s="5">
        <v>-0.86</v>
      </c>
      <c r="E510" s="5">
        <v>-1.48</v>
      </c>
      <c r="F510" s="5">
        <v>-0.2</v>
      </c>
      <c r="G510" s="7">
        <v>0</v>
      </c>
      <c r="H510" s="8"/>
      <c r="I510" s="14">
        <v>130.91999999999999</v>
      </c>
      <c r="J510" s="15">
        <v>218.29</v>
      </c>
      <c r="K510" s="15">
        <v>3162.16</v>
      </c>
      <c r="L510" s="15">
        <v>232.88</v>
      </c>
      <c r="M510" s="15">
        <v>160.37</v>
      </c>
      <c r="O510" s="15">
        <f t="shared" si="15"/>
        <v>3.4123222748815074</v>
      </c>
      <c r="P510" s="15">
        <f t="shared" si="15"/>
        <v>2.8457008244993975</v>
      </c>
      <c r="Q510" s="15">
        <f t="shared" si="15"/>
        <v>0.75771576418406372</v>
      </c>
      <c r="R510" s="15">
        <f t="shared" si="15"/>
        <v>1.1334520345681165</v>
      </c>
      <c r="S510" s="15">
        <f t="shared" si="16"/>
        <v>0.33785897516109831</v>
      </c>
    </row>
    <row r="511" spans="1:19" ht="12.75">
      <c r="A511" s="6">
        <v>20210108</v>
      </c>
      <c r="B511" s="5">
        <v>0.51</v>
      </c>
      <c r="C511" s="5">
        <v>-1.01</v>
      </c>
      <c r="D511" s="5">
        <v>-1.38</v>
      </c>
      <c r="E511" s="5">
        <v>-0.43</v>
      </c>
      <c r="F511" s="5">
        <v>-0.38</v>
      </c>
      <c r="G511" s="7">
        <v>0</v>
      </c>
      <c r="H511" s="8"/>
      <c r="I511" s="14">
        <v>132.05000000000001</v>
      </c>
      <c r="J511" s="15">
        <v>219.62</v>
      </c>
      <c r="K511" s="15">
        <v>3182.7</v>
      </c>
      <c r="L511" s="15">
        <v>234.03</v>
      </c>
      <c r="M511" s="15">
        <v>160.04</v>
      </c>
      <c r="O511" s="15">
        <f t="shared" si="15"/>
        <v>0.86312251756799352</v>
      </c>
      <c r="P511" s="15">
        <f t="shared" si="15"/>
        <v>0.6092812313894358</v>
      </c>
      <c r="Q511" s="15">
        <f t="shared" si="15"/>
        <v>0.6495559996964051</v>
      </c>
      <c r="R511" s="15">
        <f t="shared" si="15"/>
        <v>0.49381655788389711</v>
      </c>
      <c r="S511" s="15">
        <f t="shared" si="16"/>
        <v>-0.2057741472844099</v>
      </c>
    </row>
    <row r="512" spans="1:19" ht="12.75">
      <c r="A512" s="6">
        <v>20210111</v>
      </c>
      <c r="B512" s="5">
        <v>-0.51</v>
      </c>
      <c r="C512" s="5">
        <v>0.54</v>
      </c>
      <c r="D512" s="5">
        <v>1.24</v>
      </c>
      <c r="E512" s="5">
        <v>-0.17</v>
      </c>
      <c r="F512" s="5">
        <v>0.45</v>
      </c>
      <c r="G512" s="7">
        <v>0</v>
      </c>
      <c r="H512" s="8"/>
      <c r="I512" s="14">
        <v>128.97999999999999</v>
      </c>
      <c r="J512" s="15">
        <v>217.49</v>
      </c>
      <c r="K512" s="15">
        <v>3114.21</v>
      </c>
      <c r="L512" s="15">
        <v>233.43</v>
      </c>
      <c r="M512" s="15">
        <v>159.37</v>
      </c>
      <c r="O512" s="15">
        <f t="shared" si="15"/>
        <v>-2.3248769405528336</v>
      </c>
      <c r="P512" s="15">
        <f t="shared" si="15"/>
        <v>-0.9698570257717809</v>
      </c>
      <c r="Q512" s="15">
        <f t="shared" si="15"/>
        <v>-2.1519464605523564</v>
      </c>
      <c r="R512" s="15">
        <f t="shared" si="15"/>
        <v>-0.25637738751441708</v>
      </c>
      <c r="S512" s="15">
        <f t="shared" si="16"/>
        <v>-0.41864533866532438</v>
      </c>
    </row>
    <row r="513" spans="1:19" ht="12.75">
      <c r="A513" s="6">
        <v>20210112</v>
      </c>
      <c r="B513" s="5">
        <v>0.38</v>
      </c>
      <c r="C513" s="5">
        <v>1.47</v>
      </c>
      <c r="D513" s="5">
        <v>1.24</v>
      </c>
      <c r="E513" s="5">
        <v>-0.44</v>
      </c>
      <c r="F513" s="5">
        <v>0.44</v>
      </c>
      <c r="G513" s="7">
        <v>0</v>
      </c>
      <c r="H513" s="8"/>
      <c r="I513" s="14">
        <v>128.80000000000001</v>
      </c>
      <c r="J513" s="15">
        <v>214.93</v>
      </c>
      <c r="K513" s="15">
        <v>3120.83</v>
      </c>
      <c r="L513" s="15">
        <v>233.03</v>
      </c>
      <c r="M513" s="15">
        <v>158.13</v>
      </c>
      <c r="O513" s="15">
        <f t="shared" si="15"/>
        <v>-0.13955652039073785</v>
      </c>
      <c r="P513" s="15">
        <f t="shared" si="15"/>
        <v>-1.1770656122120582</v>
      </c>
      <c r="Q513" s="15">
        <f t="shared" si="15"/>
        <v>0.21257397542233658</v>
      </c>
      <c r="R513" s="15">
        <f t="shared" si="15"/>
        <v>-0.17135758043096416</v>
      </c>
      <c r="S513" s="15">
        <f t="shared" si="16"/>
        <v>-0.77806362552551578</v>
      </c>
    </row>
    <row r="514" spans="1:19" ht="12.75">
      <c r="A514" s="6">
        <v>20210113</v>
      </c>
      <c r="B514" s="5">
        <v>7.0000000000000007E-2</v>
      </c>
      <c r="C514" s="5">
        <v>-1.04</v>
      </c>
      <c r="D514" s="5">
        <v>-0.43</v>
      </c>
      <c r="E514" s="5">
        <v>-0.21</v>
      </c>
      <c r="F514" s="5">
        <v>-0.04</v>
      </c>
      <c r="G514" s="7">
        <v>0</v>
      </c>
      <c r="H514" s="8"/>
      <c r="I514" s="14">
        <v>130.88999999999999</v>
      </c>
      <c r="J514" s="15">
        <v>216.34</v>
      </c>
      <c r="K514" s="15">
        <v>3165.89</v>
      </c>
      <c r="L514" s="15">
        <v>234.51</v>
      </c>
      <c r="M514" s="15">
        <v>157.88999999999999</v>
      </c>
      <c r="O514" s="15">
        <f t="shared" si="15"/>
        <v>1.6226708074533969</v>
      </c>
      <c r="P514" s="15">
        <f t="shared" si="15"/>
        <v>0.65602754385147843</v>
      </c>
      <c r="Q514" s="15">
        <f t="shared" si="15"/>
        <v>1.4438466689951079</v>
      </c>
      <c r="R514" s="15">
        <f t="shared" si="15"/>
        <v>0.63511135905247595</v>
      </c>
      <c r="S514" s="15">
        <f t="shared" si="16"/>
        <v>-0.15177385695314127</v>
      </c>
    </row>
    <row r="515" spans="1:19" ht="12.75">
      <c r="A515" s="6">
        <v>20210114</v>
      </c>
      <c r="B515" s="5">
        <v>-0.11</v>
      </c>
      <c r="C515" s="5">
        <v>2.36</v>
      </c>
      <c r="D515" s="5">
        <v>1.1200000000000001</v>
      </c>
      <c r="E515" s="5">
        <v>-0.98</v>
      </c>
      <c r="F515" s="5">
        <v>0.44</v>
      </c>
      <c r="G515" s="7">
        <v>0</v>
      </c>
      <c r="H515" s="8"/>
      <c r="I515" s="14">
        <v>128.91</v>
      </c>
      <c r="J515" s="15">
        <v>213.02</v>
      </c>
      <c r="K515" s="15">
        <v>3127.47</v>
      </c>
      <c r="L515" s="15">
        <v>235.02</v>
      </c>
      <c r="M515" s="15">
        <v>160.65</v>
      </c>
      <c r="O515" s="15">
        <f t="shared" si="15"/>
        <v>-1.5127206050882358</v>
      </c>
      <c r="P515" s="15">
        <f t="shared" si="15"/>
        <v>-1.5346214292317639</v>
      </c>
      <c r="Q515" s="15">
        <f t="shared" si="15"/>
        <v>-1.2135607996487607</v>
      </c>
      <c r="R515" s="15">
        <f t="shared" si="15"/>
        <v>0.21747473455291377</v>
      </c>
      <c r="S515" s="15">
        <f t="shared" si="16"/>
        <v>1.7480524415732557</v>
      </c>
    </row>
    <row r="516" spans="1:19" ht="12.75">
      <c r="A516" s="6">
        <v>20210115</v>
      </c>
      <c r="B516" s="5">
        <v>-0.86</v>
      </c>
      <c r="C516" s="5">
        <v>-0.74</v>
      </c>
      <c r="D516" s="5">
        <v>-0.74</v>
      </c>
      <c r="E516" s="5">
        <v>0.27</v>
      </c>
      <c r="F516" s="5">
        <v>-0.47</v>
      </c>
      <c r="G516" s="7">
        <v>0</v>
      </c>
      <c r="H516" s="8"/>
      <c r="I516" s="14">
        <v>127.14</v>
      </c>
      <c r="J516" s="15">
        <v>212.65</v>
      </c>
      <c r="K516" s="15">
        <v>3104.25</v>
      </c>
      <c r="L516" s="15">
        <v>233.49</v>
      </c>
      <c r="M516" s="15">
        <v>160.30000000000001</v>
      </c>
      <c r="O516" s="15">
        <f t="shared" si="15"/>
        <v>-1.3730509657900791</v>
      </c>
      <c r="P516" s="15">
        <f t="shared" si="15"/>
        <v>-0.17369261102244682</v>
      </c>
      <c r="Q516" s="15">
        <f t="shared" si="15"/>
        <v>-0.74245316501836411</v>
      </c>
      <c r="R516" s="15">
        <f t="shared" ref="R516:S579" si="17">(L516/L515-1)*100</f>
        <v>-0.65100842481491394</v>
      </c>
      <c r="S516" s="15">
        <f t="shared" si="16"/>
        <v>-0.21786492374726851</v>
      </c>
    </row>
    <row r="517" spans="1:19" ht="12.75">
      <c r="A517" s="6">
        <v>20210119</v>
      </c>
      <c r="B517" s="5">
        <v>0.92</v>
      </c>
      <c r="C517" s="5">
        <v>0.76</v>
      </c>
      <c r="D517" s="5">
        <v>-0.81</v>
      </c>
      <c r="E517" s="5">
        <v>-0.69</v>
      </c>
      <c r="F517" s="5">
        <v>7.0000000000000007E-2</v>
      </c>
      <c r="G517" s="7">
        <v>0</v>
      </c>
      <c r="H517" s="8"/>
      <c r="I517" s="14">
        <v>127.83</v>
      </c>
      <c r="J517" s="15">
        <v>216.44</v>
      </c>
      <c r="K517" s="15">
        <v>3120.76</v>
      </c>
      <c r="L517" s="15">
        <v>234.55</v>
      </c>
      <c r="M517" s="15">
        <v>162.78</v>
      </c>
      <c r="O517" s="15">
        <f t="shared" ref="O517:S580" si="18">(I517/I516-1)*100</f>
        <v>0.54270882491740391</v>
      </c>
      <c r="P517" s="15">
        <f t="shared" si="18"/>
        <v>1.7822713378791377</v>
      </c>
      <c r="Q517" s="15">
        <f t="shared" si="18"/>
        <v>0.53185149391963282</v>
      </c>
      <c r="R517" s="15">
        <f t="shared" si="17"/>
        <v>0.45398089853956325</v>
      </c>
      <c r="S517" s="15">
        <f t="shared" si="17"/>
        <v>1.5470991890205843</v>
      </c>
    </row>
    <row r="518" spans="1:19" ht="12.75">
      <c r="A518" s="6">
        <v>20210120</v>
      </c>
      <c r="B518" s="5">
        <v>1.26</v>
      </c>
      <c r="C518" s="5">
        <v>-0.76</v>
      </c>
      <c r="D518" s="5">
        <v>-1.1100000000000001</v>
      </c>
      <c r="E518" s="5">
        <v>0.64</v>
      </c>
      <c r="F518" s="5">
        <v>-0.39</v>
      </c>
      <c r="G518" s="7">
        <v>0</v>
      </c>
      <c r="H518" s="8"/>
      <c r="I518" s="14">
        <v>132.03</v>
      </c>
      <c r="J518" s="15">
        <v>224.34</v>
      </c>
      <c r="K518" s="15">
        <v>3263.38</v>
      </c>
      <c r="L518" s="15">
        <v>234.76</v>
      </c>
      <c r="M518" s="15">
        <v>162.38</v>
      </c>
      <c r="O518" s="15">
        <f t="shared" si="18"/>
        <v>3.2856137057028834</v>
      </c>
      <c r="P518" s="15">
        <f t="shared" si="18"/>
        <v>3.6499722786915489</v>
      </c>
      <c r="Q518" s="15">
        <f t="shared" si="18"/>
        <v>4.5700406311283137</v>
      </c>
      <c r="R518" s="15">
        <f t="shared" si="17"/>
        <v>8.9533148582376931E-2</v>
      </c>
      <c r="S518" s="15">
        <f t="shared" si="17"/>
        <v>-0.24573043371421965</v>
      </c>
    </row>
    <row r="519" spans="1:19" ht="12.75">
      <c r="A519" s="6">
        <v>20210121</v>
      </c>
      <c r="B519" s="5">
        <v>-0.04</v>
      </c>
      <c r="C519" s="5">
        <v>-0.76</v>
      </c>
      <c r="D519" s="5">
        <v>-0.96</v>
      </c>
      <c r="E519" s="5">
        <v>0.84</v>
      </c>
      <c r="F519" s="5">
        <v>0.36</v>
      </c>
      <c r="G519" s="7">
        <v>0</v>
      </c>
      <c r="H519" s="8"/>
      <c r="I519" s="14">
        <v>136.87</v>
      </c>
      <c r="J519" s="15">
        <v>224.97</v>
      </c>
      <c r="K519" s="15">
        <v>3306.99</v>
      </c>
      <c r="L519" s="15">
        <v>234.16</v>
      </c>
      <c r="M519" s="15">
        <v>161.72999999999999</v>
      </c>
      <c r="O519" s="15">
        <f t="shared" si="18"/>
        <v>3.6658335226842365</v>
      </c>
      <c r="P519" s="15">
        <f t="shared" si="18"/>
        <v>0.2808237496656929</v>
      </c>
      <c r="Q519" s="15">
        <f t="shared" si="18"/>
        <v>1.3363445262273954</v>
      </c>
      <c r="R519" s="15">
        <f t="shared" si="17"/>
        <v>-0.2555801669790414</v>
      </c>
      <c r="S519" s="15">
        <f t="shared" si="17"/>
        <v>-0.40029560290676391</v>
      </c>
    </row>
    <row r="520" spans="1:19" ht="12.75">
      <c r="A520" s="6">
        <v>20210122</v>
      </c>
      <c r="B520" s="5">
        <v>-7.0000000000000007E-2</v>
      </c>
      <c r="C520" s="5">
        <v>1.62</v>
      </c>
      <c r="D520" s="5">
        <v>-0.14000000000000001</v>
      </c>
      <c r="E520" s="5">
        <v>-0.67</v>
      </c>
      <c r="F520" s="5">
        <v>0.63</v>
      </c>
      <c r="G520" s="7">
        <v>0</v>
      </c>
      <c r="H520" s="8"/>
      <c r="I520" s="14">
        <v>139.07</v>
      </c>
      <c r="J520" s="15">
        <v>225.95</v>
      </c>
      <c r="K520" s="15">
        <v>3292.23</v>
      </c>
      <c r="L520" s="15">
        <v>232.92</v>
      </c>
      <c r="M520" s="15">
        <v>163.55000000000001</v>
      </c>
      <c r="O520" s="15">
        <f t="shared" si="18"/>
        <v>1.6073646525900376</v>
      </c>
      <c r="P520" s="15">
        <f t="shared" si="18"/>
        <v>0.43561363737387726</v>
      </c>
      <c r="Q520" s="15">
        <f t="shared" si="18"/>
        <v>-0.44632732484827242</v>
      </c>
      <c r="R520" s="15">
        <f t="shared" si="17"/>
        <v>-0.52955244277417268</v>
      </c>
      <c r="S520" s="15">
        <f t="shared" si="17"/>
        <v>1.1253323440301832</v>
      </c>
    </row>
    <row r="521" spans="1:19" ht="12.75">
      <c r="A521" s="6">
        <v>20210125</v>
      </c>
      <c r="B521" s="5">
        <v>0.28999999999999998</v>
      </c>
      <c r="C521" s="5">
        <v>-0.28999999999999998</v>
      </c>
      <c r="D521" s="5">
        <v>-0.42</v>
      </c>
      <c r="E521" s="5">
        <v>0.23</v>
      </c>
      <c r="F521" s="5">
        <v>0.97</v>
      </c>
      <c r="G521" s="7">
        <v>0</v>
      </c>
      <c r="H521" s="8"/>
      <c r="I521" s="14">
        <v>142.91999999999999</v>
      </c>
      <c r="J521" s="15">
        <v>229.53</v>
      </c>
      <c r="K521" s="15">
        <v>3294</v>
      </c>
      <c r="L521" s="15">
        <v>233.01</v>
      </c>
      <c r="M521" s="15">
        <v>165.98</v>
      </c>
      <c r="O521" s="15">
        <f t="shared" si="18"/>
        <v>2.7683900194146682</v>
      </c>
      <c r="P521" s="15">
        <f t="shared" si="18"/>
        <v>1.5844213321531297</v>
      </c>
      <c r="Q521" s="15">
        <f t="shared" si="18"/>
        <v>5.3762950948144095E-2</v>
      </c>
      <c r="R521" s="15">
        <f t="shared" si="17"/>
        <v>3.8639876352397629E-2</v>
      </c>
      <c r="S521" s="15">
        <f t="shared" si="17"/>
        <v>1.4857841638642455</v>
      </c>
    </row>
    <row r="522" spans="1:19" ht="12.75">
      <c r="A522" s="6">
        <v>20210126</v>
      </c>
      <c r="B522" s="5">
        <v>-0.32</v>
      </c>
      <c r="C522" s="5">
        <v>-0.03</v>
      </c>
      <c r="D522" s="5">
        <v>0.01</v>
      </c>
      <c r="E522" s="5">
        <v>1.04</v>
      </c>
      <c r="F522" s="5">
        <v>1.06</v>
      </c>
      <c r="G522" s="7">
        <v>0</v>
      </c>
      <c r="H522" s="8"/>
      <c r="I522" s="14">
        <v>143.16</v>
      </c>
      <c r="J522" s="15">
        <v>232.33</v>
      </c>
      <c r="K522" s="15">
        <v>3326.13</v>
      </c>
      <c r="L522" s="15">
        <v>231.57</v>
      </c>
      <c r="M522" s="15">
        <v>170.48</v>
      </c>
      <c r="O522" s="15">
        <f t="shared" si="18"/>
        <v>0.16792611251050804</v>
      </c>
      <c r="P522" s="15">
        <f t="shared" si="18"/>
        <v>1.2198841110094616</v>
      </c>
      <c r="Q522" s="15">
        <f t="shared" si="18"/>
        <v>0.97540983606556608</v>
      </c>
      <c r="R522" s="15">
        <f t="shared" si="17"/>
        <v>-0.61799922750096492</v>
      </c>
      <c r="S522" s="15">
        <f t="shared" si="17"/>
        <v>2.7111700204843991</v>
      </c>
    </row>
    <row r="523" spans="1:19" ht="12.75">
      <c r="A523" s="6">
        <v>20210127</v>
      </c>
      <c r="B523" s="5">
        <v>-2.5299999999999998</v>
      </c>
      <c r="C523" s="5">
        <v>1.19</v>
      </c>
      <c r="D523" s="5">
        <v>1.54</v>
      </c>
      <c r="E523" s="5">
        <v>0.59</v>
      </c>
      <c r="F523" s="5">
        <v>2.46</v>
      </c>
      <c r="G523" s="7">
        <v>0</v>
      </c>
      <c r="H523" s="8"/>
      <c r="I523" s="14">
        <v>142.06</v>
      </c>
      <c r="J523" s="15">
        <v>232.9</v>
      </c>
      <c r="K523" s="15">
        <v>3232.58</v>
      </c>
      <c r="L523" s="15">
        <v>227.36</v>
      </c>
      <c r="M523" s="15">
        <v>167.88</v>
      </c>
      <c r="O523" s="15">
        <f t="shared" si="18"/>
        <v>-0.7683710533668564</v>
      </c>
      <c r="P523" s="15">
        <f t="shared" si="18"/>
        <v>0.24534067920629621</v>
      </c>
      <c r="Q523" s="15">
        <f t="shared" si="18"/>
        <v>-2.8125779810169838</v>
      </c>
      <c r="R523" s="15">
        <f t="shared" si="17"/>
        <v>-1.8180247873213151</v>
      </c>
      <c r="S523" s="15">
        <f t="shared" si="17"/>
        <v>-1.5251055842327554</v>
      </c>
    </row>
    <row r="524" spans="1:19" ht="12.75">
      <c r="A524" s="6">
        <v>20210128</v>
      </c>
      <c r="B524" s="5">
        <v>0.92</v>
      </c>
      <c r="C524" s="5">
        <v>-1.68</v>
      </c>
      <c r="D524" s="5">
        <v>-0.88</v>
      </c>
      <c r="E524" s="5">
        <v>-1.06</v>
      </c>
      <c r="F524" s="5">
        <v>-2.2599999999999998</v>
      </c>
      <c r="G524" s="7">
        <v>0</v>
      </c>
      <c r="H524" s="8"/>
      <c r="I524" s="14">
        <v>137.09</v>
      </c>
      <c r="J524" s="15">
        <v>238.93</v>
      </c>
      <c r="K524" s="15">
        <v>3237.62</v>
      </c>
      <c r="L524" s="15">
        <v>230.95</v>
      </c>
      <c r="M524" s="15">
        <v>169.16</v>
      </c>
      <c r="O524" s="15">
        <f t="shared" si="18"/>
        <v>-3.498521751372663</v>
      </c>
      <c r="P524" s="15">
        <f t="shared" si="18"/>
        <v>2.589094031773298</v>
      </c>
      <c r="Q524" s="15">
        <f t="shared" si="18"/>
        <v>0.15591261469167783</v>
      </c>
      <c r="R524" s="15">
        <f t="shared" si="17"/>
        <v>1.5789936664320825</v>
      </c>
      <c r="S524" s="15">
        <f t="shared" si="17"/>
        <v>0.76244936859661827</v>
      </c>
    </row>
    <row r="525" spans="1:19" ht="12.75">
      <c r="A525" s="6">
        <v>20210129</v>
      </c>
      <c r="B525" s="5">
        <v>-1.84</v>
      </c>
      <c r="C525" s="5">
        <v>0.4</v>
      </c>
      <c r="D525" s="5">
        <v>0.56000000000000005</v>
      </c>
      <c r="E525" s="5">
        <v>-0.75</v>
      </c>
      <c r="F525" s="5">
        <v>0.38</v>
      </c>
      <c r="G525" s="7">
        <v>0</v>
      </c>
      <c r="H525" s="8"/>
      <c r="I525" s="14">
        <v>131.96</v>
      </c>
      <c r="J525" s="15">
        <v>231.96</v>
      </c>
      <c r="K525" s="15">
        <v>3206.2</v>
      </c>
      <c r="L525" s="15">
        <v>227.87</v>
      </c>
      <c r="M525" s="15">
        <v>163.13</v>
      </c>
      <c r="O525" s="15">
        <f t="shared" si="18"/>
        <v>-3.7420672550878997</v>
      </c>
      <c r="P525" s="15">
        <f t="shared" si="18"/>
        <v>-2.9171723935880745</v>
      </c>
      <c r="Q525" s="15">
        <f t="shared" si="18"/>
        <v>-0.97046595956289394</v>
      </c>
      <c r="R525" s="15">
        <f t="shared" si="17"/>
        <v>-1.3336219961030404</v>
      </c>
      <c r="S525" s="15">
        <f t="shared" si="17"/>
        <v>-3.5646724994088497</v>
      </c>
    </row>
    <row r="526" spans="1:19" ht="12.75">
      <c r="A526" s="6">
        <v>20210201</v>
      </c>
      <c r="B526" s="5">
        <v>1.73</v>
      </c>
      <c r="C526" s="5">
        <v>0.75</v>
      </c>
      <c r="D526" s="5">
        <v>-1.47</v>
      </c>
      <c r="E526" s="5">
        <v>-0.23</v>
      </c>
      <c r="F526" s="5">
        <v>-1.23</v>
      </c>
      <c r="G526" s="7">
        <v>0</v>
      </c>
      <c r="H526" s="8"/>
      <c r="I526" s="14">
        <v>134.13999999999999</v>
      </c>
      <c r="J526" s="15">
        <v>239.65</v>
      </c>
      <c r="K526" s="15">
        <v>3342.88</v>
      </c>
      <c r="L526" s="15">
        <v>229.32</v>
      </c>
      <c r="M526" s="15">
        <v>162.71</v>
      </c>
      <c r="O526" s="15">
        <f t="shared" si="18"/>
        <v>1.6520157623522103</v>
      </c>
      <c r="P526" s="15">
        <f t="shared" si="18"/>
        <v>3.3152267632350352</v>
      </c>
      <c r="Q526" s="15">
        <f t="shared" si="18"/>
        <v>4.2629904559915222</v>
      </c>
      <c r="R526" s="15">
        <f t="shared" si="17"/>
        <v>0.63632773072366255</v>
      </c>
      <c r="S526" s="15">
        <f t="shared" si="17"/>
        <v>-0.2574633727701725</v>
      </c>
    </row>
    <row r="527" spans="1:19" ht="12.75">
      <c r="A527" s="6">
        <v>20210202</v>
      </c>
      <c r="B527" s="5">
        <v>1.48</v>
      </c>
      <c r="C527" s="5">
        <v>-0.79</v>
      </c>
      <c r="D527" s="5">
        <v>-1.01</v>
      </c>
      <c r="E527" s="5">
        <v>-0.99</v>
      </c>
      <c r="F527" s="5">
        <v>-2.1</v>
      </c>
      <c r="G527" s="7">
        <v>0</v>
      </c>
      <c r="H527" s="8"/>
      <c r="I527" s="14">
        <v>134.99</v>
      </c>
      <c r="J527" s="15">
        <v>239.51</v>
      </c>
      <c r="K527" s="15">
        <v>3380</v>
      </c>
      <c r="L527" s="15">
        <v>232.24</v>
      </c>
      <c r="M527" s="15">
        <v>161.25</v>
      </c>
      <c r="O527" s="15">
        <f t="shared" si="18"/>
        <v>0.63366631877144197</v>
      </c>
      <c r="P527" s="15">
        <f t="shared" si="18"/>
        <v>-5.8418527018577748E-2</v>
      </c>
      <c r="Q527" s="15">
        <f t="shared" si="18"/>
        <v>1.1104197578136077</v>
      </c>
      <c r="R527" s="15">
        <f t="shared" si="17"/>
        <v>1.2733298447584307</v>
      </c>
      <c r="S527" s="15">
        <f t="shared" si="17"/>
        <v>-0.89730194825149434</v>
      </c>
    </row>
    <row r="528" spans="1:19" ht="12.75">
      <c r="A528" s="6">
        <v>20210203</v>
      </c>
      <c r="B528" s="5">
        <v>0.15</v>
      </c>
      <c r="C528" s="5">
        <v>0.66</v>
      </c>
      <c r="D528" s="5">
        <v>0.76</v>
      </c>
      <c r="E528" s="5">
        <v>-7.0000000000000007E-2</v>
      </c>
      <c r="F528" s="5">
        <v>0.21</v>
      </c>
      <c r="G528" s="7">
        <v>0</v>
      </c>
      <c r="H528" s="8"/>
      <c r="I528" s="14">
        <v>133.94</v>
      </c>
      <c r="J528" s="15">
        <v>243</v>
      </c>
      <c r="K528" s="15">
        <v>3312.53</v>
      </c>
      <c r="L528" s="15">
        <v>232.68</v>
      </c>
      <c r="M528" s="15">
        <v>160.5</v>
      </c>
      <c r="O528" s="15">
        <f t="shared" si="18"/>
        <v>-0.77783539521446565</v>
      </c>
      <c r="P528" s="15">
        <f t="shared" si="18"/>
        <v>1.457141664231143</v>
      </c>
      <c r="Q528" s="15">
        <f t="shared" si="18"/>
        <v>-1.9961538461538364</v>
      </c>
      <c r="R528" s="15">
        <f t="shared" si="17"/>
        <v>0.18945918015844665</v>
      </c>
      <c r="S528" s="15">
        <f t="shared" si="17"/>
        <v>-0.46511627906976605</v>
      </c>
    </row>
    <row r="529" spans="1:19" ht="12.75">
      <c r="A529" s="6">
        <v>20210204</v>
      </c>
      <c r="B529" s="5">
        <v>1.23</v>
      </c>
      <c r="C529" s="5">
        <v>0.61</v>
      </c>
      <c r="D529" s="5">
        <v>0.36</v>
      </c>
      <c r="E529" s="5">
        <v>-0.1</v>
      </c>
      <c r="F529" s="5">
        <v>-0.23</v>
      </c>
      <c r="G529" s="7">
        <v>0</v>
      </c>
      <c r="H529" s="8"/>
      <c r="I529" s="14">
        <v>137.38999999999999</v>
      </c>
      <c r="J529" s="15">
        <v>242.01</v>
      </c>
      <c r="K529" s="15">
        <v>3331</v>
      </c>
      <c r="L529" s="15">
        <v>235.77</v>
      </c>
      <c r="M529" s="15">
        <v>161.99</v>
      </c>
      <c r="O529" s="15">
        <f t="shared" si="18"/>
        <v>2.5757802000895946</v>
      </c>
      <c r="P529" s="15">
        <f t="shared" si="18"/>
        <v>-0.40740740740741188</v>
      </c>
      <c r="Q529" s="15">
        <f t="shared" si="18"/>
        <v>0.55757985588054115</v>
      </c>
      <c r="R529" s="15">
        <f t="shared" si="17"/>
        <v>1.328004125838067</v>
      </c>
      <c r="S529" s="15">
        <f t="shared" si="17"/>
        <v>0.9283489096573172</v>
      </c>
    </row>
    <row r="530" spans="1:19" ht="12.75">
      <c r="A530" s="6">
        <v>20210205</v>
      </c>
      <c r="B530" s="5">
        <v>0.57999999999999996</v>
      </c>
      <c r="C530" s="5">
        <v>0.96</v>
      </c>
      <c r="D530" s="5">
        <v>-0.49</v>
      </c>
      <c r="E530" s="5">
        <v>-0.73</v>
      </c>
      <c r="F530" s="5">
        <v>0.39</v>
      </c>
      <c r="G530" s="7">
        <v>0</v>
      </c>
      <c r="H530" s="8"/>
      <c r="I530" s="14">
        <v>136.76</v>
      </c>
      <c r="J530" s="15">
        <v>242.2</v>
      </c>
      <c r="K530" s="15">
        <v>3352.15</v>
      </c>
      <c r="L530" s="15">
        <v>235.16</v>
      </c>
      <c r="M530" s="15">
        <v>164.45</v>
      </c>
      <c r="O530" s="15">
        <f t="shared" si="18"/>
        <v>-0.45854865710750481</v>
      </c>
      <c r="P530" s="15">
        <f t="shared" si="18"/>
        <v>7.8509152514349978E-2</v>
      </c>
      <c r="Q530" s="15">
        <f t="shared" si="18"/>
        <v>0.63494446112279945</v>
      </c>
      <c r="R530" s="15">
        <f t="shared" si="17"/>
        <v>-0.25872672519828832</v>
      </c>
      <c r="S530" s="15">
        <f t="shared" si="17"/>
        <v>1.518612260016039</v>
      </c>
    </row>
    <row r="531" spans="1:19" ht="12.75">
      <c r="A531" s="6">
        <v>20210208</v>
      </c>
      <c r="B531" s="5">
        <v>0.96</v>
      </c>
      <c r="C531" s="5">
        <v>2.23</v>
      </c>
      <c r="D531" s="5">
        <v>0.43</v>
      </c>
      <c r="E531" s="5">
        <v>-0.91</v>
      </c>
      <c r="F531" s="5">
        <v>0.75</v>
      </c>
      <c r="G531" s="7">
        <v>0</v>
      </c>
      <c r="H531" s="8"/>
      <c r="I531" s="14">
        <v>136.91</v>
      </c>
      <c r="J531" s="15">
        <v>242.47</v>
      </c>
      <c r="K531" s="15">
        <v>3322.94</v>
      </c>
      <c r="L531" s="15">
        <v>237.42</v>
      </c>
      <c r="M531" s="15">
        <v>164.92</v>
      </c>
      <c r="O531" s="15">
        <f t="shared" si="18"/>
        <v>0.10968119333139015</v>
      </c>
      <c r="P531" s="15">
        <f t="shared" si="18"/>
        <v>0.11147811725846779</v>
      </c>
      <c r="Q531" s="15">
        <f t="shared" si="18"/>
        <v>-0.87138105395044851</v>
      </c>
      <c r="R531" s="15">
        <f t="shared" si="17"/>
        <v>0.96104779724441869</v>
      </c>
      <c r="S531" s="15">
        <f t="shared" si="17"/>
        <v>0.28580115536638306</v>
      </c>
    </row>
    <row r="532" spans="1:19" ht="12.75">
      <c r="A532" s="6">
        <v>20210209</v>
      </c>
      <c r="B532" s="5">
        <v>0.05</v>
      </c>
      <c r="C532" s="5">
        <v>0.65</v>
      </c>
      <c r="D532" s="5">
        <v>-0.08</v>
      </c>
      <c r="E532" s="5">
        <v>-0.66</v>
      </c>
      <c r="F532" s="5">
        <v>-0.42</v>
      </c>
      <c r="G532" s="7">
        <v>0</v>
      </c>
      <c r="H532" s="8"/>
      <c r="I532" s="14">
        <v>136.01</v>
      </c>
      <c r="J532" s="15">
        <v>243.77</v>
      </c>
      <c r="K532" s="15">
        <v>3305</v>
      </c>
      <c r="L532" s="15">
        <v>239.91</v>
      </c>
      <c r="M532" s="15">
        <v>166.27</v>
      </c>
      <c r="O532" s="15">
        <f t="shared" si="18"/>
        <v>-0.65736615294719192</v>
      </c>
      <c r="P532" s="15">
        <f t="shared" si="18"/>
        <v>0.53614880191363845</v>
      </c>
      <c r="Q532" s="15">
        <f t="shared" si="18"/>
        <v>-0.53988335630495987</v>
      </c>
      <c r="R532" s="15">
        <f t="shared" si="17"/>
        <v>1.0487743239828262</v>
      </c>
      <c r="S532" s="15">
        <f t="shared" si="17"/>
        <v>0.81857870482660022</v>
      </c>
    </row>
    <row r="533" spans="1:19" ht="12.75">
      <c r="A533" s="6">
        <v>20210210</v>
      </c>
      <c r="B533" s="5">
        <v>-0.08</v>
      </c>
      <c r="C533" s="5">
        <v>-0.53</v>
      </c>
      <c r="D533" s="5">
        <v>0.82</v>
      </c>
      <c r="E533" s="5">
        <v>0.31</v>
      </c>
      <c r="F533" s="5">
        <v>0.1</v>
      </c>
      <c r="G533" s="7">
        <v>0</v>
      </c>
      <c r="H533" s="8"/>
      <c r="I533" s="14">
        <v>135.38999999999999</v>
      </c>
      <c r="J533" s="15">
        <v>242.82</v>
      </c>
      <c r="K533" s="15">
        <v>3286.58</v>
      </c>
      <c r="L533" s="15">
        <v>239.92</v>
      </c>
      <c r="M533" s="15">
        <v>166.81</v>
      </c>
      <c r="O533" s="15">
        <f t="shared" si="18"/>
        <v>-0.4558488346445122</v>
      </c>
      <c r="P533" s="15">
        <f t="shared" si="18"/>
        <v>-0.38971161340608518</v>
      </c>
      <c r="Q533" s="15">
        <f t="shared" si="18"/>
        <v>-0.55733736762481056</v>
      </c>
      <c r="R533" s="15">
        <f t="shared" si="17"/>
        <v>4.168229752821162E-3</v>
      </c>
      <c r="S533" s="15">
        <f t="shared" si="17"/>
        <v>0.32477295964394859</v>
      </c>
    </row>
    <row r="534" spans="1:19" ht="12.75">
      <c r="A534" s="6">
        <v>20210211</v>
      </c>
      <c r="B534" s="5">
        <v>0.19</v>
      </c>
      <c r="C534" s="5">
        <v>-0.22</v>
      </c>
      <c r="D534" s="5">
        <v>-0.68</v>
      </c>
      <c r="E534" s="5">
        <v>-0.45</v>
      </c>
      <c r="F534" s="5">
        <v>-0.26</v>
      </c>
      <c r="G534" s="7">
        <v>0</v>
      </c>
      <c r="H534" s="8"/>
      <c r="I534" s="14">
        <v>135.13</v>
      </c>
      <c r="J534" s="15">
        <v>244.49</v>
      </c>
      <c r="K534" s="15">
        <v>3262.13</v>
      </c>
      <c r="L534" s="15">
        <v>239.76</v>
      </c>
      <c r="M534" s="15">
        <v>166.06</v>
      </c>
      <c r="O534" s="15">
        <f t="shared" si="18"/>
        <v>-0.19203781667773701</v>
      </c>
      <c r="P534" s="15">
        <f t="shared" si="18"/>
        <v>0.68775224446091521</v>
      </c>
      <c r="Q534" s="15">
        <f t="shared" si="18"/>
        <v>-0.74393442423430489</v>
      </c>
      <c r="R534" s="15">
        <f t="shared" si="17"/>
        <v>-6.6688896298761069E-2</v>
      </c>
      <c r="S534" s="15">
        <f t="shared" si="17"/>
        <v>-0.4496133325340157</v>
      </c>
    </row>
    <row r="535" spans="1:19" ht="12.75">
      <c r="A535" s="6">
        <v>20210212</v>
      </c>
      <c r="B535" s="5">
        <v>0.49</v>
      </c>
      <c r="C535" s="5">
        <v>-0.12</v>
      </c>
      <c r="D535" s="5">
        <v>0.46</v>
      </c>
      <c r="E535" s="5">
        <v>-0.38</v>
      </c>
      <c r="F535" s="5">
        <v>-0.06</v>
      </c>
      <c r="G535" s="7">
        <v>0</v>
      </c>
      <c r="H535" s="8"/>
      <c r="I535" s="14">
        <v>135.37</v>
      </c>
      <c r="J535" s="15">
        <v>244.99</v>
      </c>
      <c r="K535" s="15">
        <v>3277.71</v>
      </c>
      <c r="L535" s="15">
        <v>242.46</v>
      </c>
      <c r="M535" s="15">
        <v>166.58</v>
      </c>
      <c r="O535" s="15">
        <f t="shared" si="18"/>
        <v>0.17760674905646923</v>
      </c>
      <c r="P535" s="15">
        <f t="shared" si="18"/>
        <v>0.20450734181356456</v>
      </c>
      <c r="Q535" s="15">
        <f t="shared" si="18"/>
        <v>0.47760205755136287</v>
      </c>
      <c r="R535" s="15">
        <f t="shared" si="17"/>
        <v>1.1261261261261257</v>
      </c>
      <c r="S535" s="15">
        <f t="shared" si="17"/>
        <v>0.31313982897749337</v>
      </c>
    </row>
    <row r="536" spans="1:19" ht="12.75">
      <c r="A536" s="6">
        <v>20210216</v>
      </c>
      <c r="B536" s="5">
        <v>-0.14000000000000001</v>
      </c>
      <c r="C536" s="5">
        <v>-0.26</v>
      </c>
      <c r="D536" s="5">
        <v>1.96</v>
      </c>
      <c r="E536" s="5">
        <v>0.17</v>
      </c>
      <c r="F536" s="5">
        <v>0.04</v>
      </c>
      <c r="G536" s="7">
        <v>0</v>
      </c>
      <c r="H536" s="8"/>
      <c r="I536" s="14">
        <v>133.19</v>
      </c>
      <c r="J536" s="15">
        <v>243.7</v>
      </c>
      <c r="K536" s="15">
        <v>3268.95</v>
      </c>
      <c r="L536" s="15">
        <v>245.28</v>
      </c>
      <c r="M536" s="15">
        <v>165.07</v>
      </c>
      <c r="O536" s="15">
        <f t="shared" si="18"/>
        <v>-1.6104011228484927</v>
      </c>
      <c r="P536" s="15">
        <f t="shared" si="18"/>
        <v>-0.52655210416752141</v>
      </c>
      <c r="Q536" s="15">
        <f t="shared" si="18"/>
        <v>-0.26725976367647508</v>
      </c>
      <c r="R536" s="15">
        <f t="shared" si="17"/>
        <v>1.163078445929222</v>
      </c>
      <c r="S536" s="15">
        <f t="shared" si="17"/>
        <v>-0.90647136510987325</v>
      </c>
    </row>
    <row r="537" spans="1:19" ht="12.75">
      <c r="A537" s="6">
        <v>20210217</v>
      </c>
      <c r="B537" s="5">
        <v>-0.21</v>
      </c>
      <c r="C537" s="5">
        <v>-0.68</v>
      </c>
      <c r="D537" s="5">
        <v>0.56000000000000005</v>
      </c>
      <c r="E537" s="5">
        <v>0.26</v>
      </c>
      <c r="F537" s="5">
        <v>-0.17</v>
      </c>
      <c r="G537" s="7">
        <v>0</v>
      </c>
      <c r="H537" s="8"/>
      <c r="I537" s="14">
        <v>130.84</v>
      </c>
      <c r="J537" s="15">
        <v>244.2</v>
      </c>
      <c r="K537" s="15">
        <v>3308.64</v>
      </c>
      <c r="L537" s="15">
        <v>245.25</v>
      </c>
      <c r="M537" s="15">
        <v>165.66</v>
      </c>
      <c r="O537" s="15">
        <f t="shared" si="18"/>
        <v>-1.7643967264809657</v>
      </c>
      <c r="P537" s="15">
        <f t="shared" si="18"/>
        <v>0.2051702913418163</v>
      </c>
      <c r="Q537" s="15">
        <f t="shared" si="18"/>
        <v>1.2141513329968268</v>
      </c>
      <c r="R537" s="15">
        <f t="shared" si="17"/>
        <v>-1.2230919765165993E-2</v>
      </c>
      <c r="S537" s="15">
        <f t="shared" si="17"/>
        <v>0.3574241230992925</v>
      </c>
    </row>
    <row r="538" spans="1:19" ht="12.75">
      <c r="A538" s="6">
        <v>20210218</v>
      </c>
      <c r="B538" s="5">
        <v>-0.64</v>
      </c>
      <c r="C538" s="5">
        <v>-1.46</v>
      </c>
      <c r="D538" s="5">
        <v>-0.22</v>
      </c>
      <c r="E538" s="5">
        <v>0.87</v>
      </c>
      <c r="F538" s="5">
        <v>-0.48</v>
      </c>
      <c r="G538" s="7">
        <v>0</v>
      </c>
      <c r="H538" s="8"/>
      <c r="I538" s="14">
        <v>129.71</v>
      </c>
      <c r="J538" s="15">
        <v>243.79</v>
      </c>
      <c r="K538" s="15">
        <v>3328.23</v>
      </c>
      <c r="L538" s="15">
        <v>243.5</v>
      </c>
      <c r="M538" s="15">
        <v>165.74</v>
      </c>
      <c r="O538" s="15">
        <f t="shared" si="18"/>
        <v>-0.86365025985937205</v>
      </c>
      <c r="P538" s="15">
        <f t="shared" si="18"/>
        <v>-0.16789516789517123</v>
      </c>
      <c r="Q538" s="15">
        <f t="shared" si="18"/>
        <v>0.59208617437980227</v>
      </c>
      <c r="R538" s="15">
        <f t="shared" si="17"/>
        <v>-0.7135575942915362</v>
      </c>
      <c r="S538" s="15">
        <f t="shared" si="17"/>
        <v>4.8291681757817173E-2</v>
      </c>
    </row>
    <row r="539" spans="1:19" ht="12.75">
      <c r="A539" s="6">
        <v>20210219</v>
      </c>
      <c r="B539" s="5">
        <v>0.16</v>
      </c>
      <c r="C539" s="5">
        <v>2.0099999999999998</v>
      </c>
      <c r="D539" s="5">
        <v>0.72</v>
      </c>
      <c r="E539" s="5">
        <v>-0.42</v>
      </c>
      <c r="F539" s="5">
        <v>0.56999999999999995</v>
      </c>
      <c r="G539" s="7">
        <v>0</v>
      </c>
      <c r="H539" s="8"/>
      <c r="I539" s="14">
        <v>129.87</v>
      </c>
      <c r="J539" s="15">
        <v>240.97</v>
      </c>
      <c r="K539" s="15">
        <v>3249.9</v>
      </c>
      <c r="L539" s="15">
        <v>241.85</v>
      </c>
      <c r="M539" s="15">
        <v>162.97999999999999</v>
      </c>
      <c r="O539" s="15">
        <f t="shared" si="18"/>
        <v>0.12335209313083517</v>
      </c>
      <c r="P539" s="15">
        <f t="shared" si="18"/>
        <v>-1.1567332540301067</v>
      </c>
      <c r="Q539" s="15">
        <f t="shared" si="18"/>
        <v>-2.3535032134197387</v>
      </c>
      <c r="R539" s="15">
        <f t="shared" si="17"/>
        <v>-0.67761806981520012</v>
      </c>
      <c r="S539" s="15">
        <f t="shared" si="17"/>
        <v>-1.6652588391456669</v>
      </c>
    </row>
    <row r="540" spans="1:19" ht="12.75">
      <c r="A540" s="6">
        <v>20210222</v>
      </c>
      <c r="B540" s="5">
        <v>-1.1299999999999999</v>
      </c>
      <c r="C540" s="5">
        <v>0.73</v>
      </c>
      <c r="D540" s="5">
        <v>3.16</v>
      </c>
      <c r="E540" s="5">
        <v>1.68</v>
      </c>
      <c r="F540" s="5">
        <v>0.87</v>
      </c>
      <c r="G540" s="7">
        <v>0</v>
      </c>
      <c r="H540" s="8"/>
      <c r="I540" s="14">
        <v>126</v>
      </c>
      <c r="J540" s="15">
        <v>234.51</v>
      </c>
      <c r="K540" s="15">
        <v>3180.74</v>
      </c>
      <c r="L540" s="15">
        <v>244.97</v>
      </c>
      <c r="M540" s="15">
        <v>161.87</v>
      </c>
      <c r="O540" s="15">
        <f t="shared" si="18"/>
        <v>-2.9799029799029819</v>
      </c>
      <c r="P540" s="15">
        <f t="shared" si="18"/>
        <v>-2.680831638793213</v>
      </c>
      <c r="Q540" s="15">
        <f t="shared" si="18"/>
        <v>-2.1280654789378239</v>
      </c>
      <c r="R540" s="15">
        <f t="shared" si="17"/>
        <v>1.2900558197229683</v>
      </c>
      <c r="S540" s="15">
        <f t="shared" si="17"/>
        <v>-0.68106516136948736</v>
      </c>
    </row>
    <row r="541" spans="1:19" ht="12.75">
      <c r="A541" s="6">
        <v>20210223</v>
      </c>
      <c r="B541" s="5">
        <v>-0.15</v>
      </c>
      <c r="C541" s="5">
        <v>-1.03</v>
      </c>
      <c r="D541" s="5">
        <v>0.89</v>
      </c>
      <c r="E541" s="5">
        <v>1.1299999999999999</v>
      </c>
      <c r="F541" s="5">
        <v>-0.21</v>
      </c>
      <c r="G541" s="7">
        <v>0</v>
      </c>
      <c r="H541" s="8"/>
      <c r="I541" s="14">
        <v>125.86</v>
      </c>
      <c r="J541" s="15">
        <v>233.27</v>
      </c>
      <c r="K541" s="15">
        <v>3194.5</v>
      </c>
      <c r="L541" s="15">
        <v>245.53</v>
      </c>
      <c r="M541" s="15">
        <v>160.44</v>
      </c>
      <c r="O541" s="15">
        <f t="shared" si="18"/>
        <v>-0.11111111111110628</v>
      </c>
      <c r="P541" s="15">
        <f t="shared" si="18"/>
        <v>-0.52876209969723309</v>
      </c>
      <c r="Q541" s="15">
        <f t="shared" si="18"/>
        <v>0.43260373372235872</v>
      </c>
      <c r="R541" s="15">
        <f t="shared" si="17"/>
        <v>0.22859942033719438</v>
      </c>
      <c r="S541" s="15">
        <f t="shared" si="17"/>
        <v>-0.88342497065546643</v>
      </c>
    </row>
    <row r="542" spans="1:19" ht="12.75">
      <c r="A542" s="6">
        <v>20210224</v>
      </c>
      <c r="B542" s="5">
        <v>1.1499999999999999</v>
      </c>
      <c r="C542" s="5">
        <v>1.48</v>
      </c>
      <c r="D542" s="5">
        <v>1.42</v>
      </c>
      <c r="E542" s="5">
        <v>-0.28999999999999998</v>
      </c>
      <c r="F542" s="5">
        <v>0.35</v>
      </c>
      <c r="G542" s="7">
        <v>0</v>
      </c>
      <c r="H542" s="8"/>
      <c r="I542" s="14">
        <v>125.35</v>
      </c>
      <c r="J542" s="15">
        <v>234.55</v>
      </c>
      <c r="K542" s="15">
        <v>3159.53</v>
      </c>
      <c r="L542" s="15">
        <v>248.45</v>
      </c>
      <c r="M542" s="15">
        <v>162.59</v>
      </c>
      <c r="O542" s="15">
        <f t="shared" si="18"/>
        <v>-0.40521214047354315</v>
      </c>
      <c r="P542" s="15">
        <f t="shared" si="18"/>
        <v>0.54872036695674531</v>
      </c>
      <c r="Q542" s="15">
        <f t="shared" si="18"/>
        <v>-1.0946940053216392</v>
      </c>
      <c r="R542" s="15">
        <f t="shared" si="17"/>
        <v>1.1892640410540389</v>
      </c>
      <c r="S542" s="15">
        <f t="shared" si="17"/>
        <v>1.3400648217402278</v>
      </c>
    </row>
    <row r="543" spans="1:19" ht="12.75">
      <c r="A543" s="6">
        <v>20210225</v>
      </c>
      <c r="B543" s="5">
        <v>-2.74</v>
      </c>
      <c r="C543" s="5">
        <v>-0.92</v>
      </c>
      <c r="D543" s="5">
        <v>0.86</v>
      </c>
      <c r="E543" s="5">
        <v>0.97</v>
      </c>
      <c r="F543" s="5">
        <v>0.41</v>
      </c>
      <c r="G543" s="7">
        <v>0</v>
      </c>
      <c r="H543" s="8"/>
      <c r="I543" s="14">
        <v>120.99</v>
      </c>
      <c r="J543" s="15">
        <v>228.99</v>
      </c>
      <c r="K543" s="15">
        <v>3057.16</v>
      </c>
      <c r="L543" s="15">
        <v>243.69</v>
      </c>
      <c r="M543" s="15">
        <v>162.76</v>
      </c>
      <c r="O543" s="15">
        <f t="shared" si="18"/>
        <v>-3.4782608695652195</v>
      </c>
      <c r="P543" s="15">
        <f t="shared" si="18"/>
        <v>-2.3704966958004725</v>
      </c>
      <c r="Q543" s="15">
        <f t="shared" si="18"/>
        <v>-3.2400388665402846</v>
      </c>
      <c r="R543" s="15">
        <f t="shared" si="17"/>
        <v>-1.9158784463674694</v>
      </c>
      <c r="S543" s="15">
        <f t="shared" si="17"/>
        <v>0.10455747585951247</v>
      </c>
    </row>
    <row r="544" spans="1:19" ht="12.75">
      <c r="A544" s="6">
        <v>20210226</v>
      </c>
      <c r="B544" s="5">
        <v>-0.28000000000000003</v>
      </c>
      <c r="C544" s="5">
        <v>0.33</v>
      </c>
      <c r="D544" s="5">
        <v>-1.63</v>
      </c>
      <c r="E544" s="5">
        <v>-0.04</v>
      </c>
      <c r="F544" s="5">
        <v>-0.39</v>
      </c>
      <c r="G544" s="7">
        <v>0</v>
      </c>
      <c r="H544" s="8"/>
      <c r="I544" s="14">
        <v>121.26</v>
      </c>
      <c r="J544" s="15">
        <v>232.38</v>
      </c>
      <c r="K544" s="15">
        <v>3092.93</v>
      </c>
      <c r="L544" s="15">
        <v>240.51</v>
      </c>
      <c r="M544" s="15">
        <v>158.46</v>
      </c>
      <c r="O544" s="15">
        <f t="shared" si="18"/>
        <v>0.2231589387552857</v>
      </c>
      <c r="P544" s="15">
        <f t="shared" si="18"/>
        <v>1.4804139918773718</v>
      </c>
      <c r="Q544" s="15">
        <f t="shared" si="18"/>
        <v>1.1700401679990646</v>
      </c>
      <c r="R544" s="15">
        <f t="shared" si="17"/>
        <v>-1.3049365997784057</v>
      </c>
      <c r="S544" s="15">
        <f t="shared" si="17"/>
        <v>-2.6419267633325028</v>
      </c>
    </row>
    <row r="545" spans="1:19" ht="12.75">
      <c r="A545" s="6">
        <v>20210301</v>
      </c>
      <c r="B545" s="5">
        <v>2.63</v>
      </c>
      <c r="C545" s="5">
        <v>1.1200000000000001</v>
      </c>
      <c r="D545" s="5">
        <v>0.21</v>
      </c>
      <c r="E545" s="5">
        <v>-0.4</v>
      </c>
      <c r="F545" s="5">
        <v>0.24</v>
      </c>
      <c r="G545" s="7">
        <v>0</v>
      </c>
      <c r="H545" s="8"/>
      <c r="I545" s="14">
        <v>127.79</v>
      </c>
      <c r="J545" s="15">
        <v>236.94</v>
      </c>
      <c r="K545" s="15">
        <v>3146.14</v>
      </c>
      <c r="L545" s="15">
        <v>249.21</v>
      </c>
      <c r="M545" s="15">
        <v>159.32</v>
      </c>
      <c r="O545" s="15">
        <f t="shared" si="18"/>
        <v>5.3851228764637993</v>
      </c>
      <c r="P545" s="15">
        <f t="shared" si="18"/>
        <v>1.9623031241931432</v>
      </c>
      <c r="Q545" s="15">
        <f t="shared" si="18"/>
        <v>1.72037517822905</v>
      </c>
      <c r="R545" s="15">
        <f t="shared" si="17"/>
        <v>3.6173132094299731</v>
      </c>
      <c r="S545" s="15">
        <f t="shared" si="17"/>
        <v>0.54272371576422618</v>
      </c>
    </row>
    <row r="546" spans="1:19" ht="12.75">
      <c r="A546" s="6">
        <v>20210302</v>
      </c>
      <c r="B546" s="5">
        <v>-1.05</v>
      </c>
      <c r="C546" s="5">
        <v>-0.77</v>
      </c>
      <c r="D546" s="5">
        <v>1.26</v>
      </c>
      <c r="E546" s="5">
        <v>0.62</v>
      </c>
      <c r="F546" s="5">
        <v>0.22</v>
      </c>
      <c r="G546" s="7">
        <v>0</v>
      </c>
      <c r="H546" s="8"/>
      <c r="I546" s="14">
        <v>125.12</v>
      </c>
      <c r="J546" s="15">
        <v>233.87</v>
      </c>
      <c r="K546" s="15">
        <v>3094.53</v>
      </c>
      <c r="L546" s="15">
        <v>249.22</v>
      </c>
      <c r="M546" s="15">
        <v>159.02000000000001</v>
      </c>
      <c r="O546" s="15">
        <f t="shared" si="18"/>
        <v>-2.0893653650520427</v>
      </c>
      <c r="P546" s="15">
        <f t="shared" si="18"/>
        <v>-1.2956866717312332</v>
      </c>
      <c r="Q546" s="15">
        <f t="shared" si="18"/>
        <v>-1.6404228673866927</v>
      </c>
      <c r="R546" s="15">
        <f t="shared" si="17"/>
        <v>4.0126800690210018E-3</v>
      </c>
      <c r="S546" s="15">
        <f t="shared" si="17"/>
        <v>-0.18830027617372513</v>
      </c>
    </row>
    <row r="547" spans="1:19" ht="12.75">
      <c r="A547" s="6">
        <v>20210303</v>
      </c>
      <c r="B547" s="5">
        <v>-1.57</v>
      </c>
      <c r="C547" s="5">
        <v>0.65</v>
      </c>
      <c r="D547" s="5">
        <v>3.55</v>
      </c>
      <c r="E547" s="5">
        <v>1.63</v>
      </c>
      <c r="F547" s="5">
        <v>1.05</v>
      </c>
      <c r="G547" s="7">
        <v>0</v>
      </c>
      <c r="H547" s="8"/>
      <c r="I547" s="14">
        <v>122.06</v>
      </c>
      <c r="J547" s="15">
        <v>227.56</v>
      </c>
      <c r="K547" s="15">
        <v>3005</v>
      </c>
      <c r="L547" s="15">
        <v>251.55</v>
      </c>
      <c r="M547" s="15">
        <v>156.22</v>
      </c>
      <c r="O547" s="15">
        <f t="shared" si="18"/>
        <v>-2.4456521739130488</v>
      </c>
      <c r="P547" s="15">
        <f t="shared" si="18"/>
        <v>-2.6980801299867463</v>
      </c>
      <c r="Q547" s="15">
        <f t="shared" si="18"/>
        <v>-2.8931695604825336</v>
      </c>
      <c r="R547" s="15">
        <f t="shared" si="17"/>
        <v>0.93491694085547916</v>
      </c>
      <c r="S547" s="15">
        <f t="shared" si="17"/>
        <v>-1.760784806942528</v>
      </c>
    </row>
    <row r="548" spans="1:19" ht="12.75">
      <c r="A548" s="6">
        <v>20210304</v>
      </c>
      <c r="B548" s="5">
        <v>-1.7</v>
      </c>
      <c r="C548" s="5">
        <v>-1.1000000000000001</v>
      </c>
      <c r="D548" s="5">
        <v>1.7</v>
      </c>
      <c r="E548" s="5">
        <v>1.25</v>
      </c>
      <c r="F548" s="5">
        <v>0.43</v>
      </c>
      <c r="G548" s="7">
        <v>0</v>
      </c>
      <c r="H548" s="8"/>
      <c r="I548" s="14">
        <v>120.13</v>
      </c>
      <c r="J548" s="15">
        <v>226.73</v>
      </c>
      <c r="K548" s="15">
        <v>2977.57</v>
      </c>
      <c r="L548" s="15">
        <v>245.48</v>
      </c>
      <c r="M548" s="15">
        <v>153.07</v>
      </c>
      <c r="O548" s="15">
        <f t="shared" si="18"/>
        <v>-1.5811895788956254</v>
      </c>
      <c r="P548" s="15">
        <f t="shared" si="18"/>
        <v>-0.36473896994200228</v>
      </c>
      <c r="Q548" s="15">
        <f t="shared" si="18"/>
        <v>-0.91281198003326791</v>
      </c>
      <c r="R548" s="15">
        <f t="shared" si="17"/>
        <v>-2.4130391572252163</v>
      </c>
      <c r="S548" s="15">
        <f t="shared" si="17"/>
        <v>-2.0163871463320993</v>
      </c>
    </row>
    <row r="549" spans="1:19" ht="12.75">
      <c r="A549" s="6">
        <v>20210305</v>
      </c>
      <c r="B549" s="5">
        <v>1.85</v>
      </c>
      <c r="C549" s="5">
        <v>0.37</v>
      </c>
      <c r="D549" s="5">
        <v>0.62</v>
      </c>
      <c r="E549" s="5">
        <v>0.96</v>
      </c>
      <c r="F549" s="5">
        <v>0.52</v>
      </c>
      <c r="G549" s="7">
        <v>0</v>
      </c>
      <c r="H549" s="8"/>
      <c r="I549" s="14">
        <v>121.42</v>
      </c>
      <c r="J549" s="15">
        <v>231.6</v>
      </c>
      <c r="K549" s="15">
        <v>3000.46</v>
      </c>
      <c r="L549" s="15">
        <v>253.15</v>
      </c>
      <c r="M549" s="15">
        <v>156.1</v>
      </c>
      <c r="O549" s="15">
        <f t="shared" si="18"/>
        <v>1.0738366769333263</v>
      </c>
      <c r="P549" s="15">
        <f t="shared" si="18"/>
        <v>2.1479292550610873</v>
      </c>
      <c r="Q549" s="15">
        <f t="shared" si="18"/>
        <v>0.76874767007995004</v>
      </c>
      <c r="R549" s="15">
        <f t="shared" si="17"/>
        <v>3.124490793547352</v>
      </c>
      <c r="S549" s="15">
        <f t="shared" si="17"/>
        <v>1.9794865094401315</v>
      </c>
    </row>
    <row r="550" spans="1:19" ht="12.75">
      <c r="A550" s="6">
        <v>20210308</v>
      </c>
      <c r="B550" s="5">
        <v>-0.67</v>
      </c>
      <c r="C550" s="5">
        <v>1.46</v>
      </c>
      <c r="D550" s="5">
        <v>3.73</v>
      </c>
      <c r="E550" s="5">
        <v>1.62</v>
      </c>
      <c r="F550" s="5">
        <v>0.89</v>
      </c>
      <c r="G550" s="7">
        <v>0</v>
      </c>
      <c r="H550" s="8"/>
      <c r="I550" s="14">
        <v>116.36</v>
      </c>
      <c r="J550" s="15">
        <v>227.39</v>
      </c>
      <c r="K550" s="15">
        <v>2951.95</v>
      </c>
      <c r="L550" s="15">
        <v>257.61</v>
      </c>
      <c r="M550" s="15">
        <v>157.4</v>
      </c>
      <c r="O550" s="15">
        <f t="shared" si="18"/>
        <v>-4.1673529896227972</v>
      </c>
      <c r="P550" s="15">
        <f t="shared" si="18"/>
        <v>-1.8177892918825544</v>
      </c>
      <c r="Q550" s="15">
        <f t="shared" si="18"/>
        <v>-1.6167520980116423</v>
      </c>
      <c r="R550" s="15">
        <f t="shared" si="17"/>
        <v>1.7618013035749502</v>
      </c>
      <c r="S550" s="15">
        <f t="shared" si="17"/>
        <v>0.83279948750800692</v>
      </c>
    </row>
    <row r="551" spans="1:19" ht="12.75">
      <c r="A551" s="6">
        <v>20210309</v>
      </c>
      <c r="B551" s="5">
        <v>1.79</v>
      </c>
      <c r="C551" s="5">
        <v>0.44</v>
      </c>
      <c r="D551" s="5">
        <v>-3.26</v>
      </c>
      <c r="E551" s="5">
        <v>-1.82</v>
      </c>
      <c r="F551" s="5">
        <v>-0.49</v>
      </c>
      <c r="G551" s="7">
        <v>0</v>
      </c>
      <c r="H551" s="8"/>
      <c r="I551" s="14">
        <v>121.09</v>
      </c>
      <c r="J551" s="15">
        <v>233.78</v>
      </c>
      <c r="K551" s="15">
        <v>3062.85</v>
      </c>
      <c r="L551" s="15">
        <v>259.02</v>
      </c>
      <c r="M551" s="15">
        <v>157.69999999999999</v>
      </c>
      <c r="O551" s="15">
        <f t="shared" si="18"/>
        <v>4.0649707803368962</v>
      </c>
      <c r="P551" s="15">
        <f t="shared" si="18"/>
        <v>2.8101499626193016</v>
      </c>
      <c r="Q551" s="15">
        <f t="shared" si="18"/>
        <v>3.7568386998424907</v>
      </c>
      <c r="R551" s="15">
        <f t="shared" si="17"/>
        <v>0.5473390008151835</v>
      </c>
      <c r="S551" s="15">
        <f t="shared" si="17"/>
        <v>0.19059720457432761</v>
      </c>
    </row>
    <row r="552" spans="1:19" ht="12.75">
      <c r="A552" s="6">
        <v>20210310</v>
      </c>
      <c r="B552" s="5">
        <v>0.68</v>
      </c>
      <c r="C552" s="5">
        <v>1.18</v>
      </c>
      <c r="D552" s="5">
        <v>1.82</v>
      </c>
      <c r="E552" s="5">
        <v>-7.0000000000000007E-2</v>
      </c>
      <c r="F552" s="5">
        <v>0.16</v>
      </c>
      <c r="G552" s="7">
        <v>0</v>
      </c>
      <c r="H552" s="8"/>
      <c r="I552" s="14">
        <v>119.98</v>
      </c>
      <c r="J552" s="15">
        <v>232.42</v>
      </c>
      <c r="K552" s="15">
        <v>3057.64</v>
      </c>
      <c r="L552" s="15">
        <v>263.99</v>
      </c>
      <c r="M552" s="15">
        <v>159.15</v>
      </c>
      <c r="O552" s="15">
        <f t="shared" si="18"/>
        <v>-0.91667354860021089</v>
      </c>
      <c r="P552" s="15">
        <f t="shared" si="18"/>
        <v>-0.58174351954829451</v>
      </c>
      <c r="Q552" s="15">
        <f t="shared" si="18"/>
        <v>-0.1701030086357469</v>
      </c>
      <c r="R552" s="15">
        <f t="shared" si="17"/>
        <v>1.9187707512933416</v>
      </c>
      <c r="S552" s="15">
        <f t="shared" si="17"/>
        <v>0.91946734305645705</v>
      </c>
    </row>
    <row r="553" spans="1:19" ht="12.75">
      <c r="A553" s="6">
        <v>20210311</v>
      </c>
      <c r="B553" s="5">
        <v>1.44</v>
      </c>
      <c r="C553" s="5">
        <v>1.08</v>
      </c>
      <c r="D553" s="5">
        <v>-2.0099999999999998</v>
      </c>
      <c r="E553" s="5">
        <v>-1.38</v>
      </c>
      <c r="F553" s="5">
        <v>-0.79</v>
      </c>
      <c r="G553" s="7">
        <v>0</v>
      </c>
      <c r="H553" s="8"/>
      <c r="I553" s="14">
        <v>121.96</v>
      </c>
      <c r="J553" s="15">
        <v>237.13</v>
      </c>
      <c r="K553" s="15">
        <v>3113.59</v>
      </c>
      <c r="L553" s="15">
        <v>260.91000000000003</v>
      </c>
      <c r="M553" s="15">
        <v>159.13999999999999</v>
      </c>
      <c r="O553" s="15">
        <f t="shared" si="18"/>
        <v>1.6502750458409654</v>
      </c>
      <c r="P553" s="15">
        <f t="shared" si="18"/>
        <v>2.0265037432234845</v>
      </c>
      <c r="Q553" s="15">
        <f t="shared" si="18"/>
        <v>1.8298426237228771</v>
      </c>
      <c r="R553" s="15">
        <f t="shared" si="17"/>
        <v>-1.1667108602598564</v>
      </c>
      <c r="S553" s="15">
        <f t="shared" si="17"/>
        <v>-6.2833804586936992E-3</v>
      </c>
    </row>
    <row r="554" spans="1:19" ht="12.75">
      <c r="A554" s="6">
        <v>20210312</v>
      </c>
      <c r="B554" s="5">
        <v>0.1</v>
      </c>
      <c r="C554" s="5">
        <v>0.52</v>
      </c>
      <c r="D554" s="5">
        <v>1.29</v>
      </c>
      <c r="E554" s="5">
        <v>0.64</v>
      </c>
      <c r="F554" s="5">
        <v>0.59</v>
      </c>
      <c r="G554" s="7">
        <v>0</v>
      </c>
      <c r="H554" s="8"/>
      <c r="I554" s="14">
        <v>121.03</v>
      </c>
      <c r="J554" s="15">
        <v>235.75</v>
      </c>
      <c r="K554" s="15">
        <v>3089.49</v>
      </c>
      <c r="L554" s="15">
        <v>260.02</v>
      </c>
      <c r="M554" s="15">
        <v>159.6</v>
      </c>
      <c r="O554" s="15">
        <f t="shared" si="18"/>
        <v>-0.76254509675303117</v>
      </c>
      <c r="P554" s="15">
        <f t="shared" si="18"/>
        <v>-0.58195926285159461</v>
      </c>
      <c r="Q554" s="15">
        <f t="shared" si="18"/>
        <v>-0.77402612418463468</v>
      </c>
      <c r="R554" s="15">
        <f t="shared" si="17"/>
        <v>-0.34111379402861353</v>
      </c>
      <c r="S554" s="15">
        <f t="shared" si="17"/>
        <v>0.28905366344100791</v>
      </c>
    </row>
    <row r="555" spans="1:19" ht="12.75">
      <c r="A555" s="6">
        <v>20210315</v>
      </c>
      <c r="B555" s="5">
        <v>0.7</v>
      </c>
      <c r="C555" s="5">
        <v>-0.34</v>
      </c>
      <c r="D555" s="5">
        <v>-1.27</v>
      </c>
      <c r="E555" s="5">
        <v>0.24</v>
      </c>
      <c r="F555" s="5">
        <v>0.09</v>
      </c>
      <c r="G555" s="7">
        <v>0</v>
      </c>
      <c r="H555" s="8"/>
      <c r="I555" s="14">
        <v>123.99</v>
      </c>
      <c r="J555" s="15">
        <v>234.81</v>
      </c>
      <c r="K555" s="15">
        <v>3081.68</v>
      </c>
      <c r="L555" s="15">
        <v>254.61</v>
      </c>
      <c r="M555" s="15">
        <v>160.41999999999999</v>
      </c>
      <c r="O555" s="15">
        <f t="shared" si="18"/>
        <v>2.4456746261257489</v>
      </c>
      <c r="P555" s="15">
        <f t="shared" si="18"/>
        <v>-0.39872746553551996</v>
      </c>
      <c r="Q555" s="15">
        <f t="shared" si="18"/>
        <v>-0.25279253210076513</v>
      </c>
      <c r="R555" s="15">
        <f t="shared" si="17"/>
        <v>-2.0806091839089214</v>
      </c>
      <c r="S555" s="15">
        <f t="shared" si="17"/>
        <v>0.51378446115288856</v>
      </c>
    </row>
    <row r="556" spans="1:19" ht="12.75">
      <c r="A556" s="6">
        <v>20210316</v>
      </c>
      <c r="B556" s="5">
        <v>-0.43</v>
      </c>
      <c r="C556" s="5">
        <v>-1.35</v>
      </c>
      <c r="D556" s="5">
        <v>-0.87</v>
      </c>
      <c r="E556" s="5">
        <v>0.28999999999999998</v>
      </c>
      <c r="F556" s="5">
        <v>-0.04</v>
      </c>
      <c r="G556" s="7">
        <v>0</v>
      </c>
      <c r="H556" s="8"/>
      <c r="I556" s="14">
        <v>125.57</v>
      </c>
      <c r="J556" s="15">
        <v>237.71</v>
      </c>
      <c r="K556" s="15">
        <v>3091.86</v>
      </c>
      <c r="L556" s="15">
        <v>251.5</v>
      </c>
      <c r="M556" s="15">
        <v>161.37</v>
      </c>
      <c r="O556" s="15">
        <f t="shared" si="18"/>
        <v>1.2742963142188923</v>
      </c>
      <c r="P556" s="15">
        <f t="shared" si="18"/>
        <v>1.2350410970571879</v>
      </c>
      <c r="Q556" s="15">
        <f t="shared" si="18"/>
        <v>0.33033929544925567</v>
      </c>
      <c r="R556" s="15">
        <f t="shared" si="17"/>
        <v>-1.2214759828757749</v>
      </c>
      <c r="S556" s="15">
        <f t="shared" si="17"/>
        <v>0.59219548684703582</v>
      </c>
    </row>
    <row r="557" spans="1:19" ht="12.75">
      <c r="A557" s="6">
        <v>20210317</v>
      </c>
      <c r="B557" s="5">
        <v>0.33</v>
      </c>
      <c r="C557" s="5">
        <v>0.65</v>
      </c>
      <c r="D557" s="5">
        <v>0.34</v>
      </c>
      <c r="E557" s="5">
        <v>-0.05</v>
      </c>
      <c r="F557" s="5">
        <v>0.14000000000000001</v>
      </c>
      <c r="G557" s="7">
        <v>0</v>
      </c>
      <c r="H557" s="8"/>
      <c r="I557" s="14">
        <v>124.76</v>
      </c>
      <c r="J557" s="15">
        <v>237.04</v>
      </c>
      <c r="K557" s="15">
        <v>3135.73</v>
      </c>
      <c r="L557" s="15">
        <v>252</v>
      </c>
      <c r="M557" s="15">
        <v>160.77000000000001</v>
      </c>
      <c r="O557" s="15">
        <f t="shared" si="18"/>
        <v>-0.64505853308910455</v>
      </c>
      <c r="P557" s="15">
        <f t="shared" si="18"/>
        <v>-0.28185604307771062</v>
      </c>
      <c r="Q557" s="15">
        <f t="shared" si="18"/>
        <v>1.4188870129954179</v>
      </c>
      <c r="R557" s="15">
        <f t="shared" si="17"/>
        <v>0.19880715705764551</v>
      </c>
      <c r="S557" s="15">
        <f t="shared" si="17"/>
        <v>-0.37181632273656229</v>
      </c>
    </row>
    <row r="558" spans="1:19" ht="12.75">
      <c r="A558" s="6">
        <v>20210318</v>
      </c>
      <c r="B558" s="5">
        <v>-1.88</v>
      </c>
      <c r="C558" s="5">
        <v>-1.21</v>
      </c>
      <c r="D558" s="5">
        <v>2.19</v>
      </c>
      <c r="E558" s="5">
        <v>0.93</v>
      </c>
      <c r="F558" s="5">
        <v>0.45</v>
      </c>
      <c r="G558" s="7">
        <v>0</v>
      </c>
      <c r="H558" s="8"/>
      <c r="I558" s="14">
        <v>120.53</v>
      </c>
      <c r="J558" s="15">
        <v>230.72</v>
      </c>
      <c r="K558" s="15">
        <v>3027.99</v>
      </c>
      <c r="L558" s="15">
        <v>252.46</v>
      </c>
      <c r="M558" s="15">
        <v>160.47</v>
      </c>
      <c r="O558" s="15">
        <f t="shared" si="18"/>
        <v>-3.3905097787752525</v>
      </c>
      <c r="P558" s="15">
        <f t="shared" si="18"/>
        <v>-2.6662166722915881</v>
      </c>
      <c r="Q558" s="15">
        <f t="shared" si="18"/>
        <v>-3.4358825536637494</v>
      </c>
      <c r="R558" s="15">
        <f t="shared" si="17"/>
        <v>0.18253968253969521</v>
      </c>
      <c r="S558" s="15">
        <f t="shared" si="17"/>
        <v>-0.18660197798097133</v>
      </c>
    </row>
    <row r="559" spans="1:19" ht="12.75">
      <c r="A559" s="6">
        <v>20210319</v>
      </c>
      <c r="B559" s="5">
        <v>0.25</v>
      </c>
      <c r="C559" s="5">
        <v>0.92</v>
      </c>
      <c r="D559" s="5">
        <v>-1.01</v>
      </c>
      <c r="E559" s="5">
        <v>-0.78</v>
      </c>
      <c r="F559" s="5">
        <v>-0.55000000000000004</v>
      </c>
      <c r="G559" s="7">
        <v>0</v>
      </c>
      <c r="H559" s="8"/>
      <c r="I559" s="14">
        <v>119.99</v>
      </c>
      <c r="J559" s="15">
        <v>230.35</v>
      </c>
      <c r="K559" s="15">
        <v>3074.96</v>
      </c>
      <c r="L559" s="15">
        <v>250.99</v>
      </c>
      <c r="M559" s="15">
        <v>160.04</v>
      </c>
      <c r="O559" s="15">
        <f t="shared" si="18"/>
        <v>-0.44802123952543127</v>
      </c>
      <c r="P559" s="15">
        <f t="shared" si="18"/>
        <v>-0.16036754507628981</v>
      </c>
      <c r="Q559" s="15">
        <f t="shared" si="18"/>
        <v>1.5511940264003599</v>
      </c>
      <c r="R559" s="15">
        <f t="shared" si="17"/>
        <v>-0.58227045868652905</v>
      </c>
      <c r="S559" s="15">
        <f t="shared" si="17"/>
        <v>-0.26796285910138939</v>
      </c>
    </row>
    <row r="560" spans="1:19" ht="12.75">
      <c r="A560" s="6">
        <v>20210322</v>
      </c>
      <c r="B560" s="5">
        <v>0.55000000000000004</v>
      </c>
      <c r="C560" s="5">
        <v>-1.69</v>
      </c>
      <c r="D560" s="5">
        <v>-2.23</v>
      </c>
      <c r="E560" s="5">
        <v>-0.25</v>
      </c>
      <c r="F560" s="5">
        <v>-0.11</v>
      </c>
      <c r="G560" s="7">
        <v>0</v>
      </c>
      <c r="H560" s="8"/>
      <c r="I560" s="14">
        <v>123.39</v>
      </c>
      <c r="J560" s="15">
        <v>235.99</v>
      </c>
      <c r="K560" s="15">
        <v>3110.87</v>
      </c>
      <c r="L560" s="15">
        <v>250.36</v>
      </c>
      <c r="M560" s="15">
        <v>160.5</v>
      </c>
      <c r="O560" s="15">
        <f t="shared" si="18"/>
        <v>2.8335694641220099</v>
      </c>
      <c r="P560" s="15">
        <f t="shared" si="18"/>
        <v>2.4484480138919018</v>
      </c>
      <c r="Q560" s="15">
        <f t="shared" si="18"/>
        <v>1.1678200692041507</v>
      </c>
      <c r="R560" s="15">
        <f t="shared" si="17"/>
        <v>-0.25100601617593643</v>
      </c>
      <c r="S560" s="15">
        <f t="shared" si="17"/>
        <v>0.28742814296427444</v>
      </c>
    </row>
    <row r="561" spans="1:19" ht="12.75">
      <c r="A561" s="6">
        <v>20210323</v>
      </c>
      <c r="B561" s="5">
        <v>-1.17</v>
      </c>
      <c r="C561" s="5">
        <v>-2.94</v>
      </c>
      <c r="D561" s="5">
        <v>-1.03</v>
      </c>
      <c r="E561" s="5">
        <v>0.56999999999999995</v>
      </c>
      <c r="F561" s="5">
        <v>-0.8</v>
      </c>
      <c r="G561" s="7">
        <v>0</v>
      </c>
      <c r="H561" s="8"/>
      <c r="I561" s="14">
        <v>122.54</v>
      </c>
      <c r="J561" s="15">
        <v>237.58</v>
      </c>
      <c r="K561" s="15">
        <v>3137.5</v>
      </c>
      <c r="L561" s="15">
        <v>248.31</v>
      </c>
      <c r="M561" s="15">
        <v>160.35</v>
      </c>
      <c r="O561" s="15">
        <f t="shared" si="18"/>
        <v>-0.68887268011994518</v>
      </c>
      <c r="P561" s="15">
        <f t="shared" si="18"/>
        <v>0.67375736260011365</v>
      </c>
      <c r="Q561" s="15">
        <f t="shared" si="18"/>
        <v>0.85603062808796704</v>
      </c>
      <c r="R561" s="15">
        <f t="shared" si="17"/>
        <v>-0.81882089790701329</v>
      </c>
      <c r="S561" s="15">
        <f t="shared" si="17"/>
        <v>-9.3457943925234765E-2</v>
      </c>
    </row>
    <row r="562" spans="1:19" ht="12.75">
      <c r="A562" s="6">
        <v>20210324</v>
      </c>
      <c r="B562" s="5">
        <v>-1.01</v>
      </c>
      <c r="C562" s="5">
        <v>-1.58</v>
      </c>
      <c r="D562" s="5">
        <v>1.45</v>
      </c>
      <c r="E562" s="5">
        <v>1.35</v>
      </c>
      <c r="F562" s="5">
        <v>0.11</v>
      </c>
      <c r="G562" s="7">
        <v>0</v>
      </c>
      <c r="H562" s="8"/>
      <c r="I562" s="14">
        <v>120.09</v>
      </c>
      <c r="J562" s="15">
        <v>235.46</v>
      </c>
      <c r="K562" s="15">
        <v>3087.07</v>
      </c>
      <c r="L562" s="15">
        <v>249.63</v>
      </c>
      <c r="M562" s="15">
        <v>161.91</v>
      </c>
      <c r="O562" s="15">
        <f t="shared" si="18"/>
        <v>-1.9993471519503814</v>
      </c>
      <c r="P562" s="15">
        <f t="shared" si="18"/>
        <v>-0.89233100429328971</v>
      </c>
      <c r="Q562" s="15">
        <f t="shared" si="18"/>
        <v>-1.6073306772908302</v>
      </c>
      <c r="R562" s="15">
        <f t="shared" si="17"/>
        <v>0.53159357255043727</v>
      </c>
      <c r="S562" s="15">
        <f t="shared" si="17"/>
        <v>0.97287184284378103</v>
      </c>
    </row>
    <row r="563" spans="1:19" ht="12.75">
      <c r="A563" s="6">
        <v>20210325</v>
      </c>
      <c r="B563" s="5">
        <v>0.67</v>
      </c>
      <c r="C563" s="5">
        <v>1.99</v>
      </c>
      <c r="D563" s="5">
        <v>1.4</v>
      </c>
      <c r="E563" s="5">
        <v>0.46</v>
      </c>
      <c r="F563" s="5">
        <v>1.1299999999999999</v>
      </c>
      <c r="G563" s="7">
        <v>0</v>
      </c>
      <c r="H563" s="8"/>
      <c r="I563" s="14">
        <v>120.59</v>
      </c>
      <c r="J563" s="15">
        <v>232.34</v>
      </c>
      <c r="K563" s="15">
        <v>3046.26</v>
      </c>
      <c r="L563" s="15">
        <v>250.75</v>
      </c>
      <c r="M563" s="15">
        <v>161.97</v>
      </c>
      <c r="O563" s="15">
        <f t="shared" si="18"/>
        <v>0.41635440086602582</v>
      </c>
      <c r="P563" s="15">
        <f t="shared" si="18"/>
        <v>-1.3250658285908434</v>
      </c>
      <c r="Q563" s="15">
        <f t="shared" si="18"/>
        <v>-1.3219654883109166</v>
      </c>
      <c r="R563" s="15">
        <f t="shared" si="17"/>
        <v>0.44866402275367534</v>
      </c>
      <c r="S563" s="15">
        <f t="shared" si="17"/>
        <v>3.7057624606262607E-2</v>
      </c>
    </row>
    <row r="564" spans="1:19" ht="12.75">
      <c r="A564" s="6">
        <v>20210326</v>
      </c>
      <c r="B564" s="5">
        <v>1.55</v>
      </c>
      <c r="C564" s="5">
        <v>0.2</v>
      </c>
      <c r="D564" s="5">
        <v>0.66</v>
      </c>
      <c r="E564" s="5">
        <v>0.76</v>
      </c>
      <c r="F564" s="5">
        <v>0.56000000000000005</v>
      </c>
      <c r="G564" s="7">
        <v>0</v>
      </c>
      <c r="H564" s="8"/>
      <c r="I564" s="14">
        <v>121.21</v>
      </c>
      <c r="J564" s="15">
        <v>236.48</v>
      </c>
      <c r="K564" s="15">
        <v>3052.03</v>
      </c>
      <c r="L564" s="15">
        <v>256.77</v>
      </c>
      <c r="M564" s="15">
        <v>164.93</v>
      </c>
      <c r="O564" s="15">
        <f t="shared" si="18"/>
        <v>0.51413881748070267</v>
      </c>
      <c r="P564" s="15">
        <f t="shared" si="18"/>
        <v>1.7818713953688503</v>
      </c>
      <c r="Q564" s="15">
        <f t="shared" si="18"/>
        <v>0.18941259117737363</v>
      </c>
      <c r="R564" s="15">
        <f t="shared" si="17"/>
        <v>2.400797607178462</v>
      </c>
      <c r="S564" s="15">
        <f t="shared" si="17"/>
        <v>1.8274989195530056</v>
      </c>
    </row>
    <row r="565" spans="1:19" ht="12.75">
      <c r="A565" s="6">
        <v>20210329</v>
      </c>
      <c r="B565" s="5">
        <v>-0.49</v>
      </c>
      <c r="C565" s="5">
        <v>-2.48</v>
      </c>
      <c r="D565" s="5">
        <v>-0.23</v>
      </c>
      <c r="E565" s="5">
        <v>0.89</v>
      </c>
      <c r="F565" s="5">
        <v>-0.02</v>
      </c>
      <c r="G565" s="7">
        <v>0</v>
      </c>
      <c r="H565" s="8"/>
      <c r="I565" s="14">
        <v>121.39</v>
      </c>
      <c r="J565" s="15">
        <v>235.24</v>
      </c>
      <c r="K565" s="15">
        <v>3075.73</v>
      </c>
      <c r="L565" s="15">
        <v>258.82</v>
      </c>
      <c r="M565" s="15">
        <v>166.04</v>
      </c>
      <c r="O565" s="15">
        <f t="shared" si="18"/>
        <v>0.14850259879548577</v>
      </c>
      <c r="P565" s="15">
        <f t="shared" si="18"/>
        <v>-0.52435723951285151</v>
      </c>
      <c r="Q565" s="15">
        <f t="shared" si="18"/>
        <v>0.77653234076990874</v>
      </c>
      <c r="R565" s="15">
        <f t="shared" si="17"/>
        <v>0.79837987303812419</v>
      </c>
      <c r="S565" s="15">
        <f t="shared" si="17"/>
        <v>0.67301279330624908</v>
      </c>
    </row>
    <row r="566" spans="1:19" ht="12.75">
      <c r="A566" s="6">
        <v>20210330</v>
      </c>
      <c r="B566" s="5">
        <v>-0.02</v>
      </c>
      <c r="C566" s="5">
        <v>1.81</v>
      </c>
      <c r="D566" s="5">
        <v>1.02</v>
      </c>
      <c r="E566" s="5">
        <v>-0.24</v>
      </c>
      <c r="F566" s="5">
        <v>-0.2</v>
      </c>
      <c r="G566" s="7">
        <v>0</v>
      </c>
      <c r="H566" s="8"/>
      <c r="I566" s="14">
        <v>119.9</v>
      </c>
      <c r="J566" s="15">
        <v>231.85</v>
      </c>
      <c r="K566" s="15">
        <v>3055.29</v>
      </c>
      <c r="L566" s="15">
        <v>258.19</v>
      </c>
      <c r="M566" s="15">
        <v>165.01</v>
      </c>
      <c r="O566" s="15">
        <f t="shared" si="18"/>
        <v>-1.2274487190048533</v>
      </c>
      <c r="P566" s="15">
        <f t="shared" si="18"/>
        <v>-1.4410814487332169</v>
      </c>
      <c r="Q566" s="15">
        <f t="shared" si="18"/>
        <v>-0.66455768224129574</v>
      </c>
      <c r="R566" s="15">
        <f t="shared" si="17"/>
        <v>-0.24341241016923032</v>
      </c>
      <c r="S566" s="15">
        <f t="shared" si="17"/>
        <v>-0.62033245001205106</v>
      </c>
    </row>
    <row r="567" spans="1:19" ht="12.75">
      <c r="A567" s="6">
        <v>20210331</v>
      </c>
      <c r="B567" s="5">
        <v>0.63</v>
      </c>
      <c r="C567" s="5">
        <v>0.57999999999999996</v>
      </c>
      <c r="D567" s="5">
        <v>-2.3199999999999998</v>
      </c>
      <c r="E567" s="5">
        <v>-1.17</v>
      </c>
      <c r="F567" s="5">
        <v>-0.25</v>
      </c>
      <c r="G567" s="7">
        <v>0</v>
      </c>
      <c r="H567" s="8"/>
      <c r="I567" s="14">
        <v>122.15</v>
      </c>
      <c r="J567" s="15">
        <v>235.77</v>
      </c>
      <c r="K567" s="15">
        <v>3094.08</v>
      </c>
      <c r="L567" s="15">
        <v>255.47</v>
      </c>
      <c r="M567" s="15">
        <v>164.35</v>
      </c>
      <c r="O567" s="15">
        <f t="shared" si="18"/>
        <v>1.8765638031693177</v>
      </c>
      <c r="P567" s="15">
        <f t="shared" si="18"/>
        <v>1.6907483286607849</v>
      </c>
      <c r="Q567" s="15">
        <f t="shared" si="18"/>
        <v>1.269601248981278</v>
      </c>
      <c r="R567" s="15">
        <f t="shared" si="17"/>
        <v>-1.0534877415856569</v>
      </c>
      <c r="S567" s="15">
        <f t="shared" si="17"/>
        <v>-0.39997575904490157</v>
      </c>
    </row>
    <row r="568" spans="1:19" ht="12.75">
      <c r="A568" s="6">
        <v>20210401</v>
      </c>
      <c r="B568" s="5">
        <v>1.27</v>
      </c>
      <c r="C568" s="5">
        <v>0.24</v>
      </c>
      <c r="D568" s="5">
        <v>-0.03</v>
      </c>
      <c r="E568" s="5">
        <v>-0.7</v>
      </c>
      <c r="F568" s="5">
        <v>-0.53</v>
      </c>
      <c r="G568" s="7">
        <v>0</v>
      </c>
      <c r="H568" s="8"/>
      <c r="I568" s="14">
        <v>123</v>
      </c>
      <c r="J568" s="15">
        <v>242.35</v>
      </c>
      <c r="K568" s="15">
        <v>3161</v>
      </c>
      <c r="L568" s="15">
        <v>258.2</v>
      </c>
      <c r="M568" s="15">
        <v>162.83000000000001</v>
      </c>
      <c r="O568" s="15">
        <f t="shared" si="18"/>
        <v>0.69586573884568015</v>
      </c>
      <c r="P568" s="15">
        <f t="shared" si="18"/>
        <v>2.7908554947618347</v>
      </c>
      <c r="Q568" s="15">
        <f t="shared" si="18"/>
        <v>2.1628400041369344</v>
      </c>
      <c r="R568" s="15">
        <f t="shared" si="17"/>
        <v>1.0686186244960316</v>
      </c>
      <c r="S568" s="15">
        <f t="shared" si="17"/>
        <v>-0.9248554913294682</v>
      </c>
    </row>
    <row r="569" spans="1:19" ht="12.75">
      <c r="A569" s="6">
        <v>20210405</v>
      </c>
      <c r="B569" s="5">
        <v>1.27</v>
      </c>
      <c r="C569" s="5">
        <v>-0.69</v>
      </c>
      <c r="D569" s="5">
        <v>-0.72</v>
      </c>
      <c r="E569" s="5">
        <v>0.99</v>
      </c>
      <c r="F569" s="5">
        <v>7.0000000000000007E-2</v>
      </c>
      <c r="G569" s="7">
        <v>0</v>
      </c>
      <c r="H569" s="8"/>
      <c r="I569" s="14">
        <v>125.9</v>
      </c>
      <c r="J569" s="15">
        <v>249.07</v>
      </c>
      <c r="K569" s="15">
        <v>3226.73</v>
      </c>
      <c r="L569" s="15">
        <v>262.66000000000003</v>
      </c>
      <c r="M569" s="15">
        <v>163.43</v>
      </c>
      <c r="O569" s="15">
        <f t="shared" si="18"/>
        <v>2.3577235772357819</v>
      </c>
      <c r="P569" s="15">
        <f t="shared" si="18"/>
        <v>2.7728491850629311</v>
      </c>
      <c r="Q569" s="15">
        <f t="shared" si="18"/>
        <v>2.0794052515026973</v>
      </c>
      <c r="R569" s="15">
        <f t="shared" si="17"/>
        <v>1.7273431448489696</v>
      </c>
      <c r="S569" s="15">
        <f t="shared" si="17"/>
        <v>0.36848246637597448</v>
      </c>
    </row>
    <row r="570" spans="1:19" ht="12.75">
      <c r="A570" s="6">
        <v>20210406</v>
      </c>
      <c r="B570" s="5">
        <v>0.01</v>
      </c>
      <c r="C570" s="5">
        <v>-0.32</v>
      </c>
      <c r="D570" s="5">
        <v>0.09</v>
      </c>
      <c r="E570" s="5">
        <v>-0.12</v>
      </c>
      <c r="F570" s="5">
        <v>-0.27</v>
      </c>
      <c r="G570" s="7">
        <v>0</v>
      </c>
      <c r="H570" s="8"/>
      <c r="I570" s="14">
        <v>126.21</v>
      </c>
      <c r="J570" s="15">
        <v>247.86</v>
      </c>
      <c r="K570" s="15">
        <v>3223.82</v>
      </c>
      <c r="L570" s="15">
        <v>263.06</v>
      </c>
      <c r="M570" s="15">
        <v>163.38999999999999</v>
      </c>
      <c r="O570" s="15">
        <f t="shared" si="18"/>
        <v>0.24622716441620174</v>
      </c>
      <c r="P570" s="15">
        <f t="shared" si="18"/>
        <v>-0.48580720279438605</v>
      </c>
      <c r="Q570" s="15">
        <f t="shared" si="18"/>
        <v>-9.0184180269181624E-2</v>
      </c>
      <c r="R570" s="15">
        <f t="shared" si="17"/>
        <v>0.15228812914032108</v>
      </c>
      <c r="S570" s="15">
        <f t="shared" si="17"/>
        <v>-2.4475310530513994E-2</v>
      </c>
    </row>
    <row r="571" spans="1:19" ht="12.75">
      <c r="A571" s="6">
        <v>20210407</v>
      </c>
      <c r="B571" s="5">
        <v>-0.12</v>
      </c>
      <c r="C571" s="5">
        <v>-1.53</v>
      </c>
      <c r="D571" s="5">
        <v>0.33</v>
      </c>
      <c r="E571" s="5">
        <v>0.68</v>
      </c>
      <c r="F571" s="5">
        <v>-0.11</v>
      </c>
      <c r="G571" s="7">
        <v>0</v>
      </c>
      <c r="H571" s="8"/>
      <c r="I571" s="14">
        <v>127.9</v>
      </c>
      <c r="J571" s="15">
        <v>249.9</v>
      </c>
      <c r="K571" s="15">
        <v>3279.39</v>
      </c>
      <c r="L571" s="15">
        <v>263.62</v>
      </c>
      <c r="M571" s="15">
        <v>163.61000000000001</v>
      </c>
      <c r="O571" s="15">
        <f t="shared" si="18"/>
        <v>1.3390381110847116</v>
      </c>
      <c r="P571" s="15">
        <f t="shared" si="18"/>
        <v>0.82304526748970819</v>
      </c>
      <c r="Q571" s="15">
        <f t="shared" si="18"/>
        <v>1.7237314738415721</v>
      </c>
      <c r="R571" s="15">
        <f t="shared" si="17"/>
        <v>0.21287919105907882</v>
      </c>
      <c r="S571" s="15">
        <f t="shared" si="17"/>
        <v>0.13464716322910686</v>
      </c>
    </row>
    <row r="572" spans="1:19" ht="12.75">
      <c r="A572" s="6">
        <v>20210408</v>
      </c>
      <c r="B572" s="5">
        <v>0.62</v>
      </c>
      <c r="C572" s="5">
        <v>0.25</v>
      </c>
      <c r="D572" s="5">
        <v>-1.18</v>
      </c>
      <c r="E572" s="5">
        <v>-0.54</v>
      </c>
      <c r="F572" s="5">
        <v>-0.38</v>
      </c>
      <c r="G572" s="7">
        <v>0</v>
      </c>
      <c r="H572" s="8"/>
      <c r="I572" s="14">
        <v>130.36000000000001</v>
      </c>
      <c r="J572" s="15">
        <v>253.25</v>
      </c>
      <c r="K572" s="15">
        <v>3299.3</v>
      </c>
      <c r="L572" s="15">
        <v>263.51</v>
      </c>
      <c r="M572" s="15">
        <v>162.97</v>
      </c>
      <c r="O572" s="15">
        <f t="shared" si="18"/>
        <v>1.9233776387802992</v>
      </c>
      <c r="P572" s="15">
        <f t="shared" si="18"/>
        <v>1.3405362144857991</v>
      </c>
      <c r="Q572" s="15">
        <f t="shared" si="18"/>
        <v>0.60712510558367239</v>
      </c>
      <c r="R572" s="15">
        <f t="shared" si="17"/>
        <v>-4.1726727865876168E-2</v>
      </c>
      <c r="S572" s="15">
        <f t="shared" si="17"/>
        <v>-0.39117413361042797</v>
      </c>
    </row>
    <row r="573" spans="1:19" ht="12.75">
      <c r="A573" s="6">
        <v>20210409</v>
      </c>
      <c r="B573" s="5">
        <v>0.65</v>
      </c>
      <c r="C573" s="5">
        <v>-0.62</v>
      </c>
      <c r="D573" s="5">
        <v>0.13</v>
      </c>
      <c r="E573" s="5">
        <v>0.78</v>
      </c>
      <c r="F573" s="5">
        <v>0.12</v>
      </c>
      <c r="G573" s="7">
        <v>0</v>
      </c>
      <c r="H573" s="8"/>
      <c r="I573" s="14">
        <v>133</v>
      </c>
      <c r="J573" s="15">
        <v>255.85</v>
      </c>
      <c r="K573" s="15">
        <v>3372.2</v>
      </c>
      <c r="L573" s="15">
        <v>266.01</v>
      </c>
      <c r="M573" s="15">
        <v>161.25</v>
      </c>
      <c r="O573" s="15">
        <f t="shared" si="18"/>
        <v>2.0251610923596175</v>
      </c>
      <c r="P573" s="15">
        <f t="shared" si="18"/>
        <v>1.0266535044422431</v>
      </c>
      <c r="Q573" s="15">
        <f t="shared" si="18"/>
        <v>2.2095596035522469</v>
      </c>
      <c r="R573" s="15">
        <f t="shared" si="17"/>
        <v>0.94873059845925756</v>
      </c>
      <c r="S573" s="15">
        <f t="shared" si="17"/>
        <v>-1.0554089709762571</v>
      </c>
    </row>
    <row r="574" spans="1:19" ht="12.75">
      <c r="A574" s="6">
        <v>20210412</v>
      </c>
      <c r="B574" s="5">
        <v>-0.05</v>
      </c>
      <c r="C574" s="5">
        <v>-0.45</v>
      </c>
      <c r="D574" s="5">
        <v>0.55000000000000004</v>
      </c>
      <c r="E574" s="5">
        <v>0.71</v>
      </c>
      <c r="F574" s="5">
        <v>-0.36</v>
      </c>
      <c r="G574" s="7">
        <v>0</v>
      </c>
      <c r="H574" s="8"/>
      <c r="I574" s="14">
        <v>131.24</v>
      </c>
      <c r="J574" s="15">
        <v>255.91</v>
      </c>
      <c r="K574" s="15">
        <v>3379.39</v>
      </c>
      <c r="L574" s="15">
        <v>267.93</v>
      </c>
      <c r="M574" s="15">
        <v>161.63999999999999</v>
      </c>
      <c r="O574" s="15">
        <f t="shared" si="18"/>
        <v>-1.3233082706766819</v>
      </c>
      <c r="P574" s="15">
        <f t="shared" si="18"/>
        <v>2.3451240961502862E-2</v>
      </c>
      <c r="Q574" s="15">
        <f t="shared" si="18"/>
        <v>0.213213925627187</v>
      </c>
      <c r="R574" s="15">
        <f t="shared" si="17"/>
        <v>0.7217773767903557</v>
      </c>
      <c r="S574" s="15">
        <f t="shared" si="17"/>
        <v>0.24186046511627257</v>
      </c>
    </row>
    <row r="575" spans="1:19" ht="12.75">
      <c r="A575" s="6">
        <v>20210413</v>
      </c>
      <c r="B575" s="5">
        <v>0.41</v>
      </c>
      <c r="C575" s="5">
        <v>-0.77</v>
      </c>
      <c r="D575" s="5">
        <v>-1.58</v>
      </c>
      <c r="E575" s="5">
        <v>-1.07</v>
      </c>
      <c r="F575" s="5">
        <v>-0.36</v>
      </c>
      <c r="G575" s="7">
        <v>0</v>
      </c>
      <c r="H575" s="8"/>
      <c r="I575" s="14">
        <v>134.43</v>
      </c>
      <c r="J575" s="15">
        <v>258.49</v>
      </c>
      <c r="K575" s="15">
        <v>3400</v>
      </c>
      <c r="L575" s="15">
        <v>267.10000000000002</v>
      </c>
      <c r="M575" s="15">
        <v>159.47999999999999</v>
      </c>
      <c r="O575" s="15">
        <f t="shared" si="18"/>
        <v>2.430661383724475</v>
      </c>
      <c r="P575" s="15">
        <f t="shared" si="18"/>
        <v>1.0081669336876375</v>
      </c>
      <c r="Q575" s="15">
        <f t="shared" si="18"/>
        <v>0.60987337951523557</v>
      </c>
      <c r="R575" s="15">
        <f t="shared" si="17"/>
        <v>-0.3097824058522658</v>
      </c>
      <c r="S575" s="15">
        <f t="shared" si="17"/>
        <v>-1.3363028953229383</v>
      </c>
    </row>
    <row r="576" spans="1:19" ht="12.75">
      <c r="A576" s="6">
        <v>20210414</v>
      </c>
      <c r="B576" s="5">
        <v>-0.35</v>
      </c>
      <c r="C576" s="5">
        <v>1.17</v>
      </c>
      <c r="D576" s="5">
        <v>1.41</v>
      </c>
      <c r="E576" s="5">
        <v>0.01</v>
      </c>
      <c r="F576" s="5">
        <v>0.68</v>
      </c>
      <c r="G576" s="7">
        <v>0</v>
      </c>
      <c r="H576" s="8"/>
      <c r="I576" s="14">
        <v>132.03</v>
      </c>
      <c r="J576" s="15">
        <v>255.59</v>
      </c>
      <c r="K576" s="15">
        <v>3333</v>
      </c>
      <c r="L576" s="15">
        <v>267.52999999999997</v>
      </c>
      <c r="M576" s="15">
        <v>159.91999999999999</v>
      </c>
      <c r="O576" s="15">
        <f t="shared" si="18"/>
        <v>-1.7853157777281914</v>
      </c>
      <c r="P576" s="15">
        <f t="shared" si="18"/>
        <v>-1.1219002669348943</v>
      </c>
      <c r="Q576" s="15">
        <f t="shared" si="18"/>
        <v>-1.9705882352941129</v>
      </c>
      <c r="R576" s="15">
        <f t="shared" si="17"/>
        <v>0.16098839385996211</v>
      </c>
      <c r="S576" s="15">
        <f t="shared" si="17"/>
        <v>0.27589666415850367</v>
      </c>
    </row>
    <row r="577" spans="1:19" ht="12.75">
      <c r="A577" s="6">
        <v>20210415</v>
      </c>
      <c r="B577" s="5">
        <v>1.04</v>
      </c>
      <c r="C577" s="5">
        <v>-0.78</v>
      </c>
      <c r="D577" s="5">
        <v>-1.2</v>
      </c>
      <c r="E577" s="5">
        <v>0.09</v>
      </c>
      <c r="F577" s="5">
        <v>-0.54</v>
      </c>
      <c r="G577" s="7">
        <v>0</v>
      </c>
      <c r="H577" s="8"/>
      <c r="I577" s="14">
        <v>134.5</v>
      </c>
      <c r="J577" s="15">
        <v>259.5</v>
      </c>
      <c r="K577" s="15">
        <v>3379.09</v>
      </c>
      <c r="L577" s="15">
        <v>269.14</v>
      </c>
      <c r="M577" s="15">
        <v>160.38999999999999</v>
      </c>
      <c r="O577" s="15">
        <f t="shared" si="18"/>
        <v>1.8707869423615797</v>
      </c>
      <c r="P577" s="15">
        <f t="shared" si="18"/>
        <v>1.5297938103994602</v>
      </c>
      <c r="Q577" s="15">
        <f t="shared" si="18"/>
        <v>1.3828382838283915</v>
      </c>
      <c r="R577" s="15">
        <f t="shared" si="17"/>
        <v>0.60180166710275262</v>
      </c>
      <c r="S577" s="15">
        <f t="shared" si="17"/>
        <v>0.29389694847423709</v>
      </c>
    </row>
    <row r="578" spans="1:19" ht="12.75">
      <c r="A578" s="6">
        <v>20210416</v>
      </c>
      <c r="B578" s="5">
        <v>0.27</v>
      </c>
      <c r="C578" s="5">
        <v>-0.19</v>
      </c>
      <c r="D578" s="5">
        <v>0.64</v>
      </c>
      <c r="E578" s="5">
        <v>0.83</v>
      </c>
      <c r="F578" s="5">
        <v>0.16</v>
      </c>
      <c r="G578" s="7">
        <v>0</v>
      </c>
      <c r="H578" s="8"/>
      <c r="I578" s="14">
        <v>134.16</v>
      </c>
      <c r="J578" s="15">
        <v>260.74</v>
      </c>
      <c r="K578" s="15">
        <v>3399.44</v>
      </c>
      <c r="L578" s="15">
        <v>272.11</v>
      </c>
      <c r="M578" s="15">
        <v>162.24</v>
      </c>
      <c r="O578" s="15">
        <f t="shared" si="18"/>
        <v>-0.25278810408921881</v>
      </c>
      <c r="P578" s="15">
        <f t="shared" si="18"/>
        <v>0.47784200385356801</v>
      </c>
      <c r="Q578" s="15">
        <f t="shared" si="18"/>
        <v>0.60223314561020924</v>
      </c>
      <c r="R578" s="15">
        <f t="shared" si="17"/>
        <v>1.1035148993089106</v>
      </c>
      <c r="S578" s="15">
        <f t="shared" si="17"/>
        <v>1.1534384936716879</v>
      </c>
    </row>
    <row r="579" spans="1:19" ht="12.75">
      <c r="A579" s="6">
        <v>20210419</v>
      </c>
      <c r="B579" s="5">
        <v>-0.73</v>
      </c>
      <c r="C579" s="5">
        <v>-0.66</v>
      </c>
      <c r="D579" s="5">
        <v>0.79</v>
      </c>
      <c r="E579" s="5">
        <v>0.71</v>
      </c>
      <c r="F579" s="5">
        <v>0.42</v>
      </c>
      <c r="G579" s="7">
        <v>0</v>
      </c>
      <c r="H579" s="8"/>
      <c r="I579" s="14">
        <v>134.84</v>
      </c>
      <c r="J579" s="15">
        <v>258.74</v>
      </c>
      <c r="K579" s="15">
        <v>3372.01</v>
      </c>
      <c r="L579" s="15">
        <v>270.27999999999997</v>
      </c>
      <c r="M579" s="15">
        <v>162.69</v>
      </c>
      <c r="O579" s="15">
        <f t="shared" si="18"/>
        <v>0.50685748360166372</v>
      </c>
      <c r="P579" s="15">
        <f t="shared" si="18"/>
        <v>-0.76704763365804673</v>
      </c>
      <c r="Q579" s="15">
        <f t="shared" si="18"/>
        <v>-0.80689760666462496</v>
      </c>
      <c r="R579" s="15">
        <f t="shared" si="17"/>
        <v>-0.67252214178091796</v>
      </c>
      <c r="S579" s="15">
        <f t="shared" si="17"/>
        <v>0.27736686390531506</v>
      </c>
    </row>
    <row r="580" spans="1:19" ht="12.75">
      <c r="A580" s="6">
        <v>20210420</v>
      </c>
      <c r="B580" s="5">
        <v>-0.94</v>
      </c>
      <c r="C580" s="5">
        <v>-1.37</v>
      </c>
      <c r="D580" s="5">
        <v>-1.55</v>
      </c>
      <c r="E580" s="5">
        <v>0.38</v>
      </c>
      <c r="F580" s="5">
        <v>-0.48</v>
      </c>
      <c r="G580" s="7">
        <v>0</v>
      </c>
      <c r="H580" s="8"/>
      <c r="I580" s="14">
        <v>133.11000000000001</v>
      </c>
      <c r="J580" s="15">
        <v>258.26</v>
      </c>
      <c r="K580" s="15">
        <v>3334.69</v>
      </c>
      <c r="L580" s="15">
        <v>267.89</v>
      </c>
      <c r="M580" s="15">
        <v>166.48</v>
      </c>
      <c r="O580" s="15">
        <f t="shared" si="18"/>
        <v>-1.2830020765351446</v>
      </c>
      <c r="P580" s="15">
        <f t="shared" si="18"/>
        <v>-0.18551441601608598</v>
      </c>
      <c r="Q580" s="15">
        <f t="shared" si="18"/>
        <v>-1.1067582836349898</v>
      </c>
      <c r="R580" s="15">
        <f t="shared" si="18"/>
        <v>-0.8842681663460028</v>
      </c>
      <c r="S580" s="15">
        <f t="shared" si="18"/>
        <v>2.3295838711660188</v>
      </c>
    </row>
    <row r="581" spans="1:19" ht="12.75">
      <c r="A581" s="6">
        <v>20210421</v>
      </c>
      <c r="B581" s="5">
        <v>1.1100000000000001</v>
      </c>
      <c r="C581" s="5">
        <v>1.53</v>
      </c>
      <c r="D581" s="5">
        <v>0.1</v>
      </c>
      <c r="E581" s="5">
        <v>-0.45</v>
      </c>
      <c r="F581" s="5">
        <v>0.11</v>
      </c>
      <c r="G581" s="7">
        <v>0</v>
      </c>
      <c r="H581" s="8"/>
      <c r="I581" s="14">
        <v>133.5</v>
      </c>
      <c r="J581" s="15">
        <v>260.58</v>
      </c>
      <c r="K581" s="15">
        <v>3362.02</v>
      </c>
      <c r="L581" s="15">
        <v>272.20999999999998</v>
      </c>
      <c r="M581" s="15">
        <v>166.59</v>
      </c>
      <c r="O581" s="15">
        <f t="shared" ref="O581:R644" si="19">(I581/I580-1)*100</f>
        <v>0.29299075952218256</v>
      </c>
      <c r="P581" s="15">
        <f t="shared" si="19"/>
        <v>0.89831952296135498</v>
      </c>
      <c r="Q581" s="15">
        <f t="shared" si="19"/>
        <v>0.81956643646035054</v>
      </c>
      <c r="R581" s="15">
        <f t="shared" si="19"/>
        <v>1.6126021874649954</v>
      </c>
      <c r="S581" s="15">
        <f t="shared" ref="S581:S644" si="20">(M581/M580-1)*100</f>
        <v>6.6074002883231842E-2</v>
      </c>
    </row>
    <row r="582" spans="1:19" ht="12.75">
      <c r="A582" s="6">
        <v>20210422</v>
      </c>
      <c r="B582" s="5">
        <v>-0.77</v>
      </c>
      <c r="C582" s="5">
        <v>0.63</v>
      </c>
      <c r="D582" s="5">
        <v>-0.77</v>
      </c>
      <c r="E582" s="5">
        <v>-0.19</v>
      </c>
      <c r="F582" s="5">
        <v>-0.21</v>
      </c>
      <c r="G582" s="7">
        <v>0</v>
      </c>
      <c r="H582" s="8"/>
      <c r="I582" s="14">
        <v>131.94</v>
      </c>
      <c r="J582" s="15">
        <v>257.17</v>
      </c>
      <c r="K582" s="15">
        <v>3309.04</v>
      </c>
      <c r="L582" s="15">
        <v>269.51</v>
      </c>
      <c r="M582" s="15">
        <v>165.18</v>
      </c>
      <c r="O582" s="15">
        <f t="shared" si="19"/>
        <v>-1.168539325842699</v>
      </c>
      <c r="P582" s="15">
        <f t="shared" si="19"/>
        <v>-1.3086192340164171</v>
      </c>
      <c r="Q582" s="15">
        <f t="shared" si="19"/>
        <v>-1.5758383352865279</v>
      </c>
      <c r="R582" s="15">
        <f t="shared" si="19"/>
        <v>-0.99188126813856137</v>
      </c>
      <c r="S582" s="15">
        <f t="shared" si="20"/>
        <v>-0.84638933909598757</v>
      </c>
    </row>
    <row r="583" spans="1:19" ht="12.75">
      <c r="A583" s="6">
        <v>20210423</v>
      </c>
      <c r="B583" s="5">
        <v>1.26</v>
      </c>
      <c r="C583" s="5">
        <v>0.76</v>
      </c>
      <c r="D583" s="5">
        <v>0.69</v>
      </c>
      <c r="E583" s="5">
        <v>-0.34</v>
      </c>
      <c r="F583" s="5">
        <v>0.06</v>
      </c>
      <c r="G583" s="7">
        <v>0</v>
      </c>
      <c r="H583" s="8"/>
      <c r="I583" s="14">
        <v>134.32</v>
      </c>
      <c r="J583" s="15">
        <v>261.14999999999998</v>
      </c>
      <c r="K583" s="15">
        <v>3340.88</v>
      </c>
      <c r="L583" s="15">
        <v>271.98</v>
      </c>
      <c r="M583" s="15">
        <v>165.52</v>
      </c>
      <c r="O583" s="15">
        <f t="shared" si="19"/>
        <v>1.8038502349552843</v>
      </c>
      <c r="P583" s="15">
        <f t="shared" si="19"/>
        <v>1.5476144184780383</v>
      </c>
      <c r="Q583" s="15">
        <f t="shared" si="19"/>
        <v>0.96221260546867082</v>
      </c>
      <c r="R583" s="15">
        <f t="shared" si="19"/>
        <v>0.91647805276242611</v>
      </c>
      <c r="S583" s="15">
        <f t="shared" si="20"/>
        <v>0.20583605763409007</v>
      </c>
    </row>
    <row r="584" spans="1:19" ht="12.75">
      <c r="A584" s="6">
        <v>20210426</v>
      </c>
      <c r="B584" s="5">
        <v>0.43</v>
      </c>
      <c r="C584" s="5">
        <v>0.8</v>
      </c>
      <c r="D584" s="5">
        <v>-0.5</v>
      </c>
      <c r="E584" s="5">
        <v>-1.19</v>
      </c>
      <c r="F584" s="5">
        <v>-0.06</v>
      </c>
      <c r="G584" s="7">
        <v>0</v>
      </c>
      <c r="H584" s="8"/>
      <c r="I584" s="14">
        <v>134.72</v>
      </c>
      <c r="J584" s="15">
        <v>261.55</v>
      </c>
      <c r="K584" s="15">
        <v>3409</v>
      </c>
      <c r="L584" s="15">
        <v>270.86</v>
      </c>
      <c r="M584" s="15">
        <v>164.12</v>
      </c>
      <c r="O584" s="15">
        <f t="shared" si="19"/>
        <v>0.29779630732580387</v>
      </c>
      <c r="P584" s="15">
        <f t="shared" si="19"/>
        <v>0.15316867700556624</v>
      </c>
      <c r="Q584" s="15">
        <f t="shared" si="19"/>
        <v>2.0389837408107958</v>
      </c>
      <c r="R584" s="15">
        <f t="shared" si="19"/>
        <v>-0.41179498492536215</v>
      </c>
      <c r="S584" s="15">
        <f t="shared" si="20"/>
        <v>-0.84581923634606815</v>
      </c>
    </row>
    <row r="585" spans="1:19" ht="12.75">
      <c r="A585" s="6">
        <v>20210427</v>
      </c>
      <c r="B585" s="5">
        <v>-0.03</v>
      </c>
      <c r="C585" s="5">
        <v>0.08</v>
      </c>
      <c r="D585" s="5">
        <v>0.85</v>
      </c>
      <c r="E585" s="5">
        <v>0.51</v>
      </c>
      <c r="F585" s="5">
        <v>0.06</v>
      </c>
      <c r="G585" s="7">
        <v>0</v>
      </c>
      <c r="H585" s="8"/>
      <c r="I585" s="14">
        <v>134.38999999999999</v>
      </c>
      <c r="J585" s="15">
        <v>261.97000000000003</v>
      </c>
      <c r="K585" s="15">
        <v>3417.43</v>
      </c>
      <c r="L585" s="15">
        <v>273.64999999999998</v>
      </c>
      <c r="M585" s="15">
        <v>163.18</v>
      </c>
      <c r="O585" s="15">
        <f t="shared" si="19"/>
        <v>-0.24495249406176756</v>
      </c>
      <c r="P585" s="15">
        <f t="shared" si="19"/>
        <v>0.16058115083159574</v>
      </c>
      <c r="Q585" s="15">
        <f t="shared" si="19"/>
        <v>0.24728659430917066</v>
      </c>
      <c r="R585" s="15">
        <f t="shared" si="19"/>
        <v>1.0300524256073196</v>
      </c>
      <c r="S585" s="15">
        <f t="shared" si="20"/>
        <v>-0.57275164513770349</v>
      </c>
    </row>
    <row r="586" spans="1:19" ht="12.75">
      <c r="A586" s="6">
        <v>20210428</v>
      </c>
      <c r="B586" s="5">
        <v>-0.06</v>
      </c>
      <c r="C586" s="5">
        <v>0.28000000000000003</v>
      </c>
      <c r="D586" s="5">
        <v>0.22</v>
      </c>
      <c r="E586" s="5">
        <v>-0.28999999999999998</v>
      </c>
      <c r="F586" s="5">
        <v>-0.32</v>
      </c>
      <c r="G586" s="7">
        <v>0</v>
      </c>
      <c r="H586" s="8"/>
      <c r="I586" s="14">
        <v>133.58000000000001</v>
      </c>
      <c r="J586" s="15">
        <v>254.56</v>
      </c>
      <c r="K586" s="15">
        <v>3458.5</v>
      </c>
      <c r="L586" s="15">
        <v>272.95</v>
      </c>
      <c r="M586" s="15">
        <v>161.97999999999999</v>
      </c>
      <c r="O586" s="15">
        <f t="shared" si="19"/>
        <v>-0.60272341692088061</v>
      </c>
      <c r="P586" s="15">
        <f t="shared" si="19"/>
        <v>-2.8285681566591725</v>
      </c>
      <c r="Q586" s="15">
        <f t="shared" si="19"/>
        <v>1.2017802851850723</v>
      </c>
      <c r="R586" s="15">
        <f t="shared" si="19"/>
        <v>-0.25580120591996991</v>
      </c>
      <c r="S586" s="15">
        <f t="shared" si="20"/>
        <v>-0.73538423826450261</v>
      </c>
    </row>
    <row r="587" spans="1:19" ht="12.75">
      <c r="A587" s="6">
        <v>20210429</v>
      </c>
      <c r="B587" s="5">
        <v>0.39</v>
      </c>
      <c r="C587" s="5">
        <v>-0.76</v>
      </c>
      <c r="D587" s="5">
        <v>1.1000000000000001</v>
      </c>
      <c r="E587" s="5">
        <v>1.33</v>
      </c>
      <c r="F587" s="5">
        <v>-0.24</v>
      </c>
      <c r="G587" s="7">
        <v>0</v>
      </c>
      <c r="H587" s="8"/>
      <c r="I587" s="14">
        <v>133.47999999999999</v>
      </c>
      <c r="J587" s="15">
        <v>252.51</v>
      </c>
      <c r="K587" s="15">
        <v>3471.31</v>
      </c>
      <c r="L587" s="15">
        <v>277.60000000000002</v>
      </c>
      <c r="M587" s="15">
        <v>164.2</v>
      </c>
      <c r="O587" s="15">
        <f t="shared" si="19"/>
        <v>-7.4861506213519391E-2</v>
      </c>
      <c r="P587" s="15">
        <f t="shared" si="19"/>
        <v>-0.80531112507856717</v>
      </c>
      <c r="Q587" s="15">
        <f t="shared" si="19"/>
        <v>0.37039178834754605</v>
      </c>
      <c r="R587" s="15">
        <f t="shared" si="19"/>
        <v>1.7036087195457128</v>
      </c>
      <c r="S587" s="15">
        <f t="shared" si="20"/>
        <v>1.3705395727867664</v>
      </c>
    </row>
    <row r="588" spans="1:19" ht="12.75">
      <c r="A588" s="6">
        <v>20210430</v>
      </c>
      <c r="B588" s="5">
        <v>-0.83</v>
      </c>
      <c r="C588" s="5">
        <v>-0.52</v>
      </c>
      <c r="D588" s="5">
        <v>-0.32</v>
      </c>
      <c r="E588" s="5">
        <v>0.14000000000000001</v>
      </c>
      <c r="F588" s="5">
        <v>-0.43</v>
      </c>
      <c r="G588" s="7">
        <v>0</v>
      </c>
      <c r="H588" s="8"/>
      <c r="I588" s="14">
        <v>131.46</v>
      </c>
      <c r="J588" s="15">
        <v>252.18</v>
      </c>
      <c r="K588" s="15">
        <v>3467.42</v>
      </c>
      <c r="L588" s="15">
        <v>274.95</v>
      </c>
      <c r="M588" s="15">
        <v>162.72999999999999</v>
      </c>
      <c r="O588" s="15">
        <f t="shared" si="19"/>
        <v>-1.5133353311357345</v>
      </c>
      <c r="P588" s="15">
        <f t="shared" si="19"/>
        <v>-0.13068789354876431</v>
      </c>
      <c r="Q588" s="15">
        <f t="shared" si="19"/>
        <v>-0.11206144078171887</v>
      </c>
      <c r="R588" s="15">
        <f t="shared" si="19"/>
        <v>-0.95461095100866089</v>
      </c>
      <c r="S588" s="15">
        <f t="shared" si="20"/>
        <v>-0.89524969549330535</v>
      </c>
    </row>
    <row r="589" spans="1:19" ht="12.75">
      <c r="A589" s="6">
        <v>20210503</v>
      </c>
      <c r="B589" s="5">
        <v>0.17</v>
      </c>
      <c r="C589" s="5">
        <v>0.72</v>
      </c>
      <c r="D589" s="5">
        <v>1.69</v>
      </c>
      <c r="E589" s="5">
        <v>1.07</v>
      </c>
      <c r="F589" s="5">
        <v>1.07</v>
      </c>
      <c r="G589" s="7">
        <v>0</v>
      </c>
      <c r="H589" s="8"/>
      <c r="I589" s="14">
        <v>132.54</v>
      </c>
      <c r="J589" s="15">
        <v>251.86</v>
      </c>
      <c r="K589" s="15">
        <v>3386.49</v>
      </c>
      <c r="L589" s="15">
        <v>279.18</v>
      </c>
      <c r="M589" s="15">
        <v>165.21</v>
      </c>
      <c r="O589" s="15">
        <f t="shared" si="19"/>
        <v>0.82154267457781316</v>
      </c>
      <c r="P589" s="15">
        <f t="shared" si="19"/>
        <v>-0.12689348877785722</v>
      </c>
      <c r="Q589" s="15">
        <f t="shared" si="19"/>
        <v>-2.3340120320007429</v>
      </c>
      <c r="R589" s="15">
        <f t="shared" si="19"/>
        <v>1.5384615384615552</v>
      </c>
      <c r="S589" s="15">
        <f t="shared" si="20"/>
        <v>1.5239968045228425</v>
      </c>
    </row>
    <row r="590" spans="1:19" ht="12.75">
      <c r="A590" s="6">
        <v>20210504</v>
      </c>
      <c r="B590" s="5">
        <v>-0.89</v>
      </c>
      <c r="C590" s="5">
        <v>-0.26</v>
      </c>
      <c r="D590" s="5">
        <v>2</v>
      </c>
      <c r="E590" s="5">
        <v>1.0900000000000001</v>
      </c>
      <c r="F590" s="5">
        <v>0.59</v>
      </c>
      <c r="G590" s="7">
        <v>0</v>
      </c>
      <c r="H590" s="8"/>
      <c r="I590" s="14">
        <v>127.85</v>
      </c>
      <c r="J590" s="15">
        <v>247.79</v>
      </c>
      <c r="K590" s="15">
        <v>3311.87</v>
      </c>
      <c r="L590" s="15">
        <v>280.26</v>
      </c>
      <c r="M590" s="15">
        <v>167.77</v>
      </c>
      <c r="O590" s="15">
        <f t="shared" si="19"/>
        <v>-3.5385543986721002</v>
      </c>
      <c r="P590" s="15">
        <f t="shared" si="19"/>
        <v>-1.6159771301516801</v>
      </c>
      <c r="Q590" s="15">
        <f t="shared" si="19"/>
        <v>-2.2034614010376541</v>
      </c>
      <c r="R590" s="15">
        <f t="shared" si="19"/>
        <v>0.38684719535782008</v>
      </c>
      <c r="S590" s="15">
        <f t="shared" si="20"/>
        <v>1.5495430058713122</v>
      </c>
    </row>
    <row r="591" spans="1:19" ht="12.75">
      <c r="A591" s="6">
        <v>20210505</v>
      </c>
      <c r="B591" s="5">
        <v>-0.06</v>
      </c>
      <c r="C591" s="5">
        <v>-0.18</v>
      </c>
      <c r="D591" s="5">
        <v>1.37</v>
      </c>
      <c r="E591" s="5">
        <v>0.67</v>
      </c>
      <c r="F591" s="5">
        <v>0.64</v>
      </c>
      <c r="G591" s="7">
        <v>0</v>
      </c>
      <c r="H591" s="8"/>
      <c r="I591" s="14">
        <v>128.1</v>
      </c>
      <c r="J591" s="15">
        <v>246.47</v>
      </c>
      <c r="K591" s="15">
        <v>3270.54</v>
      </c>
      <c r="L591" s="15">
        <v>282.76</v>
      </c>
      <c r="M591" s="15">
        <v>167.07</v>
      </c>
      <c r="O591" s="15">
        <f t="shared" si="19"/>
        <v>0.19554165037152238</v>
      </c>
      <c r="P591" s="15">
        <f t="shared" si="19"/>
        <v>-0.53270914887606491</v>
      </c>
      <c r="Q591" s="15">
        <f t="shared" si="19"/>
        <v>-1.2479354564037815</v>
      </c>
      <c r="R591" s="15">
        <f t="shared" si="19"/>
        <v>0.89202883037180491</v>
      </c>
      <c r="S591" s="15">
        <f t="shared" si="20"/>
        <v>-0.41723788519998362</v>
      </c>
    </row>
    <row r="592" spans="1:19" ht="12.75">
      <c r="A592" s="6">
        <v>20210506</v>
      </c>
      <c r="B592" s="5">
        <v>0.48</v>
      </c>
      <c r="C592" s="5">
        <v>-0.5</v>
      </c>
      <c r="D592" s="5">
        <v>1.2</v>
      </c>
      <c r="E592" s="5">
        <v>1.22</v>
      </c>
      <c r="F592" s="5">
        <v>0.6</v>
      </c>
      <c r="G592" s="7">
        <v>0</v>
      </c>
      <c r="H592" s="8"/>
      <c r="I592" s="14">
        <v>129.74</v>
      </c>
      <c r="J592" s="15">
        <v>249.73</v>
      </c>
      <c r="K592" s="15">
        <v>3306.37</v>
      </c>
      <c r="L592" s="15">
        <v>289.70999999999998</v>
      </c>
      <c r="M592" s="15">
        <v>167.74</v>
      </c>
      <c r="O592" s="15">
        <f t="shared" si="19"/>
        <v>1.2802498048399835</v>
      </c>
      <c r="P592" s="15">
        <f t="shared" si="19"/>
        <v>1.3226761877713322</v>
      </c>
      <c r="Q592" s="15">
        <f t="shared" si="19"/>
        <v>1.095537739945085</v>
      </c>
      <c r="R592" s="15">
        <f t="shared" si="19"/>
        <v>2.4579148394398009</v>
      </c>
      <c r="S592" s="15">
        <f t="shared" si="20"/>
        <v>0.40102950858922348</v>
      </c>
    </row>
    <row r="593" spans="1:19" ht="12.75">
      <c r="A593" s="6">
        <v>20210507</v>
      </c>
      <c r="B593" s="5">
        <v>0.84</v>
      </c>
      <c r="C593" s="5">
        <v>0.44</v>
      </c>
      <c r="D593" s="5">
        <v>-0.08</v>
      </c>
      <c r="E593" s="5">
        <v>-0.21</v>
      </c>
      <c r="F593" s="5">
        <v>0.16</v>
      </c>
      <c r="G593" s="7">
        <v>0</v>
      </c>
      <c r="H593" s="8"/>
      <c r="I593" s="14">
        <v>130.21</v>
      </c>
      <c r="J593" s="15">
        <v>252.46</v>
      </c>
      <c r="K593" s="15">
        <v>3291.61</v>
      </c>
      <c r="L593" s="15">
        <v>290.93</v>
      </c>
      <c r="M593" s="15">
        <v>168.5</v>
      </c>
      <c r="O593" s="15">
        <f t="shared" si="19"/>
        <v>0.36226298751349528</v>
      </c>
      <c r="P593" s="15">
        <f t="shared" si="19"/>
        <v>1.0931806350858997</v>
      </c>
      <c r="Q593" s="15">
        <f t="shared" si="19"/>
        <v>-0.44641101873050815</v>
      </c>
      <c r="R593" s="15">
        <f t="shared" si="19"/>
        <v>0.4211107659383595</v>
      </c>
      <c r="S593" s="15">
        <f t="shared" si="20"/>
        <v>0.45308215094788107</v>
      </c>
    </row>
    <row r="594" spans="1:19" ht="12.75">
      <c r="A594" s="6">
        <v>20210510</v>
      </c>
      <c r="B594" s="5">
        <v>-1.36</v>
      </c>
      <c r="C594" s="5">
        <v>-1.27</v>
      </c>
      <c r="D594" s="5">
        <v>1.69</v>
      </c>
      <c r="E594" s="5">
        <v>1.1399999999999999</v>
      </c>
      <c r="F594" s="5">
        <v>0.72</v>
      </c>
      <c r="G594" s="7">
        <v>0</v>
      </c>
      <c r="H594" s="8"/>
      <c r="I594" s="14">
        <v>126.85</v>
      </c>
      <c r="J594" s="15">
        <v>247.18</v>
      </c>
      <c r="K594" s="15">
        <v>3190.49</v>
      </c>
      <c r="L594" s="15">
        <v>292.33</v>
      </c>
      <c r="M594" s="15">
        <v>170.27</v>
      </c>
      <c r="O594" s="15">
        <f t="shared" si="19"/>
        <v>-2.5804469702787936</v>
      </c>
      <c r="P594" s="15">
        <f t="shared" si="19"/>
        <v>-2.0914204230373157</v>
      </c>
      <c r="Q594" s="15">
        <f t="shared" si="19"/>
        <v>-3.0720528859737417</v>
      </c>
      <c r="R594" s="15">
        <f t="shared" si="19"/>
        <v>0.48121541264221079</v>
      </c>
      <c r="S594" s="15">
        <f t="shared" si="20"/>
        <v>1.0504451038575668</v>
      </c>
    </row>
    <row r="595" spans="1:19" ht="12.75">
      <c r="A595" s="6">
        <v>20210511</v>
      </c>
      <c r="B595" s="5">
        <v>-0.63</v>
      </c>
      <c r="C595" s="5">
        <v>0.69</v>
      </c>
      <c r="D595" s="5">
        <v>-0.9</v>
      </c>
      <c r="E595" s="5">
        <v>-0.83</v>
      </c>
      <c r="F595" s="5">
        <v>-0.08</v>
      </c>
      <c r="G595" s="7">
        <v>0</v>
      </c>
      <c r="H595" s="8"/>
      <c r="I595" s="14">
        <v>125.91</v>
      </c>
      <c r="J595" s="15">
        <v>246.23</v>
      </c>
      <c r="K595" s="15">
        <v>3223.91</v>
      </c>
      <c r="L595" s="15">
        <v>285.63</v>
      </c>
      <c r="M595" s="15">
        <v>168.88</v>
      </c>
      <c r="O595" s="15">
        <f t="shared" si="19"/>
        <v>-0.741032715806067</v>
      </c>
      <c r="P595" s="15">
        <f t="shared" si="19"/>
        <v>-0.38433530220892687</v>
      </c>
      <c r="Q595" s="15">
        <f t="shared" si="19"/>
        <v>1.0474880034101464</v>
      </c>
      <c r="R595" s="15">
        <f t="shared" si="19"/>
        <v>-2.2919303526836021</v>
      </c>
      <c r="S595" s="15">
        <f t="shared" si="20"/>
        <v>-0.81635050214365901</v>
      </c>
    </row>
    <row r="596" spans="1:19" ht="12.75">
      <c r="A596" s="6">
        <v>20210512</v>
      </c>
      <c r="B596" s="5">
        <v>-2.34</v>
      </c>
      <c r="C596" s="5">
        <v>-1.1200000000000001</v>
      </c>
      <c r="D596" s="5">
        <v>0.69</v>
      </c>
      <c r="E596" s="5">
        <v>-0.31</v>
      </c>
      <c r="F596" s="5">
        <v>0.11</v>
      </c>
      <c r="G596" s="7">
        <v>0</v>
      </c>
      <c r="H596" s="8"/>
      <c r="I596" s="14">
        <v>122.77</v>
      </c>
      <c r="J596" s="15">
        <v>239</v>
      </c>
      <c r="K596" s="15">
        <v>3151.94</v>
      </c>
      <c r="L596" s="15">
        <v>282.91000000000003</v>
      </c>
      <c r="M596" s="15">
        <v>168.2</v>
      </c>
      <c r="O596" s="15">
        <f t="shared" si="19"/>
        <v>-2.4938448097847621</v>
      </c>
      <c r="P596" s="15">
        <f t="shared" si="19"/>
        <v>-2.9362790886569456</v>
      </c>
      <c r="Q596" s="15">
        <f t="shared" si="19"/>
        <v>-2.2323824176233131</v>
      </c>
      <c r="R596" s="15">
        <f t="shared" si="19"/>
        <v>-0.95228092287223953</v>
      </c>
      <c r="S596" s="15">
        <f t="shared" si="20"/>
        <v>-0.40265277119848619</v>
      </c>
    </row>
    <row r="597" spans="1:19" ht="12.75">
      <c r="A597" s="6">
        <v>20210513</v>
      </c>
      <c r="B597" s="5">
        <v>1.02</v>
      </c>
      <c r="C597" s="5">
        <v>0.47</v>
      </c>
      <c r="D597" s="5">
        <v>1.1100000000000001</v>
      </c>
      <c r="E597" s="5">
        <v>1.37</v>
      </c>
      <c r="F597" s="5">
        <v>0.35</v>
      </c>
      <c r="G597" s="7">
        <v>0</v>
      </c>
      <c r="H597" s="8"/>
      <c r="I597" s="14">
        <v>124.97</v>
      </c>
      <c r="J597" s="15">
        <v>243.03</v>
      </c>
      <c r="K597" s="15">
        <v>3161.47</v>
      </c>
      <c r="L597" s="15">
        <v>286.89999999999998</v>
      </c>
      <c r="M597" s="15">
        <v>169.96</v>
      </c>
      <c r="O597" s="15">
        <f t="shared" si="19"/>
        <v>1.7919687220004921</v>
      </c>
      <c r="P597" s="15">
        <f t="shared" si="19"/>
        <v>1.686192468619252</v>
      </c>
      <c r="Q597" s="15">
        <f t="shared" si="19"/>
        <v>0.30235347119551559</v>
      </c>
      <c r="R597" s="15">
        <f t="shared" si="19"/>
        <v>1.4103425117528268</v>
      </c>
      <c r="S597" s="15">
        <f t="shared" si="20"/>
        <v>1.0463733650416307</v>
      </c>
    </row>
    <row r="598" spans="1:19" ht="12.75">
      <c r="A598" s="6">
        <v>20210514</v>
      </c>
      <c r="B598" s="5">
        <v>1.81</v>
      </c>
      <c r="C598" s="5">
        <v>0.97</v>
      </c>
      <c r="D598" s="5">
        <v>-0.16</v>
      </c>
      <c r="E598" s="5">
        <v>-0.23</v>
      </c>
      <c r="F598" s="5">
        <v>-0.01</v>
      </c>
      <c r="G598" s="7">
        <v>0</v>
      </c>
      <c r="H598" s="8"/>
      <c r="I598" s="14">
        <v>127.45</v>
      </c>
      <c r="J598" s="15">
        <v>248.15</v>
      </c>
      <c r="K598" s="15">
        <v>3222.9</v>
      </c>
      <c r="L598" s="15">
        <v>290.68</v>
      </c>
      <c r="M598" s="15">
        <v>170.22</v>
      </c>
      <c r="O598" s="15">
        <f t="shared" si="19"/>
        <v>1.9844762743058464</v>
      </c>
      <c r="P598" s="15">
        <f t="shared" si="19"/>
        <v>2.1067357939348996</v>
      </c>
      <c r="Q598" s="15">
        <f t="shared" si="19"/>
        <v>1.9430834390331109</v>
      </c>
      <c r="R598" s="15">
        <f t="shared" si="19"/>
        <v>1.3175322411990376</v>
      </c>
      <c r="S598" s="15">
        <f t="shared" si="20"/>
        <v>0.15297717109907794</v>
      </c>
    </row>
    <row r="599" spans="1:19" ht="12.75">
      <c r="A599" s="6">
        <v>20210517</v>
      </c>
      <c r="B599" s="5">
        <v>-0.24</v>
      </c>
      <c r="C599" s="5">
        <v>0.72</v>
      </c>
      <c r="D599" s="5">
        <v>0.85</v>
      </c>
      <c r="E599" s="5">
        <v>0.03</v>
      </c>
      <c r="F599" s="5">
        <v>0.57999999999999996</v>
      </c>
      <c r="G599" s="7">
        <v>0</v>
      </c>
      <c r="H599" s="8"/>
      <c r="I599" s="14">
        <v>126.27</v>
      </c>
      <c r="J599" s="15">
        <v>245.18</v>
      </c>
      <c r="K599" s="15">
        <v>3270.39</v>
      </c>
      <c r="L599" s="15">
        <v>289.22000000000003</v>
      </c>
      <c r="M599" s="15">
        <v>170.39</v>
      </c>
      <c r="O599" s="15">
        <f t="shared" si="19"/>
        <v>-0.92585327579443044</v>
      </c>
      <c r="P599" s="15">
        <f t="shared" si="19"/>
        <v>-1.196856739875074</v>
      </c>
      <c r="Q599" s="15">
        <f t="shared" si="19"/>
        <v>1.473517639393096</v>
      </c>
      <c r="R599" s="15">
        <f t="shared" si="19"/>
        <v>-0.50227053804871025</v>
      </c>
      <c r="S599" s="15">
        <f t="shared" si="20"/>
        <v>9.9870755492892371E-2</v>
      </c>
    </row>
    <row r="600" spans="1:19" ht="12.75">
      <c r="A600" s="6">
        <v>20210518</v>
      </c>
      <c r="B600" s="5">
        <v>-0.69</v>
      </c>
      <c r="C600" s="5">
        <v>0.05</v>
      </c>
      <c r="D600" s="5">
        <v>-0.93</v>
      </c>
      <c r="E600" s="5">
        <v>-1.02</v>
      </c>
      <c r="F600" s="5">
        <v>-0.42</v>
      </c>
      <c r="G600" s="7">
        <v>0</v>
      </c>
      <c r="H600" s="8"/>
      <c r="I600" s="14">
        <v>124.85</v>
      </c>
      <c r="J600" s="15">
        <v>243.08</v>
      </c>
      <c r="K600" s="15">
        <v>3232.28</v>
      </c>
      <c r="L600" s="15">
        <v>287.58999999999997</v>
      </c>
      <c r="M600" s="15">
        <v>170.45</v>
      </c>
      <c r="O600" s="15">
        <f t="shared" si="19"/>
        <v>-1.1245743248594287</v>
      </c>
      <c r="P600" s="15">
        <f t="shared" si="19"/>
        <v>-0.85651358185822035</v>
      </c>
      <c r="Q600" s="15">
        <f t="shared" si="19"/>
        <v>-1.1653044438124982</v>
      </c>
      <c r="R600" s="15">
        <f t="shared" si="19"/>
        <v>-0.56358481432821073</v>
      </c>
      <c r="S600" s="15">
        <f t="shared" si="20"/>
        <v>3.5213334115846706E-2</v>
      </c>
    </row>
    <row r="601" spans="1:19" ht="12.75">
      <c r="A601" s="6">
        <v>20210519</v>
      </c>
      <c r="B601" s="5">
        <v>-0.34</v>
      </c>
      <c r="C601" s="5">
        <v>-0.51</v>
      </c>
      <c r="D601" s="5">
        <v>-0.47</v>
      </c>
      <c r="E601" s="5">
        <v>-0.19</v>
      </c>
      <c r="F601" s="5">
        <v>-0.34</v>
      </c>
      <c r="G601" s="7">
        <v>0</v>
      </c>
      <c r="H601" s="8"/>
      <c r="I601" s="14">
        <v>124.69</v>
      </c>
      <c r="J601" s="15">
        <v>243.12</v>
      </c>
      <c r="K601" s="15">
        <v>3231.8</v>
      </c>
      <c r="L601" s="15">
        <v>286.22000000000003</v>
      </c>
      <c r="M601" s="15">
        <v>170.08</v>
      </c>
      <c r="O601" s="15">
        <f t="shared" si="19"/>
        <v>-0.12815378454145154</v>
      </c>
      <c r="P601" s="15">
        <f t="shared" si="19"/>
        <v>1.6455487905209232E-2</v>
      </c>
      <c r="Q601" s="15">
        <f t="shared" si="19"/>
        <v>-1.4850198621407795E-2</v>
      </c>
      <c r="R601" s="15">
        <f t="shared" si="19"/>
        <v>-0.47637261379044338</v>
      </c>
      <c r="S601" s="15">
        <f t="shared" si="20"/>
        <v>-0.2170724552654546</v>
      </c>
    </row>
    <row r="602" spans="1:19" ht="12.75">
      <c r="A602" s="6">
        <v>20210520</v>
      </c>
      <c r="B602" s="5">
        <v>1.1499999999999999</v>
      </c>
      <c r="C602" s="5">
        <v>-0.48</v>
      </c>
      <c r="D602" s="5">
        <v>-1.43</v>
      </c>
      <c r="E602" s="5">
        <v>-0.85</v>
      </c>
      <c r="F602" s="5">
        <v>-0.49</v>
      </c>
      <c r="G602" s="7">
        <v>0</v>
      </c>
      <c r="H602" s="8"/>
      <c r="I602" s="14">
        <v>127.31</v>
      </c>
      <c r="J602" s="15">
        <v>246.48</v>
      </c>
      <c r="K602" s="15">
        <v>3247.68</v>
      </c>
      <c r="L602" s="15">
        <v>286.73</v>
      </c>
      <c r="M602" s="15">
        <v>171.07</v>
      </c>
      <c r="O602" s="15">
        <f t="shared" si="19"/>
        <v>2.1012110032881504</v>
      </c>
      <c r="P602" s="15">
        <f t="shared" si="19"/>
        <v>1.382033563672258</v>
      </c>
      <c r="Q602" s="15">
        <f t="shared" si="19"/>
        <v>0.49136704003960308</v>
      </c>
      <c r="R602" s="15">
        <f t="shared" si="19"/>
        <v>0.17818461323457768</v>
      </c>
      <c r="S602" s="15">
        <f t="shared" si="20"/>
        <v>0.58207902163687208</v>
      </c>
    </row>
    <row r="603" spans="1:19" ht="12.75">
      <c r="A603" s="6">
        <v>20210521</v>
      </c>
      <c r="B603" s="5">
        <v>-0.04</v>
      </c>
      <c r="C603" s="5">
        <v>0.45</v>
      </c>
      <c r="D603" s="5">
        <v>0.98</v>
      </c>
      <c r="E603" s="5">
        <v>-0.11</v>
      </c>
      <c r="F603" s="5">
        <v>-0.06</v>
      </c>
      <c r="G603" s="7">
        <v>0</v>
      </c>
      <c r="H603" s="8"/>
      <c r="I603" s="14">
        <v>125.43</v>
      </c>
      <c r="J603" s="15">
        <v>245.17</v>
      </c>
      <c r="K603" s="15">
        <v>3203.08</v>
      </c>
      <c r="L603" s="15">
        <v>287.74</v>
      </c>
      <c r="M603" s="15">
        <v>170.96</v>
      </c>
      <c r="O603" s="15">
        <f t="shared" si="19"/>
        <v>-1.4767103919566371</v>
      </c>
      <c r="P603" s="15">
        <f t="shared" si="19"/>
        <v>-0.53148328464783789</v>
      </c>
      <c r="Q603" s="15">
        <f t="shared" si="19"/>
        <v>-1.3732880086708033</v>
      </c>
      <c r="R603" s="15">
        <f t="shared" si="19"/>
        <v>0.3522477592159845</v>
      </c>
      <c r="S603" s="15">
        <f t="shared" si="20"/>
        <v>-6.4301163266489159E-2</v>
      </c>
    </row>
    <row r="604" spans="1:19" ht="12.75">
      <c r="A604" s="6">
        <v>20210524</v>
      </c>
      <c r="B604" s="5">
        <v>0.99</v>
      </c>
      <c r="C604" s="5">
        <v>-0.48</v>
      </c>
      <c r="D604" s="5">
        <v>-0.7</v>
      </c>
      <c r="E604" s="5">
        <v>0.26</v>
      </c>
      <c r="F604" s="5">
        <v>-0.28999999999999998</v>
      </c>
      <c r="G604" s="7">
        <v>0</v>
      </c>
      <c r="H604" s="8"/>
      <c r="I604" s="14">
        <v>127.1</v>
      </c>
      <c r="J604" s="15">
        <v>250.78</v>
      </c>
      <c r="K604" s="15">
        <v>3244.99</v>
      </c>
      <c r="L604" s="15">
        <v>289.73</v>
      </c>
      <c r="M604" s="15">
        <v>170.55</v>
      </c>
      <c r="O604" s="15">
        <f t="shared" si="19"/>
        <v>1.3314199154907058</v>
      </c>
      <c r="P604" s="15">
        <f t="shared" si="19"/>
        <v>2.2882081820777556</v>
      </c>
      <c r="Q604" s="15">
        <f t="shared" si="19"/>
        <v>1.3084281379172502</v>
      </c>
      <c r="R604" s="15">
        <f t="shared" si="19"/>
        <v>0.69159658024606774</v>
      </c>
      <c r="S604" s="15">
        <f t="shared" si="20"/>
        <v>-0.2398221806270473</v>
      </c>
    </row>
    <row r="605" spans="1:19" ht="12.75">
      <c r="A605" s="6">
        <v>20210525</v>
      </c>
      <c r="B605" s="5">
        <v>-0.3</v>
      </c>
      <c r="C605" s="5">
        <v>-0.85</v>
      </c>
      <c r="D605" s="5">
        <v>-1.24</v>
      </c>
      <c r="E605" s="5">
        <v>0.21</v>
      </c>
      <c r="F605" s="5">
        <v>-0.17</v>
      </c>
      <c r="G605" s="7">
        <v>0</v>
      </c>
      <c r="H605" s="8"/>
      <c r="I605" s="14">
        <v>126.9</v>
      </c>
      <c r="J605" s="15">
        <v>251.72</v>
      </c>
      <c r="K605" s="15">
        <v>3259.05</v>
      </c>
      <c r="L605" s="15">
        <v>287.2</v>
      </c>
      <c r="M605" s="15">
        <v>170.08</v>
      </c>
      <c r="O605" s="15">
        <f t="shared" si="19"/>
        <v>-0.15735641227379027</v>
      </c>
      <c r="P605" s="15">
        <f t="shared" si="19"/>
        <v>0.37483052875029177</v>
      </c>
      <c r="Q605" s="15">
        <f t="shared" si="19"/>
        <v>0.43328330749865529</v>
      </c>
      <c r="R605" s="15">
        <f t="shared" si="19"/>
        <v>-0.87322679736306918</v>
      </c>
      <c r="S605" s="15">
        <f t="shared" si="20"/>
        <v>-0.27557900908824484</v>
      </c>
    </row>
    <row r="606" spans="1:19" ht="12.75">
      <c r="A606" s="6">
        <v>20210526</v>
      </c>
      <c r="B606" s="5">
        <v>0.47</v>
      </c>
      <c r="C606" s="5">
        <v>1.77</v>
      </c>
      <c r="D606" s="5">
        <v>0.56000000000000005</v>
      </c>
      <c r="E606" s="5">
        <v>-0.53</v>
      </c>
      <c r="F606" s="5">
        <v>0.14000000000000001</v>
      </c>
      <c r="G606" s="7">
        <v>0</v>
      </c>
      <c r="H606" s="8"/>
      <c r="I606" s="14">
        <v>126.85</v>
      </c>
      <c r="J606" s="15">
        <v>251.49</v>
      </c>
      <c r="K606" s="15">
        <v>3265.16</v>
      </c>
      <c r="L606" s="15">
        <v>287.33</v>
      </c>
      <c r="M606" s="15">
        <v>169.07</v>
      </c>
      <c r="O606" s="15">
        <f t="shared" si="19"/>
        <v>-3.9401103230896073E-2</v>
      </c>
      <c r="P606" s="15">
        <f t="shared" si="19"/>
        <v>-9.1371365008741101E-2</v>
      </c>
      <c r="Q606" s="15">
        <f t="shared" si="19"/>
        <v>0.18747794602720358</v>
      </c>
      <c r="R606" s="15">
        <f t="shared" si="19"/>
        <v>4.5264623955421079E-2</v>
      </c>
      <c r="S606" s="15">
        <f t="shared" si="20"/>
        <v>-0.59383819379116298</v>
      </c>
    </row>
    <row r="607" spans="1:19" ht="12.75">
      <c r="A607" s="6">
        <v>20210527</v>
      </c>
      <c r="B607" s="5">
        <v>0.28000000000000003</v>
      </c>
      <c r="C607" s="5">
        <v>1.0900000000000001</v>
      </c>
      <c r="D607" s="5">
        <v>0.95</v>
      </c>
      <c r="E607" s="5">
        <v>-0.26</v>
      </c>
      <c r="F607" s="5">
        <v>0.28000000000000003</v>
      </c>
      <c r="G607" s="7">
        <v>0</v>
      </c>
      <c r="H607" s="8"/>
      <c r="I607" s="14">
        <v>125.28</v>
      </c>
      <c r="J607" s="15">
        <v>249.31</v>
      </c>
      <c r="K607" s="15">
        <v>3230.11</v>
      </c>
      <c r="L607" s="15">
        <v>289.3</v>
      </c>
      <c r="M607" s="15">
        <v>168.81</v>
      </c>
      <c r="O607" s="15">
        <f t="shared" si="19"/>
        <v>-1.2376823019314087</v>
      </c>
      <c r="P607" s="15">
        <f t="shared" si="19"/>
        <v>-0.86683367131894506</v>
      </c>
      <c r="Q607" s="15">
        <f t="shared" si="19"/>
        <v>-1.073454287079334</v>
      </c>
      <c r="R607" s="15">
        <f t="shared" si="19"/>
        <v>0.68562280304877987</v>
      </c>
      <c r="S607" s="15">
        <f t="shared" si="20"/>
        <v>-0.15378245697047488</v>
      </c>
    </row>
    <row r="608" spans="1:19" ht="12.75">
      <c r="A608" s="6">
        <v>20210528</v>
      </c>
      <c r="B608" s="5">
        <v>0.04</v>
      </c>
      <c r="C608" s="5">
        <v>-0.37</v>
      </c>
      <c r="D608" s="5">
        <v>-0.28999999999999998</v>
      </c>
      <c r="E608" s="5">
        <v>-0.19</v>
      </c>
      <c r="F608" s="5">
        <v>-0.41</v>
      </c>
      <c r="G608" s="7">
        <v>0</v>
      </c>
      <c r="H608" s="8"/>
      <c r="I608" s="14">
        <v>124.61</v>
      </c>
      <c r="J608" s="15">
        <v>249.68</v>
      </c>
      <c r="K608" s="15">
        <v>3223.07</v>
      </c>
      <c r="L608" s="15">
        <v>289.44</v>
      </c>
      <c r="M608" s="15">
        <v>169.25</v>
      </c>
      <c r="O608" s="15">
        <f t="shared" si="19"/>
        <v>-0.53480204342273296</v>
      </c>
      <c r="P608" s="15">
        <f t="shared" si="19"/>
        <v>0.14840961052504653</v>
      </c>
      <c r="Q608" s="15">
        <f t="shared" si="19"/>
        <v>-0.21794923392701726</v>
      </c>
      <c r="R608" s="15">
        <f t="shared" si="19"/>
        <v>4.8392671966812628E-2</v>
      </c>
      <c r="S608" s="15">
        <f t="shared" si="20"/>
        <v>0.26064806587287048</v>
      </c>
    </row>
    <row r="609" spans="1:19" ht="12.75">
      <c r="A609" s="6">
        <v>20210601</v>
      </c>
      <c r="B609" s="5">
        <v>0.03</v>
      </c>
      <c r="C609" s="5">
        <v>1.4</v>
      </c>
      <c r="D609" s="5">
        <v>1.45</v>
      </c>
      <c r="E609" s="5">
        <v>0.3</v>
      </c>
      <c r="F609" s="5">
        <v>0.4</v>
      </c>
      <c r="G609" s="7">
        <v>0</v>
      </c>
      <c r="H609" s="8"/>
      <c r="I609" s="14">
        <v>124.28</v>
      </c>
      <c r="J609" s="15">
        <v>247.4</v>
      </c>
      <c r="K609" s="15">
        <v>3218.65</v>
      </c>
      <c r="L609" s="15">
        <v>289.83999999999997</v>
      </c>
      <c r="M609" s="15">
        <v>165.53</v>
      </c>
      <c r="O609" s="15">
        <f t="shared" si="19"/>
        <v>-0.26482625792472181</v>
      </c>
      <c r="P609" s="15">
        <f t="shared" si="19"/>
        <v>-0.91316885613585974</v>
      </c>
      <c r="Q609" s="15">
        <f t="shared" si="19"/>
        <v>-0.13713633275107551</v>
      </c>
      <c r="R609" s="15">
        <f t="shared" si="19"/>
        <v>0.13819789939191196</v>
      </c>
      <c r="S609" s="15">
        <f t="shared" si="20"/>
        <v>-2.1979320531757773</v>
      </c>
    </row>
    <row r="610" spans="1:19" ht="12.75">
      <c r="A610" s="6">
        <v>20210602</v>
      </c>
      <c r="B610" s="5">
        <v>0.12</v>
      </c>
      <c r="C610" s="5">
        <v>-0.21</v>
      </c>
      <c r="D610" s="5">
        <v>0.33</v>
      </c>
      <c r="E610" s="5">
        <v>-7.0000000000000007E-2</v>
      </c>
      <c r="F610" s="5">
        <v>0.7</v>
      </c>
      <c r="G610" s="7">
        <v>0</v>
      </c>
      <c r="H610" s="8"/>
      <c r="I610" s="14">
        <v>125.06</v>
      </c>
      <c r="J610" s="15">
        <v>247.3</v>
      </c>
      <c r="K610" s="15">
        <v>3233.99</v>
      </c>
      <c r="L610" s="15">
        <v>290.02</v>
      </c>
      <c r="M610" s="15">
        <v>166.2</v>
      </c>
      <c r="O610" s="15">
        <f t="shared" si="19"/>
        <v>0.62761506276149959</v>
      </c>
      <c r="P610" s="15">
        <f t="shared" si="19"/>
        <v>-4.0420371867422311E-2</v>
      </c>
      <c r="Q610" s="15">
        <f t="shared" si="19"/>
        <v>0.47659733117921821</v>
      </c>
      <c r="R610" s="15">
        <f t="shared" si="19"/>
        <v>6.2103229367926893E-2</v>
      </c>
      <c r="S610" s="15">
        <f t="shared" si="20"/>
        <v>0.40476046638071583</v>
      </c>
    </row>
    <row r="611" spans="1:19" ht="12.75">
      <c r="A611" s="6">
        <v>20210603</v>
      </c>
      <c r="B611" s="5">
        <v>-0.53</v>
      </c>
      <c r="C611" s="5">
        <v>-0.24</v>
      </c>
      <c r="D611" s="5">
        <v>0.77</v>
      </c>
      <c r="E611" s="5">
        <v>0.41</v>
      </c>
      <c r="F611" s="5">
        <v>0.36</v>
      </c>
      <c r="G611" s="7">
        <v>0</v>
      </c>
      <c r="H611" s="8"/>
      <c r="I611" s="14">
        <v>123.54</v>
      </c>
      <c r="J611" s="15">
        <v>245.71</v>
      </c>
      <c r="K611" s="15">
        <v>3187.01</v>
      </c>
      <c r="L611" s="15">
        <v>291.97000000000003</v>
      </c>
      <c r="M611" s="15">
        <v>166.04</v>
      </c>
      <c r="O611" s="15">
        <f t="shared" si="19"/>
        <v>-1.2154166000319822</v>
      </c>
      <c r="P611" s="15">
        <f t="shared" si="19"/>
        <v>-0.64294379296401249</v>
      </c>
      <c r="Q611" s="15">
        <f t="shared" si="19"/>
        <v>-1.4526946589197731</v>
      </c>
      <c r="R611" s="15">
        <f t="shared" si="19"/>
        <v>0.67236742293637075</v>
      </c>
      <c r="S611" s="15">
        <f t="shared" si="20"/>
        <v>-9.6269554753303233E-2</v>
      </c>
    </row>
    <row r="612" spans="1:19" ht="12.75">
      <c r="A612" s="6">
        <v>20210604</v>
      </c>
      <c r="B612" s="5">
        <v>0.89</v>
      </c>
      <c r="C612" s="5">
        <v>-0.59</v>
      </c>
      <c r="D612" s="5">
        <v>-0.91</v>
      </c>
      <c r="E612" s="5">
        <v>-0.14000000000000001</v>
      </c>
      <c r="F612" s="5">
        <v>-0.22</v>
      </c>
      <c r="G612" s="7">
        <v>0</v>
      </c>
      <c r="H612" s="8"/>
      <c r="I612" s="14">
        <v>125.89</v>
      </c>
      <c r="J612" s="15">
        <v>250.79</v>
      </c>
      <c r="K612" s="15">
        <v>3206.22</v>
      </c>
      <c r="L612" s="15">
        <v>292.52</v>
      </c>
      <c r="M612" s="15">
        <v>165.97</v>
      </c>
      <c r="O612" s="15">
        <f t="shared" si="19"/>
        <v>1.9022179051319421</v>
      </c>
      <c r="P612" s="15">
        <f t="shared" si="19"/>
        <v>2.0674779211265149</v>
      </c>
      <c r="Q612" s="15">
        <f t="shared" si="19"/>
        <v>0.60275932613953476</v>
      </c>
      <c r="R612" s="15">
        <f t="shared" si="19"/>
        <v>0.1883755180326574</v>
      </c>
      <c r="S612" s="15">
        <f t="shared" si="20"/>
        <v>-4.2158516020229797E-2</v>
      </c>
    </row>
    <row r="613" spans="1:19" ht="12.75">
      <c r="A613" s="6">
        <v>20210607</v>
      </c>
      <c r="B613" s="5">
        <v>0.15</v>
      </c>
      <c r="C613" s="5">
        <v>1.26</v>
      </c>
      <c r="D613" s="5">
        <v>-0.96</v>
      </c>
      <c r="E613" s="5">
        <v>-0.97</v>
      </c>
      <c r="F613" s="5">
        <v>-0.17</v>
      </c>
      <c r="G613" s="7">
        <v>0</v>
      </c>
      <c r="H613" s="8"/>
      <c r="I613" s="14">
        <v>125.9</v>
      </c>
      <c r="J613" s="15">
        <v>253.81</v>
      </c>
      <c r="K613" s="15">
        <v>3198.01</v>
      </c>
      <c r="L613" s="15">
        <v>289.45999999999998</v>
      </c>
      <c r="M613" s="15">
        <v>164.84</v>
      </c>
      <c r="O613" s="15">
        <f t="shared" si="19"/>
        <v>7.9434426880631293E-3</v>
      </c>
      <c r="P613" s="15">
        <f t="shared" si="19"/>
        <v>1.2041947446070456</v>
      </c>
      <c r="Q613" s="15">
        <f t="shared" si="19"/>
        <v>-0.25606477409534367</v>
      </c>
      <c r="R613" s="15">
        <f t="shared" si="19"/>
        <v>-1.0460823191576707</v>
      </c>
      <c r="S613" s="15">
        <f t="shared" si="20"/>
        <v>-0.68084593601253074</v>
      </c>
    </row>
    <row r="614" spans="1:19" ht="12.75">
      <c r="A614" s="6">
        <v>20210608</v>
      </c>
      <c r="B614" s="5">
        <v>0.19</v>
      </c>
      <c r="C614" s="5">
        <v>1.08</v>
      </c>
      <c r="D614" s="5">
        <v>-0.31</v>
      </c>
      <c r="E614" s="5">
        <v>7.0000000000000007E-2</v>
      </c>
      <c r="F614" s="5">
        <v>-0.06</v>
      </c>
      <c r="G614" s="7">
        <v>0</v>
      </c>
      <c r="H614" s="8"/>
      <c r="I614" s="14">
        <v>126.74</v>
      </c>
      <c r="J614" s="15">
        <v>252.57</v>
      </c>
      <c r="K614" s="15">
        <v>3264.11</v>
      </c>
      <c r="L614" s="15">
        <v>289.19</v>
      </c>
      <c r="M614" s="15">
        <v>163.38999999999999</v>
      </c>
      <c r="O614" s="15">
        <f t="shared" si="19"/>
        <v>0.66719618745034737</v>
      </c>
      <c r="P614" s="15">
        <f t="shared" si="19"/>
        <v>-0.4885544304794931</v>
      </c>
      <c r="Q614" s="15">
        <f t="shared" si="19"/>
        <v>2.0669103598800476</v>
      </c>
      <c r="R614" s="15">
        <f t="shared" si="19"/>
        <v>-9.3277136737368593E-2</v>
      </c>
      <c r="S614" s="15">
        <f t="shared" si="20"/>
        <v>-0.87964086386800311</v>
      </c>
    </row>
    <row r="615" spans="1:19" ht="12.75">
      <c r="A615" s="6">
        <v>20210609</v>
      </c>
      <c r="B615" s="5">
        <v>-0.3</v>
      </c>
      <c r="C615" s="5">
        <v>-0.47</v>
      </c>
      <c r="D615" s="5">
        <v>-0.84</v>
      </c>
      <c r="E615" s="5">
        <v>0.17</v>
      </c>
      <c r="F615" s="5">
        <v>0.17</v>
      </c>
      <c r="G615" s="7">
        <v>0</v>
      </c>
      <c r="H615" s="8"/>
      <c r="I615" s="14">
        <v>127.13</v>
      </c>
      <c r="J615" s="15">
        <v>253.59</v>
      </c>
      <c r="K615" s="15">
        <v>3281.15</v>
      </c>
      <c r="L615" s="15">
        <v>288.58</v>
      </c>
      <c r="M615" s="15">
        <v>165.59</v>
      </c>
      <c r="O615" s="15">
        <f t="shared" si="19"/>
        <v>0.30771658513493172</v>
      </c>
      <c r="P615" s="15">
        <f t="shared" si="19"/>
        <v>0.40384843805678639</v>
      </c>
      <c r="Q615" s="15">
        <f t="shared" si="19"/>
        <v>0.52204123022814297</v>
      </c>
      <c r="R615" s="15">
        <f t="shared" si="19"/>
        <v>-0.21093398803555541</v>
      </c>
      <c r="S615" s="15">
        <f t="shared" si="20"/>
        <v>1.3464716322908465</v>
      </c>
    </row>
    <row r="616" spans="1:19" ht="12.75">
      <c r="A616" s="6">
        <v>20210610</v>
      </c>
      <c r="B616" s="5">
        <v>0.4</v>
      </c>
      <c r="C616" s="5">
        <v>-1.3</v>
      </c>
      <c r="D616" s="5">
        <v>-2.0299999999999998</v>
      </c>
      <c r="E616" s="5">
        <v>-0.56999999999999995</v>
      </c>
      <c r="F616" s="5">
        <v>-1.07</v>
      </c>
      <c r="G616" s="7">
        <v>0</v>
      </c>
      <c r="H616" s="8"/>
      <c r="I616" s="14">
        <v>126.11</v>
      </c>
      <c r="J616" s="15">
        <v>257.24</v>
      </c>
      <c r="K616" s="15">
        <v>3349.65</v>
      </c>
      <c r="L616" s="15">
        <v>284.91000000000003</v>
      </c>
      <c r="M616" s="15">
        <v>167.08</v>
      </c>
      <c r="O616" s="15">
        <f t="shared" si="19"/>
        <v>-0.80232832533626564</v>
      </c>
      <c r="P616" s="15">
        <f t="shared" si="19"/>
        <v>1.43933120391182</v>
      </c>
      <c r="Q616" s="15">
        <f t="shared" si="19"/>
        <v>2.087682672233826</v>
      </c>
      <c r="R616" s="15">
        <f t="shared" si="19"/>
        <v>-1.2717444036315584</v>
      </c>
      <c r="S616" s="15">
        <f t="shared" si="20"/>
        <v>0.89981279062745223</v>
      </c>
    </row>
    <row r="617" spans="1:19" ht="12.75">
      <c r="A617" s="6">
        <v>20210611</v>
      </c>
      <c r="B617" s="5">
        <v>0.37</v>
      </c>
      <c r="C617" s="5">
        <v>0.71</v>
      </c>
      <c r="D617" s="5">
        <v>0.18</v>
      </c>
      <c r="E617" s="5">
        <v>0.04</v>
      </c>
      <c r="F617" s="5">
        <v>-0.02</v>
      </c>
      <c r="G617" s="7">
        <v>0</v>
      </c>
      <c r="H617" s="8"/>
      <c r="I617" s="14">
        <v>127.35</v>
      </c>
      <c r="J617" s="15">
        <v>257.89</v>
      </c>
      <c r="K617" s="15">
        <v>3346.83</v>
      </c>
      <c r="L617" s="15">
        <v>286.82</v>
      </c>
      <c r="M617" s="15">
        <v>164.96</v>
      </c>
      <c r="O617" s="15">
        <f t="shared" si="19"/>
        <v>0.98326857505353082</v>
      </c>
      <c r="P617" s="15">
        <f t="shared" si="19"/>
        <v>0.25268232001243174</v>
      </c>
      <c r="Q617" s="15">
        <f t="shared" si="19"/>
        <v>-8.4187900228382961E-2</v>
      </c>
      <c r="R617" s="15">
        <f t="shared" si="19"/>
        <v>0.67038713979852282</v>
      </c>
      <c r="S617" s="15">
        <f t="shared" si="20"/>
        <v>-1.2688532439549927</v>
      </c>
    </row>
    <row r="618" spans="1:19" ht="12.75">
      <c r="A618" s="6">
        <v>20210614</v>
      </c>
      <c r="B618" s="5">
        <v>0.15</v>
      </c>
      <c r="C618" s="5">
        <v>-0.74</v>
      </c>
      <c r="D618" s="5">
        <v>-1.61</v>
      </c>
      <c r="E618" s="5">
        <v>-0.57999999999999996</v>
      </c>
      <c r="F618" s="5">
        <v>-0.48</v>
      </c>
      <c r="G618" s="7">
        <v>0</v>
      </c>
      <c r="H618" s="8"/>
      <c r="I618" s="14">
        <v>130.47999999999999</v>
      </c>
      <c r="J618" s="15">
        <v>259.89</v>
      </c>
      <c r="K618" s="15">
        <v>3383.87</v>
      </c>
      <c r="L618" s="15">
        <v>283.52999999999997</v>
      </c>
      <c r="M618" s="15">
        <v>165.37</v>
      </c>
      <c r="O618" s="15">
        <f t="shared" si="19"/>
        <v>2.4577934825284586</v>
      </c>
      <c r="P618" s="15">
        <f t="shared" si="19"/>
        <v>0.77552444840822687</v>
      </c>
      <c r="Q618" s="15">
        <f t="shared" si="19"/>
        <v>1.1067188951933593</v>
      </c>
      <c r="R618" s="15">
        <f t="shared" si="19"/>
        <v>-1.1470608744160171</v>
      </c>
      <c r="S618" s="15">
        <f t="shared" si="20"/>
        <v>0.24854510184286749</v>
      </c>
    </row>
    <row r="619" spans="1:19" ht="12.75">
      <c r="A619" s="6">
        <v>20210615</v>
      </c>
      <c r="B619" s="5">
        <v>-0.3</v>
      </c>
      <c r="C619" s="5">
        <v>0.22</v>
      </c>
      <c r="D619" s="5">
        <v>1.3</v>
      </c>
      <c r="E619" s="5">
        <v>0.67</v>
      </c>
      <c r="F619" s="5">
        <v>0.12</v>
      </c>
      <c r="G619" s="7">
        <v>0</v>
      </c>
      <c r="H619" s="8"/>
      <c r="I619" s="14">
        <v>129.63999999999999</v>
      </c>
      <c r="J619" s="15">
        <v>258.36</v>
      </c>
      <c r="K619" s="15">
        <v>3383.13</v>
      </c>
      <c r="L619" s="15">
        <v>283.94</v>
      </c>
      <c r="M619" s="15">
        <v>164.49</v>
      </c>
      <c r="O619" s="15">
        <f t="shared" si="19"/>
        <v>-0.64377682403433667</v>
      </c>
      <c r="P619" s="15">
        <f t="shared" si="19"/>
        <v>-0.58871060833428634</v>
      </c>
      <c r="Q619" s="15">
        <f t="shared" si="19"/>
        <v>-2.1868452393258853E-2</v>
      </c>
      <c r="R619" s="15">
        <f t="shared" si="19"/>
        <v>0.1446055091172127</v>
      </c>
      <c r="S619" s="15">
        <f t="shared" si="20"/>
        <v>-0.53214004958577199</v>
      </c>
    </row>
    <row r="620" spans="1:19" ht="12.75">
      <c r="A620" s="6">
        <v>20210616</v>
      </c>
      <c r="B620" s="5">
        <v>-0.45</v>
      </c>
      <c r="C620" s="5">
        <v>0.43</v>
      </c>
      <c r="D620" s="5">
        <v>0.2</v>
      </c>
      <c r="E620" s="5">
        <v>-0.35</v>
      </c>
      <c r="F620" s="5">
        <v>-0.25</v>
      </c>
      <c r="G620" s="7">
        <v>0</v>
      </c>
      <c r="H620" s="8"/>
      <c r="I620" s="14">
        <v>130.15</v>
      </c>
      <c r="J620" s="15">
        <v>257.38</v>
      </c>
      <c r="K620" s="15">
        <v>3415.25</v>
      </c>
      <c r="L620" s="15">
        <v>283.11</v>
      </c>
      <c r="M620" s="15">
        <v>164.43</v>
      </c>
      <c r="O620" s="15">
        <f t="shared" si="19"/>
        <v>0.39339709966061953</v>
      </c>
      <c r="P620" s="15">
        <f t="shared" si="19"/>
        <v>-0.37931568354234724</v>
      </c>
      <c r="Q620" s="15">
        <f t="shared" si="19"/>
        <v>0.94941666444978701</v>
      </c>
      <c r="R620" s="15">
        <f t="shared" si="19"/>
        <v>-0.29231527787559886</v>
      </c>
      <c r="S620" s="15">
        <f t="shared" si="20"/>
        <v>-3.6476381542949188E-2</v>
      </c>
    </row>
    <row r="621" spans="1:19" ht="12.75">
      <c r="A621" s="6">
        <v>20210617</v>
      </c>
      <c r="B621" s="5">
        <v>0.01</v>
      </c>
      <c r="C621" s="5">
        <v>-1.33</v>
      </c>
      <c r="D621" s="5">
        <v>-3.59</v>
      </c>
      <c r="E621" s="5">
        <v>-0.69</v>
      </c>
      <c r="F621" s="5">
        <v>-1.1299999999999999</v>
      </c>
      <c r="G621" s="7">
        <v>0</v>
      </c>
      <c r="H621" s="8"/>
      <c r="I621" s="14">
        <v>131.79</v>
      </c>
      <c r="J621" s="15">
        <v>260.89999999999998</v>
      </c>
      <c r="K621" s="15">
        <v>3489.24</v>
      </c>
      <c r="L621" s="15">
        <v>278.69</v>
      </c>
      <c r="M621" s="15">
        <v>165.22</v>
      </c>
      <c r="O621" s="15">
        <f t="shared" si="19"/>
        <v>1.2600845178639908</v>
      </c>
      <c r="P621" s="15">
        <f t="shared" si="19"/>
        <v>1.3676276322946546</v>
      </c>
      <c r="Q621" s="15">
        <f t="shared" si="19"/>
        <v>2.166459263597087</v>
      </c>
      <c r="R621" s="15">
        <f t="shared" si="19"/>
        <v>-1.5612306170746382</v>
      </c>
      <c r="S621" s="15">
        <f t="shared" si="20"/>
        <v>0.48044760688439325</v>
      </c>
    </row>
    <row r="622" spans="1:19" ht="12.75">
      <c r="A622" s="6">
        <v>20210618</v>
      </c>
      <c r="B622" s="5">
        <v>-1.22</v>
      </c>
      <c r="C622" s="5">
        <v>-0.8</v>
      </c>
      <c r="D622" s="5">
        <v>-1.45</v>
      </c>
      <c r="E622" s="5">
        <v>-0.44</v>
      </c>
      <c r="F622" s="5">
        <v>-0.71</v>
      </c>
      <c r="G622" s="7">
        <v>0</v>
      </c>
      <c r="H622" s="8"/>
      <c r="I622" s="14">
        <v>130.46</v>
      </c>
      <c r="J622" s="15">
        <v>259.43</v>
      </c>
      <c r="K622" s="15">
        <v>3486.9</v>
      </c>
      <c r="L622" s="15">
        <v>274.04000000000002</v>
      </c>
      <c r="M622" s="15">
        <v>161.97999999999999</v>
      </c>
      <c r="O622" s="15">
        <f t="shared" si="19"/>
        <v>-1.0091812732377137</v>
      </c>
      <c r="P622" s="15">
        <f t="shared" si="19"/>
        <v>-0.56343426600229396</v>
      </c>
      <c r="Q622" s="15">
        <f t="shared" si="19"/>
        <v>-6.7063314647308747E-2</v>
      </c>
      <c r="R622" s="15">
        <f t="shared" si="19"/>
        <v>-1.6685205784204626</v>
      </c>
      <c r="S622" s="15">
        <f t="shared" si="20"/>
        <v>-1.9610216680789327</v>
      </c>
    </row>
    <row r="623" spans="1:19" ht="12.75">
      <c r="A623" s="6">
        <v>20210621</v>
      </c>
      <c r="B623" s="5">
        <v>1.34</v>
      </c>
      <c r="C623" s="5">
        <v>0.83</v>
      </c>
      <c r="D623" s="5">
        <v>1.06</v>
      </c>
      <c r="E623" s="5">
        <v>0.39</v>
      </c>
      <c r="F623" s="5">
        <v>0.34</v>
      </c>
      <c r="G623" s="7">
        <v>0</v>
      </c>
      <c r="H623" s="8"/>
      <c r="I623" s="14">
        <v>132.30000000000001</v>
      </c>
      <c r="J623" s="15">
        <v>262.63</v>
      </c>
      <c r="K623" s="15">
        <v>3453.96</v>
      </c>
      <c r="L623" s="15">
        <v>277.10000000000002</v>
      </c>
      <c r="M623" s="15">
        <v>163.84</v>
      </c>
      <c r="O623" s="15">
        <f t="shared" si="19"/>
        <v>1.4103939904951845</v>
      </c>
      <c r="P623" s="15">
        <f t="shared" si="19"/>
        <v>1.2334733839571399</v>
      </c>
      <c r="Q623" s="15">
        <f t="shared" si="19"/>
        <v>-0.94467865439215037</v>
      </c>
      <c r="R623" s="15">
        <f t="shared" si="19"/>
        <v>1.1166253101736912</v>
      </c>
      <c r="S623" s="15">
        <f t="shared" si="20"/>
        <v>1.1482899123348655</v>
      </c>
    </row>
    <row r="624" spans="1:19" ht="12.75">
      <c r="A624" s="6">
        <v>20210622</v>
      </c>
      <c r="B624" s="5">
        <v>0.57999999999999996</v>
      </c>
      <c r="C624" s="5">
        <v>-0.09</v>
      </c>
      <c r="D624" s="5">
        <v>-0.44</v>
      </c>
      <c r="E624" s="5">
        <v>0.19</v>
      </c>
      <c r="F624" s="5">
        <v>0.2</v>
      </c>
      <c r="G624" s="7">
        <v>0</v>
      </c>
      <c r="H624" s="8"/>
      <c r="I624" s="14">
        <v>133.97999999999999</v>
      </c>
      <c r="J624" s="15">
        <v>265.51</v>
      </c>
      <c r="K624" s="15">
        <v>3505.44</v>
      </c>
      <c r="L624" s="15">
        <v>276.92</v>
      </c>
      <c r="M624" s="15">
        <v>163.62</v>
      </c>
      <c r="O624" s="15">
        <f t="shared" si="19"/>
        <v>1.2698412698412431</v>
      </c>
      <c r="P624" s="15">
        <f t="shared" si="19"/>
        <v>1.0965997791569926</v>
      </c>
      <c r="Q624" s="15">
        <f t="shared" si="19"/>
        <v>1.4904631205920227</v>
      </c>
      <c r="R624" s="15">
        <f t="shared" si="19"/>
        <v>-6.4958498736922277E-2</v>
      </c>
      <c r="S624" s="15">
        <f t="shared" si="20"/>
        <v>-0.13427734375</v>
      </c>
    </row>
    <row r="625" spans="1:19" ht="12.75">
      <c r="A625" s="6">
        <v>20210623</v>
      </c>
      <c r="B625" s="5">
        <v>0.01</v>
      </c>
      <c r="C625" s="5">
        <v>0.51</v>
      </c>
      <c r="D625" s="5">
        <v>-0.28999999999999998</v>
      </c>
      <c r="E625" s="5">
        <v>-0.48</v>
      </c>
      <c r="F625" s="5">
        <v>-0.23</v>
      </c>
      <c r="G625" s="7">
        <v>0</v>
      </c>
      <c r="H625" s="8"/>
      <c r="I625" s="14">
        <v>133.69999999999999</v>
      </c>
      <c r="J625" s="15">
        <v>265.27</v>
      </c>
      <c r="K625" s="15">
        <v>3503.82</v>
      </c>
      <c r="L625" s="15">
        <v>274.66000000000003</v>
      </c>
      <c r="M625" s="15">
        <v>162.63</v>
      </c>
      <c r="O625" s="15">
        <f t="shared" si="19"/>
        <v>-0.2089864158829724</v>
      </c>
      <c r="P625" s="15">
        <f t="shared" si="19"/>
        <v>-9.0392075628042967E-2</v>
      </c>
      <c r="Q625" s="15">
        <f t="shared" si="19"/>
        <v>-4.6213884704915387E-2</v>
      </c>
      <c r="R625" s="15">
        <f t="shared" si="19"/>
        <v>-0.81612017911310009</v>
      </c>
      <c r="S625" s="15">
        <f t="shared" si="20"/>
        <v>-0.60506050605061423</v>
      </c>
    </row>
    <row r="626" spans="1:19" ht="12.75">
      <c r="A626" s="6">
        <v>20210624</v>
      </c>
      <c r="B626" s="5">
        <v>0.69</v>
      </c>
      <c r="C626" s="5">
        <v>0.73</v>
      </c>
      <c r="D626" s="5">
        <v>0.25</v>
      </c>
      <c r="E626" s="5">
        <v>-0.37</v>
      </c>
      <c r="F626" s="5">
        <v>0.26</v>
      </c>
      <c r="G626" s="7">
        <v>0</v>
      </c>
      <c r="H626" s="8"/>
      <c r="I626" s="14">
        <v>133.41</v>
      </c>
      <c r="J626" s="15">
        <v>266.69</v>
      </c>
      <c r="K626" s="15">
        <v>3449.08</v>
      </c>
      <c r="L626" s="15">
        <v>275.49</v>
      </c>
      <c r="M626" s="15">
        <v>163.37</v>
      </c>
      <c r="O626" s="15">
        <f t="shared" si="19"/>
        <v>-0.21690351533283359</v>
      </c>
      <c r="P626" s="15">
        <f t="shared" si="19"/>
        <v>0.53530365288196879</v>
      </c>
      <c r="Q626" s="15">
        <f t="shared" si="19"/>
        <v>-1.5622948667454395</v>
      </c>
      <c r="R626" s="15">
        <f t="shared" si="19"/>
        <v>0.30219180077186714</v>
      </c>
      <c r="S626" s="15">
        <f t="shared" si="20"/>
        <v>0.45502059890549784</v>
      </c>
    </row>
    <row r="627" spans="1:19" ht="12.75">
      <c r="A627" s="6">
        <v>20210625</v>
      </c>
      <c r="B627" s="5">
        <v>0.31</v>
      </c>
      <c r="C627" s="5">
        <v>-0.49</v>
      </c>
      <c r="D627" s="5">
        <v>0.43</v>
      </c>
      <c r="E627" s="5">
        <v>-0.15</v>
      </c>
      <c r="F627" s="5">
        <v>0.05</v>
      </c>
      <c r="G627" s="7">
        <v>0</v>
      </c>
      <c r="H627" s="8"/>
      <c r="I627" s="14">
        <v>133.11000000000001</v>
      </c>
      <c r="J627" s="15">
        <v>265.02</v>
      </c>
      <c r="K627" s="15">
        <v>3401.46</v>
      </c>
      <c r="L627" s="15">
        <v>278.38</v>
      </c>
      <c r="M627" s="15">
        <v>164.21</v>
      </c>
      <c r="O627" s="15">
        <f t="shared" si="19"/>
        <v>-0.22487069934786774</v>
      </c>
      <c r="P627" s="15">
        <f t="shared" si="19"/>
        <v>-0.62619520791931116</v>
      </c>
      <c r="Q627" s="15">
        <f t="shared" si="19"/>
        <v>-1.3806580305472771</v>
      </c>
      <c r="R627" s="15">
        <f t="shared" si="19"/>
        <v>1.0490398925550704</v>
      </c>
      <c r="S627" s="15">
        <f t="shared" si="20"/>
        <v>0.5141702883026289</v>
      </c>
    </row>
    <row r="628" spans="1:19" ht="12.75">
      <c r="A628" s="6">
        <v>20210628</v>
      </c>
      <c r="B628" s="5">
        <v>0.22</v>
      </c>
      <c r="C628" s="5">
        <v>-0.85</v>
      </c>
      <c r="D628" s="5">
        <v>-1.6</v>
      </c>
      <c r="E628" s="5">
        <v>-0.48</v>
      </c>
      <c r="F628" s="5">
        <v>-0.13</v>
      </c>
      <c r="G628" s="7">
        <v>0</v>
      </c>
      <c r="H628" s="8"/>
      <c r="I628" s="14">
        <v>134.78</v>
      </c>
      <c r="J628" s="15">
        <v>268.72000000000003</v>
      </c>
      <c r="K628" s="15">
        <v>3443.89</v>
      </c>
      <c r="L628" s="15">
        <v>276.61</v>
      </c>
      <c r="M628" s="15">
        <v>164.02</v>
      </c>
      <c r="O628" s="15">
        <f t="shared" si="19"/>
        <v>1.2546014574412068</v>
      </c>
      <c r="P628" s="15">
        <f t="shared" si="19"/>
        <v>1.3961210474681351</v>
      </c>
      <c r="Q628" s="15">
        <f t="shared" si="19"/>
        <v>1.2474055258624217</v>
      </c>
      <c r="R628" s="15">
        <f t="shared" si="19"/>
        <v>-0.63582153890364701</v>
      </c>
      <c r="S628" s="15">
        <f t="shared" si="20"/>
        <v>-0.11570549905608463</v>
      </c>
    </row>
    <row r="629" spans="1:19" ht="12.75">
      <c r="A629" s="6">
        <v>20210629</v>
      </c>
      <c r="B629" s="5">
        <v>0</v>
      </c>
      <c r="C629" s="5">
        <v>-0.39</v>
      </c>
      <c r="D629" s="5">
        <v>-0.3</v>
      </c>
      <c r="E629" s="5">
        <v>0.31</v>
      </c>
      <c r="F629" s="5">
        <v>0.4</v>
      </c>
      <c r="G629" s="7">
        <v>0</v>
      </c>
      <c r="H629" s="8"/>
      <c r="I629" s="14">
        <v>136.33000000000001</v>
      </c>
      <c r="J629" s="15">
        <v>271.39999999999998</v>
      </c>
      <c r="K629" s="15">
        <v>3448.14</v>
      </c>
      <c r="L629" s="15">
        <v>276.20999999999998</v>
      </c>
      <c r="M629" s="15">
        <v>164.03</v>
      </c>
      <c r="O629" s="15">
        <f t="shared" si="19"/>
        <v>1.1500222584953423</v>
      </c>
      <c r="P629" s="15">
        <f t="shared" si="19"/>
        <v>0.9973206311401972</v>
      </c>
      <c r="Q629" s="15">
        <f t="shared" si="19"/>
        <v>0.12340696131409867</v>
      </c>
      <c r="R629" s="15">
        <f t="shared" si="19"/>
        <v>-0.14460793174506659</v>
      </c>
      <c r="S629" s="15">
        <f t="shared" si="20"/>
        <v>6.0968174612874293E-3</v>
      </c>
    </row>
    <row r="630" spans="1:19" ht="12.75">
      <c r="A630" s="6">
        <v>20210630</v>
      </c>
      <c r="B630" s="5">
        <v>7.0000000000000007E-2</v>
      </c>
      <c r="C630" s="5">
        <v>0.13</v>
      </c>
      <c r="D630" s="5">
        <v>0.76</v>
      </c>
      <c r="E630" s="5">
        <v>0.72</v>
      </c>
      <c r="F630" s="5">
        <v>0.63</v>
      </c>
      <c r="G630" s="7">
        <v>0</v>
      </c>
      <c r="H630" s="8"/>
      <c r="I630" s="14">
        <v>136.96</v>
      </c>
      <c r="J630" s="15">
        <v>270.89999999999998</v>
      </c>
      <c r="K630" s="15">
        <v>3440.16</v>
      </c>
      <c r="L630" s="15">
        <v>277.92</v>
      </c>
      <c r="M630" s="15">
        <v>164.74</v>
      </c>
      <c r="O630" s="15">
        <f t="shared" si="19"/>
        <v>0.46211398811706328</v>
      </c>
      <c r="P630" s="15">
        <f t="shared" si="19"/>
        <v>-0.18422991893883855</v>
      </c>
      <c r="Q630" s="15">
        <f t="shared" si="19"/>
        <v>-0.2314291183072581</v>
      </c>
      <c r="R630" s="15">
        <f t="shared" si="19"/>
        <v>0.61909416748127111</v>
      </c>
      <c r="S630" s="15">
        <f t="shared" si="20"/>
        <v>0.43284764982016721</v>
      </c>
    </row>
    <row r="631" spans="1:19" ht="12.75">
      <c r="A631" s="6">
        <v>20210701</v>
      </c>
      <c r="B631" s="5">
        <v>0.43</v>
      </c>
      <c r="C631" s="5">
        <v>0.44</v>
      </c>
      <c r="D631" s="5">
        <v>0.43</v>
      </c>
      <c r="E631" s="5">
        <v>-0.02</v>
      </c>
      <c r="F631" s="5">
        <v>0.33</v>
      </c>
      <c r="G631" s="7">
        <v>0</v>
      </c>
      <c r="H631" s="8"/>
      <c r="I631" s="14">
        <v>137.27000000000001</v>
      </c>
      <c r="J631" s="15">
        <v>271.60000000000002</v>
      </c>
      <c r="K631" s="15">
        <v>3432.97</v>
      </c>
      <c r="L631" s="15">
        <v>280.17</v>
      </c>
      <c r="M631" s="15">
        <v>165.96</v>
      </c>
      <c r="O631" s="15">
        <f t="shared" si="19"/>
        <v>0.22634345794392274</v>
      </c>
      <c r="P631" s="15">
        <f t="shared" si="19"/>
        <v>0.25839793281654533</v>
      </c>
      <c r="Q631" s="15">
        <f t="shared" si="19"/>
        <v>-0.20900190688805109</v>
      </c>
      <c r="R631" s="15">
        <f t="shared" si="19"/>
        <v>0.80958549222798215</v>
      </c>
      <c r="S631" s="15">
        <f t="shared" si="20"/>
        <v>0.74056088381693197</v>
      </c>
    </row>
    <row r="632" spans="1:19" ht="12.75">
      <c r="A632" s="6">
        <v>20210702</v>
      </c>
      <c r="B632" s="5">
        <v>0.56000000000000005</v>
      </c>
      <c r="C632" s="5">
        <v>-1.52</v>
      </c>
      <c r="D632" s="5">
        <v>-0.73</v>
      </c>
      <c r="E632" s="5">
        <v>0.66</v>
      </c>
      <c r="F632" s="5">
        <v>-0.11</v>
      </c>
      <c r="G632" s="7">
        <v>0</v>
      </c>
      <c r="H632" s="8"/>
      <c r="I632" s="14">
        <v>139.96</v>
      </c>
      <c r="J632" s="15">
        <v>277.64999999999998</v>
      </c>
      <c r="K632" s="15">
        <v>3510.98</v>
      </c>
      <c r="L632" s="15">
        <v>279.12</v>
      </c>
      <c r="M632" s="15">
        <v>168.98</v>
      </c>
      <c r="O632" s="15">
        <f t="shared" si="19"/>
        <v>1.9596415822831004</v>
      </c>
      <c r="P632" s="15">
        <f t="shared" si="19"/>
        <v>2.2275405007363691</v>
      </c>
      <c r="Q632" s="15">
        <f t="shared" si="19"/>
        <v>2.2723763971138844</v>
      </c>
      <c r="R632" s="15">
        <f t="shared" si="19"/>
        <v>-0.374772459578121</v>
      </c>
      <c r="S632" s="15">
        <f t="shared" si="20"/>
        <v>1.8197155941190646</v>
      </c>
    </row>
    <row r="633" spans="1:19" ht="12.75">
      <c r="A633" s="6">
        <v>20210706</v>
      </c>
      <c r="B633" s="5">
        <v>-0.28000000000000003</v>
      </c>
      <c r="C633" s="5">
        <v>-1.04</v>
      </c>
      <c r="D633" s="5">
        <v>-1.98</v>
      </c>
      <c r="E633" s="5">
        <v>0.56999999999999995</v>
      </c>
      <c r="F633" s="5">
        <v>-0.71</v>
      </c>
      <c r="G633" s="7">
        <v>0</v>
      </c>
      <c r="H633" s="8"/>
      <c r="I633" s="14">
        <v>142.02000000000001</v>
      </c>
      <c r="J633" s="15">
        <v>277.66000000000003</v>
      </c>
      <c r="K633" s="15">
        <v>3675.74</v>
      </c>
      <c r="L633" s="15">
        <v>277.32</v>
      </c>
      <c r="M633" s="15">
        <v>167.97</v>
      </c>
      <c r="O633" s="15">
        <f t="shared" si="19"/>
        <v>1.4718490997427836</v>
      </c>
      <c r="P633" s="15">
        <f t="shared" si="19"/>
        <v>3.6016567621199869E-3</v>
      </c>
      <c r="Q633" s="15">
        <f t="shared" si="19"/>
        <v>4.692706879560693</v>
      </c>
      <c r="R633" s="15">
        <f t="shared" si="19"/>
        <v>-0.64488392089424584</v>
      </c>
      <c r="S633" s="15">
        <f t="shared" si="20"/>
        <v>-0.5977038702804971</v>
      </c>
    </row>
    <row r="634" spans="1:19" ht="12.75">
      <c r="A634" s="6">
        <v>20210707</v>
      </c>
      <c r="B634" s="5">
        <v>0.09</v>
      </c>
      <c r="C634" s="5">
        <v>-0.85</v>
      </c>
      <c r="D634" s="5">
        <v>0.08</v>
      </c>
      <c r="E634" s="5">
        <v>1.68</v>
      </c>
      <c r="F634" s="5">
        <v>0.33</v>
      </c>
      <c r="G634" s="7">
        <v>0</v>
      </c>
      <c r="H634" s="8"/>
      <c r="I634" s="14">
        <v>144.57</v>
      </c>
      <c r="J634" s="15">
        <v>279.93</v>
      </c>
      <c r="K634" s="15">
        <v>3696.58</v>
      </c>
      <c r="L634" s="15">
        <v>279.24</v>
      </c>
      <c r="M634" s="15">
        <v>169.41</v>
      </c>
      <c r="O634" s="15">
        <f t="shared" si="19"/>
        <v>1.7955217574989302</v>
      </c>
      <c r="P634" s="15">
        <f t="shared" si="19"/>
        <v>0.81754663977526842</v>
      </c>
      <c r="Q634" s="15">
        <f t="shared" si="19"/>
        <v>0.56696066642363263</v>
      </c>
      <c r="R634" s="15">
        <f t="shared" si="19"/>
        <v>0.69234097793162697</v>
      </c>
      <c r="S634" s="15">
        <f t="shared" si="20"/>
        <v>0.85729594570458367</v>
      </c>
    </row>
    <row r="635" spans="1:19" ht="12.75">
      <c r="A635" s="6">
        <v>20210708</v>
      </c>
      <c r="B635" s="5">
        <v>-0.86</v>
      </c>
      <c r="C635" s="5">
        <v>-0.01</v>
      </c>
      <c r="D635" s="5">
        <v>-0.78</v>
      </c>
      <c r="E635" s="5">
        <v>-0.21</v>
      </c>
      <c r="F635" s="5">
        <v>-0.03</v>
      </c>
      <c r="G635" s="7">
        <v>0</v>
      </c>
      <c r="H635" s="8"/>
      <c r="I635" s="14">
        <v>143.24</v>
      </c>
      <c r="J635" s="15">
        <v>277.42</v>
      </c>
      <c r="K635" s="15">
        <v>3731.41</v>
      </c>
      <c r="L635" s="15">
        <v>274.10000000000002</v>
      </c>
      <c r="M635" s="15">
        <v>169.08</v>
      </c>
      <c r="O635" s="15">
        <f t="shared" si="19"/>
        <v>-0.91996956491663395</v>
      </c>
      <c r="P635" s="15">
        <f t="shared" si="19"/>
        <v>-0.89665273461222439</v>
      </c>
      <c r="Q635" s="15">
        <f t="shared" si="19"/>
        <v>0.94222227031472983</v>
      </c>
      <c r="R635" s="15">
        <f t="shared" si="19"/>
        <v>-1.8407104999283774</v>
      </c>
      <c r="S635" s="15">
        <f t="shared" si="20"/>
        <v>-0.19479369576765881</v>
      </c>
    </row>
    <row r="636" spans="1:19" ht="12.75">
      <c r="A636" s="6">
        <v>20210709</v>
      </c>
      <c r="B636" s="5">
        <v>1.25</v>
      </c>
      <c r="C636" s="5">
        <v>0.87</v>
      </c>
      <c r="D636" s="5">
        <v>1.56</v>
      </c>
      <c r="E636" s="5">
        <v>-0.2</v>
      </c>
      <c r="F636" s="5">
        <v>0.39</v>
      </c>
      <c r="G636" s="7">
        <v>0</v>
      </c>
      <c r="H636" s="8"/>
      <c r="I636" s="14">
        <v>145.11000000000001</v>
      </c>
      <c r="J636" s="15">
        <v>277.94</v>
      </c>
      <c r="K636" s="15">
        <v>3719.34</v>
      </c>
      <c r="L636" s="15">
        <v>280.49</v>
      </c>
      <c r="M636" s="15">
        <v>169.75</v>
      </c>
      <c r="O636" s="15">
        <f t="shared" si="19"/>
        <v>1.3055012566322244</v>
      </c>
      <c r="P636" s="15">
        <f t="shared" si="19"/>
        <v>0.18744142455482393</v>
      </c>
      <c r="Q636" s="15">
        <f t="shared" si="19"/>
        <v>-0.32347021635252826</v>
      </c>
      <c r="R636" s="15">
        <f t="shared" si="19"/>
        <v>2.3312659613279774</v>
      </c>
      <c r="S636" s="15">
        <f t="shared" si="20"/>
        <v>0.39626212443812925</v>
      </c>
    </row>
    <row r="637" spans="1:19" ht="12.75">
      <c r="A637" s="6">
        <v>20210712</v>
      </c>
      <c r="B637" s="5">
        <v>0.23</v>
      </c>
      <c r="C637" s="5">
        <v>-0.02</v>
      </c>
      <c r="D637" s="5">
        <v>0.57999999999999996</v>
      </c>
      <c r="E637" s="5">
        <v>0.31</v>
      </c>
      <c r="F637" s="5">
        <v>-0.28000000000000003</v>
      </c>
      <c r="G637" s="7">
        <v>0</v>
      </c>
      <c r="H637" s="8"/>
      <c r="I637" s="14">
        <v>144.5</v>
      </c>
      <c r="J637" s="15">
        <v>277.32</v>
      </c>
      <c r="K637" s="15">
        <v>3718.55</v>
      </c>
      <c r="L637" s="15">
        <v>280.11</v>
      </c>
      <c r="M637" s="15">
        <v>169.48</v>
      </c>
      <c r="O637" s="15">
        <f t="shared" si="19"/>
        <v>-0.42037075322169937</v>
      </c>
      <c r="P637" s="15">
        <f t="shared" si="19"/>
        <v>-0.2230697272792681</v>
      </c>
      <c r="Q637" s="15">
        <f t="shared" si="19"/>
        <v>-2.1240327585003715E-2</v>
      </c>
      <c r="R637" s="15">
        <f t="shared" si="19"/>
        <v>-0.13547720061320989</v>
      </c>
      <c r="S637" s="15">
        <f t="shared" si="20"/>
        <v>-0.15905743740796119</v>
      </c>
    </row>
    <row r="638" spans="1:19" ht="12.75">
      <c r="A638" s="6">
        <v>20210713</v>
      </c>
      <c r="B638" s="5">
        <v>-0.56000000000000005</v>
      </c>
      <c r="C638" s="5">
        <v>-1.23</v>
      </c>
      <c r="D638" s="5">
        <v>-0.42</v>
      </c>
      <c r="E638" s="5">
        <v>0.71</v>
      </c>
      <c r="F638" s="5">
        <v>0.15</v>
      </c>
      <c r="G638" s="7">
        <v>0</v>
      </c>
      <c r="H638" s="8"/>
      <c r="I638" s="14">
        <v>145.63999999999999</v>
      </c>
      <c r="J638" s="15">
        <v>280.98</v>
      </c>
      <c r="K638" s="15">
        <v>3677.36</v>
      </c>
      <c r="L638" s="15">
        <v>279.20999999999998</v>
      </c>
      <c r="M638" s="15">
        <v>169.27</v>
      </c>
      <c r="O638" s="15">
        <f t="shared" si="19"/>
        <v>0.78892733564013273</v>
      </c>
      <c r="P638" s="15">
        <f t="shared" si="19"/>
        <v>1.3197749891821875</v>
      </c>
      <c r="Q638" s="15">
        <f t="shared" si="19"/>
        <v>-1.1076898253351453</v>
      </c>
      <c r="R638" s="15">
        <f t="shared" si="19"/>
        <v>-0.3213023455071351</v>
      </c>
      <c r="S638" s="15">
        <f t="shared" si="20"/>
        <v>-0.12390842577294503</v>
      </c>
    </row>
    <row r="639" spans="1:19" ht="12.75">
      <c r="A639" s="6">
        <v>20210714</v>
      </c>
      <c r="B639" s="5">
        <v>-0.26</v>
      </c>
      <c r="C639" s="5">
        <v>-1.17</v>
      </c>
      <c r="D639" s="5">
        <v>0.33</v>
      </c>
      <c r="E639" s="5">
        <v>1.92</v>
      </c>
      <c r="F639" s="5">
        <v>0.6</v>
      </c>
      <c r="G639" s="7">
        <v>0</v>
      </c>
      <c r="H639" s="8"/>
      <c r="I639" s="14">
        <v>149.15</v>
      </c>
      <c r="J639" s="15">
        <v>282.51</v>
      </c>
      <c r="K639" s="15">
        <v>3681.68</v>
      </c>
      <c r="L639" s="15">
        <v>278.31</v>
      </c>
      <c r="M639" s="15">
        <v>170.42</v>
      </c>
      <c r="O639" s="15">
        <f t="shared" si="19"/>
        <v>2.4100521834661048</v>
      </c>
      <c r="P639" s="15">
        <f t="shared" si="19"/>
        <v>0.544522741832143</v>
      </c>
      <c r="Q639" s="15">
        <f t="shared" si="19"/>
        <v>0.11747558030761329</v>
      </c>
      <c r="R639" s="15">
        <f t="shared" si="19"/>
        <v>-0.32233802514235466</v>
      </c>
      <c r="S639" s="15">
        <f t="shared" si="20"/>
        <v>0.67938796006379309</v>
      </c>
    </row>
    <row r="640" spans="1:19" ht="12.75">
      <c r="A640" s="6">
        <v>20210715</v>
      </c>
      <c r="B640" s="5">
        <v>-0.38</v>
      </c>
      <c r="C640" s="5">
        <v>-0.26</v>
      </c>
      <c r="D640" s="5">
        <v>0.79</v>
      </c>
      <c r="E640" s="5">
        <v>0.36</v>
      </c>
      <c r="F640" s="5">
        <v>-7.0000000000000007E-2</v>
      </c>
      <c r="G640" s="7">
        <v>0</v>
      </c>
      <c r="H640" s="8"/>
      <c r="I640" s="14">
        <v>148.47999999999999</v>
      </c>
      <c r="J640" s="15">
        <v>281.02999999999997</v>
      </c>
      <c r="K640" s="15">
        <v>3631.2</v>
      </c>
      <c r="L640" s="15">
        <v>279.72000000000003</v>
      </c>
      <c r="M640" s="15">
        <v>168.37</v>
      </c>
      <c r="O640" s="15">
        <f t="shared" si="19"/>
        <v>-0.44921220248073102</v>
      </c>
      <c r="P640" s="15">
        <f t="shared" si="19"/>
        <v>-0.52387526105270865</v>
      </c>
      <c r="Q640" s="15">
        <f t="shared" si="19"/>
        <v>-1.3711131874578952</v>
      </c>
      <c r="R640" s="15">
        <f t="shared" si="19"/>
        <v>0.50662929826452707</v>
      </c>
      <c r="S640" s="15">
        <f t="shared" si="20"/>
        <v>-1.2029104565191795</v>
      </c>
    </row>
    <row r="641" spans="1:19" ht="12.75">
      <c r="A641" s="6">
        <v>20210716</v>
      </c>
      <c r="B641" s="5">
        <v>-0.77</v>
      </c>
      <c r="C641" s="5">
        <v>-0.41</v>
      </c>
      <c r="D641" s="5">
        <v>-1.25</v>
      </c>
      <c r="E641" s="5">
        <v>0.12</v>
      </c>
      <c r="F641" s="5">
        <v>-0.82</v>
      </c>
      <c r="G641" s="7">
        <v>0</v>
      </c>
      <c r="H641" s="8"/>
      <c r="I641" s="14">
        <v>146.38999999999999</v>
      </c>
      <c r="J641" s="15">
        <v>280.75</v>
      </c>
      <c r="K641" s="15">
        <v>3573.63</v>
      </c>
      <c r="L641" s="15">
        <v>277.89999999999998</v>
      </c>
      <c r="M641" s="15">
        <v>168.1</v>
      </c>
      <c r="O641" s="15">
        <f t="shared" si="19"/>
        <v>-1.4075969827586188</v>
      </c>
      <c r="P641" s="15">
        <f t="shared" si="19"/>
        <v>-9.9633491086348336E-2</v>
      </c>
      <c r="Q641" s="15">
        <f t="shared" si="19"/>
        <v>-1.5854263053535989</v>
      </c>
      <c r="R641" s="15">
        <f t="shared" si="19"/>
        <v>-0.65065065065066374</v>
      </c>
      <c r="S641" s="15">
        <f t="shared" si="20"/>
        <v>-0.16036110946131554</v>
      </c>
    </row>
    <row r="642" spans="1:19" ht="12.75">
      <c r="A642" s="6">
        <v>20210719</v>
      </c>
      <c r="B642" s="5">
        <v>-1.41</v>
      </c>
      <c r="C642" s="5">
        <v>0.04</v>
      </c>
      <c r="D642" s="5">
        <v>-1.75</v>
      </c>
      <c r="E642" s="5">
        <v>-0.4</v>
      </c>
      <c r="F642" s="5">
        <v>-1.1200000000000001</v>
      </c>
      <c r="G642" s="7">
        <v>0</v>
      </c>
      <c r="H642" s="8"/>
      <c r="I642" s="14">
        <v>142.44999999999999</v>
      </c>
      <c r="J642" s="15">
        <v>277.01</v>
      </c>
      <c r="K642" s="15">
        <v>3549.59</v>
      </c>
      <c r="L642" s="15">
        <v>272.66000000000003</v>
      </c>
      <c r="M642" s="15">
        <v>166.88</v>
      </c>
      <c r="O642" s="15">
        <f t="shared" si="19"/>
        <v>-2.691440672177059</v>
      </c>
      <c r="P642" s="15">
        <f t="shared" si="19"/>
        <v>-1.3321460373998284</v>
      </c>
      <c r="Q642" s="15">
        <f t="shared" si="19"/>
        <v>-0.67270534442569474</v>
      </c>
      <c r="R642" s="15">
        <f t="shared" si="19"/>
        <v>-1.885570349046406</v>
      </c>
      <c r="S642" s="15">
        <f t="shared" si="20"/>
        <v>-0.72575847709696051</v>
      </c>
    </row>
    <row r="643" spans="1:19" ht="12.75">
      <c r="A643" s="6">
        <v>20210720</v>
      </c>
      <c r="B643" s="5">
        <v>1.69</v>
      </c>
      <c r="C643" s="5">
        <v>0.86</v>
      </c>
      <c r="D643" s="5">
        <v>0.16</v>
      </c>
      <c r="E643" s="5">
        <v>-0.55000000000000004</v>
      </c>
      <c r="F643" s="5">
        <v>0.35</v>
      </c>
      <c r="G643" s="7">
        <v>0</v>
      </c>
      <c r="H643" s="8"/>
      <c r="I643" s="14">
        <v>146.15</v>
      </c>
      <c r="J643" s="15">
        <v>279.32</v>
      </c>
      <c r="K643" s="15">
        <v>3573.19</v>
      </c>
      <c r="L643" s="15">
        <v>276.89</v>
      </c>
      <c r="M643" s="15">
        <v>168.45</v>
      </c>
      <c r="O643" s="15">
        <f t="shared" si="19"/>
        <v>2.5974025974026205</v>
      </c>
      <c r="P643" s="15">
        <f t="shared" si="19"/>
        <v>0.83390491318002802</v>
      </c>
      <c r="Q643" s="15">
        <f t="shared" si="19"/>
        <v>0.66486551967972485</v>
      </c>
      <c r="R643" s="15">
        <f t="shared" si="19"/>
        <v>1.5513826743930093</v>
      </c>
      <c r="S643" s="15">
        <f t="shared" si="20"/>
        <v>0.9407957813998058</v>
      </c>
    </row>
    <row r="644" spans="1:19" ht="12.75">
      <c r="A644" s="6">
        <v>20210721</v>
      </c>
      <c r="B644" s="5">
        <v>0.95</v>
      </c>
      <c r="C644" s="5">
        <v>0.72</v>
      </c>
      <c r="D644" s="5">
        <v>0.81</v>
      </c>
      <c r="E644" s="5">
        <v>-0.98</v>
      </c>
      <c r="F644" s="5">
        <v>0.04</v>
      </c>
      <c r="G644" s="7">
        <v>0</v>
      </c>
      <c r="H644" s="8"/>
      <c r="I644" s="14">
        <v>145.4</v>
      </c>
      <c r="J644" s="15">
        <v>281.39999999999998</v>
      </c>
      <c r="K644" s="15">
        <v>3585.2</v>
      </c>
      <c r="L644" s="15">
        <v>279.88</v>
      </c>
      <c r="M644" s="15">
        <v>169.49</v>
      </c>
      <c r="O644" s="15">
        <f t="shared" si="19"/>
        <v>-0.51317139924734745</v>
      </c>
      <c r="P644" s="15">
        <f t="shared" si="19"/>
        <v>0.74466561649719765</v>
      </c>
      <c r="Q644" s="15">
        <f t="shared" si="19"/>
        <v>0.33611422846251404</v>
      </c>
      <c r="R644" s="15">
        <f t="shared" ref="R644:S707" si="21">(L644/L643-1)*100</f>
        <v>1.0798512044494224</v>
      </c>
      <c r="S644" s="15">
        <f t="shared" si="20"/>
        <v>0.61739388542596529</v>
      </c>
    </row>
    <row r="645" spans="1:19" ht="12.75">
      <c r="A645" s="6">
        <v>20210722</v>
      </c>
      <c r="B645" s="5">
        <v>0.09</v>
      </c>
      <c r="C645" s="5">
        <v>-1.58</v>
      </c>
      <c r="D645" s="5">
        <v>-1</v>
      </c>
      <c r="E645" s="5">
        <v>0.5</v>
      </c>
      <c r="F645" s="5">
        <v>-0.37</v>
      </c>
      <c r="G645" s="7">
        <v>0</v>
      </c>
      <c r="H645" s="8"/>
      <c r="I645" s="14">
        <v>146.80000000000001</v>
      </c>
      <c r="J645" s="15">
        <v>286.14</v>
      </c>
      <c r="K645" s="15">
        <v>3638.03</v>
      </c>
      <c r="L645" s="15">
        <v>277.7</v>
      </c>
      <c r="M645" s="15">
        <v>169.98</v>
      </c>
      <c r="O645" s="15">
        <f t="shared" ref="O645:S708" si="22">(I645/I644-1)*100</f>
        <v>0.96286107290233236</v>
      </c>
      <c r="P645" s="15">
        <f t="shared" si="22"/>
        <v>1.6844349680170678</v>
      </c>
      <c r="Q645" s="15">
        <f t="shared" si="22"/>
        <v>1.4735579605043014</v>
      </c>
      <c r="R645" s="15">
        <f t="shared" si="21"/>
        <v>-0.77890524510504378</v>
      </c>
      <c r="S645" s="15">
        <f t="shared" si="21"/>
        <v>0.28910260192340775</v>
      </c>
    </row>
    <row r="646" spans="1:19" ht="12.75">
      <c r="A646" s="6">
        <v>20210723</v>
      </c>
      <c r="B646" s="5">
        <v>0.98</v>
      </c>
      <c r="C646" s="5">
        <v>-0.32</v>
      </c>
      <c r="D646" s="5">
        <v>-0.46</v>
      </c>
      <c r="E646" s="5">
        <v>0.46</v>
      </c>
      <c r="F646" s="5">
        <v>-0.35</v>
      </c>
      <c r="G646" s="7">
        <v>0</v>
      </c>
      <c r="H646" s="8"/>
      <c r="I646" s="14">
        <v>148.56</v>
      </c>
      <c r="J646" s="15">
        <v>289.67</v>
      </c>
      <c r="K646" s="15">
        <v>3656.64</v>
      </c>
      <c r="L646" s="15">
        <v>278.49</v>
      </c>
      <c r="M646" s="15">
        <v>171.79</v>
      </c>
      <c r="O646" s="15">
        <f t="shared" si="22"/>
        <v>1.1989100817438647</v>
      </c>
      <c r="P646" s="15">
        <f t="shared" si="22"/>
        <v>1.2336618438526736</v>
      </c>
      <c r="Q646" s="15">
        <f t="shared" si="22"/>
        <v>0.5115405865262046</v>
      </c>
      <c r="R646" s="15">
        <f t="shared" si="21"/>
        <v>0.28447965430320465</v>
      </c>
      <c r="S646" s="15">
        <f t="shared" si="21"/>
        <v>1.0648311566066715</v>
      </c>
    </row>
    <row r="647" spans="1:19" ht="12.75">
      <c r="A647" s="6">
        <v>20210726</v>
      </c>
      <c r="B647" s="5">
        <v>0.18</v>
      </c>
      <c r="C647" s="5">
        <v>0.11</v>
      </c>
      <c r="D647" s="5">
        <v>1.33</v>
      </c>
      <c r="E647" s="5">
        <v>0.24</v>
      </c>
      <c r="F647" s="5">
        <v>0.87</v>
      </c>
      <c r="G647" s="7">
        <v>0</v>
      </c>
      <c r="H647" s="8"/>
      <c r="I647" s="14">
        <v>148.99</v>
      </c>
      <c r="J647" s="15">
        <v>289.05</v>
      </c>
      <c r="K647" s="15">
        <v>3699.82</v>
      </c>
      <c r="L647" s="15">
        <v>278.8</v>
      </c>
      <c r="M647" s="15">
        <v>171.87</v>
      </c>
      <c r="O647" s="15">
        <f t="shared" si="22"/>
        <v>0.28944534194939031</v>
      </c>
      <c r="P647" s="15">
        <f t="shared" si="22"/>
        <v>-0.21403666240894514</v>
      </c>
      <c r="Q647" s="15">
        <f t="shared" si="22"/>
        <v>1.1808654940054231</v>
      </c>
      <c r="R647" s="15">
        <f t="shared" si="21"/>
        <v>0.11131458939279693</v>
      </c>
      <c r="S647" s="15">
        <f t="shared" si="21"/>
        <v>4.6568484777931296E-2</v>
      </c>
    </row>
    <row r="648" spans="1:19" ht="12.75">
      <c r="A648" s="6">
        <v>20210727</v>
      </c>
      <c r="B648" s="5">
        <v>-0.66</v>
      </c>
      <c r="C648" s="5">
        <v>-0.46</v>
      </c>
      <c r="D648" s="5">
        <v>0.6</v>
      </c>
      <c r="E648" s="5">
        <v>0.46</v>
      </c>
      <c r="F648" s="5">
        <v>0.1</v>
      </c>
      <c r="G648" s="7">
        <v>0</v>
      </c>
      <c r="H648" s="8"/>
      <c r="I648" s="14">
        <v>146.77000000000001</v>
      </c>
      <c r="J648" s="15">
        <v>286.54000000000002</v>
      </c>
      <c r="K648" s="15">
        <v>3626.39</v>
      </c>
      <c r="L648" s="15">
        <v>280.77999999999997</v>
      </c>
      <c r="M648" s="15">
        <v>172.66</v>
      </c>
      <c r="O648" s="15">
        <f t="shared" si="22"/>
        <v>-1.4900328881132907</v>
      </c>
      <c r="P648" s="15">
        <f t="shared" si="22"/>
        <v>-0.86836187510811458</v>
      </c>
      <c r="Q648" s="15">
        <f t="shared" si="22"/>
        <v>-1.9846911471368966</v>
      </c>
      <c r="R648" s="15">
        <f t="shared" si="21"/>
        <v>0.71018651362981799</v>
      </c>
      <c r="S648" s="15">
        <f t="shared" si="21"/>
        <v>0.45964973526502195</v>
      </c>
    </row>
    <row r="649" spans="1:19" ht="12.75">
      <c r="A649" s="6">
        <v>20210728</v>
      </c>
      <c r="B649" s="5">
        <v>0.27</v>
      </c>
      <c r="C649" s="5">
        <v>1.21</v>
      </c>
      <c r="D649" s="5">
        <v>-0.65</v>
      </c>
      <c r="E649" s="5">
        <v>-1.57</v>
      </c>
      <c r="F649" s="5">
        <v>-0.72</v>
      </c>
      <c r="G649" s="7">
        <v>0</v>
      </c>
      <c r="H649" s="8"/>
      <c r="I649" s="14">
        <v>144.97999999999999</v>
      </c>
      <c r="J649" s="15">
        <v>286.22000000000003</v>
      </c>
      <c r="K649" s="15">
        <v>3630.32</v>
      </c>
      <c r="L649" s="15">
        <v>278.10000000000002</v>
      </c>
      <c r="M649" s="15">
        <v>172.18</v>
      </c>
      <c r="O649" s="15">
        <f t="shared" si="22"/>
        <v>-1.2195952851400294</v>
      </c>
      <c r="P649" s="15">
        <f t="shared" si="22"/>
        <v>-0.11167725273958373</v>
      </c>
      <c r="Q649" s="15">
        <f t="shared" si="22"/>
        <v>0.1083722379556562</v>
      </c>
      <c r="R649" s="15">
        <f t="shared" si="21"/>
        <v>-0.95448393760237948</v>
      </c>
      <c r="S649" s="15">
        <f t="shared" si="21"/>
        <v>-0.27800301169929043</v>
      </c>
    </row>
    <row r="650" spans="1:19" ht="12.75">
      <c r="A650" s="6">
        <v>20210729</v>
      </c>
      <c r="B650" s="5">
        <v>0.41</v>
      </c>
      <c r="C650" s="5">
        <v>0.22</v>
      </c>
      <c r="D650" s="5">
        <v>0.95</v>
      </c>
      <c r="E650" s="5">
        <v>0.8</v>
      </c>
      <c r="F650" s="5">
        <v>0.54</v>
      </c>
      <c r="G650" s="7">
        <v>0</v>
      </c>
      <c r="H650" s="8"/>
      <c r="I650" s="14">
        <v>145.63999999999999</v>
      </c>
      <c r="J650" s="15">
        <v>286.5</v>
      </c>
      <c r="K650" s="15">
        <v>3599.92</v>
      </c>
      <c r="L650" s="15">
        <v>279.76</v>
      </c>
      <c r="M650" s="15">
        <v>172.18</v>
      </c>
      <c r="O650" s="15">
        <f t="shared" si="22"/>
        <v>0.45523520485584168</v>
      </c>
      <c r="P650" s="15">
        <f t="shared" si="22"/>
        <v>9.782684648171891E-2</v>
      </c>
      <c r="Q650" s="15">
        <f t="shared" si="22"/>
        <v>-0.83739174508032921</v>
      </c>
      <c r="R650" s="15">
        <f t="shared" si="21"/>
        <v>0.59690758719883608</v>
      </c>
      <c r="S650" s="15">
        <f t="shared" si="21"/>
        <v>0</v>
      </c>
    </row>
    <row r="651" spans="1:19" ht="12.75">
      <c r="A651" s="6">
        <v>20210730</v>
      </c>
      <c r="B651" s="5">
        <v>-0.65</v>
      </c>
      <c r="C651" s="5">
        <v>-0.1</v>
      </c>
      <c r="D651" s="5">
        <v>-0.17</v>
      </c>
      <c r="E651" s="5">
        <v>0.55000000000000004</v>
      </c>
      <c r="F651" s="5">
        <v>0.4</v>
      </c>
      <c r="G651" s="7">
        <v>0</v>
      </c>
      <c r="H651" s="8"/>
      <c r="I651" s="14">
        <v>145.86000000000001</v>
      </c>
      <c r="J651" s="15">
        <v>284.91000000000003</v>
      </c>
      <c r="K651" s="15">
        <v>3327.59</v>
      </c>
      <c r="L651" s="15">
        <v>278.29000000000002</v>
      </c>
      <c r="M651" s="15">
        <v>172.2</v>
      </c>
      <c r="O651" s="15">
        <f t="shared" si="22"/>
        <v>0.15105740181271532</v>
      </c>
      <c r="P651" s="15">
        <f t="shared" si="22"/>
        <v>-0.55497382198952394</v>
      </c>
      <c r="Q651" s="15">
        <f t="shared" si="22"/>
        <v>-7.564890330896235</v>
      </c>
      <c r="R651" s="15">
        <f t="shared" si="21"/>
        <v>-0.52545038604516758</v>
      </c>
      <c r="S651" s="15">
        <f t="shared" si="21"/>
        <v>1.1615750958293702E-2</v>
      </c>
    </row>
    <row r="652" spans="1:19" ht="12.75">
      <c r="A652" s="6">
        <v>20210802</v>
      </c>
      <c r="B652" s="5">
        <v>-0.12</v>
      </c>
      <c r="C652" s="5">
        <v>-0.15</v>
      </c>
      <c r="D652" s="5">
        <v>-0.41</v>
      </c>
      <c r="E652" s="5">
        <v>-0.04</v>
      </c>
      <c r="F652" s="5">
        <v>-0.38</v>
      </c>
      <c r="G652" s="7">
        <v>0</v>
      </c>
      <c r="H652" s="8"/>
      <c r="I652" s="14">
        <v>145.52000000000001</v>
      </c>
      <c r="J652" s="15">
        <v>284.82</v>
      </c>
      <c r="K652" s="15">
        <v>3331.48</v>
      </c>
      <c r="L652" s="15">
        <v>278.14</v>
      </c>
      <c r="M652" s="15">
        <v>172.27</v>
      </c>
      <c r="O652" s="15">
        <f t="shared" si="22"/>
        <v>-0.23310023310023631</v>
      </c>
      <c r="P652" s="15">
        <f t="shared" si="22"/>
        <v>-3.1588922817737952E-2</v>
      </c>
      <c r="Q652" s="15">
        <f t="shared" si="22"/>
        <v>0.11690142114864077</v>
      </c>
      <c r="R652" s="15">
        <f t="shared" si="21"/>
        <v>-5.3900607280188417E-2</v>
      </c>
      <c r="S652" s="15">
        <f t="shared" si="21"/>
        <v>4.0650406504072478E-2</v>
      </c>
    </row>
    <row r="653" spans="1:19" ht="12.75">
      <c r="A653" s="6">
        <v>20210803</v>
      </c>
      <c r="B653" s="5">
        <v>0.73</v>
      </c>
      <c r="C653" s="5">
        <v>-0.38</v>
      </c>
      <c r="D653" s="5">
        <v>0.9</v>
      </c>
      <c r="E653" s="5">
        <v>0.63</v>
      </c>
      <c r="F653" s="5">
        <v>0.26</v>
      </c>
      <c r="G653" s="7">
        <v>0</v>
      </c>
      <c r="H653" s="8"/>
      <c r="I653" s="14">
        <v>147.36000000000001</v>
      </c>
      <c r="J653" s="15">
        <v>287.12</v>
      </c>
      <c r="K653" s="15">
        <v>3366.24</v>
      </c>
      <c r="L653" s="15">
        <v>281.8</v>
      </c>
      <c r="M653" s="15">
        <v>174.39</v>
      </c>
      <c r="O653" s="15">
        <f t="shared" si="22"/>
        <v>1.264431006047273</v>
      </c>
      <c r="P653" s="15">
        <f t="shared" si="22"/>
        <v>0.80752756126676317</v>
      </c>
      <c r="Q653" s="15">
        <f t="shared" si="22"/>
        <v>1.0433801193463488</v>
      </c>
      <c r="R653" s="15">
        <f t="shared" si="21"/>
        <v>1.3158840871503541</v>
      </c>
      <c r="S653" s="15">
        <f t="shared" si="21"/>
        <v>1.230626342369523</v>
      </c>
    </row>
    <row r="654" spans="1:19" ht="12.75">
      <c r="A654" s="6">
        <v>20210804</v>
      </c>
      <c r="B654" s="5">
        <v>-0.39</v>
      </c>
      <c r="C654" s="5">
        <v>-0.99</v>
      </c>
      <c r="D654" s="5">
        <v>-1.55</v>
      </c>
      <c r="E654" s="5">
        <v>-0.38</v>
      </c>
      <c r="F654" s="5">
        <v>-1.1200000000000001</v>
      </c>
      <c r="G654" s="7">
        <v>0</v>
      </c>
      <c r="H654" s="8"/>
      <c r="I654" s="14">
        <v>146.94999999999999</v>
      </c>
      <c r="J654" s="15">
        <v>286.51</v>
      </c>
      <c r="K654" s="15">
        <v>3354.72</v>
      </c>
      <c r="L654" s="15">
        <v>278.77999999999997</v>
      </c>
      <c r="M654" s="15">
        <v>173.36</v>
      </c>
      <c r="O654" s="15">
        <f t="shared" si="22"/>
        <v>-0.27823018458199567</v>
      </c>
      <c r="P654" s="15">
        <f t="shared" si="22"/>
        <v>-0.21245472276401056</v>
      </c>
      <c r="Q654" s="15">
        <f t="shared" si="22"/>
        <v>-0.34222158847854178</v>
      </c>
      <c r="R654" s="15">
        <f t="shared" si="21"/>
        <v>-1.0716820440028529</v>
      </c>
      <c r="S654" s="15">
        <f t="shared" si="21"/>
        <v>-0.59063019668557093</v>
      </c>
    </row>
    <row r="655" spans="1:19" ht="12.75">
      <c r="A655" s="6">
        <v>20210805</v>
      </c>
      <c r="B655" s="5">
        <v>0.74</v>
      </c>
      <c r="C655" s="5">
        <v>1.08</v>
      </c>
      <c r="D655" s="5">
        <v>-0.1</v>
      </c>
      <c r="E655" s="5">
        <v>-1.33</v>
      </c>
      <c r="F655" s="5">
        <v>-0.4</v>
      </c>
      <c r="G655" s="7">
        <v>0</v>
      </c>
      <c r="H655" s="8"/>
      <c r="I655" s="14">
        <v>147.06</v>
      </c>
      <c r="J655" s="15">
        <v>289.52</v>
      </c>
      <c r="K655" s="15">
        <v>3375.99</v>
      </c>
      <c r="L655" s="15">
        <v>280.20999999999998</v>
      </c>
      <c r="M655" s="15">
        <v>173.69</v>
      </c>
      <c r="O655" s="15">
        <f t="shared" si="22"/>
        <v>7.4855392990813563E-2</v>
      </c>
      <c r="P655" s="15">
        <f t="shared" si="22"/>
        <v>1.0505741509894806</v>
      </c>
      <c r="Q655" s="15">
        <f t="shared" si="22"/>
        <v>0.63403205036485222</v>
      </c>
      <c r="R655" s="15">
        <f t="shared" si="21"/>
        <v>0.51294927900136233</v>
      </c>
      <c r="S655" s="15">
        <f t="shared" si="21"/>
        <v>0.19035532994922111</v>
      </c>
    </row>
    <row r="656" spans="1:19" ht="12.75">
      <c r="A656" s="6">
        <v>20210806</v>
      </c>
      <c r="B656" s="5">
        <v>0.09</v>
      </c>
      <c r="C656" s="5">
        <v>0.48</v>
      </c>
      <c r="D656" s="5">
        <v>1.87</v>
      </c>
      <c r="E656" s="5">
        <v>0.59</v>
      </c>
      <c r="F656" s="5">
        <v>0.3</v>
      </c>
      <c r="G656" s="7">
        <v>0</v>
      </c>
      <c r="H656" s="8"/>
      <c r="I656" s="14">
        <v>146.13999999999999</v>
      </c>
      <c r="J656" s="15">
        <v>289.45999999999998</v>
      </c>
      <c r="K656" s="15">
        <v>3344.94</v>
      </c>
      <c r="L656" s="15">
        <v>285.63</v>
      </c>
      <c r="M656" s="15">
        <v>173.11</v>
      </c>
      <c r="O656" s="15">
        <f t="shared" si="22"/>
        <v>-0.62559499524005302</v>
      </c>
      <c r="P656" s="15">
        <f t="shared" si="22"/>
        <v>-2.0723956894175277E-2</v>
      </c>
      <c r="Q656" s="15">
        <f t="shared" si="22"/>
        <v>-0.91973021247100384</v>
      </c>
      <c r="R656" s="15">
        <f t="shared" si="21"/>
        <v>1.9342635880232661</v>
      </c>
      <c r="S656" s="15">
        <f t="shared" si="21"/>
        <v>-0.33392826299728506</v>
      </c>
    </row>
    <row r="657" spans="1:19" ht="12.75">
      <c r="A657" s="6">
        <v>20210809</v>
      </c>
      <c r="B657" s="5">
        <v>0.01</v>
      </c>
      <c r="C657" s="5">
        <v>-0.47</v>
      </c>
      <c r="D657" s="5">
        <v>-0.24</v>
      </c>
      <c r="E657" s="5">
        <v>-0.6</v>
      </c>
      <c r="F657" s="5">
        <v>-0.53</v>
      </c>
      <c r="G657" s="7">
        <v>0</v>
      </c>
      <c r="H657" s="8"/>
      <c r="I657" s="14">
        <v>146.09</v>
      </c>
      <c r="J657" s="15">
        <v>288.33</v>
      </c>
      <c r="K657" s="15">
        <v>3341.87</v>
      </c>
      <c r="L657" s="15">
        <v>287.23</v>
      </c>
      <c r="M657" s="15">
        <v>173.71</v>
      </c>
      <c r="O657" s="15">
        <f t="shared" si="22"/>
        <v>-3.4213767620083768E-2</v>
      </c>
      <c r="P657" s="15">
        <f t="shared" si="22"/>
        <v>-0.39038209078974262</v>
      </c>
      <c r="Q657" s="15">
        <f t="shared" si="22"/>
        <v>-9.1780420575560129E-2</v>
      </c>
      <c r="R657" s="15">
        <f t="shared" si="21"/>
        <v>0.56016524874837881</v>
      </c>
      <c r="S657" s="15">
        <f t="shared" si="21"/>
        <v>0.34660042747385322</v>
      </c>
    </row>
    <row r="658" spans="1:19" ht="12.75">
      <c r="A658" s="6">
        <v>20210810</v>
      </c>
      <c r="B658" s="5">
        <v>0.06</v>
      </c>
      <c r="C658" s="5">
        <v>0.38</v>
      </c>
      <c r="D658" s="5">
        <v>1.81</v>
      </c>
      <c r="E658" s="5">
        <v>0.74</v>
      </c>
      <c r="F658" s="5">
        <v>0.94</v>
      </c>
      <c r="G658" s="7">
        <v>0</v>
      </c>
      <c r="H658" s="8"/>
      <c r="I658" s="14">
        <v>145.6</v>
      </c>
      <c r="J658" s="15">
        <v>286.44</v>
      </c>
      <c r="K658" s="15">
        <v>3320.68</v>
      </c>
      <c r="L658" s="15">
        <v>288.94</v>
      </c>
      <c r="M658" s="15">
        <v>173.77</v>
      </c>
      <c r="O658" s="15">
        <f t="shared" si="22"/>
        <v>-0.33540967896502627</v>
      </c>
      <c r="P658" s="15">
        <f t="shared" si="22"/>
        <v>-0.65549890750181694</v>
      </c>
      <c r="Q658" s="15">
        <f t="shared" si="22"/>
        <v>-0.63407613102843818</v>
      </c>
      <c r="R658" s="15">
        <f t="shared" si="21"/>
        <v>0.59534171221669041</v>
      </c>
      <c r="S658" s="15">
        <f t="shared" si="21"/>
        <v>3.4540325830412222E-2</v>
      </c>
    </row>
    <row r="659" spans="1:19" ht="12.75">
      <c r="A659" s="6">
        <v>20210811</v>
      </c>
      <c r="B659" s="5">
        <v>0.19</v>
      </c>
      <c r="C659" s="5">
        <v>0.28000000000000003</v>
      </c>
      <c r="D659" s="5">
        <v>1.44</v>
      </c>
      <c r="E659" s="5">
        <v>0.85</v>
      </c>
      <c r="F659" s="5">
        <v>0.51</v>
      </c>
      <c r="G659" s="7">
        <v>0</v>
      </c>
      <c r="H659" s="8"/>
      <c r="I659" s="14">
        <v>145.86000000000001</v>
      </c>
      <c r="J659" s="15">
        <v>286.95</v>
      </c>
      <c r="K659" s="15">
        <v>3292.11</v>
      </c>
      <c r="L659" s="15">
        <v>291.27999999999997</v>
      </c>
      <c r="M659" s="15">
        <v>173.8</v>
      </c>
      <c r="O659" s="15">
        <f t="shared" si="22"/>
        <v>0.17857142857145014</v>
      </c>
      <c r="P659" s="15">
        <f t="shared" si="22"/>
        <v>0.178047758692923</v>
      </c>
      <c r="Q659" s="15">
        <f t="shared" si="22"/>
        <v>-0.86036594914293829</v>
      </c>
      <c r="R659" s="15">
        <f t="shared" si="21"/>
        <v>0.80985671765763101</v>
      </c>
      <c r="S659" s="15">
        <f t="shared" si="21"/>
        <v>1.7264199804345459E-2</v>
      </c>
    </row>
    <row r="660" spans="1:19" ht="12.75">
      <c r="A660" s="6">
        <v>20210812</v>
      </c>
      <c r="B660" s="5">
        <v>0.24</v>
      </c>
      <c r="C660" s="5">
        <v>-0.68</v>
      </c>
      <c r="D660" s="5">
        <v>-0.4</v>
      </c>
      <c r="E660" s="5">
        <v>-0.01</v>
      </c>
      <c r="F660" s="5">
        <v>0.16</v>
      </c>
      <c r="G660" s="7">
        <v>0</v>
      </c>
      <c r="H660" s="8"/>
      <c r="I660" s="14">
        <v>148.88999999999999</v>
      </c>
      <c r="J660" s="15">
        <v>289.81</v>
      </c>
      <c r="K660" s="15">
        <v>3303.5</v>
      </c>
      <c r="L660" s="15">
        <v>290.24</v>
      </c>
      <c r="M660" s="15">
        <v>175.2</v>
      </c>
      <c r="O660" s="15">
        <f t="shared" si="22"/>
        <v>2.0773344302755792</v>
      </c>
      <c r="P660" s="15">
        <f t="shared" si="22"/>
        <v>0.9966893186966308</v>
      </c>
      <c r="Q660" s="15">
        <f t="shared" si="22"/>
        <v>0.34597871881558717</v>
      </c>
      <c r="R660" s="15">
        <f t="shared" si="21"/>
        <v>-0.35704476792088879</v>
      </c>
      <c r="S660" s="15">
        <f t="shared" si="21"/>
        <v>0.80552359033370102</v>
      </c>
    </row>
    <row r="661" spans="1:19" ht="12.75">
      <c r="A661" s="6">
        <v>20210813</v>
      </c>
      <c r="B661" s="5">
        <v>0</v>
      </c>
      <c r="C661" s="5">
        <v>-0.95</v>
      </c>
      <c r="D661" s="5">
        <v>-0.24</v>
      </c>
      <c r="E661" s="5">
        <v>0.75</v>
      </c>
      <c r="F661" s="5">
        <v>-0.03</v>
      </c>
      <c r="G661" s="7">
        <v>0</v>
      </c>
      <c r="H661" s="8"/>
      <c r="I661" s="14">
        <v>149.1</v>
      </c>
      <c r="J661" s="15">
        <v>292.85000000000002</v>
      </c>
      <c r="K661" s="15">
        <v>3293.97</v>
      </c>
      <c r="L661" s="15">
        <v>287.89</v>
      </c>
      <c r="M661" s="15">
        <v>176.25</v>
      </c>
      <c r="O661" s="15">
        <f t="shared" si="22"/>
        <v>0.14104372355430161</v>
      </c>
      <c r="P661" s="15">
        <f t="shared" si="22"/>
        <v>1.0489631137641897</v>
      </c>
      <c r="Q661" s="15">
        <f t="shared" si="22"/>
        <v>-0.28848191312245142</v>
      </c>
      <c r="R661" s="15">
        <f t="shared" si="21"/>
        <v>-0.8096747519294456</v>
      </c>
      <c r="S661" s="15">
        <f t="shared" si="21"/>
        <v>0.59931506849315586</v>
      </c>
    </row>
    <row r="662" spans="1:19" ht="12.75">
      <c r="A662" s="6">
        <v>20210816</v>
      </c>
      <c r="B662" s="5">
        <v>-0.05</v>
      </c>
      <c r="C662" s="5">
        <v>-0.86</v>
      </c>
      <c r="D662" s="5">
        <v>0.05</v>
      </c>
      <c r="E662" s="5">
        <v>1.62</v>
      </c>
      <c r="F662" s="5">
        <v>0.17</v>
      </c>
      <c r="G662" s="7">
        <v>0</v>
      </c>
      <c r="H662" s="8"/>
      <c r="I662" s="14">
        <v>151.12</v>
      </c>
      <c r="J662" s="15">
        <v>294.60000000000002</v>
      </c>
      <c r="K662" s="15">
        <v>3298.99</v>
      </c>
      <c r="L662" s="15">
        <v>289.45</v>
      </c>
      <c r="M662" s="15">
        <v>177.84</v>
      </c>
      <c r="O662" s="15">
        <f t="shared" si="22"/>
        <v>1.3547954393024808</v>
      </c>
      <c r="P662" s="15">
        <f t="shared" si="22"/>
        <v>0.59757555062318612</v>
      </c>
      <c r="Q662" s="15">
        <f t="shared" si="22"/>
        <v>0.15239968791458391</v>
      </c>
      <c r="R662" s="15">
        <f t="shared" si="21"/>
        <v>0.54187363229010188</v>
      </c>
      <c r="S662" s="15">
        <f t="shared" si="21"/>
        <v>0.90212765957446983</v>
      </c>
    </row>
    <row r="663" spans="1:19" ht="12.75">
      <c r="A663" s="6">
        <v>20210817</v>
      </c>
      <c r="B663" s="5">
        <v>-0.8</v>
      </c>
      <c r="C663" s="5">
        <v>-0.49</v>
      </c>
      <c r="D663" s="5">
        <v>-0.15</v>
      </c>
      <c r="E663" s="5">
        <v>-0.31</v>
      </c>
      <c r="F663" s="5">
        <v>0.11</v>
      </c>
      <c r="G663" s="7">
        <v>0</v>
      </c>
      <c r="H663" s="8"/>
      <c r="I663" s="14">
        <v>150.19</v>
      </c>
      <c r="J663" s="15">
        <v>293.08</v>
      </c>
      <c r="K663" s="15">
        <v>3241.96</v>
      </c>
      <c r="L663" s="15">
        <v>289.10000000000002</v>
      </c>
      <c r="M663" s="15">
        <v>179.47</v>
      </c>
      <c r="O663" s="15">
        <f t="shared" si="22"/>
        <v>-0.61540497617788015</v>
      </c>
      <c r="P663" s="15">
        <f t="shared" si="22"/>
        <v>-0.51595383570944842</v>
      </c>
      <c r="Q663" s="15">
        <f t="shared" si="22"/>
        <v>-1.7287109084901719</v>
      </c>
      <c r="R663" s="15">
        <f t="shared" si="21"/>
        <v>-0.12091898428051584</v>
      </c>
      <c r="S663" s="15">
        <f t="shared" si="21"/>
        <v>0.9165542060278975</v>
      </c>
    </row>
    <row r="664" spans="1:19" ht="12.75">
      <c r="A664" s="6">
        <v>20210818</v>
      </c>
      <c r="B664" s="5">
        <v>-0.95</v>
      </c>
      <c r="C664" s="5">
        <v>0.08</v>
      </c>
      <c r="D664" s="5">
        <v>-0.18</v>
      </c>
      <c r="E664" s="5">
        <v>-0.3</v>
      </c>
      <c r="F664" s="5">
        <v>-0.66</v>
      </c>
      <c r="G664" s="7">
        <v>0</v>
      </c>
      <c r="H664" s="8"/>
      <c r="I664" s="14">
        <v>146.36000000000001</v>
      </c>
      <c r="J664" s="15">
        <v>290.73</v>
      </c>
      <c r="K664" s="15">
        <v>3201.22</v>
      </c>
      <c r="L664" s="15">
        <v>286.36</v>
      </c>
      <c r="M664" s="15">
        <v>177.19</v>
      </c>
      <c r="O664" s="15">
        <f t="shared" si="22"/>
        <v>-2.5501032026100212</v>
      </c>
      <c r="P664" s="15">
        <f t="shared" si="22"/>
        <v>-0.80182885219051148</v>
      </c>
      <c r="Q664" s="15">
        <f t="shared" si="22"/>
        <v>-1.2566472134141193</v>
      </c>
      <c r="R664" s="15">
        <f t="shared" si="21"/>
        <v>-0.9477689380837151</v>
      </c>
      <c r="S664" s="15">
        <f t="shared" si="21"/>
        <v>-1.2704073104140012</v>
      </c>
    </row>
    <row r="665" spans="1:19" ht="12.75">
      <c r="A665" s="6">
        <v>20210819</v>
      </c>
      <c r="B665" s="5">
        <v>-0.15</v>
      </c>
      <c r="C665" s="5">
        <v>-0.96</v>
      </c>
      <c r="D665" s="5">
        <v>-0.8</v>
      </c>
      <c r="E665" s="5">
        <v>1.38</v>
      </c>
      <c r="F665" s="5">
        <v>-0.48</v>
      </c>
      <c r="G665" s="7">
        <v>0</v>
      </c>
      <c r="H665" s="8"/>
      <c r="I665" s="14">
        <v>146.69999999999999</v>
      </c>
      <c r="J665" s="15">
        <v>296.77</v>
      </c>
      <c r="K665" s="15">
        <v>3187.75</v>
      </c>
      <c r="L665" s="15">
        <v>285.13</v>
      </c>
      <c r="M665" s="15">
        <v>178.57</v>
      </c>
      <c r="O665" s="15">
        <f t="shared" si="22"/>
        <v>0.23230390817161606</v>
      </c>
      <c r="P665" s="15">
        <f t="shared" si="22"/>
        <v>2.0775289787775542</v>
      </c>
      <c r="Q665" s="15">
        <f t="shared" si="22"/>
        <v>-0.42077707873872106</v>
      </c>
      <c r="R665" s="15">
        <f t="shared" si="21"/>
        <v>-0.42952926386367052</v>
      </c>
      <c r="S665" s="15">
        <f t="shared" si="21"/>
        <v>0.77882499012358331</v>
      </c>
    </row>
    <row r="666" spans="1:19" ht="12.75">
      <c r="A666" s="6">
        <v>20210820</v>
      </c>
      <c r="B666" s="5">
        <v>0.92</v>
      </c>
      <c r="C666" s="5">
        <v>0.86</v>
      </c>
      <c r="D666" s="5">
        <v>-0.49</v>
      </c>
      <c r="E666" s="5">
        <v>-0.38</v>
      </c>
      <c r="F666" s="5">
        <v>-0.28999999999999998</v>
      </c>
      <c r="G666" s="7">
        <v>0</v>
      </c>
      <c r="H666" s="8"/>
      <c r="I666" s="14">
        <v>148.19</v>
      </c>
      <c r="J666" s="15">
        <v>304.36</v>
      </c>
      <c r="K666" s="15">
        <v>3199.95</v>
      </c>
      <c r="L666" s="15">
        <v>285.27</v>
      </c>
      <c r="M666" s="15">
        <v>179.44</v>
      </c>
      <c r="O666" s="15">
        <f t="shared" si="22"/>
        <v>1.0156782549420651</v>
      </c>
      <c r="P666" s="15">
        <f t="shared" si="22"/>
        <v>2.5575361390976381</v>
      </c>
      <c r="Q666" s="15">
        <f t="shared" si="22"/>
        <v>0.38271508117009301</v>
      </c>
      <c r="R666" s="15">
        <f t="shared" si="21"/>
        <v>4.9100410339142364E-2</v>
      </c>
      <c r="S666" s="15">
        <f t="shared" si="21"/>
        <v>0.48720389763119432</v>
      </c>
    </row>
    <row r="667" spans="1:19" ht="12.75">
      <c r="A667" s="6">
        <v>20210823</v>
      </c>
      <c r="B667" s="5">
        <v>1.08</v>
      </c>
      <c r="C667" s="5">
        <v>0.74</v>
      </c>
      <c r="D667" s="5">
        <v>-0.83</v>
      </c>
      <c r="E667" s="5">
        <v>-1.82</v>
      </c>
      <c r="F667" s="5">
        <v>-0.06</v>
      </c>
      <c r="G667" s="7">
        <v>0</v>
      </c>
      <c r="H667" s="8"/>
      <c r="I667" s="14">
        <v>149.71</v>
      </c>
      <c r="J667" s="15">
        <v>304.64999999999998</v>
      </c>
      <c r="K667" s="15">
        <v>3265.87</v>
      </c>
      <c r="L667" s="15">
        <v>285.62</v>
      </c>
      <c r="M667" s="15">
        <v>177.61</v>
      </c>
      <c r="O667" s="15">
        <f t="shared" si="22"/>
        <v>1.0257102368580906</v>
      </c>
      <c r="P667" s="15">
        <f t="shared" si="22"/>
        <v>9.5281903009580837E-2</v>
      </c>
      <c r="Q667" s="15">
        <f t="shared" si="22"/>
        <v>2.0600321880029471</v>
      </c>
      <c r="R667" s="15">
        <f t="shared" si="21"/>
        <v>0.12269078416939916</v>
      </c>
      <c r="S667" s="15">
        <f t="shared" si="21"/>
        <v>-1.01983950066874</v>
      </c>
    </row>
    <row r="668" spans="1:19" ht="12.75">
      <c r="A668" s="6">
        <v>20210824</v>
      </c>
      <c r="B668" s="5">
        <v>0.41</v>
      </c>
      <c r="C668" s="5">
        <v>0.4</v>
      </c>
      <c r="D668" s="5">
        <v>0.38</v>
      </c>
      <c r="E668" s="5">
        <v>-0.7</v>
      </c>
      <c r="F668" s="5">
        <v>0.06</v>
      </c>
      <c r="G668" s="7">
        <v>0</v>
      </c>
      <c r="H668" s="8"/>
      <c r="I668" s="14">
        <v>149.62</v>
      </c>
      <c r="J668" s="15">
        <v>302.62</v>
      </c>
      <c r="K668" s="15">
        <v>3305.78</v>
      </c>
      <c r="L668" s="15">
        <v>286.02</v>
      </c>
      <c r="M668" s="15">
        <v>175.39</v>
      </c>
      <c r="O668" s="15">
        <f t="shared" si="22"/>
        <v>-6.0116224701090015E-2</v>
      </c>
      <c r="P668" s="15">
        <f t="shared" si="22"/>
        <v>-0.6663384211390011</v>
      </c>
      <c r="Q668" s="15">
        <f t="shared" si="22"/>
        <v>1.2220327202246306</v>
      </c>
      <c r="R668" s="15">
        <f t="shared" si="21"/>
        <v>0.14004621525103289</v>
      </c>
      <c r="S668" s="15">
        <f t="shared" si="21"/>
        <v>-1.2499296210799149</v>
      </c>
    </row>
    <row r="669" spans="1:19" ht="12.75">
      <c r="A669" s="6">
        <v>20210825</v>
      </c>
      <c r="B669" s="5">
        <v>0.26</v>
      </c>
      <c r="C669" s="5">
        <v>7.0000000000000007E-2</v>
      </c>
      <c r="D669" s="5">
        <v>0.34</v>
      </c>
      <c r="E669" s="5">
        <v>-0.42</v>
      </c>
      <c r="F669" s="5">
        <v>-0.02</v>
      </c>
      <c r="G669" s="7">
        <v>0</v>
      </c>
      <c r="H669" s="8"/>
      <c r="I669" s="14">
        <v>148.36000000000001</v>
      </c>
      <c r="J669" s="15">
        <v>302.01</v>
      </c>
      <c r="K669" s="15">
        <v>3299.18</v>
      </c>
      <c r="L669" s="15">
        <v>287.3</v>
      </c>
      <c r="M669" s="15">
        <v>174.23</v>
      </c>
      <c r="O669" s="15">
        <f t="shared" si="22"/>
        <v>-0.84213340462504505</v>
      </c>
      <c r="P669" s="15">
        <f t="shared" si="22"/>
        <v>-0.2015729297468849</v>
      </c>
      <c r="Q669" s="15">
        <f t="shared" si="22"/>
        <v>-0.19965030945798823</v>
      </c>
      <c r="R669" s="15">
        <f t="shared" si="21"/>
        <v>0.44752115236696977</v>
      </c>
      <c r="S669" s="15">
        <f t="shared" si="21"/>
        <v>-0.66138320314726995</v>
      </c>
    </row>
    <row r="670" spans="1:19" ht="12.75">
      <c r="A670" s="6">
        <v>20210826</v>
      </c>
      <c r="B670" s="5">
        <v>-0.65</v>
      </c>
      <c r="C670" s="5">
        <v>-0.45</v>
      </c>
      <c r="D670" s="5">
        <v>-0.31</v>
      </c>
      <c r="E670" s="5">
        <v>-0.02</v>
      </c>
      <c r="F670" s="5">
        <v>-0.14000000000000001</v>
      </c>
      <c r="G670" s="7">
        <v>0</v>
      </c>
      <c r="H670" s="8"/>
      <c r="I670" s="14">
        <v>147.54</v>
      </c>
      <c r="J670" s="15">
        <v>299.08999999999997</v>
      </c>
      <c r="K670" s="15">
        <v>3316</v>
      </c>
      <c r="L670" s="15">
        <v>285.27</v>
      </c>
      <c r="M670" s="15">
        <v>173.3</v>
      </c>
      <c r="O670" s="15">
        <f t="shared" si="22"/>
        <v>-0.55270962523592537</v>
      </c>
      <c r="P670" s="15">
        <f t="shared" si="22"/>
        <v>-0.96685540213901078</v>
      </c>
      <c r="Q670" s="15">
        <f t="shared" si="22"/>
        <v>0.50982365315017653</v>
      </c>
      <c r="R670" s="15">
        <f t="shared" si="21"/>
        <v>-0.70657848938392442</v>
      </c>
      <c r="S670" s="15">
        <f t="shared" si="21"/>
        <v>-0.53377719106926236</v>
      </c>
    </row>
    <row r="671" spans="1:19" ht="12.75">
      <c r="A671" s="6">
        <v>20210827</v>
      </c>
      <c r="B671" s="5">
        <v>1.07</v>
      </c>
      <c r="C671" s="5">
        <v>1.65</v>
      </c>
      <c r="D671" s="5">
        <v>0.3</v>
      </c>
      <c r="E671" s="5">
        <v>-0.72</v>
      </c>
      <c r="F671" s="5">
        <v>0.17</v>
      </c>
      <c r="G671" s="7">
        <v>0</v>
      </c>
      <c r="H671" s="8"/>
      <c r="I671" s="14">
        <v>148.6</v>
      </c>
      <c r="J671" s="15">
        <v>299.72000000000003</v>
      </c>
      <c r="K671" s="15">
        <v>3349.63</v>
      </c>
      <c r="L671" s="15">
        <v>286.60000000000002</v>
      </c>
      <c r="M671" s="15">
        <v>172.93</v>
      </c>
      <c r="O671" s="15">
        <f t="shared" si="22"/>
        <v>0.71844923410600003</v>
      </c>
      <c r="P671" s="15">
        <f t="shared" si="22"/>
        <v>0.21063893811228418</v>
      </c>
      <c r="Q671" s="15">
        <f t="shared" si="22"/>
        <v>1.0141737032569376</v>
      </c>
      <c r="R671" s="15">
        <f t="shared" si="21"/>
        <v>0.46622497984367683</v>
      </c>
      <c r="S671" s="15">
        <f t="shared" si="21"/>
        <v>-0.21350259665320337</v>
      </c>
    </row>
    <row r="672" spans="1:19" ht="12.75">
      <c r="A672" s="6">
        <v>20210830</v>
      </c>
      <c r="B672" s="5">
        <v>0.35</v>
      </c>
      <c r="C672" s="5">
        <v>-0.7</v>
      </c>
      <c r="D672" s="5">
        <v>-1.38</v>
      </c>
      <c r="E672" s="5">
        <v>0.65</v>
      </c>
      <c r="F672" s="5">
        <v>0.13</v>
      </c>
      <c r="G672" s="7">
        <v>0</v>
      </c>
      <c r="H672" s="8"/>
      <c r="I672" s="14">
        <v>153.12</v>
      </c>
      <c r="J672" s="15">
        <v>303.58999999999997</v>
      </c>
      <c r="K672" s="15">
        <v>3421.57</v>
      </c>
      <c r="L672" s="15">
        <v>285.66000000000003</v>
      </c>
      <c r="M672" s="15">
        <v>173.66</v>
      </c>
      <c r="O672" s="15">
        <f t="shared" si="22"/>
        <v>3.0417227456258411</v>
      </c>
      <c r="P672" s="15">
        <f t="shared" si="22"/>
        <v>1.2912051247831124</v>
      </c>
      <c r="Q672" s="15">
        <f t="shared" si="22"/>
        <v>2.1476998952123072</v>
      </c>
      <c r="R672" s="15">
        <f t="shared" si="21"/>
        <v>-0.32798325191905064</v>
      </c>
      <c r="S672" s="15">
        <f t="shared" si="21"/>
        <v>0.42213612444341742</v>
      </c>
    </row>
    <row r="673" spans="1:19" ht="12.75">
      <c r="A673" s="6">
        <v>20210831</v>
      </c>
      <c r="B673" s="5">
        <v>-0.13</v>
      </c>
      <c r="C673" s="5">
        <v>0.44</v>
      </c>
      <c r="D673" s="5">
        <v>-0.05</v>
      </c>
      <c r="E673" s="5">
        <v>-0.47</v>
      </c>
      <c r="F673" s="5">
        <v>-0.21</v>
      </c>
      <c r="G673" s="7">
        <v>0</v>
      </c>
      <c r="H673" s="8"/>
      <c r="I673" s="14">
        <v>151.83000000000001</v>
      </c>
      <c r="J673" s="15">
        <v>301.88</v>
      </c>
      <c r="K673" s="15">
        <v>3470.79</v>
      </c>
      <c r="L673" s="15">
        <v>285.77</v>
      </c>
      <c r="M673" s="15">
        <v>173.13</v>
      </c>
      <c r="O673" s="15">
        <f t="shared" si="22"/>
        <v>-0.84247648902820993</v>
      </c>
      <c r="P673" s="15">
        <f t="shared" si="22"/>
        <v>-0.56325965940906553</v>
      </c>
      <c r="Q673" s="15">
        <f t="shared" si="22"/>
        <v>1.4385209129142318</v>
      </c>
      <c r="R673" s="15">
        <f t="shared" si="21"/>
        <v>3.8507316390101742E-2</v>
      </c>
      <c r="S673" s="15">
        <f t="shared" si="21"/>
        <v>-0.30519405735345284</v>
      </c>
    </row>
    <row r="674" spans="1:19" ht="12.75">
      <c r="A674" s="6">
        <v>20210901</v>
      </c>
      <c r="B674" s="5">
        <v>0.11</v>
      </c>
      <c r="C674" s="5">
        <v>0.39</v>
      </c>
      <c r="D674" s="5">
        <v>-0.93</v>
      </c>
      <c r="E674" s="5">
        <v>-0.41</v>
      </c>
      <c r="F674" s="5">
        <v>-0.36</v>
      </c>
      <c r="G674" s="7">
        <v>0</v>
      </c>
      <c r="H674" s="8"/>
      <c r="I674" s="14">
        <v>152.51</v>
      </c>
      <c r="J674" s="15">
        <v>301.83</v>
      </c>
      <c r="K674" s="15">
        <v>3479</v>
      </c>
      <c r="L674" s="15">
        <v>285.26</v>
      </c>
      <c r="M674" s="15">
        <v>173.74</v>
      </c>
      <c r="O674" s="15">
        <f t="shared" si="22"/>
        <v>0.44786932753735353</v>
      </c>
      <c r="P674" s="15">
        <f t="shared" si="22"/>
        <v>-1.6562872664638295E-2</v>
      </c>
      <c r="Q674" s="15">
        <f t="shared" si="22"/>
        <v>0.23654557031684842</v>
      </c>
      <c r="R674" s="15">
        <f t="shared" si="21"/>
        <v>-0.17846519928613747</v>
      </c>
      <c r="S674" s="15">
        <f t="shared" si="21"/>
        <v>0.35233639461675903</v>
      </c>
    </row>
    <row r="675" spans="1:19" ht="12.75">
      <c r="A675" s="6">
        <v>20210902</v>
      </c>
      <c r="B675" s="5">
        <v>0.36</v>
      </c>
      <c r="C675" s="5">
        <v>0.19</v>
      </c>
      <c r="D675" s="5">
        <v>-0.02</v>
      </c>
      <c r="E675" s="5">
        <v>-0.42</v>
      </c>
      <c r="F675" s="5">
        <v>0.61</v>
      </c>
      <c r="G675" s="7">
        <v>0</v>
      </c>
      <c r="H675" s="8"/>
      <c r="I675" s="14">
        <v>153.65</v>
      </c>
      <c r="J675" s="15">
        <v>301.14999999999998</v>
      </c>
      <c r="K675" s="15">
        <v>3463.12</v>
      </c>
      <c r="L675" s="15">
        <v>285.05</v>
      </c>
      <c r="M675" s="15">
        <v>174.93</v>
      </c>
      <c r="O675" s="15">
        <f t="shared" si="22"/>
        <v>0.74749196773982174</v>
      </c>
      <c r="P675" s="15">
        <f t="shared" si="22"/>
        <v>-0.22529238312958277</v>
      </c>
      <c r="Q675" s="15">
        <f t="shared" si="22"/>
        <v>-0.45645300373671205</v>
      </c>
      <c r="R675" s="15">
        <f t="shared" si="21"/>
        <v>-7.3617051111263265E-2</v>
      </c>
      <c r="S675" s="15">
        <f t="shared" si="21"/>
        <v>0.68493150684931781</v>
      </c>
    </row>
    <row r="676" spans="1:19" ht="12.75">
      <c r="A676" s="6">
        <v>20210903</v>
      </c>
      <c r="B676" s="5">
        <v>-0.01</v>
      </c>
      <c r="C676" s="5">
        <v>-0.55000000000000004</v>
      </c>
      <c r="D676" s="5">
        <v>-0.28000000000000003</v>
      </c>
      <c r="E676" s="5">
        <v>0</v>
      </c>
      <c r="F676" s="5">
        <v>-0.27</v>
      </c>
      <c r="G676" s="7">
        <v>0</v>
      </c>
      <c r="H676" s="8"/>
      <c r="I676" s="14">
        <v>154.30000000000001</v>
      </c>
      <c r="J676" s="15">
        <v>301.14</v>
      </c>
      <c r="K676" s="15">
        <v>3478.05</v>
      </c>
      <c r="L676" s="15">
        <v>281.89</v>
      </c>
      <c r="M676" s="15">
        <v>175.04</v>
      </c>
      <c r="O676" s="15">
        <f t="shared" si="22"/>
        <v>0.42303937520338231</v>
      </c>
      <c r="P676" s="15">
        <f t="shared" si="22"/>
        <v>-3.3206043499878213E-3</v>
      </c>
      <c r="Q676" s="15">
        <f t="shared" si="22"/>
        <v>0.43111413985077451</v>
      </c>
      <c r="R676" s="15">
        <f t="shared" si="21"/>
        <v>-1.1085774425539485</v>
      </c>
      <c r="S676" s="15">
        <f t="shared" si="21"/>
        <v>6.2882295775446018E-2</v>
      </c>
    </row>
    <row r="677" spans="1:19" ht="12.75">
      <c r="A677" s="6">
        <v>20210907</v>
      </c>
      <c r="B677" s="5">
        <v>-0.36</v>
      </c>
      <c r="C677" s="5">
        <v>-0.37</v>
      </c>
      <c r="D677" s="5">
        <v>-7.0000000000000007E-2</v>
      </c>
      <c r="E677" s="5">
        <v>-0.6</v>
      </c>
      <c r="F677" s="5">
        <v>0.15</v>
      </c>
      <c r="G677" s="7">
        <v>0</v>
      </c>
      <c r="H677" s="8"/>
      <c r="I677" s="14">
        <v>156.69</v>
      </c>
      <c r="J677" s="15">
        <v>300.18</v>
      </c>
      <c r="K677" s="15">
        <v>3509.29</v>
      </c>
      <c r="L677" s="15">
        <v>278.89999999999998</v>
      </c>
      <c r="M677" s="15">
        <v>172.32</v>
      </c>
      <c r="O677" s="15">
        <f t="shared" si="22"/>
        <v>1.5489306545690029</v>
      </c>
      <c r="P677" s="15">
        <f t="shared" si="22"/>
        <v>-0.31878860330742942</v>
      </c>
      <c r="Q677" s="15">
        <f t="shared" si="22"/>
        <v>0.89820445364499069</v>
      </c>
      <c r="R677" s="15">
        <f t="shared" si="21"/>
        <v>-1.0606974351697551</v>
      </c>
      <c r="S677" s="15">
        <f t="shared" si="21"/>
        <v>-1.5539305301645379</v>
      </c>
    </row>
    <row r="678" spans="1:19" ht="12.75">
      <c r="A678" s="6">
        <v>20210908</v>
      </c>
      <c r="B678" s="5">
        <v>-0.34</v>
      </c>
      <c r="C678" s="5">
        <v>-0.72</v>
      </c>
      <c r="D678" s="5">
        <v>0.05</v>
      </c>
      <c r="E678" s="5">
        <v>0.78</v>
      </c>
      <c r="F678" s="5">
        <v>0.16</v>
      </c>
      <c r="G678" s="7">
        <v>0</v>
      </c>
      <c r="H678" s="8"/>
      <c r="I678" s="14">
        <v>155.11000000000001</v>
      </c>
      <c r="J678" s="15">
        <v>300.20999999999998</v>
      </c>
      <c r="K678" s="15">
        <v>3525.5</v>
      </c>
      <c r="L678" s="15">
        <v>279.33999999999997</v>
      </c>
      <c r="M678" s="15">
        <v>171.9</v>
      </c>
      <c r="O678" s="15">
        <f t="shared" si="22"/>
        <v>-1.0083604569532056</v>
      </c>
      <c r="P678" s="15">
        <f t="shared" si="22"/>
        <v>9.9940035978240971E-3</v>
      </c>
      <c r="Q678" s="15">
        <f t="shared" si="22"/>
        <v>0.46191679798477381</v>
      </c>
      <c r="R678" s="15">
        <f t="shared" si="21"/>
        <v>0.15776263893869658</v>
      </c>
      <c r="S678" s="15">
        <f t="shared" si="21"/>
        <v>-0.24373259052924423</v>
      </c>
    </row>
    <row r="679" spans="1:19" ht="12.75">
      <c r="A679" s="6">
        <v>20210909</v>
      </c>
      <c r="B679" s="5">
        <v>-0.27</v>
      </c>
      <c r="C679" s="5">
        <v>0.24</v>
      </c>
      <c r="D679" s="5">
        <v>0.1</v>
      </c>
      <c r="E679" s="5">
        <v>-0.78</v>
      </c>
      <c r="F679" s="5">
        <v>-0.26</v>
      </c>
      <c r="G679" s="7">
        <v>0</v>
      </c>
      <c r="H679" s="8"/>
      <c r="I679" s="14">
        <v>154.07</v>
      </c>
      <c r="J679" s="15">
        <v>297.25</v>
      </c>
      <c r="K679" s="15">
        <v>3484.16</v>
      </c>
      <c r="L679" s="15">
        <v>278.61</v>
      </c>
      <c r="M679" s="15">
        <v>168.07</v>
      </c>
      <c r="O679" s="15">
        <f t="shared" si="22"/>
        <v>-0.67049190896784072</v>
      </c>
      <c r="P679" s="15">
        <f t="shared" si="22"/>
        <v>-0.98597648312847008</v>
      </c>
      <c r="Q679" s="15">
        <f t="shared" si="22"/>
        <v>-1.1725996312579867</v>
      </c>
      <c r="R679" s="15">
        <f t="shared" si="21"/>
        <v>-0.26133027851362733</v>
      </c>
      <c r="S679" s="15">
        <f t="shared" si="21"/>
        <v>-2.2280395578824996</v>
      </c>
    </row>
    <row r="680" spans="1:19" ht="12.75">
      <c r="A680" s="6">
        <v>20210910</v>
      </c>
      <c r="B680" s="5">
        <v>-0.76</v>
      </c>
      <c r="C680" s="5">
        <v>-0.03</v>
      </c>
      <c r="D680" s="5">
        <v>0.05</v>
      </c>
      <c r="E680" s="5">
        <v>0.21</v>
      </c>
      <c r="F680" s="5">
        <v>-0.41</v>
      </c>
      <c r="G680" s="7">
        <v>0</v>
      </c>
      <c r="H680" s="8"/>
      <c r="I680" s="14">
        <v>148.97</v>
      </c>
      <c r="J680" s="15">
        <v>295.70999999999998</v>
      </c>
      <c r="K680" s="15">
        <v>3469.15</v>
      </c>
      <c r="L680" s="15">
        <v>277.60000000000002</v>
      </c>
      <c r="M680" s="15">
        <v>166.97</v>
      </c>
      <c r="O680" s="15">
        <f t="shared" si="22"/>
        <v>-3.3101836827416076</v>
      </c>
      <c r="P680" s="15">
        <f t="shared" si="22"/>
        <v>-0.51808242220353629</v>
      </c>
      <c r="Q680" s="15">
        <f t="shared" si="22"/>
        <v>-0.43080685157971255</v>
      </c>
      <c r="R680" s="15">
        <f t="shared" si="21"/>
        <v>-0.36251390833064168</v>
      </c>
      <c r="S680" s="15">
        <f t="shared" si="21"/>
        <v>-0.65448920092817664</v>
      </c>
    </row>
    <row r="681" spans="1:19" ht="12.75">
      <c r="A681" s="6">
        <v>20210913</v>
      </c>
      <c r="B681" s="5">
        <v>0.14000000000000001</v>
      </c>
      <c r="C681" s="5">
        <v>0.28000000000000003</v>
      </c>
      <c r="D681" s="5">
        <v>1.32</v>
      </c>
      <c r="E681" s="5">
        <v>0.18</v>
      </c>
      <c r="F681" s="5">
        <v>0.91</v>
      </c>
      <c r="G681" s="7">
        <v>0</v>
      </c>
      <c r="H681" s="8"/>
      <c r="I681" s="14">
        <v>149.55000000000001</v>
      </c>
      <c r="J681" s="15">
        <v>296.99</v>
      </c>
      <c r="K681" s="15">
        <v>3457.17</v>
      </c>
      <c r="L681" s="15">
        <v>279.92</v>
      </c>
      <c r="M681" s="15">
        <v>165.8</v>
      </c>
      <c r="O681" s="15">
        <f t="shared" si="22"/>
        <v>0.38934013559777103</v>
      </c>
      <c r="P681" s="15">
        <f t="shared" si="22"/>
        <v>0.43285651482871668</v>
      </c>
      <c r="Q681" s="15">
        <f t="shared" si="22"/>
        <v>-0.34532954758370593</v>
      </c>
      <c r="R681" s="15">
        <f t="shared" si="21"/>
        <v>0.83573487031700644</v>
      </c>
      <c r="S681" s="15">
        <f t="shared" si="21"/>
        <v>-0.70072468108042241</v>
      </c>
    </row>
    <row r="682" spans="1:19" ht="12.75">
      <c r="A682" s="6">
        <v>20210914</v>
      </c>
      <c r="B682" s="5">
        <v>-0.66</v>
      </c>
      <c r="C682" s="5">
        <v>-0.69</v>
      </c>
      <c r="D682" s="5">
        <v>-0.96</v>
      </c>
      <c r="E682" s="5">
        <v>0.37</v>
      </c>
      <c r="F682" s="5">
        <v>-0.46</v>
      </c>
      <c r="G682" s="7">
        <v>0</v>
      </c>
      <c r="H682" s="8"/>
      <c r="I682" s="14">
        <v>148.12</v>
      </c>
      <c r="J682" s="15">
        <v>299.79000000000002</v>
      </c>
      <c r="K682" s="15">
        <v>3450</v>
      </c>
      <c r="L682" s="15">
        <v>277.2</v>
      </c>
      <c r="M682" s="15">
        <v>164.8</v>
      </c>
      <c r="O682" s="15">
        <f t="shared" si="22"/>
        <v>-0.95620193915079144</v>
      </c>
      <c r="P682" s="15">
        <f t="shared" si="22"/>
        <v>0.94279268662245119</v>
      </c>
      <c r="Q682" s="15">
        <f t="shared" si="22"/>
        <v>-0.20739506590651269</v>
      </c>
      <c r="R682" s="15">
        <f t="shared" si="21"/>
        <v>-0.97170620177194911</v>
      </c>
      <c r="S682" s="15">
        <f t="shared" si="21"/>
        <v>-0.60313630880578506</v>
      </c>
    </row>
    <row r="683" spans="1:19" ht="12.75">
      <c r="A683" s="6">
        <v>20210915</v>
      </c>
      <c r="B683" s="5">
        <v>0.88</v>
      </c>
      <c r="C683" s="5">
        <v>0.15</v>
      </c>
      <c r="D683" s="5">
        <v>0.65</v>
      </c>
      <c r="E683" s="5">
        <v>-0.21</v>
      </c>
      <c r="F683" s="5">
        <v>0.45</v>
      </c>
      <c r="G683" s="7">
        <v>0</v>
      </c>
      <c r="H683" s="8"/>
      <c r="I683" s="14">
        <v>149.03</v>
      </c>
      <c r="J683" s="15">
        <v>304.82</v>
      </c>
      <c r="K683" s="15">
        <v>3475.79</v>
      </c>
      <c r="L683" s="15">
        <v>278.18</v>
      </c>
      <c r="M683" s="15">
        <v>165.42</v>
      </c>
      <c r="O683" s="15">
        <f t="shared" si="22"/>
        <v>0.61436672967862815</v>
      </c>
      <c r="P683" s="15">
        <f t="shared" si="22"/>
        <v>1.6778411554754902</v>
      </c>
      <c r="Q683" s="15">
        <f t="shared" si="22"/>
        <v>0.7475362318840606</v>
      </c>
      <c r="R683" s="15">
        <f t="shared" si="21"/>
        <v>0.35353535353535026</v>
      </c>
      <c r="S683" s="15">
        <f t="shared" si="21"/>
        <v>0.37621359223298789</v>
      </c>
    </row>
    <row r="684" spans="1:19" ht="12.75">
      <c r="A684" s="6">
        <v>20210916</v>
      </c>
      <c r="B684" s="5">
        <v>-0.03</v>
      </c>
      <c r="C684" s="5">
        <v>-0.11</v>
      </c>
      <c r="D684" s="5">
        <v>-0.55000000000000004</v>
      </c>
      <c r="E684" s="5">
        <v>-0.4</v>
      </c>
      <c r="F684" s="5">
        <v>-0.5</v>
      </c>
      <c r="G684" s="7">
        <v>0</v>
      </c>
      <c r="H684" s="8"/>
      <c r="I684" s="14">
        <v>148.79</v>
      </c>
      <c r="J684" s="15">
        <v>305.22000000000003</v>
      </c>
      <c r="K684" s="15">
        <v>3488.24</v>
      </c>
      <c r="L684" s="15">
        <v>277.51</v>
      </c>
      <c r="M684" s="15">
        <v>165.22</v>
      </c>
      <c r="O684" s="15">
        <f t="shared" si="22"/>
        <v>-0.16104140106019127</v>
      </c>
      <c r="P684" s="15">
        <f t="shared" si="22"/>
        <v>0.13122498523721049</v>
      </c>
      <c r="Q684" s="15">
        <f t="shared" si="22"/>
        <v>0.358191950606912</v>
      </c>
      <c r="R684" s="15">
        <f t="shared" si="21"/>
        <v>-0.24085124739378072</v>
      </c>
      <c r="S684" s="15">
        <f t="shared" si="21"/>
        <v>-0.12090436464755605</v>
      </c>
    </row>
    <row r="685" spans="1:19" ht="12.75">
      <c r="A685" s="6">
        <v>20210917</v>
      </c>
      <c r="B685" s="5">
        <v>-0.72</v>
      </c>
      <c r="C685" s="5">
        <v>0.99</v>
      </c>
      <c r="D685" s="5">
        <v>-0.03</v>
      </c>
      <c r="E685" s="5">
        <v>-0.63</v>
      </c>
      <c r="F685" s="5">
        <v>-0.51</v>
      </c>
      <c r="G685" s="7">
        <v>0</v>
      </c>
      <c r="H685" s="8"/>
      <c r="I685" s="14">
        <v>146.06</v>
      </c>
      <c r="J685" s="15">
        <v>299.87</v>
      </c>
      <c r="K685" s="15">
        <v>3462.52</v>
      </c>
      <c r="L685" s="15">
        <v>276.76</v>
      </c>
      <c r="M685" s="15">
        <v>164.75</v>
      </c>
      <c r="O685" s="15">
        <f t="shared" si="22"/>
        <v>-1.8348007258552235</v>
      </c>
      <c r="P685" s="15">
        <f t="shared" si="22"/>
        <v>-1.7528340213616489</v>
      </c>
      <c r="Q685" s="15">
        <f t="shared" si="22"/>
        <v>-0.73733458706969346</v>
      </c>
      <c r="R685" s="15">
        <f t="shared" si="21"/>
        <v>-0.27026053115203341</v>
      </c>
      <c r="S685" s="15">
        <f t="shared" si="21"/>
        <v>-0.28446919259169645</v>
      </c>
    </row>
    <row r="686" spans="1:19" ht="12.75">
      <c r="A686" s="6">
        <v>20210920</v>
      </c>
      <c r="B686" s="5">
        <v>-1.87</v>
      </c>
      <c r="C686" s="5">
        <v>-0.56000000000000005</v>
      </c>
      <c r="D686" s="5">
        <v>0.22</v>
      </c>
      <c r="E686" s="5">
        <v>0.8</v>
      </c>
      <c r="F686" s="5">
        <v>0.22</v>
      </c>
      <c r="G686" s="7">
        <v>0</v>
      </c>
      <c r="H686" s="8"/>
      <c r="I686" s="14">
        <v>142.94</v>
      </c>
      <c r="J686" s="15">
        <v>294.3</v>
      </c>
      <c r="K686" s="15">
        <v>3355.73</v>
      </c>
      <c r="L686" s="15">
        <v>274.2</v>
      </c>
      <c r="M686" s="15">
        <v>163.81</v>
      </c>
      <c r="O686" s="15">
        <f t="shared" si="22"/>
        <v>-2.1361084485827742</v>
      </c>
      <c r="P686" s="15">
        <f t="shared" si="22"/>
        <v>-1.8574715710141021</v>
      </c>
      <c r="Q686" s="15">
        <f t="shared" si="22"/>
        <v>-3.0841699109319221</v>
      </c>
      <c r="R686" s="15">
        <f t="shared" si="21"/>
        <v>-0.92498916028327383</v>
      </c>
      <c r="S686" s="15">
        <f t="shared" si="21"/>
        <v>-0.57056145675264958</v>
      </c>
    </row>
    <row r="687" spans="1:19" ht="12.75">
      <c r="A687" s="6">
        <v>20210921</v>
      </c>
      <c r="B687" s="5">
        <v>0.05</v>
      </c>
      <c r="C687" s="5">
        <v>0.27</v>
      </c>
      <c r="D687" s="5">
        <v>-0.66</v>
      </c>
      <c r="E687" s="5">
        <v>-0.46</v>
      </c>
      <c r="F687" s="5">
        <v>-0.31</v>
      </c>
      <c r="G687" s="7">
        <v>0</v>
      </c>
      <c r="H687" s="8"/>
      <c r="I687" s="14">
        <v>143.43</v>
      </c>
      <c r="J687" s="15">
        <v>294.8</v>
      </c>
      <c r="K687" s="15">
        <v>3343.63</v>
      </c>
      <c r="L687" s="15">
        <v>273.18</v>
      </c>
      <c r="M687" s="15">
        <v>164.53</v>
      </c>
      <c r="O687" s="15">
        <f t="shared" si="22"/>
        <v>0.34280117531833021</v>
      </c>
      <c r="P687" s="15">
        <f t="shared" si="22"/>
        <v>0.16989466530750175</v>
      </c>
      <c r="Q687" s="15">
        <f t="shared" si="22"/>
        <v>-0.36057728124729849</v>
      </c>
      <c r="R687" s="15">
        <f t="shared" si="21"/>
        <v>-0.37199124726476906</v>
      </c>
      <c r="S687" s="15">
        <f t="shared" si="21"/>
        <v>0.43953360600694769</v>
      </c>
    </row>
    <row r="688" spans="1:19" ht="12.75">
      <c r="A688" s="6">
        <v>20210922</v>
      </c>
      <c r="B688" s="5">
        <v>1</v>
      </c>
      <c r="C688" s="5">
        <v>0.18</v>
      </c>
      <c r="D688" s="5">
        <v>0.54</v>
      </c>
      <c r="E688" s="5">
        <v>-0.56999999999999995</v>
      </c>
      <c r="F688" s="5">
        <v>0.46</v>
      </c>
      <c r="G688" s="7">
        <v>0</v>
      </c>
      <c r="H688" s="8"/>
      <c r="I688" s="14">
        <v>145.85</v>
      </c>
      <c r="J688" s="15">
        <v>298.58</v>
      </c>
      <c r="K688" s="15">
        <v>3380.05</v>
      </c>
      <c r="L688" s="15">
        <v>274.07</v>
      </c>
      <c r="M688" s="15">
        <v>163.93</v>
      </c>
      <c r="O688" s="15">
        <f t="shared" si="22"/>
        <v>1.6872341908944932</v>
      </c>
      <c r="P688" s="15">
        <f t="shared" si="22"/>
        <v>1.2822252374491194</v>
      </c>
      <c r="Q688" s="15">
        <f t="shared" si="22"/>
        <v>1.089235351997675</v>
      </c>
      <c r="R688" s="15">
        <f t="shared" si="21"/>
        <v>0.32579251775386453</v>
      </c>
      <c r="S688" s="15">
        <f t="shared" si="21"/>
        <v>-0.3646751352336941</v>
      </c>
    </row>
    <row r="689" spans="1:19" ht="12.75">
      <c r="A689" s="6">
        <v>20210923</v>
      </c>
      <c r="B689" s="5">
        <v>1.28</v>
      </c>
      <c r="C689" s="5">
        <v>0.46</v>
      </c>
      <c r="D689" s="5">
        <v>0.91</v>
      </c>
      <c r="E689" s="5">
        <v>-0.98</v>
      </c>
      <c r="F689" s="5">
        <v>0.22</v>
      </c>
      <c r="G689" s="7">
        <v>0</v>
      </c>
      <c r="H689" s="8"/>
      <c r="I689" s="14">
        <v>146.83000000000001</v>
      </c>
      <c r="J689" s="15">
        <v>299.56</v>
      </c>
      <c r="K689" s="15">
        <v>3416</v>
      </c>
      <c r="L689" s="15">
        <v>278.12</v>
      </c>
      <c r="M689" s="15">
        <v>164.86</v>
      </c>
      <c r="O689" s="15">
        <f t="shared" si="22"/>
        <v>0.67192320877615952</v>
      </c>
      <c r="P689" s="15">
        <f t="shared" si="22"/>
        <v>0.32822024248109205</v>
      </c>
      <c r="Q689" s="15">
        <f t="shared" si="22"/>
        <v>1.0635937338205004</v>
      </c>
      <c r="R689" s="15">
        <f t="shared" si="21"/>
        <v>1.4777246688802093</v>
      </c>
      <c r="S689" s="15">
        <f t="shared" si="21"/>
        <v>0.56731531751357256</v>
      </c>
    </row>
    <row r="690" spans="1:19" ht="12.75">
      <c r="A690" s="6">
        <v>20210924</v>
      </c>
      <c r="B690" s="5">
        <v>0.08</v>
      </c>
      <c r="C690" s="5">
        <v>-0.39</v>
      </c>
      <c r="D690" s="5">
        <v>0.7</v>
      </c>
      <c r="E690" s="5">
        <v>0.62</v>
      </c>
      <c r="F690" s="5">
        <v>0.23</v>
      </c>
      <c r="G690" s="7">
        <v>0</v>
      </c>
      <c r="H690" s="8"/>
      <c r="I690" s="14">
        <v>146.91999999999999</v>
      </c>
      <c r="J690" s="15">
        <v>299.35000000000002</v>
      </c>
      <c r="K690" s="15">
        <v>3425.52</v>
      </c>
      <c r="L690" s="15">
        <v>277.87</v>
      </c>
      <c r="M690" s="15">
        <v>164.36</v>
      </c>
      <c r="O690" s="15">
        <f t="shared" si="22"/>
        <v>6.1295375604419888E-2</v>
      </c>
      <c r="P690" s="15">
        <f t="shared" si="22"/>
        <v>-7.0102817465611533E-2</v>
      </c>
      <c r="Q690" s="15">
        <f t="shared" si="22"/>
        <v>0.27868852459016491</v>
      </c>
      <c r="R690" s="15">
        <f t="shared" si="21"/>
        <v>-8.988925643607093E-2</v>
      </c>
      <c r="S690" s="15">
        <f t="shared" si="21"/>
        <v>-0.30328763799587488</v>
      </c>
    </row>
    <row r="691" spans="1:19" ht="12.75">
      <c r="A691" s="6">
        <v>20210927</v>
      </c>
      <c r="B691" s="5">
        <v>-0.1</v>
      </c>
      <c r="C691" s="5">
        <v>1.72</v>
      </c>
      <c r="D691" s="5">
        <v>2.39</v>
      </c>
      <c r="E691" s="5">
        <v>-0.27</v>
      </c>
      <c r="F691" s="5">
        <v>0.76</v>
      </c>
      <c r="G691" s="7">
        <v>0</v>
      </c>
      <c r="H691" s="8"/>
      <c r="I691" s="14">
        <v>145.37</v>
      </c>
      <c r="J691" s="15">
        <v>294.17</v>
      </c>
      <c r="K691" s="15">
        <v>3405.8</v>
      </c>
      <c r="L691" s="15">
        <v>279.72000000000003</v>
      </c>
      <c r="M691" s="15">
        <v>163.16999999999999</v>
      </c>
      <c r="O691" s="15">
        <f t="shared" si="22"/>
        <v>-1.0549959161448297</v>
      </c>
      <c r="P691" s="15">
        <f t="shared" si="22"/>
        <v>-1.7304159011190978</v>
      </c>
      <c r="Q691" s="15">
        <f t="shared" si="22"/>
        <v>-0.57567902099534551</v>
      </c>
      <c r="R691" s="15">
        <f t="shared" si="21"/>
        <v>0.66577896138482195</v>
      </c>
      <c r="S691" s="15">
        <f t="shared" si="21"/>
        <v>-0.72402044293017331</v>
      </c>
    </row>
    <row r="692" spans="1:19" ht="12.75">
      <c r="A692" s="6">
        <v>20210928</v>
      </c>
      <c r="B692" s="5">
        <v>-2.1800000000000002</v>
      </c>
      <c r="C692" s="5">
        <v>0.01</v>
      </c>
      <c r="D692" s="5">
        <v>1.75</v>
      </c>
      <c r="E692" s="5">
        <v>0.84</v>
      </c>
      <c r="F692" s="5">
        <v>1.07</v>
      </c>
      <c r="G692" s="7">
        <v>0</v>
      </c>
      <c r="H692" s="8"/>
      <c r="I692" s="14">
        <v>141.91</v>
      </c>
      <c r="J692" s="15">
        <v>283.52</v>
      </c>
      <c r="K692" s="15">
        <v>3315.96</v>
      </c>
      <c r="L692" s="15">
        <v>276.79000000000002</v>
      </c>
      <c r="M692" s="15">
        <v>162.81</v>
      </c>
      <c r="O692" s="15">
        <f t="shared" si="22"/>
        <v>-2.3801334525693107</v>
      </c>
      <c r="P692" s="15">
        <f t="shared" si="22"/>
        <v>-3.620355576707357</v>
      </c>
      <c r="Q692" s="15">
        <f t="shared" si="22"/>
        <v>-2.6378530741675954</v>
      </c>
      <c r="R692" s="15">
        <f t="shared" si="21"/>
        <v>-1.0474760474760481</v>
      </c>
      <c r="S692" s="15">
        <f t="shared" si="21"/>
        <v>-0.22062879205735353</v>
      </c>
    </row>
    <row r="693" spans="1:19" ht="12.75">
      <c r="A693" s="6">
        <v>20210929</v>
      </c>
      <c r="B693" s="5">
        <v>0.03</v>
      </c>
      <c r="C693" s="5">
        <v>-0.18</v>
      </c>
      <c r="D693" s="5">
        <v>0.8</v>
      </c>
      <c r="E693" s="5">
        <v>1.1499999999999999</v>
      </c>
      <c r="F693" s="5">
        <v>0.35</v>
      </c>
      <c r="G693" s="7">
        <v>0</v>
      </c>
      <c r="H693" s="8"/>
      <c r="I693" s="14">
        <v>142.83000000000001</v>
      </c>
      <c r="J693" s="15">
        <v>284</v>
      </c>
      <c r="K693" s="15">
        <v>3301.12</v>
      </c>
      <c r="L693" s="15">
        <v>277.29000000000002</v>
      </c>
      <c r="M693" s="15">
        <v>164.02</v>
      </c>
      <c r="O693" s="15">
        <f t="shared" si="22"/>
        <v>0.6482982171799101</v>
      </c>
      <c r="P693" s="15">
        <f t="shared" si="22"/>
        <v>0.16930022573364845</v>
      </c>
      <c r="Q693" s="15">
        <f t="shared" si="22"/>
        <v>-0.44753253959638473</v>
      </c>
      <c r="R693" s="15">
        <f t="shared" si="21"/>
        <v>0.18064236424726321</v>
      </c>
      <c r="S693" s="15">
        <f t="shared" si="21"/>
        <v>0.74319759228549387</v>
      </c>
    </row>
    <row r="694" spans="1:19" ht="12.75">
      <c r="A694" s="6">
        <v>20210930</v>
      </c>
      <c r="B694" s="5">
        <v>-1.02</v>
      </c>
      <c r="C694" s="5">
        <v>0.06</v>
      </c>
      <c r="D694" s="5">
        <v>-0.76</v>
      </c>
      <c r="E694" s="5">
        <v>-1.23</v>
      </c>
      <c r="F694" s="5">
        <v>-0.34</v>
      </c>
      <c r="G694" s="7">
        <v>0</v>
      </c>
      <c r="H694" s="8"/>
      <c r="I694" s="14">
        <v>141.5</v>
      </c>
      <c r="J694" s="15">
        <v>281.92</v>
      </c>
      <c r="K694" s="15">
        <v>3285.04</v>
      </c>
      <c r="L694" s="15">
        <v>272.94</v>
      </c>
      <c r="M694" s="15">
        <v>161.5</v>
      </c>
      <c r="O694" s="15">
        <f t="shared" si="22"/>
        <v>-0.93117692361549542</v>
      </c>
      <c r="P694" s="15">
        <f t="shared" si="22"/>
        <v>-0.73239436619717546</v>
      </c>
      <c r="Q694" s="15">
        <f t="shared" si="22"/>
        <v>-0.48710740597130986</v>
      </c>
      <c r="R694" s="15">
        <f t="shared" si="21"/>
        <v>-1.5687547333117058</v>
      </c>
      <c r="S694" s="15">
        <f t="shared" si="21"/>
        <v>-1.5363980002438771</v>
      </c>
    </row>
    <row r="695" spans="1:19" ht="12.75">
      <c r="A695" s="6">
        <v>20211001</v>
      </c>
      <c r="B695" s="5">
        <v>1.1000000000000001</v>
      </c>
      <c r="C695" s="5">
        <v>0.48</v>
      </c>
      <c r="D695" s="5">
        <v>0.51</v>
      </c>
      <c r="E695" s="5">
        <v>-0.12</v>
      </c>
      <c r="F695" s="5">
        <v>0.6</v>
      </c>
      <c r="G695" s="7">
        <v>0</v>
      </c>
      <c r="H695" s="8"/>
      <c r="I695" s="14">
        <v>142.65</v>
      </c>
      <c r="J695" s="15">
        <v>289.10000000000002</v>
      </c>
      <c r="K695" s="15">
        <v>3283.26</v>
      </c>
      <c r="L695" s="15">
        <v>275.70999999999998</v>
      </c>
      <c r="M695" s="15">
        <v>160.47</v>
      </c>
      <c r="O695" s="15">
        <f t="shared" si="22"/>
        <v>0.81272084805654732</v>
      </c>
      <c r="P695" s="15">
        <f t="shared" si="22"/>
        <v>2.5468217934165649</v>
      </c>
      <c r="Q695" s="15">
        <f t="shared" si="22"/>
        <v>-5.4185032754539009E-2</v>
      </c>
      <c r="R695" s="15">
        <f t="shared" si="21"/>
        <v>1.0148750641166382</v>
      </c>
      <c r="S695" s="15">
        <f t="shared" si="21"/>
        <v>-0.63777089783282337</v>
      </c>
    </row>
    <row r="696" spans="1:19" ht="12.75">
      <c r="A696" s="6">
        <v>20211004</v>
      </c>
      <c r="B696" s="5">
        <v>-1.43</v>
      </c>
      <c r="C696" s="5">
        <v>0.43</v>
      </c>
      <c r="D696" s="5">
        <v>2.33</v>
      </c>
      <c r="E696" s="5">
        <v>0.71</v>
      </c>
      <c r="F696" s="5">
        <v>1.08</v>
      </c>
      <c r="G696" s="7">
        <v>0</v>
      </c>
      <c r="H696" s="8"/>
      <c r="I696" s="14">
        <v>139.13999999999999</v>
      </c>
      <c r="J696" s="15">
        <v>283.11</v>
      </c>
      <c r="K696" s="15">
        <v>3189.78</v>
      </c>
      <c r="L696" s="15">
        <v>273.64</v>
      </c>
      <c r="M696" s="15">
        <v>159.22</v>
      </c>
      <c r="O696" s="15">
        <f t="shared" si="22"/>
        <v>-2.4605678233438621</v>
      </c>
      <c r="P696" s="15">
        <f t="shared" si="22"/>
        <v>-2.0719474230370127</v>
      </c>
      <c r="Q696" s="15">
        <f t="shared" si="22"/>
        <v>-2.8471701906032432</v>
      </c>
      <c r="R696" s="15">
        <f t="shared" si="21"/>
        <v>-0.75078887236589287</v>
      </c>
      <c r="S696" s="15">
        <f t="shared" si="21"/>
        <v>-0.77896179971334023</v>
      </c>
    </row>
    <row r="697" spans="1:19" ht="12.75">
      <c r="A697" s="6">
        <v>20211005</v>
      </c>
      <c r="B697" s="5">
        <v>1.05</v>
      </c>
      <c r="C697" s="5">
        <v>-0.57999999999999996</v>
      </c>
      <c r="D697" s="5">
        <v>-0.08</v>
      </c>
      <c r="E697" s="5">
        <v>-0.08</v>
      </c>
      <c r="F697" s="5">
        <v>-0.36</v>
      </c>
      <c r="G697" s="7">
        <v>0</v>
      </c>
      <c r="H697" s="8"/>
      <c r="I697" s="14">
        <v>141.11000000000001</v>
      </c>
      <c r="J697" s="15">
        <v>288.76</v>
      </c>
      <c r="K697" s="15">
        <v>3221</v>
      </c>
      <c r="L697" s="15">
        <v>278.05</v>
      </c>
      <c r="M697" s="15">
        <v>159.58000000000001</v>
      </c>
      <c r="O697" s="15">
        <f t="shared" si="22"/>
        <v>1.4158401609889459</v>
      </c>
      <c r="P697" s="15">
        <f t="shared" si="22"/>
        <v>1.9956907209211838</v>
      </c>
      <c r="Q697" s="15">
        <f t="shared" si="22"/>
        <v>0.97875088564101098</v>
      </c>
      <c r="R697" s="15">
        <f t="shared" si="21"/>
        <v>1.6116064902792049</v>
      </c>
      <c r="S697" s="15">
        <f t="shared" si="21"/>
        <v>0.22610224846124627</v>
      </c>
    </row>
    <row r="698" spans="1:19" ht="12.75">
      <c r="A698" s="6">
        <v>20211006</v>
      </c>
      <c r="B698" s="5">
        <v>0.33</v>
      </c>
      <c r="C698" s="5">
        <v>-1.01</v>
      </c>
      <c r="D698" s="5">
        <v>-0.49</v>
      </c>
      <c r="E698" s="5">
        <v>0.33</v>
      </c>
      <c r="F698" s="5">
        <v>-0.69</v>
      </c>
      <c r="G698" s="7">
        <v>0</v>
      </c>
      <c r="H698" s="8"/>
      <c r="I698" s="14">
        <v>142</v>
      </c>
      <c r="J698" s="15">
        <v>293.11</v>
      </c>
      <c r="K698" s="15">
        <v>3262.01</v>
      </c>
      <c r="L698" s="15">
        <v>280.22000000000003</v>
      </c>
      <c r="M698" s="15">
        <v>159.91</v>
      </c>
      <c r="O698" s="15">
        <f t="shared" si="22"/>
        <v>0.63071362766635719</v>
      </c>
      <c r="P698" s="15">
        <f t="shared" si="22"/>
        <v>1.5064413353650163</v>
      </c>
      <c r="Q698" s="15">
        <f t="shared" si="22"/>
        <v>1.273207078547034</v>
      </c>
      <c r="R698" s="15">
        <f t="shared" si="21"/>
        <v>0.78043517352994751</v>
      </c>
      <c r="S698" s="15">
        <f t="shared" si="21"/>
        <v>0.20679283118183456</v>
      </c>
    </row>
    <row r="699" spans="1:19" ht="12.75">
      <c r="A699" s="6">
        <v>20211007</v>
      </c>
      <c r="B699" s="5">
        <v>1.01</v>
      </c>
      <c r="C699" s="5">
        <v>0.46</v>
      </c>
      <c r="D699" s="5">
        <v>-0.16</v>
      </c>
      <c r="E699" s="5">
        <v>-0.09</v>
      </c>
      <c r="F699" s="5">
        <v>0.06</v>
      </c>
      <c r="G699" s="7">
        <v>0</v>
      </c>
      <c r="H699" s="8"/>
      <c r="I699" s="14">
        <v>143.29</v>
      </c>
      <c r="J699" s="15">
        <v>294.85000000000002</v>
      </c>
      <c r="K699" s="15">
        <v>3302.43</v>
      </c>
      <c r="L699" s="15">
        <v>282.95</v>
      </c>
      <c r="M699" s="15">
        <v>161.34</v>
      </c>
      <c r="O699" s="15">
        <f t="shared" si="22"/>
        <v>0.90845070422533869</v>
      </c>
      <c r="P699" s="15">
        <f t="shared" si="22"/>
        <v>0.59363378936236888</v>
      </c>
      <c r="Q699" s="15">
        <f t="shared" si="22"/>
        <v>1.2391133074392657</v>
      </c>
      <c r="R699" s="15">
        <f t="shared" si="21"/>
        <v>0.97423453001213023</v>
      </c>
      <c r="S699" s="15">
        <f t="shared" si="21"/>
        <v>0.89425301732224405</v>
      </c>
    </row>
    <row r="700" spans="1:19" ht="12.75">
      <c r="A700" s="6">
        <v>20211008</v>
      </c>
      <c r="B700" s="5">
        <v>-0.28000000000000003</v>
      </c>
      <c r="C700" s="5">
        <v>-0.44</v>
      </c>
      <c r="D700" s="5">
        <v>1.1299999999999999</v>
      </c>
      <c r="E700" s="5">
        <v>0.1</v>
      </c>
      <c r="F700" s="5">
        <v>0.62</v>
      </c>
      <c r="G700" s="7">
        <v>0</v>
      </c>
      <c r="H700" s="8"/>
      <c r="I700" s="14">
        <v>142.9</v>
      </c>
      <c r="J700" s="15">
        <v>294.85000000000002</v>
      </c>
      <c r="K700" s="15">
        <v>3288.62</v>
      </c>
      <c r="L700" s="15">
        <v>284.14</v>
      </c>
      <c r="M700" s="15">
        <v>160.93</v>
      </c>
      <c r="O700" s="15">
        <f t="shared" si="22"/>
        <v>-0.27217530881428198</v>
      </c>
      <c r="P700" s="15">
        <f t="shared" si="22"/>
        <v>0</v>
      </c>
      <c r="Q700" s="15">
        <f t="shared" si="22"/>
        <v>-0.4181769182087125</v>
      </c>
      <c r="R700" s="15">
        <f t="shared" si="21"/>
        <v>0.4205690051245714</v>
      </c>
      <c r="S700" s="15">
        <f t="shared" si="21"/>
        <v>-0.25412173050700648</v>
      </c>
    </row>
    <row r="701" spans="1:19" ht="12.75">
      <c r="A701" s="6">
        <v>20211011</v>
      </c>
      <c r="B701" s="5">
        <v>-0.72</v>
      </c>
      <c r="C701" s="5">
        <v>0.24</v>
      </c>
      <c r="D701" s="5">
        <v>-0.26</v>
      </c>
      <c r="E701" s="5">
        <v>-0.02</v>
      </c>
      <c r="F701" s="5">
        <v>0.3</v>
      </c>
      <c r="G701" s="7">
        <v>0</v>
      </c>
      <c r="H701" s="8"/>
      <c r="I701" s="14">
        <v>142.81</v>
      </c>
      <c r="J701" s="15">
        <v>294.23</v>
      </c>
      <c r="K701" s="15">
        <v>3246.3</v>
      </c>
      <c r="L701" s="15">
        <v>280.93</v>
      </c>
      <c r="M701" s="15">
        <v>160.25</v>
      </c>
      <c r="O701" s="15">
        <f t="shared" si="22"/>
        <v>-6.2981105668302728E-2</v>
      </c>
      <c r="P701" s="15">
        <f t="shared" si="22"/>
        <v>-0.21027641173477774</v>
      </c>
      <c r="Q701" s="15">
        <f t="shared" si="22"/>
        <v>-1.2868619664175185</v>
      </c>
      <c r="R701" s="15">
        <f t="shared" si="21"/>
        <v>-1.1297247835573954</v>
      </c>
      <c r="S701" s="15">
        <f t="shared" si="21"/>
        <v>-0.42254396321382837</v>
      </c>
    </row>
    <row r="702" spans="1:19" ht="12.75">
      <c r="A702" s="6">
        <v>20211012</v>
      </c>
      <c r="B702" s="5">
        <v>-0.06</v>
      </c>
      <c r="C702" s="5">
        <v>0.56000000000000005</v>
      </c>
      <c r="D702" s="5">
        <v>-0.44</v>
      </c>
      <c r="E702" s="5">
        <v>-0.89</v>
      </c>
      <c r="F702" s="5">
        <v>-0.25</v>
      </c>
      <c r="G702" s="7">
        <v>0</v>
      </c>
      <c r="H702" s="8"/>
      <c r="I702" s="14">
        <v>141.51</v>
      </c>
      <c r="J702" s="15">
        <v>292.88</v>
      </c>
      <c r="K702" s="15">
        <v>3247.33</v>
      </c>
      <c r="L702" s="15">
        <v>278.62</v>
      </c>
      <c r="M702" s="15">
        <v>157.69</v>
      </c>
      <c r="O702" s="15">
        <f t="shared" si="22"/>
        <v>-0.91030039913172489</v>
      </c>
      <c r="P702" s="15">
        <f t="shared" si="22"/>
        <v>-0.45882472895354409</v>
      </c>
      <c r="Q702" s="15">
        <f t="shared" si="22"/>
        <v>3.1728429288713222E-2</v>
      </c>
      <c r="R702" s="15">
        <f t="shared" si="21"/>
        <v>-0.82226889260670344</v>
      </c>
      <c r="S702" s="15">
        <f t="shared" si="21"/>
        <v>-1.5975039001560054</v>
      </c>
    </row>
    <row r="703" spans="1:19" ht="12.75">
      <c r="A703" s="6">
        <v>20211013</v>
      </c>
      <c r="B703" s="5">
        <v>0.43</v>
      </c>
      <c r="C703" s="5">
        <v>-0.1</v>
      </c>
      <c r="D703" s="5">
        <v>-1.04</v>
      </c>
      <c r="E703" s="5">
        <v>-0.46</v>
      </c>
      <c r="F703" s="5">
        <v>-0.73</v>
      </c>
      <c r="G703" s="7">
        <v>0</v>
      </c>
      <c r="H703" s="8"/>
      <c r="I703" s="14">
        <v>140.91</v>
      </c>
      <c r="J703" s="15">
        <v>296.31</v>
      </c>
      <c r="K703" s="15">
        <v>3284.28</v>
      </c>
      <c r="L703" s="15">
        <v>277.89999999999998</v>
      </c>
      <c r="M703" s="15">
        <v>159.19999999999999</v>
      </c>
      <c r="O703" s="15">
        <f t="shared" si="22"/>
        <v>-0.42399830400677851</v>
      </c>
      <c r="P703" s="15">
        <f t="shared" si="22"/>
        <v>1.1711281070745816</v>
      </c>
      <c r="Q703" s="15">
        <f t="shared" si="22"/>
        <v>1.1378578709278164</v>
      </c>
      <c r="R703" s="15">
        <f t="shared" si="21"/>
        <v>-0.25841648122892913</v>
      </c>
      <c r="S703" s="15">
        <f t="shared" si="21"/>
        <v>0.95757498890227666</v>
      </c>
    </row>
    <row r="704" spans="1:19" ht="12.75">
      <c r="A704" s="6">
        <v>20211014</v>
      </c>
      <c r="B704" s="5">
        <v>1.65</v>
      </c>
      <c r="C704" s="5">
        <v>-0.38</v>
      </c>
      <c r="D704" s="5">
        <v>-0.28000000000000003</v>
      </c>
      <c r="E704" s="5">
        <v>0.03</v>
      </c>
      <c r="F704" s="5">
        <v>-0.12</v>
      </c>
      <c r="G704" s="7">
        <v>0</v>
      </c>
      <c r="H704" s="8"/>
      <c r="I704" s="14">
        <v>143.76</v>
      </c>
      <c r="J704" s="15">
        <v>302.75</v>
      </c>
      <c r="K704" s="15">
        <v>3299.86</v>
      </c>
      <c r="L704" s="15">
        <v>281.64</v>
      </c>
      <c r="M704" s="15">
        <v>160.11000000000001</v>
      </c>
      <c r="O704" s="15">
        <f t="shared" si="22"/>
        <v>2.0225675963380763</v>
      </c>
      <c r="P704" s="15">
        <f t="shared" si="22"/>
        <v>2.1733994802740408</v>
      </c>
      <c r="Q704" s="15">
        <f t="shared" si="22"/>
        <v>0.47438099065852946</v>
      </c>
      <c r="R704" s="15">
        <f t="shared" si="21"/>
        <v>1.3458078445484079</v>
      </c>
      <c r="S704" s="15">
        <f t="shared" si="21"/>
        <v>0.57160804020102152</v>
      </c>
    </row>
    <row r="705" spans="1:19" ht="12.75">
      <c r="A705" s="6">
        <v>20211015</v>
      </c>
      <c r="B705" s="5">
        <v>0.63</v>
      </c>
      <c r="C705" s="5">
        <v>-1.1200000000000001</v>
      </c>
      <c r="D705" s="5">
        <v>0.28000000000000003</v>
      </c>
      <c r="E705" s="5">
        <v>0.4</v>
      </c>
      <c r="F705" s="5">
        <v>-0.09</v>
      </c>
      <c r="G705" s="7">
        <v>0</v>
      </c>
      <c r="H705" s="8"/>
      <c r="I705" s="14">
        <v>144.84</v>
      </c>
      <c r="J705" s="15">
        <v>304.20999999999998</v>
      </c>
      <c r="K705" s="15">
        <v>3409.02</v>
      </c>
      <c r="L705" s="15">
        <v>284.20999999999998</v>
      </c>
      <c r="M705" s="15">
        <v>161.30000000000001</v>
      </c>
      <c r="O705" s="15">
        <f t="shared" si="22"/>
        <v>0.75125208681137146</v>
      </c>
      <c r="P705" s="15">
        <f t="shared" si="22"/>
        <v>0.48224607762179517</v>
      </c>
      <c r="Q705" s="15">
        <f t="shared" si="22"/>
        <v>3.3080191280842275</v>
      </c>
      <c r="R705" s="15">
        <f t="shared" si="21"/>
        <v>0.91251242721204218</v>
      </c>
      <c r="S705" s="15">
        <f t="shared" si="21"/>
        <v>0.74323902317157131</v>
      </c>
    </row>
    <row r="706" spans="1:19" ht="12.75">
      <c r="A706" s="6">
        <v>20211018</v>
      </c>
      <c r="B706" s="5">
        <v>0.41</v>
      </c>
      <c r="C706" s="5">
        <v>-0.4</v>
      </c>
      <c r="D706" s="5">
        <v>0.02</v>
      </c>
      <c r="E706" s="5">
        <v>0.56999999999999995</v>
      </c>
      <c r="F706" s="5">
        <v>-0.06</v>
      </c>
      <c r="G706" s="7">
        <v>0</v>
      </c>
      <c r="H706" s="8"/>
      <c r="I706" s="14">
        <v>146.55000000000001</v>
      </c>
      <c r="J706" s="15">
        <v>307.29000000000002</v>
      </c>
      <c r="K706" s="15">
        <v>3446.74</v>
      </c>
      <c r="L706" s="15">
        <v>282.58999999999997</v>
      </c>
      <c r="M706" s="15">
        <v>160.12</v>
      </c>
      <c r="O706" s="15">
        <f t="shared" si="22"/>
        <v>1.1806130903065482</v>
      </c>
      <c r="P706" s="15">
        <f t="shared" si="22"/>
        <v>1.0124584990631513</v>
      </c>
      <c r="Q706" s="15">
        <f t="shared" si="22"/>
        <v>1.1064763480413742</v>
      </c>
      <c r="R706" s="15">
        <f t="shared" si="21"/>
        <v>-0.5700010555575119</v>
      </c>
      <c r="S706" s="15">
        <f t="shared" si="21"/>
        <v>-0.73155610663360182</v>
      </c>
    </row>
    <row r="707" spans="1:19" ht="12.75">
      <c r="A707" s="6">
        <v>20211019</v>
      </c>
      <c r="B707" s="5">
        <v>0.71</v>
      </c>
      <c r="C707" s="5">
        <v>-0.48</v>
      </c>
      <c r="D707" s="5">
        <v>-0.22</v>
      </c>
      <c r="E707" s="5">
        <v>-0.21</v>
      </c>
      <c r="F707" s="5">
        <v>0.12</v>
      </c>
      <c r="G707" s="7">
        <v>0</v>
      </c>
      <c r="H707" s="8"/>
      <c r="I707" s="14">
        <v>148.76</v>
      </c>
      <c r="J707" s="15">
        <v>308.23</v>
      </c>
      <c r="K707" s="15">
        <v>3444.15</v>
      </c>
      <c r="L707" s="15">
        <v>284.83</v>
      </c>
      <c r="M707" s="15">
        <v>163.87</v>
      </c>
      <c r="O707" s="15">
        <f t="shared" si="22"/>
        <v>1.5080177413851814</v>
      </c>
      <c r="P707" s="15">
        <f t="shared" si="22"/>
        <v>0.30589996420320453</v>
      </c>
      <c r="Q707" s="15">
        <f t="shared" si="22"/>
        <v>-7.5143468901039956E-2</v>
      </c>
      <c r="R707" s="15">
        <f t="shared" si="21"/>
        <v>0.79266782264058033</v>
      </c>
      <c r="S707" s="15">
        <f t="shared" si="21"/>
        <v>2.3419935048713425</v>
      </c>
    </row>
    <row r="708" spans="1:19" ht="12.75">
      <c r="A708" s="6">
        <v>20211020</v>
      </c>
      <c r="B708" s="5">
        <v>0.34</v>
      </c>
      <c r="C708" s="5">
        <v>0.23</v>
      </c>
      <c r="D708" s="5">
        <v>1.18</v>
      </c>
      <c r="E708" s="5">
        <v>0.28000000000000003</v>
      </c>
      <c r="F708" s="5">
        <v>0.53</v>
      </c>
      <c r="G708" s="7">
        <v>0</v>
      </c>
      <c r="H708" s="8"/>
      <c r="I708" s="14">
        <v>149.26</v>
      </c>
      <c r="J708" s="15">
        <v>307.41000000000003</v>
      </c>
      <c r="K708" s="15">
        <v>3415.06</v>
      </c>
      <c r="L708" s="15">
        <v>287.49</v>
      </c>
      <c r="M708" s="15">
        <v>163.78</v>
      </c>
      <c r="O708" s="15">
        <f t="shared" si="22"/>
        <v>0.33611185802635557</v>
      </c>
      <c r="P708" s="15">
        <f t="shared" si="22"/>
        <v>-0.26603510365635907</v>
      </c>
      <c r="Q708" s="15">
        <f t="shared" si="22"/>
        <v>-0.84462058853418398</v>
      </c>
      <c r="R708" s="15">
        <f t="shared" si="22"/>
        <v>0.9338903907594176</v>
      </c>
      <c r="S708" s="15">
        <f t="shared" si="22"/>
        <v>-5.4921584182587857E-2</v>
      </c>
    </row>
    <row r="709" spans="1:19" ht="12.75">
      <c r="A709" s="6">
        <v>20211021</v>
      </c>
      <c r="B709" s="5">
        <v>0.37</v>
      </c>
      <c r="C709" s="5">
        <v>0.03</v>
      </c>
      <c r="D709" s="5">
        <v>-0.98</v>
      </c>
      <c r="E709" s="5">
        <v>0.34</v>
      </c>
      <c r="F709" s="5">
        <v>-0.64</v>
      </c>
      <c r="G709" s="7">
        <v>0</v>
      </c>
      <c r="H709" s="8"/>
      <c r="I709" s="14">
        <v>149.47999999999999</v>
      </c>
      <c r="J709" s="15">
        <v>310.76</v>
      </c>
      <c r="K709" s="15">
        <v>3435.01</v>
      </c>
      <c r="L709" s="15">
        <v>286.82</v>
      </c>
      <c r="M709" s="15">
        <v>163.4</v>
      </c>
      <c r="O709" s="15">
        <f t="shared" ref="O709:S758" si="23">(I709/I708-1)*100</f>
        <v>0.1473938094600058</v>
      </c>
      <c r="P709" s="15">
        <f t="shared" si="23"/>
        <v>1.0897498454832233</v>
      </c>
      <c r="Q709" s="15">
        <f t="shared" si="23"/>
        <v>0.58417714476466376</v>
      </c>
      <c r="R709" s="15">
        <f t="shared" si="23"/>
        <v>-0.23305158440294349</v>
      </c>
      <c r="S709" s="15">
        <f t="shared" si="23"/>
        <v>-0.23201856148491462</v>
      </c>
    </row>
    <row r="710" spans="1:19" ht="12.75">
      <c r="A710" s="6">
        <v>20211022</v>
      </c>
      <c r="B710" s="5">
        <v>-0.25</v>
      </c>
      <c r="C710" s="5">
        <v>0.02</v>
      </c>
      <c r="D710" s="5">
        <v>1.02</v>
      </c>
      <c r="E710" s="5">
        <v>0.44</v>
      </c>
      <c r="F710" s="5">
        <v>0.51</v>
      </c>
      <c r="G710" s="7">
        <v>0</v>
      </c>
      <c r="H710" s="8"/>
      <c r="I710" s="14">
        <v>148.69</v>
      </c>
      <c r="J710" s="15">
        <v>309.16000000000003</v>
      </c>
      <c r="K710" s="15">
        <v>3335.55</v>
      </c>
      <c r="L710" s="15">
        <v>289.24</v>
      </c>
      <c r="M710" s="15">
        <v>163.72</v>
      </c>
      <c r="O710" s="15">
        <f t="shared" si="23"/>
        <v>-0.52849879582552717</v>
      </c>
      <c r="P710" s="15">
        <f t="shared" si="23"/>
        <v>-0.51486677822112359</v>
      </c>
      <c r="Q710" s="15">
        <f t="shared" si="23"/>
        <v>-2.8954791980227101</v>
      </c>
      <c r="R710" s="15">
        <f t="shared" si="23"/>
        <v>0.84373474653092195</v>
      </c>
      <c r="S710" s="15">
        <f t="shared" si="23"/>
        <v>0.19583843329253892</v>
      </c>
    </row>
    <row r="711" spans="1:19" ht="12.75">
      <c r="A711" s="6">
        <v>20211025</v>
      </c>
      <c r="B711" s="5">
        <v>0.57999999999999996</v>
      </c>
      <c r="C711" s="5">
        <v>0.37</v>
      </c>
      <c r="D711" s="5">
        <v>-0.16</v>
      </c>
      <c r="E711" s="5">
        <v>-0.39</v>
      </c>
      <c r="F711" s="5">
        <v>-0.35</v>
      </c>
      <c r="G711" s="7">
        <v>0</v>
      </c>
      <c r="H711" s="8"/>
      <c r="I711" s="14">
        <v>148.63999999999999</v>
      </c>
      <c r="J711" s="15">
        <v>308.13</v>
      </c>
      <c r="K711" s="15">
        <v>3320.37</v>
      </c>
      <c r="L711" s="15">
        <v>290.26</v>
      </c>
      <c r="M711" s="15">
        <v>164.08</v>
      </c>
      <c r="O711" s="15">
        <f t="shared" si="23"/>
        <v>-3.3627009213810233E-2</v>
      </c>
      <c r="P711" s="15">
        <f t="shared" si="23"/>
        <v>-0.33316082287490056</v>
      </c>
      <c r="Q711" s="15">
        <f t="shared" si="23"/>
        <v>-0.4550973602554409</v>
      </c>
      <c r="R711" s="15">
        <f t="shared" si="23"/>
        <v>0.35264831973447208</v>
      </c>
      <c r="S711" s="15">
        <f t="shared" si="23"/>
        <v>0.21988761299780446</v>
      </c>
    </row>
    <row r="712" spans="1:19" ht="12.75">
      <c r="A712" s="6">
        <v>20211026</v>
      </c>
      <c r="B712" s="5">
        <v>0.04</v>
      </c>
      <c r="C712" s="5">
        <v>-0.81</v>
      </c>
      <c r="D712" s="5">
        <v>-0.32</v>
      </c>
      <c r="E712" s="5">
        <v>-0.38</v>
      </c>
      <c r="F712" s="5">
        <v>-0.12</v>
      </c>
      <c r="G712" s="7">
        <v>0</v>
      </c>
      <c r="H712" s="8"/>
      <c r="I712" s="14">
        <v>149.32</v>
      </c>
      <c r="J712" s="15">
        <v>310.11</v>
      </c>
      <c r="K712" s="15">
        <v>3376.07</v>
      </c>
      <c r="L712" s="15">
        <v>290.85000000000002</v>
      </c>
      <c r="M712" s="15">
        <v>165.75</v>
      </c>
      <c r="O712" s="15">
        <f t="shared" si="23"/>
        <v>0.45748116254036297</v>
      </c>
      <c r="P712" s="15">
        <f t="shared" si="23"/>
        <v>0.6425859215266394</v>
      </c>
      <c r="Q712" s="15">
        <f t="shared" si="23"/>
        <v>1.6775238904098044</v>
      </c>
      <c r="R712" s="15">
        <f t="shared" si="23"/>
        <v>0.20326603734583948</v>
      </c>
      <c r="S712" s="15">
        <f t="shared" si="23"/>
        <v>1.0177961969770832</v>
      </c>
    </row>
    <row r="713" spans="1:19" ht="12.75">
      <c r="A713" s="6">
        <v>20211027</v>
      </c>
      <c r="B713" s="5">
        <v>-0.76</v>
      </c>
      <c r="C713" s="5">
        <v>-0.95</v>
      </c>
      <c r="D713" s="5">
        <v>-1.19</v>
      </c>
      <c r="E713" s="5">
        <v>0.86</v>
      </c>
      <c r="F713" s="5">
        <v>-0.6</v>
      </c>
      <c r="G713" s="7">
        <v>0</v>
      </c>
      <c r="H713" s="8"/>
      <c r="I713" s="14">
        <v>148.85</v>
      </c>
      <c r="J713" s="15">
        <v>323.17</v>
      </c>
      <c r="K713" s="15">
        <v>3392.49</v>
      </c>
      <c r="L713" s="15">
        <v>287.77999999999997</v>
      </c>
      <c r="M713" s="15">
        <v>163.74</v>
      </c>
      <c r="O713" s="15">
        <f t="shared" si="23"/>
        <v>-0.31476024645057388</v>
      </c>
      <c r="P713" s="15">
        <f t="shared" si="23"/>
        <v>4.2114088549224382</v>
      </c>
      <c r="Q713" s="15">
        <f t="shared" si="23"/>
        <v>0.48636432301460975</v>
      </c>
      <c r="R713" s="15">
        <f t="shared" si="23"/>
        <v>-1.0555269039023707</v>
      </c>
      <c r="S713" s="15">
        <f t="shared" si="23"/>
        <v>-1.2126696832579165</v>
      </c>
    </row>
    <row r="714" spans="1:19" ht="12.75">
      <c r="A714" s="6">
        <v>20211028</v>
      </c>
      <c r="B714" s="5">
        <v>1.1399999999999999</v>
      </c>
      <c r="C714" s="5">
        <v>0.81</v>
      </c>
      <c r="D714" s="5">
        <v>-0.47</v>
      </c>
      <c r="E714" s="5">
        <v>-0.3</v>
      </c>
      <c r="F714" s="5">
        <v>-0.18</v>
      </c>
      <c r="G714" s="7">
        <v>0</v>
      </c>
      <c r="H714" s="8"/>
      <c r="I714" s="14">
        <v>152.57</v>
      </c>
      <c r="J714" s="15">
        <v>324.35000000000002</v>
      </c>
      <c r="K714" s="15">
        <v>3446.57</v>
      </c>
      <c r="L714" s="15">
        <v>289.72000000000003</v>
      </c>
      <c r="M714" s="15">
        <v>162.85</v>
      </c>
      <c r="O714" s="15">
        <f t="shared" si="23"/>
        <v>2.4991602284178738</v>
      </c>
      <c r="P714" s="15">
        <f t="shared" si="23"/>
        <v>0.36513290218771477</v>
      </c>
      <c r="Q714" s="15">
        <f t="shared" si="23"/>
        <v>1.5941093415161145</v>
      </c>
      <c r="R714" s="15">
        <f t="shared" si="23"/>
        <v>0.67412606852459422</v>
      </c>
      <c r="S714" s="15">
        <f t="shared" si="23"/>
        <v>-0.54354464394773538</v>
      </c>
    </row>
    <row r="715" spans="1:19" ht="12.75">
      <c r="A715" s="6">
        <v>20211029</v>
      </c>
      <c r="B715" s="5">
        <v>0.22</v>
      </c>
      <c r="C715" s="5">
        <v>0.13</v>
      </c>
      <c r="D715" s="5">
        <v>-0.82</v>
      </c>
      <c r="E715" s="5">
        <v>0.56999999999999995</v>
      </c>
      <c r="F715" s="5">
        <v>-0.85</v>
      </c>
      <c r="G715" s="7">
        <v>0</v>
      </c>
      <c r="H715" s="8"/>
      <c r="I715" s="14">
        <v>149.80000000000001</v>
      </c>
      <c r="J715" s="15">
        <v>331.62</v>
      </c>
      <c r="K715" s="15">
        <v>3372.43</v>
      </c>
      <c r="L715" s="15">
        <v>287.01</v>
      </c>
      <c r="M715" s="15">
        <v>162.88</v>
      </c>
      <c r="O715" s="15">
        <f t="shared" si="23"/>
        <v>-1.81556007078717</v>
      </c>
      <c r="P715" s="15">
        <f t="shared" si="23"/>
        <v>2.2414058887004762</v>
      </c>
      <c r="Q715" s="15">
        <f t="shared" si="23"/>
        <v>-2.1511241611225196</v>
      </c>
      <c r="R715" s="15">
        <f t="shared" si="23"/>
        <v>-0.93538588982466919</v>
      </c>
      <c r="S715" s="15">
        <f t="shared" si="23"/>
        <v>1.842186060792006E-2</v>
      </c>
    </row>
    <row r="716" spans="1:19" ht="12.75">
      <c r="A716" s="6">
        <v>20211101</v>
      </c>
      <c r="B716" s="5">
        <v>0.51</v>
      </c>
      <c r="C716" s="5">
        <v>2.0499999999999998</v>
      </c>
      <c r="D716" s="5">
        <v>0.44</v>
      </c>
      <c r="E716" s="5">
        <v>-1.1299999999999999</v>
      </c>
      <c r="F716" s="5">
        <v>0.05</v>
      </c>
      <c r="G716" s="7">
        <v>0</v>
      </c>
      <c r="H716" s="8"/>
      <c r="I716" s="14">
        <v>148.96</v>
      </c>
      <c r="J716" s="15">
        <v>329.37</v>
      </c>
      <c r="K716" s="15">
        <v>3318.11</v>
      </c>
      <c r="L716" s="15">
        <v>286.24</v>
      </c>
      <c r="M716" s="15">
        <v>163.02000000000001</v>
      </c>
      <c r="O716" s="15">
        <f t="shared" si="23"/>
        <v>-0.56074766355140859</v>
      </c>
      <c r="P716" s="15">
        <f t="shared" si="23"/>
        <v>-0.67848742536638085</v>
      </c>
      <c r="Q716" s="15">
        <f t="shared" si="23"/>
        <v>-1.6107080057999656</v>
      </c>
      <c r="R716" s="15">
        <f t="shared" si="23"/>
        <v>-0.26828333507542546</v>
      </c>
      <c r="S716" s="15">
        <f t="shared" si="23"/>
        <v>8.5952848722992137E-2</v>
      </c>
    </row>
    <row r="717" spans="1:19" ht="12.75">
      <c r="A717" s="6">
        <v>20211102</v>
      </c>
      <c r="B717" s="5">
        <v>0.24</v>
      </c>
      <c r="C717" s="5">
        <v>-0.35</v>
      </c>
      <c r="D717" s="5">
        <v>-0.54</v>
      </c>
      <c r="E717" s="5">
        <v>0.41</v>
      </c>
      <c r="F717" s="5">
        <v>0.16</v>
      </c>
      <c r="G717" s="7">
        <v>0</v>
      </c>
      <c r="H717" s="8"/>
      <c r="I717" s="14">
        <v>150.02000000000001</v>
      </c>
      <c r="J717" s="15">
        <v>333.13</v>
      </c>
      <c r="K717" s="15">
        <v>3312.75</v>
      </c>
      <c r="L717" s="15">
        <v>287.93</v>
      </c>
      <c r="M717" s="15">
        <v>165.59</v>
      </c>
      <c r="O717" s="15">
        <f t="shared" si="23"/>
        <v>0.71160042964555359</v>
      </c>
      <c r="P717" s="15">
        <f t="shared" si="23"/>
        <v>1.1415733066156619</v>
      </c>
      <c r="Q717" s="15">
        <f t="shared" si="23"/>
        <v>-0.16153774287169798</v>
      </c>
      <c r="R717" s="15">
        <f t="shared" si="23"/>
        <v>0.590413638904419</v>
      </c>
      <c r="S717" s="15">
        <f t="shared" si="23"/>
        <v>1.5764936817568298</v>
      </c>
    </row>
    <row r="718" spans="1:19" ht="12.75">
      <c r="A718" s="6">
        <v>20211103</v>
      </c>
      <c r="B718" s="5">
        <v>0.8</v>
      </c>
      <c r="C718" s="5">
        <v>1.43</v>
      </c>
      <c r="D718" s="5">
        <v>-0.15</v>
      </c>
      <c r="E718" s="5">
        <v>0.24</v>
      </c>
      <c r="F718" s="5">
        <v>-0.45</v>
      </c>
      <c r="G718" s="7">
        <v>0</v>
      </c>
      <c r="H718" s="8"/>
      <c r="I718" s="14">
        <v>151.49</v>
      </c>
      <c r="J718" s="15">
        <v>334</v>
      </c>
      <c r="K718" s="15">
        <v>3384</v>
      </c>
      <c r="L718" s="15">
        <v>288.72000000000003</v>
      </c>
      <c r="M718" s="15">
        <v>165.06</v>
      </c>
      <c r="O718" s="15">
        <f t="shared" si="23"/>
        <v>0.97986935075322634</v>
      </c>
      <c r="P718" s="15">
        <f t="shared" si="23"/>
        <v>0.26115930717738323</v>
      </c>
      <c r="Q718" s="15">
        <f t="shared" si="23"/>
        <v>2.150781073126562</v>
      </c>
      <c r="R718" s="15">
        <f t="shared" si="23"/>
        <v>0.27437224325357334</v>
      </c>
      <c r="S718" s="15">
        <f t="shared" si="23"/>
        <v>-0.32006763693459561</v>
      </c>
    </row>
    <row r="719" spans="1:19" ht="12.75">
      <c r="A719" s="6">
        <v>20211104</v>
      </c>
      <c r="B719" s="5">
        <v>0.39</v>
      </c>
      <c r="C719" s="5">
        <v>-0.28999999999999998</v>
      </c>
      <c r="D719" s="5">
        <v>-1.37</v>
      </c>
      <c r="E719" s="5">
        <v>0.65</v>
      </c>
      <c r="F719" s="5">
        <v>-0.71</v>
      </c>
      <c r="G719" s="7">
        <v>0</v>
      </c>
      <c r="H719" s="8"/>
      <c r="I719" s="14">
        <v>150.96</v>
      </c>
      <c r="J719" s="15">
        <v>336.44</v>
      </c>
      <c r="K719" s="15">
        <v>3477</v>
      </c>
      <c r="L719" s="15">
        <v>287.69</v>
      </c>
      <c r="M719" s="15">
        <v>164.6</v>
      </c>
      <c r="O719" s="15">
        <f t="shared" si="23"/>
        <v>-0.34985807644069</v>
      </c>
      <c r="P719" s="15">
        <f t="shared" si="23"/>
        <v>0.73053892215568794</v>
      </c>
      <c r="Q719" s="15">
        <f t="shared" si="23"/>
        <v>2.7482269503546153</v>
      </c>
      <c r="R719" s="15">
        <f t="shared" si="23"/>
        <v>-0.35674702133555725</v>
      </c>
      <c r="S719" s="15">
        <f t="shared" si="23"/>
        <v>-0.27868653822852307</v>
      </c>
    </row>
    <row r="720" spans="1:19" ht="12.75">
      <c r="A720" s="6">
        <v>20211105</v>
      </c>
      <c r="B720" s="5">
        <v>0.38</v>
      </c>
      <c r="C720" s="5">
        <v>0.79</v>
      </c>
      <c r="D720" s="5">
        <v>1.18</v>
      </c>
      <c r="E720" s="5">
        <v>0.05</v>
      </c>
      <c r="F720" s="5">
        <v>1.26</v>
      </c>
      <c r="G720" s="7">
        <v>0</v>
      </c>
      <c r="H720" s="8"/>
      <c r="I720" s="14">
        <v>151.28</v>
      </c>
      <c r="J720" s="15">
        <v>336.06</v>
      </c>
      <c r="K720" s="15">
        <v>3518.99</v>
      </c>
      <c r="L720" s="15">
        <v>287.88</v>
      </c>
      <c r="M720" s="15">
        <v>163.43</v>
      </c>
      <c r="O720" s="15">
        <f t="shared" si="23"/>
        <v>0.21197668256491831</v>
      </c>
      <c r="P720" s="15">
        <f t="shared" si="23"/>
        <v>-0.1129473308762341</v>
      </c>
      <c r="Q720" s="15">
        <f t="shared" si="23"/>
        <v>1.2076502732240479</v>
      </c>
      <c r="R720" s="15">
        <f t="shared" si="23"/>
        <v>6.6043310507835074E-2</v>
      </c>
      <c r="S720" s="15">
        <f t="shared" si="23"/>
        <v>-0.71081409477520285</v>
      </c>
    </row>
    <row r="721" spans="1:19" ht="12.75">
      <c r="A721" s="6">
        <v>20211108</v>
      </c>
      <c r="B721" s="5">
        <v>0.18</v>
      </c>
      <c r="C721" s="5">
        <v>0.01</v>
      </c>
      <c r="D721" s="5">
        <v>0.08</v>
      </c>
      <c r="E721" s="5">
        <v>-0.47</v>
      </c>
      <c r="F721" s="5">
        <v>-0.11</v>
      </c>
      <c r="G721" s="7">
        <v>0</v>
      </c>
      <c r="H721" s="8"/>
      <c r="I721" s="14">
        <v>150.44</v>
      </c>
      <c r="J721" s="15">
        <v>336.99</v>
      </c>
      <c r="K721" s="15">
        <v>3488.98</v>
      </c>
      <c r="L721" s="15">
        <v>288.8</v>
      </c>
      <c r="M721" s="15">
        <v>162.87</v>
      </c>
      <c r="O721" s="15">
        <f t="shared" si="23"/>
        <v>-0.55526176626123913</v>
      </c>
      <c r="P721" s="15">
        <f t="shared" si="23"/>
        <v>0.27673629708979686</v>
      </c>
      <c r="Q721" s="15">
        <f t="shared" si="23"/>
        <v>-0.85280151407078897</v>
      </c>
      <c r="R721" s="15">
        <f t="shared" si="23"/>
        <v>0.31957760177852013</v>
      </c>
      <c r="S721" s="15">
        <f t="shared" si="23"/>
        <v>-0.34265434742702938</v>
      </c>
    </row>
    <row r="722" spans="1:19" ht="12.75">
      <c r="A722" s="6">
        <v>20211109</v>
      </c>
      <c r="B722" s="5">
        <v>-0.35</v>
      </c>
      <c r="C722" s="5">
        <v>-0.14000000000000001</v>
      </c>
      <c r="D722" s="5">
        <v>0.47</v>
      </c>
      <c r="E722" s="5">
        <v>0.56000000000000005</v>
      </c>
      <c r="F722" s="5">
        <v>0.26</v>
      </c>
      <c r="G722" s="7">
        <v>0</v>
      </c>
      <c r="H722" s="8"/>
      <c r="I722" s="14">
        <v>150.81</v>
      </c>
      <c r="J722" s="15">
        <v>335.95</v>
      </c>
      <c r="K722" s="15">
        <v>3576.23</v>
      </c>
      <c r="L722" s="15">
        <v>286.35000000000002</v>
      </c>
      <c r="M722" s="15">
        <v>162.51</v>
      </c>
      <c r="O722" s="15">
        <f t="shared" si="23"/>
        <v>0.24594522733316637</v>
      </c>
      <c r="P722" s="15">
        <f t="shared" si="23"/>
        <v>-0.30861449894655779</v>
      </c>
      <c r="Q722" s="15">
        <f t="shared" si="23"/>
        <v>2.5007308726332722</v>
      </c>
      <c r="R722" s="15">
        <f t="shared" si="23"/>
        <v>-0.84833795013850022</v>
      </c>
      <c r="S722" s="15">
        <f t="shared" si="23"/>
        <v>-0.22103518143304912</v>
      </c>
    </row>
    <row r="723" spans="1:19" ht="12.75">
      <c r="A723" s="6">
        <v>20211110</v>
      </c>
      <c r="B723" s="5">
        <v>-1.07</v>
      </c>
      <c r="C723" s="5">
        <v>-0.28000000000000003</v>
      </c>
      <c r="D723" s="5">
        <v>0.95</v>
      </c>
      <c r="E723" s="5">
        <v>1.35</v>
      </c>
      <c r="F723" s="5">
        <v>-0.05</v>
      </c>
      <c r="G723" s="7">
        <v>0</v>
      </c>
      <c r="H723" s="8"/>
      <c r="I723" s="14">
        <v>147.91999999999999</v>
      </c>
      <c r="J723" s="15">
        <v>330.8</v>
      </c>
      <c r="K723" s="15">
        <v>3482.05</v>
      </c>
      <c r="L723" s="15">
        <v>285.32</v>
      </c>
      <c r="M723" s="15">
        <v>164.27</v>
      </c>
      <c r="O723" s="15">
        <f t="shared" si="23"/>
        <v>-1.9163185465154942</v>
      </c>
      <c r="P723" s="15">
        <f t="shared" si="23"/>
        <v>-1.532966215210585</v>
      </c>
      <c r="Q723" s="15">
        <f t="shared" si="23"/>
        <v>-2.6334995232409453</v>
      </c>
      <c r="R723" s="15">
        <f t="shared" si="23"/>
        <v>-0.35969966823817812</v>
      </c>
      <c r="S723" s="15">
        <f t="shared" si="23"/>
        <v>1.0830102762906968</v>
      </c>
    </row>
    <row r="724" spans="1:19" ht="12.75">
      <c r="A724" s="6">
        <v>20211111</v>
      </c>
      <c r="B724" s="5">
        <v>0.24</v>
      </c>
      <c r="C724" s="5">
        <v>0.6</v>
      </c>
      <c r="D724" s="5">
        <v>0.32</v>
      </c>
      <c r="E724" s="5">
        <v>0.23</v>
      </c>
      <c r="F724" s="5">
        <v>7.0000000000000007E-2</v>
      </c>
      <c r="G724" s="7">
        <v>0</v>
      </c>
      <c r="H724" s="8"/>
      <c r="I724" s="14">
        <v>147.87</v>
      </c>
      <c r="J724" s="15">
        <v>332.43</v>
      </c>
      <c r="K724" s="15">
        <v>3472.5</v>
      </c>
      <c r="L724" s="15">
        <v>284.64999999999998</v>
      </c>
      <c r="M724" s="15">
        <v>163.06</v>
      </c>
      <c r="O724" s="15">
        <f t="shared" si="23"/>
        <v>-3.3802055164944278E-2</v>
      </c>
      <c r="P724" s="15">
        <f t="shared" si="23"/>
        <v>0.49274486094317282</v>
      </c>
      <c r="Q724" s="15">
        <f t="shared" si="23"/>
        <v>-0.27426372395572551</v>
      </c>
      <c r="R724" s="15">
        <f t="shared" si="23"/>
        <v>-0.23482405719893462</v>
      </c>
      <c r="S724" s="15">
        <f t="shared" si="23"/>
        <v>-0.73659219577525414</v>
      </c>
    </row>
    <row r="725" spans="1:19" ht="12.75">
      <c r="A725" s="6">
        <v>20211112</v>
      </c>
      <c r="B725" s="5">
        <v>0.74</v>
      </c>
      <c r="C725" s="5">
        <v>-0.47</v>
      </c>
      <c r="D725" s="5">
        <v>-0.9</v>
      </c>
      <c r="E725" s="5">
        <v>0.38</v>
      </c>
      <c r="F725" s="5">
        <v>-0.27</v>
      </c>
      <c r="G725" s="7">
        <v>0</v>
      </c>
      <c r="H725" s="8"/>
      <c r="I725" s="14">
        <v>149.99</v>
      </c>
      <c r="J725" s="15">
        <v>336.72</v>
      </c>
      <c r="K725" s="15">
        <v>3525.15</v>
      </c>
      <c r="L725" s="15">
        <v>285.99</v>
      </c>
      <c r="M725" s="15">
        <v>165.01</v>
      </c>
      <c r="O725" s="15">
        <f t="shared" si="23"/>
        <v>1.433691756272415</v>
      </c>
      <c r="P725" s="15">
        <f t="shared" si="23"/>
        <v>1.2904972475408449</v>
      </c>
      <c r="Q725" s="15">
        <f t="shared" si="23"/>
        <v>1.5161987041036662</v>
      </c>
      <c r="R725" s="15">
        <f t="shared" si="23"/>
        <v>0.47075355699983668</v>
      </c>
      <c r="S725" s="15">
        <f t="shared" si="23"/>
        <v>1.1958788176131385</v>
      </c>
    </row>
    <row r="726" spans="1:19" ht="12.75">
      <c r="A726" s="6">
        <v>20211115</v>
      </c>
      <c r="B726" s="5">
        <v>-0.02</v>
      </c>
      <c r="C726" s="5">
        <v>-0.45</v>
      </c>
      <c r="D726" s="5">
        <v>0.71</v>
      </c>
      <c r="E726" s="5">
        <v>0.56000000000000005</v>
      </c>
      <c r="F726" s="5">
        <v>0.47</v>
      </c>
      <c r="G726" s="7">
        <v>0</v>
      </c>
      <c r="H726" s="8"/>
      <c r="I726" s="14">
        <v>150</v>
      </c>
      <c r="J726" s="15">
        <v>336.07</v>
      </c>
      <c r="K726" s="15">
        <v>3545.68</v>
      </c>
      <c r="L726" s="15">
        <v>284.67</v>
      </c>
      <c r="M726" s="15">
        <v>163.52000000000001</v>
      </c>
      <c r="O726" s="15">
        <f t="shared" si="23"/>
        <v>6.6671111407456962E-3</v>
      </c>
      <c r="P726" s="15">
        <f t="shared" si="23"/>
        <v>-0.19303872653837484</v>
      </c>
      <c r="Q726" s="15">
        <f t="shared" si="23"/>
        <v>0.58238656511069298</v>
      </c>
      <c r="R726" s="15">
        <f t="shared" si="23"/>
        <v>-0.46155459981117586</v>
      </c>
      <c r="S726" s="15">
        <f t="shared" si="23"/>
        <v>-0.90297557723773014</v>
      </c>
    </row>
    <row r="727" spans="1:19" ht="12.75">
      <c r="A727" s="6">
        <v>20211116</v>
      </c>
      <c r="B727" s="5">
        <v>0.5</v>
      </c>
      <c r="C727" s="5">
        <v>-0.16</v>
      </c>
      <c r="D727" s="5">
        <v>-0.69</v>
      </c>
      <c r="E727" s="5">
        <v>0.21</v>
      </c>
      <c r="F727" s="5">
        <v>-0.64</v>
      </c>
      <c r="G727" s="7">
        <v>0</v>
      </c>
      <c r="H727" s="8"/>
      <c r="I727" s="14">
        <v>151</v>
      </c>
      <c r="J727" s="15">
        <v>339.51</v>
      </c>
      <c r="K727" s="15">
        <v>3540.7</v>
      </c>
      <c r="L727" s="15">
        <v>283.36</v>
      </c>
      <c r="M727" s="15">
        <v>162.66999999999999</v>
      </c>
      <c r="O727" s="15">
        <f t="shared" si="23"/>
        <v>0.66666666666665986</v>
      </c>
      <c r="P727" s="15">
        <f t="shared" si="23"/>
        <v>1.0235962745856586</v>
      </c>
      <c r="Q727" s="15">
        <f t="shared" si="23"/>
        <v>-0.14045260711627039</v>
      </c>
      <c r="R727" s="15">
        <f t="shared" si="23"/>
        <v>-0.46018196508237352</v>
      </c>
      <c r="S727" s="15">
        <f t="shared" si="23"/>
        <v>-0.519814090019588</v>
      </c>
    </row>
    <row r="728" spans="1:19" ht="12.75">
      <c r="A728" s="6">
        <v>20211117</v>
      </c>
      <c r="B728" s="5">
        <v>-0.47</v>
      </c>
      <c r="C728" s="5">
        <v>-0.64</v>
      </c>
      <c r="D728" s="5">
        <v>-0.27</v>
      </c>
      <c r="E728" s="5">
        <v>0.81</v>
      </c>
      <c r="F728" s="5">
        <v>0.16</v>
      </c>
      <c r="G728" s="7">
        <v>0</v>
      </c>
      <c r="H728" s="8"/>
      <c r="I728" s="14">
        <v>153.49</v>
      </c>
      <c r="J728" s="15">
        <v>339.12</v>
      </c>
      <c r="K728" s="15">
        <v>3549</v>
      </c>
      <c r="L728" s="15">
        <v>281.58999999999997</v>
      </c>
      <c r="M728" s="15">
        <v>163.28</v>
      </c>
      <c r="O728" s="15">
        <f t="shared" si="23"/>
        <v>1.6490066225165689</v>
      </c>
      <c r="P728" s="15">
        <f t="shared" si="23"/>
        <v>-0.11487143235839881</v>
      </c>
      <c r="Q728" s="15">
        <f t="shared" si="23"/>
        <v>0.23441692320727014</v>
      </c>
      <c r="R728" s="15">
        <f t="shared" si="23"/>
        <v>-0.62464709203841062</v>
      </c>
      <c r="S728" s="15">
        <f t="shared" si="23"/>
        <v>0.37499231573123737</v>
      </c>
    </row>
    <row r="729" spans="1:19" ht="12.75">
      <c r="A729" s="6">
        <v>20211118</v>
      </c>
      <c r="B729" s="5">
        <v>0.06</v>
      </c>
      <c r="C729" s="5">
        <v>-0.73</v>
      </c>
      <c r="D729" s="5">
        <v>-7.0000000000000007E-2</v>
      </c>
      <c r="E729" s="5">
        <v>1.24</v>
      </c>
      <c r="F729" s="5">
        <v>-0.11</v>
      </c>
      <c r="G729" s="7">
        <v>0</v>
      </c>
      <c r="H729" s="8"/>
      <c r="I729" s="14">
        <v>157.87</v>
      </c>
      <c r="J729" s="15">
        <v>341.27</v>
      </c>
      <c r="K729" s="15">
        <v>3696.06</v>
      </c>
      <c r="L729" s="15">
        <v>280.63</v>
      </c>
      <c r="M729" s="15">
        <v>162.4</v>
      </c>
      <c r="O729" s="15">
        <f t="shared" si="23"/>
        <v>2.8536060981171341</v>
      </c>
      <c r="P729" s="15">
        <f t="shared" si="23"/>
        <v>0.63399386647793321</v>
      </c>
      <c r="Q729" s="15">
        <f t="shared" si="23"/>
        <v>4.1437024513947485</v>
      </c>
      <c r="R729" s="15">
        <f t="shared" si="23"/>
        <v>-0.3409211974856996</v>
      </c>
      <c r="S729" s="15">
        <f t="shared" si="23"/>
        <v>-0.53895149436550271</v>
      </c>
    </row>
    <row r="730" spans="1:19" ht="12.75">
      <c r="A730" s="6">
        <v>20211119</v>
      </c>
      <c r="B730" s="5">
        <v>-0.2</v>
      </c>
      <c r="C730" s="5">
        <v>-0.41</v>
      </c>
      <c r="D730" s="5">
        <v>-1.29</v>
      </c>
      <c r="E730" s="5">
        <v>1.08</v>
      </c>
      <c r="F730" s="5">
        <v>-0.63</v>
      </c>
      <c r="G730" s="7">
        <v>0</v>
      </c>
      <c r="H730" s="8"/>
      <c r="I730" s="14">
        <v>160.55000000000001</v>
      </c>
      <c r="J730" s="15">
        <v>343.11</v>
      </c>
      <c r="K730" s="15">
        <v>3676.57</v>
      </c>
      <c r="L730" s="15">
        <v>279.99</v>
      </c>
      <c r="M730" s="15">
        <v>162.88999999999999</v>
      </c>
      <c r="O730" s="15">
        <f t="shared" si="23"/>
        <v>1.6975992905555293</v>
      </c>
      <c r="P730" s="15">
        <f t="shared" si="23"/>
        <v>0.53916253992440932</v>
      </c>
      <c r="Q730" s="15">
        <f t="shared" si="23"/>
        <v>-0.52731827946514986</v>
      </c>
      <c r="R730" s="15">
        <f t="shared" si="23"/>
        <v>-0.22805829740226713</v>
      </c>
      <c r="S730" s="15">
        <f t="shared" si="23"/>
        <v>0.30172413793101427</v>
      </c>
    </row>
    <row r="731" spans="1:19" ht="12.75">
      <c r="A731" s="6">
        <v>20211122</v>
      </c>
      <c r="B731" s="5">
        <v>-0.61</v>
      </c>
      <c r="C731" s="5">
        <v>0.1</v>
      </c>
      <c r="D731" s="5">
        <v>2.75</v>
      </c>
      <c r="E731" s="5">
        <v>1.26</v>
      </c>
      <c r="F731" s="5">
        <v>1.57</v>
      </c>
      <c r="G731" s="7">
        <v>0</v>
      </c>
      <c r="H731" s="8"/>
      <c r="I731" s="14">
        <v>161.02000000000001</v>
      </c>
      <c r="J731" s="15">
        <v>339.83</v>
      </c>
      <c r="K731" s="15">
        <v>3572.57</v>
      </c>
      <c r="L731" s="15">
        <v>284.97000000000003</v>
      </c>
      <c r="M731" s="15">
        <v>159.69999999999999</v>
      </c>
      <c r="O731" s="15">
        <f t="shared" si="23"/>
        <v>0.29274369355341001</v>
      </c>
      <c r="P731" s="15">
        <f t="shared" si="23"/>
        <v>-0.95596164495351799</v>
      </c>
      <c r="Q731" s="15">
        <f t="shared" si="23"/>
        <v>-2.8287235113162557</v>
      </c>
      <c r="R731" s="15">
        <f t="shared" si="23"/>
        <v>1.7786349512482591</v>
      </c>
      <c r="S731" s="15">
        <f t="shared" si="23"/>
        <v>-1.9583768187120154</v>
      </c>
    </row>
    <row r="732" spans="1:19" ht="12.75">
      <c r="A732" s="6">
        <v>20211123</v>
      </c>
      <c r="B732" s="5">
        <v>-0.03</v>
      </c>
      <c r="C732" s="5">
        <v>-0.17</v>
      </c>
      <c r="D732" s="5">
        <v>1.74</v>
      </c>
      <c r="E732" s="5">
        <v>0.23</v>
      </c>
      <c r="F732" s="5">
        <v>1.1599999999999999</v>
      </c>
      <c r="G732" s="7">
        <v>0</v>
      </c>
      <c r="H732" s="8"/>
      <c r="I732" s="14">
        <v>161.41</v>
      </c>
      <c r="J732" s="15">
        <v>337.68</v>
      </c>
      <c r="K732" s="15">
        <v>3580.04</v>
      </c>
      <c r="L732" s="15">
        <v>288.56</v>
      </c>
      <c r="M732" s="15">
        <v>160.69</v>
      </c>
      <c r="O732" s="15">
        <f t="shared" si="23"/>
        <v>0.24220593715065242</v>
      </c>
      <c r="P732" s="15">
        <f t="shared" si="23"/>
        <v>-0.63266927581436816</v>
      </c>
      <c r="Q732" s="15">
        <f t="shared" si="23"/>
        <v>0.2090931738216506</v>
      </c>
      <c r="R732" s="15">
        <f t="shared" si="23"/>
        <v>1.2597817314103255</v>
      </c>
      <c r="S732" s="15">
        <f t="shared" si="23"/>
        <v>0.61991233562930237</v>
      </c>
    </row>
    <row r="733" spans="1:19" ht="12.75">
      <c r="A733" s="6">
        <v>20211124</v>
      </c>
      <c r="B733" s="5">
        <v>0.3</v>
      </c>
      <c r="C733" s="5">
        <v>-0.15</v>
      </c>
      <c r="D733" s="5">
        <v>-0.86</v>
      </c>
      <c r="E733" s="5">
        <v>-0.52</v>
      </c>
      <c r="F733" s="5">
        <v>-0.2</v>
      </c>
      <c r="G733" s="7">
        <v>0</v>
      </c>
      <c r="H733" s="8"/>
      <c r="I733" s="14">
        <v>161.94</v>
      </c>
      <c r="J733" s="15">
        <v>337.91</v>
      </c>
      <c r="K733" s="15">
        <v>3580.41</v>
      </c>
      <c r="L733" s="15">
        <v>287.27999999999997</v>
      </c>
      <c r="M733" s="15">
        <v>160.24</v>
      </c>
      <c r="O733" s="15">
        <f t="shared" si="23"/>
        <v>0.32835635958119447</v>
      </c>
      <c r="P733" s="15">
        <f t="shared" si="23"/>
        <v>6.8111821843164222E-2</v>
      </c>
      <c r="Q733" s="15">
        <f t="shared" si="23"/>
        <v>1.0335080054968415E-2</v>
      </c>
      <c r="R733" s="15">
        <f t="shared" si="23"/>
        <v>-0.44358192403660679</v>
      </c>
      <c r="S733" s="15">
        <f t="shared" si="23"/>
        <v>-0.28004231750574649</v>
      </c>
    </row>
    <row r="734" spans="1:19" ht="12.75">
      <c r="A734" s="6">
        <v>20211126</v>
      </c>
      <c r="B734" s="5">
        <v>-2.2200000000000002</v>
      </c>
      <c r="C734" s="5">
        <v>-1.3</v>
      </c>
      <c r="D734" s="5">
        <v>-0.93</v>
      </c>
      <c r="E734" s="5">
        <v>0.26</v>
      </c>
      <c r="F734" s="5">
        <v>-0.59</v>
      </c>
      <c r="G734" s="7">
        <v>0</v>
      </c>
      <c r="H734" s="8"/>
      <c r="I734" s="14">
        <v>156.81</v>
      </c>
      <c r="J734" s="15">
        <v>329.68</v>
      </c>
      <c r="K734" s="15">
        <v>3504.56</v>
      </c>
      <c r="L734" s="15">
        <v>283.08999999999997</v>
      </c>
      <c r="M734" s="15">
        <v>159.19999999999999</v>
      </c>
      <c r="O734" s="15">
        <f t="shared" si="23"/>
        <v>-3.1678399407187863</v>
      </c>
      <c r="P734" s="15">
        <f t="shared" si="23"/>
        <v>-2.4355597644343252</v>
      </c>
      <c r="Q734" s="15">
        <f t="shared" si="23"/>
        <v>-2.1184724654438991</v>
      </c>
      <c r="R734" s="15">
        <f t="shared" si="23"/>
        <v>-1.4585073795600145</v>
      </c>
      <c r="S734" s="15">
        <f t="shared" si="23"/>
        <v>-0.64902646030954303</v>
      </c>
    </row>
    <row r="735" spans="1:19" ht="12.75">
      <c r="A735" s="6">
        <v>20211129</v>
      </c>
      <c r="B735" s="5">
        <v>1.1100000000000001</v>
      </c>
      <c r="C735" s="5">
        <v>-1.31</v>
      </c>
      <c r="D735" s="5">
        <v>-0.87</v>
      </c>
      <c r="E735" s="5">
        <v>0.4</v>
      </c>
      <c r="F735" s="5">
        <v>-0.33</v>
      </c>
      <c r="G735" s="7">
        <v>0</v>
      </c>
      <c r="H735" s="8"/>
      <c r="I735" s="14">
        <v>160.24</v>
      </c>
      <c r="J735" s="15">
        <v>336.63</v>
      </c>
      <c r="K735" s="15">
        <v>3561.57</v>
      </c>
      <c r="L735" s="15">
        <v>282.12</v>
      </c>
      <c r="M735" s="15">
        <v>159.75</v>
      </c>
      <c r="O735" s="15">
        <f t="shared" si="23"/>
        <v>2.1873604999681273</v>
      </c>
      <c r="P735" s="15">
        <f t="shared" si="23"/>
        <v>2.1081048289250059</v>
      </c>
      <c r="Q735" s="15">
        <f t="shared" si="23"/>
        <v>1.6267377359782786</v>
      </c>
      <c r="R735" s="15">
        <f t="shared" si="23"/>
        <v>-0.34264721466670256</v>
      </c>
      <c r="S735" s="15">
        <f t="shared" si="23"/>
        <v>0.34547738693468943</v>
      </c>
    </row>
    <row r="736" spans="1:19" ht="12.75">
      <c r="A736" s="6">
        <v>20211130</v>
      </c>
      <c r="B736" s="5">
        <v>-1.95</v>
      </c>
      <c r="C736" s="5">
        <v>0.16</v>
      </c>
      <c r="D736" s="5">
        <v>-1.1200000000000001</v>
      </c>
      <c r="E736" s="5">
        <v>-0.16</v>
      </c>
      <c r="F736" s="5">
        <v>0.41</v>
      </c>
      <c r="G736" s="7">
        <v>0</v>
      </c>
      <c r="H736" s="8"/>
      <c r="I736" s="14">
        <v>165.3</v>
      </c>
      <c r="J736" s="15">
        <v>330.59</v>
      </c>
      <c r="K736" s="15">
        <v>3507.07</v>
      </c>
      <c r="L736" s="15">
        <v>276.69</v>
      </c>
      <c r="M736" s="15">
        <v>155.93</v>
      </c>
      <c r="O736" s="15">
        <f t="shared" si="23"/>
        <v>3.1577633549675577</v>
      </c>
      <c r="P736" s="15">
        <f t="shared" si="23"/>
        <v>-1.7942548198318642</v>
      </c>
      <c r="Q736" s="15">
        <f t="shared" si="23"/>
        <v>-1.5302240304135517</v>
      </c>
      <c r="R736" s="15">
        <f t="shared" si="23"/>
        <v>-1.9247128881327069</v>
      </c>
      <c r="S736" s="15">
        <f t="shared" si="23"/>
        <v>-2.3912363067292608</v>
      </c>
    </row>
    <row r="737" spans="1:19" ht="12.75">
      <c r="A737" s="6">
        <v>20211201</v>
      </c>
      <c r="B737" s="5">
        <v>-1.61</v>
      </c>
      <c r="C737" s="5">
        <v>-0.43</v>
      </c>
      <c r="D737" s="5">
        <v>1.1299999999999999</v>
      </c>
      <c r="E737" s="5">
        <v>2.25</v>
      </c>
      <c r="F737" s="5">
        <v>0.74</v>
      </c>
      <c r="G737" s="7">
        <v>0</v>
      </c>
      <c r="H737" s="8"/>
      <c r="I737" s="14">
        <v>164.77</v>
      </c>
      <c r="J737" s="15">
        <v>330.08</v>
      </c>
      <c r="K737" s="15">
        <v>3443.72</v>
      </c>
      <c r="L737" s="15">
        <v>275</v>
      </c>
      <c r="M737" s="15">
        <v>158.08000000000001</v>
      </c>
      <c r="O737" s="15">
        <f t="shared" si="23"/>
        <v>-0.32062915910465728</v>
      </c>
      <c r="P737" s="15">
        <f t="shared" si="23"/>
        <v>-0.15426963913003355</v>
      </c>
      <c r="Q737" s="15">
        <f t="shared" si="23"/>
        <v>-1.806351170635323</v>
      </c>
      <c r="R737" s="15">
        <f t="shared" si="23"/>
        <v>-0.61079186092739546</v>
      </c>
      <c r="S737" s="15">
        <f t="shared" si="23"/>
        <v>1.3788238312063106</v>
      </c>
    </row>
    <row r="738" spans="1:19" ht="12.75">
      <c r="A738" s="6">
        <v>20211202</v>
      </c>
      <c r="B738" s="5">
        <v>1.51</v>
      </c>
      <c r="C738" s="5">
        <v>1.01</v>
      </c>
      <c r="D738" s="5">
        <v>1.26</v>
      </c>
      <c r="E738" s="5">
        <v>-0.66</v>
      </c>
      <c r="F738" s="5">
        <v>7.0000000000000007E-2</v>
      </c>
      <c r="G738" s="7">
        <v>0</v>
      </c>
      <c r="H738" s="8"/>
      <c r="I738" s="14">
        <v>163.76</v>
      </c>
      <c r="J738" s="15">
        <v>329.49</v>
      </c>
      <c r="K738" s="15">
        <v>3437.36</v>
      </c>
      <c r="L738" s="15">
        <v>279.08999999999997</v>
      </c>
      <c r="M738" s="15">
        <v>157.09</v>
      </c>
      <c r="O738" s="15">
        <f t="shared" si="23"/>
        <v>-0.61297566304546747</v>
      </c>
      <c r="P738" s="15">
        <f t="shared" si="23"/>
        <v>-0.17874454677653251</v>
      </c>
      <c r="Q738" s="15">
        <f t="shared" si="23"/>
        <v>-0.18468400450674105</v>
      </c>
      <c r="R738" s="15">
        <f t="shared" si="23"/>
        <v>1.4872727272727149</v>
      </c>
      <c r="S738" s="15">
        <f t="shared" si="23"/>
        <v>-0.62626518218623639</v>
      </c>
    </row>
    <row r="739" spans="1:19" ht="12.75">
      <c r="A739" s="6">
        <v>20211203</v>
      </c>
      <c r="B739" s="5">
        <v>-1.21</v>
      </c>
      <c r="C739" s="5">
        <v>-0.83</v>
      </c>
      <c r="D739" s="5">
        <v>1.05</v>
      </c>
      <c r="E739" s="5">
        <v>1.79</v>
      </c>
      <c r="F739" s="5">
        <v>1.02</v>
      </c>
      <c r="G739" s="7">
        <v>0</v>
      </c>
      <c r="H739" s="8"/>
      <c r="I739" s="14">
        <v>161.84</v>
      </c>
      <c r="J739" s="15">
        <v>323.01</v>
      </c>
      <c r="K739" s="15">
        <v>3389.79</v>
      </c>
      <c r="L739" s="15">
        <v>277.43</v>
      </c>
      <c r="M739" s="15">
        <v>159.38</v>
      </c>
      <c r="O739" s="15">
        <f t="shared" si="23"/>
        <v>-1.1724474841230959</v>
      </c>
      <c r="P739" s="15">
        <f t="shared" si="23"/>
        <v>-1.9666757716470973</v>
      </c>
      <c r="Q739" s="15">
        <f t="shared" si="23"/>
        <v>-1.383910908371544</v>
      </c>
      <c r="R739" s="15">
        <f t="shared" si="23"/>
        <v>-0.59479021104301699</v>
      </c>
      <c r="S739" s="15">
        <f t="shared" si="23"/>
        <v>1.4577630657584884</v>
      </c>
    </row>
    <row r="740" spans="1:19" ht="12.75">
      <c r="A740" s="6">
        <v>20211206</v>
      </c>
      <c r="B740" s="5">
        <v>1.19</v>
      </c>
      <c r="C740" s="5">
        <v>0.83</v>
      </c>
      <c r="D740" s="5">
        <v>0.61</v>
      </c>
      <c r="E740" s="5">
        <v>0.11</v>
      </c>
      <c r="F740" s="5">
        <v>0.61</v>
      </c>
      <c r="G740" s="7">
        <v>0</v>
      </c>
      <c r="H740" s="8"/>
      <c r="I740" s="14">
        <v>165.32</v>
      </c>
      <c r="J740" s="15">
        <v>326.19</v>
      </c>
      <c r="K740" s="15">
        <v>3427.37</v>
      </c>
      <c r="L740" s="15">
        <v>281.38</v>
      </c>
      <c r="M740" s="15">
        <v>162.94</v>
      </c>
      <c r="O740" s="15">
        <f t="shared" si="23"/>
        <v>2.1502718734552673</v>
      </c>
      <c r="P740" s="15">
        <f t="shared" si="23"/>
        <v>0.98448964428345942</v>
      </c>
      <c r="Q740" s="15">
        <f t="shared" si="23"/>
        <v>1.1086232480478131</v>
      </c>
      <c r="R740" s="15">
        <f t="shared" si="23"/>
        <v>1.4237825757848821</v>
      </c>
      <c r="S740" s="15">
        <f t="shared" si="23"/>
        <v>2.2336554147320831</v>
      </c>
    </row>
    <row r="741" spans="1:19" ht="12.75">
      <c r="A741" s="6">
        <v>20211207</v>
      </c>
      <c r="B741" s="5">
        <v>2.2200000000000002</v>
      </c>
      <c r="C741" s="5">
        <v>-0.18</v>
      </c>
      <c r="D741" s="5">
        <v>-1.78</v>
      </c>
      <c r="E741" s="5">
        <v>-1.47</v>
      </c>
      <c r="F741" s="5">
        <v>-0.44</v>
      </c>
      <c r="G741" s="7">
        <v>0</v>
      </c>
      <c r="H741" s="8"/>
      <c r="I741" s="14">
        <v>171.18</v>
      </c>
      <c r="J741" s="15">
        <v>334.92</v>
      </c>
      <c r="K741" s="15">
        <v>3523.29</v>
      </c>
      <c r="L741" s="15">
        <v>284.97000000000003</v>
      </c>
      <c r="M741" s="15">
        <v>163.36000000000001</v>
      </c>
      <c r="O741" s="15">
        <f t="shared" si="23"/>
        <v>3.5446406968304034</v>
      </c>
      <c r="P741" s="15">
        <f t="shared" si="23"/>
        <v>2.6763542720500411</v>
      </c>
      <c r="Q741" s="15">
        <f t="shared" si="23"/>
        <v>2.7986473593454964</v>
      </c>
      <c r="R741" s="15">
        <f t="shared" si="23"/>
        <v>1.2758547160423683</v>
      </c>
      <c r="S741" s="15">
        <f t="shared" si="23"/>
        <v>0.25776359396096904</v>
      </c>
    </row>
    <row r="742" spans="1:19" ht="12.75">
      <c r="A742" s="6">
        <v>20211208</v>
      </c>
      <c r="B742" s="5">
        <v>0.47</v>
      </c>
      <c r="C742" s="5">
        <v>0.34</v>
      </c>
      <c r="D742" s="5">
        <v>-0.84</v>
      </c>
      <c r="E742" s="5">
        <v>-0.95</v>
      </c>
      <c r="F742" s="5">
        <v>0.22</v>
      </c>
      <c r="G742" s="7">
        <v>0</v>
      </c>
      <c r="H742" s="8"/>
      <c r="I742" s="14">
        <v>175.08</v>
      </c>
      <c r="J742" s="15">
        <v>334.97</v>
      </c>
      <c r="K742" s="15">
        <v>3523.16</v>
      </c>
      <c r="L742" s="15">
        <v>283.72000000000003</v>
      </c>
      <c r="M742" s="15">
        <v>164.34</v>
      </c>
      <c r="O742" s="15">
        <f t="shared" si="23"/>
        <v>2.2783035401331864</v>
      </c>
      <c r="P742" s="15">
        <f t="shared" si="23"/>
        <v>1.4928938253921942E-2</v>
      </c>
      <c r="Q742" s="15">
        <f t="shared" si="23"/>
        <v>-3.6897331755270102E-3</v>
      </c>
      <c r="R742" s="15">
        <f t="shared" si="23"/>
        <v>-0.43864266414008757</v>
      </c>
      <c r="S742" s="15">
        <f t="shared" si="23"/>
        <v>0.59990205680704456</v>
      </c>
    </row>
    <row r="743" spans="1:19" ht="12.75">
      <c r="A743" s="6">
        <v>20211209</v>
      </c>
      <c r="B743" s="5">
        <v>-1.07</v>
      </c>
      <c r="C743" s="5">
        <v>-1.05</v>
      </c>
      <c r="D743" s="5">
        <v>1.55</v>
      </c>
      <c r="E743" s="5">
        <v>1.42</v>
      </c>
      <c r="F743" s="5">
        <v>0.97</v>
      </c>
      <c r="G743" s="7">
        <v>0</v>
      </c>
      <c r="H743" s="8"/>
      <c r="I743" s="14">
        <v>174.56</v>
      </c>
      <c r="J743" s="15">
        <v>333.1</v>
      </c>
      <c r="K743" s="15">
        <v>3483.42</v>
      </c>
      <c r="L743" s="15">
        <v>284.52</v>
      </c>
      <c r="M743" s="15">
        <v>165.9</v>
      </c>
      <c r="O743" s="15">
        <f t="shared" si="23"/>
        <v>-0.2970070824765858</v>
      </c>
      <c r="P743" s="15">
        <f t="shared" si="23"/>
        <v>-0.5582589485625622</v>
      </c>
      <c r="Q743" s="15">
        <f t="shared" si="23"/>
        <v>-1.1279646680820599</v>
      </c>
      <c r="R743" s="15">
        <f t="shared" si="23"/>
        <v>0.28196813760044126</v>
      </c>
      <c r="S743" s="15">
        <f t="shared" si="23"/>
        <v>0.94925155166118991</v>
      </c>
    </row>
    <row r="744" spans="1:19" ht="12.75">
      <c r="A744" s="6">
        <v>20211210</v>
      </c>
      <c r="B744" s="5">
        <v>0.7</v>
      </c>
      <c r="C744" s="5">
        <v>-0.85</v>
      </c>
      <c r="D744" s="5">
        <v>0.45</v>
      </c>
      <c r="E744" s="5">
        <v>1.37</v>
      </c>
      <c r="F744" s="5">
        <v>0.75</v>
      </c>
      <c r="G744" s="7">
        <v>0</v>
      </c>
      <c r="H744" s="8"/>
      <c r="I744" s="14">
        <v>179.45</v>
      </c>
      <c r="J744" s="15">
        <v>342.54</v>
      </c>
      <c r="K744" s="15">
        <v>3444.24</v>
      </c>
      <c r="L744" s="15">
        <v>288.23</v>
      </c>
      <c r="M744" s="15">
        <v>165.49</v>
      </c>
      <c r="O744" s="15">
        <f t="shared" si="23"/>
        <v>2.8013290559119941</v>
      </c>
      <c r="P744" s="15">
        <f t="shared" si="23"/>
        <v>2.8339837886520503</v>
      </c>
      <c r="Q744" s="15">
        <f t="shared" si="23"/>
        <v>-1.1247567046178797</v>
      </c>
      <c r="R744" s="15">
        <f t="shared" si="23"/>
        <v>1.303950513144958</v>
      </c>
      <c r="S744" s="15">
        <f t="shared" si="23"/>
        <v>-0.24713682941530646</v>
      </c>
    </row>
    <row r="745" spans="1:19" ht="12.75">
      <c r="A745" s="6">
        <v>20211213</v>
      </c>
      <c r="B745" s="5">
        <v>-1.04</v>
      </c>
      <c r="C745" s="5">
        <v>-0.3</v>
      </c>
      <c r="D745" s="5">
        <v>-0.96</v>
      </c>
      <c r="E745" s="5">
        <v>0.28999999999999998</v>
      </c>
      <c r="F745" s="5">
        <v>-0.32</v>
      </c>
      <c r="G745" s="7">
        <v>0</v>
      </c>
      <c r="H745" s="8"/>
      <c r="I745" s="14">
        <v>175.74</v>
      </c>
      <c r="J745" s="15">
        <v>339.4</v>
      </c>
      <c r="K745" s="15">
        <v>3391.35</v>
      </c>
      <c r="L745" s="15">
        <v>290.01</v>
      </c>
      <c r="M745" s="15">
        <v>168.45</v>
      </c>
      <c r="O745" s="15">
        <f t="shared" si="23"/>
        <v>-2.0674282529952515</v>
      </c>
      <c r="P745" s="15">
        <f t="shared" si="23"/>
        <v>-0.91668126350208379</v>
      </c>
      <c r="Q745" s="15">
        <f t="shared" si="23"/>
        <v>-1.5356072747543692</v>
      </c>
      <c r="R745" s="15">
        <f t="shared" si="23"/>
        <v>0.61756236339034487</v>
      </c>
      <c r="S745" s="15">
        <f t="shared" si="23"/>
        <v>1.7886277116441862</v>
      </c>
    </row>
    <row r="746" spans="1:19" ht="12.75">
      <c r="A746" s="6">
        <v>20211214</v>
      </c>
      <c r="B746" s="5">
        <v>-0.76</v>
      </c>
      <c r="C746" s="5">
        <v>-0.34</v>
      </c>
      <c r="D746" s="5">
        <v>1.63</v>
      </c>
      <c r="E746" s="5">
        <v>0.39</v>
      </c>
      <c r="F746" s="5">
        <v>0.16</v>
      </c>
      <c r="G746" s="7">
        <v>0</v>
      </c>
      <c r="H746" s="8"/>
      <c r="I746" s="14">
        <v>174.33</v>
      </c>
      <c r="J746" s="15">
        <v>328.34</v>
      </c>
      <c r="K746" s="15">
        <v>3381.83</v>
      </c>
      <c r="L746" s="15">
        <v>295.02999999999997</v>
      </c>
      <c r="M746" s="15">
        <v>170.29</v>
      </c>
      <c r="O746" s="15">
        <f t="shared" si="23"/>
        <v>-0.80232161147149039</v>
      </c>
      <c r="P746" s="15">
        <f t="shared" si="23"/>
        <v>-3.2586918090748429</v>
      </c>
      <c r="Q746" s="15">
        <f t="shared" si="23"/>
        <v>-0.28071416987335285</v>
      </c>
      <c r="R746" s="15">
        <f t="shared" si="23"/>
        <v>1.7309747939726172</v>
      </c>
      <c r="S746" s="15">
        <f t="shared" si="23"/>
        <v>1.0923122588305079</v>
      </c>
    </row>
    <row r="747" spans="1:19" ht="12.75">
      <c r="A747" s="6">
        <v>20211215</v>
      </c>
      <c r="B747" s="5">
        <v>1.62</v>
      </c>
      <c r="C747" s="5">
        <v>0.01</v>
      </c>
      <c r="D747" s="5">
        <v>-1.89</v>
      </c>
      <c r="E747" s="5">
        <v>0.03</v>
      </c>
      <c r="F747" s="5">
        <v>-0.37</v>
      </c>
      <c r="G747" s="7">
        <v>0</v>
      </c>
      <c r="H747" s="8"/>
      <c r="I747" s="14">
        <v>179.3</v>
      </c>
      <c r="J747" s="15">
        <v>334.65</v>
      </c>
      <c r="K747" s="15">
        <v>3466.3</v>
      </c>
      <c r="L747" s="15">
        <v>294.58</v>
      </c>
      <c r="M747" s="15">
        <v>171.14</v>
      </c>
      <c r="O747" s="15">
        <f t="shared" si="23"/>
        <v>2.8509149314518423</v>
      </c>
      <c r="P747" s="15">
        <f t="shared" si="23"/>
        <v>1.9217883900834565</v>
      </c>
      <c r="Q747" s="15">
        <f t="shared" si="23"/>
        <v>2.4977600884728224</v>
      </c>
      <c r="R747" s="15">
        <f t="shared" si="23"/>
        <v>-0.15252686167508411</v>
      </c>
      <c r="S747" s="15">
        <f t="shared" si="23"/>
        <v>0.49914851136296789</v>
      </c>
    </row>
    <row r="748" spans="1:19" ht="12.75">
      <c r="A748" s="6">
        <v>20211216</v>
      </c>
      <c r="B748" s="5">
        <v>-1.2</v>
      </c>
      <c r="C748" s="5">
        <v>-0.84</v>
      </c>
      <c r="D748" s="5">
        <v>2.79</v>
      </c>
      <c r="E748" s="5">
        <v>0.64</v>
      </c>
      <c r="F748" s="5">
        <v>0.63</v>
      </c>
      <c r="G748" s="7">
        <v>0</v>
      </c>
      <c r="H748" s="8"/>
      <c r="I748" s="14">
        <v>172.26</v>
      </c>
      <c r="J748" s="15">
        <v>324.89999999999998</v>
      </c>
      <c r="K748" s="15">
        <v>3377.42</v>
      </c>
      <c r="L748" s="15">
        <v>300.17</v>
      </c>
      <c r="M748" s="15">
        <v>173.01</v>
      </c>
      <c r="O748" s="15">
        <f t="shared" si="23"/>
        <v>-3.9263803680981701</v>
      </c>
      <c r="P748" s="15">
        <f t="shared" si="23"/>
        <v>-2.9134917077543676</v>
      </c>
      <c r="Q748" s="15">
        <f t="shared" si="23"/>
        <v>-2.5641173585667754</v>
      </c>
      <c r="R748" s="15">
        <f t="shared" si="23"/>
        <v>1.8976169461606407</v>
      </c>
      <c r="S748" s="15">
        <f t="shared" si="23"/>
        <v>1.0926726656538488</v>
      </c>
    </row>
    <row r="749" spans="1:19" ht="12.75">
      <c r="A749" s="6">
        <v>20211217</v>
      </c>
      <c r="B749" s="5">
        <v>-0.65</v>
      </c>
      <c r="C749" s="5">
        <v>1.44</v>
      </c>
      <c r="D749" s="5">
        <v>-2.3199999999999998</v>
      </c>
      <c r="E749" s="5">
        <v>-1.69</v>
      </c>
      <c r="F749" s="5">
        <v>-0.37</v>
      </c>
      <c r="G749" s="7">
        <v>0</v>
      </c>
      <c r="H749" s="8"/>
      <c r="I749" s="14">
        <v>171.14</v>
      </c>
      <c r="J749" s="15">
        <v>323.8</v>
      </c>
      <c r="K749" s="15">
        <v>3400.35</v>
      </c>
      <c r="L749" s="15">
        <v>293.66000000000003</v>
      </c>
      <c r="M749" s="15">
        <v>168.23</v>
      </c>
      <c r="O749" s="15">
        <f t="shared" si="23"/>
        <v>-0.65017996052478821</v>
      </c>
      <c r="P749" s="15">
        <f t="shared" si="23"/>
        <v>-0.33856571252691703</v>
      </c>
      <c r="Q749" s="15">
        <f t="shared" si="23"/>
        <v>0.67892059619472089</v>
      </c>
      <c r="R749" s="15">
        <f t="shared" si="23"/>
        <v>-2.1687710297498053</v>
      </c>
      <c r="S749" s="15">
        <f t="shared" si="23"/>
        <v>-2.7628460782613717</v>
      </c>
    </row>
    <row r="750" spans="1:19" ht="12.75">
      <c r="A750" s="6">
        <v>20211220</v>
      </c>
      <c r="B750" s="5">
        <v>-1.27</v>
      </c>
      <c r="C750" s="5">
        <v>-0.2</v>
      </c>
      <c r="D750" s="5">
        <v>-0.4</v>
      </c>
      <c r="E750" s="5">
        <v>0.03</v>
      </c>
      <c r="F750" s="5">
        <v>0.16</v>
      </c>
      <c r="G750" s="7">
        <v>0</v>
      </c>
      <c r="H750" s="8"/>
      <c r="I750" s="14">
        <v>169.75</v>
      </c>
      <c r="J750" s="15">
        <v>319.91000000000003</v>
      </c>
      <c r="K750" s="15">
        <v>3341.58</v>
      </c>
      <c r="L750" s="15">
        <v>289.61</v>
      </c>
      <c r="M750" s="15">
        <v>167.75</v>
      </c>
      <c r="O750" s="15">
        <f t="shared" si="23"/>
        <v>-0.8122005375715724</v>
      </c>
      <c r="P750" s="15">
        <f t="shared" si="23"/>
        <v>-1.2013588634959826</v>
      </c>
      <c r="Q750" s="15">
        <f t="shared" si="23"/>
        <v>-1.7283514932286415</v>
      </c>
      <c r="R750" s="15">
        <f t="shared" si="23"/>
        <v>-1.3791459510999138</v>
      </c>
      <c r="S750" s="15">
        <f t="shared" si="23"/>
        <v>-0.28532366403137832</v>
      </c>
    </row>
    <row r="751" spans="1:19" ht="12.75">
      <c r="A751" s="6">
        <v>20211221</v>
      </c>
      <c r="B751" s="5">
        <v>2.06</v>
      </c>
      <c r="C751" s="5">
        <v>0.67</v>
      </c>
      <c r="D751" s="5">
        <v>0.19</v>
      </c>
      <c r="E751" s="5">
        <v>-1.08</v>
      </c>
      <c r="F751" s="5">
        <v>-0.2</v>
      </c>
      <c r="G751" s="7">
        <v>0</v>
      </c>
      <c r="H751" s="8"/>
      <c r="I751" s="14">
        <v>172.99</v>
      </c>
      <c r="J751" s="15">
        <v>327.29000000000002</v>
      </c>
      <c r="K751" s="15">
        <v>3408.34</v>
      </c>
      <c r="L751" s="15">
        <v>293.24</v>
      </c>
      <c r="M751" s="15">
        <v>167.21</v>
      </c>
      <c r="O751" s="15">
        <f t="shared" si="23"/>
        <v>1.9086892488954454</v>
      </c>
      <c r="P751" s="15">
        <f t="shared" si="23"/>
        <v>2.3068988152918024</v>
      </c>
      <c r="Q751" s="15">
        <f t="shared" si="23"/>
        <v>1.9978573010372314</v>
      </c>
      <c r="R751" s="15">
        <f t="shared" si="23"/>
        <v>1.2534097579503412</v>
      </c>
      <c r="S751" s="15">
        <f t="shared" si="23"/>
        <v>-0.32190760059611634</v>
      </c>
    </row>
    <row r="752" spans="1:19" ht="12.75">
      <c r="A752" s="6">
        <v>20211222</v>
      </c>
      <c r="B752" s="5">
        <v>0.97</v>
      </c>
      <c r="C752" s="5">
        <v>0.18</v>
      </c>
      <c r="D752" s="5">
        <v>-0.35</v>
      </c>
      <c r="E752" s="5">
        <v>0.31</v>
      </c>
      <c r="F752" s="5">
        <v>7.0000000000000007E-2</v>
      </c>
      <c r="G752" s="7">
        <v>0</v>
      </c>
      <c r="H752" s="8"/>
      <c r="I752" s="14">
        <v>175.64</v>
      </c>
      <c r="J752" s="15">
        <v>333.2</v>
      </c>
      <c r="K752" s="15">
        <v>3420.74</v>
      </c>
      <c r="L752" s="15">
        <v>294.41000000000003</v>
      </c>
      <c r="M752" s="15">
        <v>167.93</v>
      </c>
      <c r="O752" s="15">
        <f t="shared" si="23"/>
        <v>1.5318804555176424</v>
      </c>
      <c r="P752" s="15">
        <f t="shared" si="23"/>
        <v>1.8057380304928206</v>
      </c>
      <c r="Q752" s="15">
        <f t="shared" si="23"/>
        <v>0.36381346931348979</v>
      </c>
      <c r="R752" s="15">
        <f t="shared" si="23"/>
        <v>0.3989905879143496</v>
      </c>
      <c r="S752" s="15">
        <f t="shared" si="23"/>
        <v>0.43059625620476272</v>
      </c>
    </row>
    <row r="753" spans="1:19" ht="12.75">
      <c r="A753" s="6">
        <v>20211223</v>
      </c>
      <c r="B753" s="5">
        <v>0.71</v>
      </c>
      <c r="C753" s="5">
        <v>0.28000000000000003</v>
      </c>
      <c r="D753" s="5">
        <v>-0.48</v>
      </c>
      <c r="E753" s="5">
        <v>-0.37</v>
      </c>
      <c r="F753" s="5">
        <v>-0.37</v>
      </c>
      <c r="G753" s="7">
        <v>0</v>
      </c>
      <c r="H753" s="8"/>
      <c r="I753" s="14">
        <v>176.28</v>
      </c>
      <c r="J753" s="15">
        <v>334.69</v>
      </c>
      <c r="K753" s="15">
        <v>3421.37</v>
      </c>
      <c r="L753" s="15">
        <v>294.49</v>
      </c>
      <c r="M753" s="15">
        <v>168.25</v>
      </c>
      <c r="O753" s="15">
        <f t="shared" si="23"/>
        <v>0.36438168982009245</v>
      </c>
      <c r="P753" s="15">
        <f t="shared" si="23"/>
        <v>0.44717887154861469</v>
      </c>
      <c r="Q753" s="15">
        <f t="shared" si="23"/>
        <v>1.8417067652021224E-2</v>
      </c>
      <c r="R753" s="15">
        <f t="shared" si="23"/>
        <v>2.7172990047885648E-2</v>
      </c>
      <c r="S753" s="15">
        <f t="shared" si="23"/>
        <v>0.19055558863811939</v>
      </c>
    </row>
    <row r="754" spans="1:19" ht="12.75">
      <c r="A754" s="6">
        <v>20211227</v>
      </c>
      <c r="B754" s="5">
        <v>1.22</v>
      </c>
      <c r="C754" s="5">
        <v>-0.11</v>
      </c>
      <c r="D754" s="5">
        <v>0.28000000000000003</v>
      </c>
      <c r="E754" s="5">
        <v>0.97</v>
      </c>
      <c r="F754" s="5">
        <v>0.47</v>
      </c>
      <c r="G754" s="7">
        <v>0</v>
      </c>
      <c r="H754" s="8"/>
      <c r="I754" s="14">
        <v>180.33</v>
      </c>
      <c r="J754" s="15">
        <v>342.45</v>
      </c>
      <c r="K754" s="15">
        <v>3393.39</v>
      </c>
      <c r="L754" s="15">
        <v>296.67</v>
      </c>
      <c r="M754" s="15">
        <v>169.67</v>
      </c>
      <c r="O754" s="15">
        <f t="shared" si="23"/>
        <v>2.2974812797821764</v>
      </c>
      <c r="P754" s="15">
        <f t="shared" si="23"/>
        <v>2.3185634467716376</v>
      </c>
      <c r="Q754" s="15">
        <f t="shared" si="23"/>
        <v>-0.81780105630200328</v>
      </c>
      <c r="R754" s="15">
        <f t="shared" si="23"/>
        <v>0.74026282726069592</v>
      </c>
      <c r="S754" s="15">
        <f t="shared" si="23"/>
        <v>0.84398216939078896</v>
      </c>
    </row>
    <row r="755" spans="1:19" ht="12.75">
      <c r="A755" s="6">
        <v>20211228</v>
      </c>
      <c r="B755" s="5">
        <v>-0.27</v>
      </c>
      <c r="C755" s="5">
        <v>-0.41</v>
      </c>
      <c r="D755" s="5">
        <v>0.8</v>
      </c>
      <c r="E755" s="5">
        <v>0.83</v>
      </c>
      <c r="F755" s="5">
        <v>0.21</v>
      </c>
      <c r="G755" s="7">
        <v>0</v>
      </c>
      <c r="H755" s="8"/>
      <c r="I755" s="14">
        <v>179.29</v>
      </c>
      <c r="J755" s="15">
        <v>341.25</v>
      </c>
      <c r="K755" s="15">
        <v>3413.22</v>
      </c>
      <c r="L755" s="15">
        <v>298.29000000000002</v>
      </c>
      <c r="M755" s="15">
        <v>170.35</v>
      </c>
      <c r="O755" s="15">
        <f t="shared" si="23"/>
        <v>-0.5767204569400608</v>
      </c>
      <c r="P755" s="15">
        <f t="shared" si="23"/>
        <v>-0.3504161191414723</v>
      </c>
      <c r="Q755" s="15">
        <f t="shared" si="23"/>
        <v>0.58437138083156093</v>
      </c>
      <c r="R755" s="15">
        <f t="shared" si="23"/>
        <v>0.5460612802103304</v>
      </c>
      <c r="S755" s="15">
        <f t="shared" si="23"/>
        <v>0.40077798078623772</v>
      </c>
    </row>
    <row r="756" spans="1:19" ht="12.75">
      <c r="A756" s="6">
        <v>20211229</v>
      </c>
      <c r="B756" s="5">
        <v>0.06</v>
      </c>
      <c r="C756" s="5">
        <v>-0.01</v>
      </c>
      <c r="D756" s="5">
        <v>0.15</v>
      </c>
      <c r="E756" s="5">
        <v>0.67</v>
      </c>
      <c r="F756" s="5">
        <v>-0.01</v>
      </c>
      <c r="G756" s="7">
        <v>0</v>
      </c>
      <c r="H756" s="8"/>
      <c r="I756" s="14">
        <v>179.38</v>
      </c>
      <c r="J756" s="15">
        <v>341.95</v>
      </c>
      <c r="K756" s="15">
        <v>3384.02</v>
      </c>
      <c r="L756" s="15">
        <v>299.45999999999998</v>
      </c>
      <c r="M756" s="15">
        <v>171.55</v>
      </c>
      <c r="O756" s="15">
        <f t="shared" si="23"/>
        <v>5.0198003234980249E-2</v>
      </c>
      <c r="P756" s="15">
        <f t="shared" si="23"/>
        <v>0.20512820512819108</v>
      </c>
      <c r="Q756" s="15">
        <f t="shared" si="23"/>
        <v>-0.85549715517897473</v>
      </c>
      <c r="R756" s="15">
        <f t="shared" si="23"/>
        <v>0.39223574373929981</v>
      </c>
      <c r="S756" s="15">
        <f t="shared" si="23"/>
        <v>0.70443205165835465</v>
      </c>
    </row>
    <row r="757" spans="1:19" ht="12.75">
      <c r="A757" s="6">
        <v>20211230</v>
      </c>
      <c r="B757" s="5">
        <v>-0.15</v>
      </c>
      <c r="C757" s="5">
        <v>0.06</v>
      </c>
      <c r="D757" s="5">
        <v>-0.38</v>
      </c>
      <c r="E757" s="5">
        <v>-0.82</v>
      </c>
      <c r="F757" s="5">
        <v>-0.41</v>
      </c>
      <c r="G757" s="7">
        <v>0</v>
      </c>
      <c r="H757" s="8"/>
      <c r="I757" s="14">
        <v>178.2</v>
      </c>
      <c r="J757" s="15">
        <v>339.32</v>
      </c>
      <c r="K757" s="15">
        <v>3372.89</v>
      </c>
      <c r="L757" s="15">
        <v>299.98</v>
      </c>
      <c r="M757" s="15">
        <v>172.31</v>
      </c>
      <c r="O757" s="15">
        <f t="shared" si="23"/>
        <v>-0.65782138476976337</v>
      </c>
      <c r="P757" s="15">
        <f t="shared" si="23"/>
        <v>-0.76911829214797445</v>
      </c>
      <c r="Q757" s="15">
        <f t="shared" si="23"/>
        <v>-0.32889876537373075</v>
      </c>
      <c r="R757" s="15">
        <f t="shared" si="23"/>
        <v>0.17364589594603963</v>
      </c>
      <c r="S757" s="15">
        <f t="shared" si="23"/>
        <v>0.44301952783445397</v>
      </c>
    </row>
    <row r="758" spans="1:19" ht="12.75">
      <c r="A758" s="6">
        <v>20211231</v>
      </c>
      <c r="B758" s="5">
        <v>-0.31</v>
      </c>
      <c r="C758" s="5">
        <v>0.18</v>
      </c>
      <c r="D758" s="5">
        <v>0.53</v>
      </c>
      <c r="E758" s="5">
        <v>0.34</v>
      </c>
      <c r="F758" s="5">
        <v>0.42</v>
      </c>
      <c r="G758" s="7">
        <v>0</v>
      </c>
      <c r="H758" s="8"/>
      <c r="I758" s="14">
        <v>177.57</v>
      </c>
      <c r="J758" s="15">
        <v>336.32</v>
      </c>
      <c r="K758" s="15">
        <v>3334.34</v>
      </c>
      <c r="L758" s="15">
        <v>299</v>
      </c>
      <c r="M758" s="15">
        <v>171.07</v>
      </c>
      <c r="O758" s="15">
        <f t="shared" si="23"/>
        <v>-0.35353535353535026</v>
      </c>
      <c r="P758" s="15">
        <f t="shared" si="23"/>
        <v>-0.88412118354356251</v>
      </c>
      <c r="Q758" s="15">
        <f t="shared" si="23"/>
        <v>-1.1429367693580161</v>
      </c>
      <c r="R758" s="15">
        <f t="shared" si="23"/>
        <v>-0.32668844589639479</v>
      </c>
      <c r="S758" s="15">
        <f t="shared" si="23"/>
        <v>-0.71963321919795709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Copy of Sheet1</vt:lpstr>
      <vt:lpstr>Copy of Copy of 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WEIJIE DIAO</cp:lastModifiedBy>
  <dcterms:modified xsi:type="dcterms:W3CDTF">2022-02-12T20:11:28Z</dcterms:modified>
</cp:coreProperties>
</file>