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130B1EF-0861-4E05-AD0D-7EFAB881F0B2}" xr6:coauthVersionLast="45" xr6:coauthVersionMax="45" xr10:uidLastSave="{00000000-0000-0000-0000-000000000000}"/>
  <bookViews>
    <workbookView xWindow="-108" yWindow="-108" windowWidth="23256" windowHeight="12576" activeTab="2" xr2:uid="{12353C75-D0F0-40E4-929C-21B28571AA28}"/>
  </bookViews>
  <sheets>
    <sheet name="Main" sheetId="1" r:id="rId1"/>
    <sheet name="Model" sheetId="2" r:id="rId2"/>
    <sheet name="Currency" sheetId="3" r:id="rId3"/>
  </sheets>
  <definedNames>
    <definedName name="ExternalData_1" localSheetId="2" hidden="1">Currency!$A$1:$K$2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2" l="1"/>
  <c r="AE24" i="2"/>
  <c r="AE26" i="2" s="1"/>
  <c r="AE27" i="2" s="1"/>
  <c r="AE29" i="2" s="1"/>
  <c r="AE25" i="2"/>
  <c r="AD13" i="2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AC13" i="2"/>
  <c r="S32" i="2" l="1"/>
  <c r="S29" i="2"/>
  <c r="T9" i="2" l="1"/>
  <c r="T12" i="2"/>
  <c r="T32" i="2" s="1"/>
  <c r="R12" i="2"/>
  <c r="R32" i="2" s="1"/>
  <c r="R6" i="2"/>
  <c r="R26" i="2" s="1"/>
  <c r="Q12" i="2"/>
  <c r="Q32" i="2" s="1"/>
  <c r="Q11" i="2"/>
  <c r="Q31" i="2" s="1"/>
  <c r="Q7" i="2"/>
  <c r="Q27" i="2" s="1"/>
  <c r="Q4" i="2"/>
  <c r="Q24" i="2" s="1"/>
  <c r="Q25" i="2" s="1"/>
  <c r="Q3" i="2"/>
  <c r="Q23" i="2" s="1"/>
  <c r="P12" i="2"/>
  <c r="P32" i="2" s="1"/>
  <c r="P11" i="2"/>
  <c r="P31" i="2" s="1"/>
  <c r="P7" i="2"/>
  <c r="P27" i="2" s="1"/>
  <c r="P4" i="2"/>
  <c r="P24" i="2" s="1"/>
  <c r="P3" i="2"/>
  <c r="P23" i="2" s="1"/>
  <c r="N3" i="2"/>
  <c r="M3" i="2"/>
  <c r="M5" i="2" s="1"/>
  <c r="N7" i="2"/>
  <c r="R7" i="2" s="1"/>
  <c r="M7" i="2"/>
  <c r="N5" i="2"/>
  <c r="N18" i="2" s="1"/>
  <c r="L17" i="2"/>
  <c r="K17" i="2"/>
  <c r="J17" i="2"/>
  <c r="I17" i="2"/>
  <c r="H17" i="2"/>
  <c r="G17" i="2"/>
  <c r="J19" i="2"/>
  <c r="H18" i="2"/>
  <c r="D18" i="2"/>
  <c r="D9" i="2"/>
  <c r="D6" i="2"/>
  <c r="D5" i="2"/>
  <c r="D8" i="2" s="1"/>
  <c r="D10" i="2" s="1"/>
  <c r="D13" i="2" s="1"/>
  <c r="D15" i="2" s="1"/>
  <c r="E9" i="2"/>
  <c r="E6" i="2"/>
  <c r="E5" i="2"/>
  <c r="E18" i="2" s="1"/>
  <c r="C9" i="2"/>
  <c r="P9" i="2" s="1"/>
  <c r="P29" i="2" s="1"/>
  <c r="C6" i="2"/>
  <c r="C5" i="2"/>
  <c r="C18" i="2" s="1"/>
  <c r="G9" i="2"/>
  <c r="Q9" i="2" s="1"/>
  <c r="Q29" i="2" s="1"/>
  <c r="G6" i="2"/>
  <c r="Q6" i="2" s="1"/>
  <c r="Q26" i="2" s="1"/>
  <c r="G5" i="2"/>
  <c r="G18" i="2" s="1"/>
  <c r="F9" i="2"/>
  <c r="F6" i="2"/>
  <c r="P6" i="2" s="1"/>
  <c r="P26" i="2" s="1"/>
  <c r="F5" i="2"/>
  <c r="F18" i="2" s="1"/>
  <c r="I9" i="2"/>
  <c r="I6" i="2"/>
  <c r="I5" i="2"/>
  <c r="I8" i="2" s="1"/>
  <c r="I19" i="2" s="1"/>
  <c r="J9" i="2"/>
  <c r="J6" i="2"/>
  <c r="J5" i="2"/>
  <c r="J8" i="2" s="1"/>
  <c r="H9" i="2"/>
  <c r="H6" i="2"/>
  <c r="H5" i="2"/>
  <c r="K9" i="2"/>
  <c r="R9" i="2" s="1"/>
  <c r="R29" i="2" s="1"/>
  <c r="L9" i="2"/>
  <c r="K6" i="2"/>
  <c r="K5" i="2"/>
  <c r="K18" i="2" s="1"/>
  <c r="L12" i="2"/>
  <c r="L6" i="2"/>
  <c r="L5" i="2"/>
  <c r="L8" i="2" s="1"/>
  <c r="L10" i="2" s="1"/>
  <c r="L20" i="2" s="1"/>
  <c r="F3" i="1"/>
  <c r="D9" i="1"/>
  <c r="D7" i="1"/>
  <c r="D8" i="1" s="1"/>
  <c r="D6" i="1"/>
  <c r="D5" i="1"/>
  <c r="D12" i="1"/>
  <c r="R27" i="2" l="1"/>
  <c r="S7" i="2"/>
  <c r="Q28" i="2"/>
  <c r="Q30" i="2" s="1"/>
  <c r="Q33" i="2" s="1"/>
  <c r="Q35" i="2" s="1"/>
  <c r="D19" i="2"/>
  <c r="L19" i="2"/>
  <c r="Q17" i="2"/>
  <c r="S6" i="2"/>
  <c r="I18" i="2"/>
  <c r="P5" i="2"/>
  <c r="T29" i="2"/>
  <c r="L18" i="2"/>
  <c r="J18" i="2"/>
  <c r="R3" i="2"/>
  <c r="U12" i="2"/>
  <c r="Q5" i="2"/>
  <c r="Q18" i="2" s="1"/>
  <c r="D20" i="2"/>
  <c r="P25" i="2"/>
  <c r="P28" i="2" s="1"/>
  <c r="P30" i="2" s="1"/>
  <c r="P33" i="2" s="1"/>
  <c r="P35" i="2" s="1"/>
  <c r="U9" i="2"/>
  <c r="U29" i="2" s="1"/>
  <c r="N8" i="2"/>
  <c r="N10" i="2" s="1"/>
  <c r="N4" i="2"/>
  <c r="M4" i="2"/>
  <c r="R4" i="2" s="1"/>
  <c r="R24" i="2" s="1"/>
  <c r="M8" i="2"/>
  <c r="M10" i="2" s="1"/>
  <c r="M18" i="2"/>
  <c r="M17" i="2"/>
  <c r="N17" i="2"/>
  <c r="I10" i="2"/>
  <c r="E8" i="2"/>
  <c r="C8" i="2"/>
  <c r="G8" i="2"/>
  <c r="F8" i="2"/>
  <c r="J10" i="2"/>
  <c r="H8" i="2"/>
  <c r="K8" i="2"/>
  <c r="L13" i="2"/>
  <c r="L15" i="2" s="1"/>
  <c r="K10" i="2" l="1"/>
  <c r="K19" i="2"/>
  <c r="S26" i="2"/>
  <c r="T6" i="2"/>
  <c r="J13" i="2"/>
  <c r="J15" i="2" s="1"/>
  <c r="J20" i="2"/>
  <c r="H10" i="2"/>
  <c r="H19" i="2"/>
  <c r="F10" i="2"/>
  <c r="F19" i="2"/>
  <c r="C10" i="2"/>
  <c r="C19" i="2"/>
  <c r="S27" i="2"/>
  <c r="T7" i="2"/>
  <c r="V12" i="2"/>
  <c r="U32" i="2"/>
  <c r="R23" i="2"/>
  <c r="R25" i="2" s="1"/>
  <c r="R28" i="2" s="1"/>
  <c r="R30" i="2" s="1"/>
  <c r="R5" i="2"/>
  <c r="S3" i="2"/>
  <c r="R17" i="2"/>
  <c r="G10" i="2"/>
  <c r="G19" i="2"/>
  <c r="E10" i="2"/>
  <c r="E19" i="2"/>
  <c r="I13" i="2"/>
  <c r="I15" i="2" s="1"/>
  <c r="I20" i="2"/>
  <c r="Q8" i="2"/>
  <c r="P18" i="2"/>
  <c r="P8" i="2"/>
  <c r="V9" i="2"/>
  <c r="V29" i="2" s="1"/>
  <c r="Q10" i="2"/>
  <c r="Q19" i="2"/>
  <c r="N11" i="2"/>
  <c r="N20" i="2" s="1"/>
  <c r="N19" i="2"/>
  <c r="M19" i="2"/>
  <c r="M11" i="2"/>
  <c r="T27" i="2" l="1"/>
  <c r="U7" i="2"/>
  <c r="G13" i="2"/>
  <c r="G15" i="2" s="1"/>
  <c r="G20" i="2"/>
  <c r="M13" i="2"/>
  <c r="M15" i="2" s="1"/>
  <c r="R11" i="2"/>
  <c r="R31" i="2" s="1"/>
  <c r="R33" i="2" s="1"/>
  <c r="R35" i="2" s="1"/>
  <c r="U6" i="2"/>
  <c r="T26" i="2"/>
  <c r="S23" i="2"/>
  <c r="T3" i="2"/>
  <c r="S5" i="2"/>
  <c r="S8" i="2" s="1"/>
  <c r="S17" i="2"/>
  <c r="S4" i="2"/>
  <c r="S24" i="2" s="1"/>
  <c r="S25" i="2" s="1"/>
  <c r="S28" i="2" s="1"/>
  <c r="S30" i="2" s="1"/>
  <c r="C13" i="2"/>
  <c r="C15" i="2" s="1"/>
  <c r="C20" i="2"/>
  <c r="E13" i="2"/>
  <c r="E15" i="2" s="1"/>
  <c r="E20" i="2"/>
  <c r="H13" i="2"/>
  <c r="H15" i="2" s="1"/>
  <c r="H20" i="2"/>
  <c r="M20" i="2"/>
  <c r="R18" i="2"/>
  <c r="R8" i="2"/>
  <c r="W12" i="2"/>
  <c r="V32" i="2"/>
  <c r="P10" i="2"/>
  <c r="P19" i="2"/>
  <c r="F13" i="2"/>
  <c r="F15" i="2" s="1"/>
  <c r="F20" i="2"/>
  <c r="K13" i="2"/>
  <c r="K15" i="2" s="1"/>
  <c r="K20" i="2"/>
  <c r="W9" i="2"/>
  <c r="W29" i="2" s="1"/>
  <c r="Q13" i="2"/>
  <c r="Q15" i="2" s="1"/>
  <c r="Q20" i="2"/>
  <c r="N13" i="2"/>
  <c r="N15" i="2" s="1"/>
  <c r="R10" i="2" l="1"/>
  <c r="R13" i="2" s="1"/>
  <c r="R15" i="2" s="1"/>
  <c r="R19" i="2"/>
  <c r="S19" i="2"/>
  <c r="S10" i="2"/>
  <c r="T17" i="2"/>
  <c r="T23" i="2"/>
  <c r="T4" i="2"/>
  <c r="T24" i="2" s="1"/>
  <c r="T25" i="2" s="1"/>
  <c r="T28" i="2" s="1"/>
  <c r="T30" i="2" s="1"/>
  <c r="U3" i="2"/>
  <c r="T5" i="2"/>
  <c r="P13" i="2"/>
  <c r="P15" i="2" s="1"/>
  <c r="P20" i="2"/>
  <c r="V7" i="2"/>
  <c r="U27" i="2"/>
  <c r="X12" i="2"/>
  <c r="W32" i="2"/>
  <c r="V6" i="2"/>
  <c r="U26" i="2"/>
  <c r="S18" i="2"/>
  <c r="X9" i="2"/>
  <c r="X29" i="2" s="1"/>
  <c r="W7" i="2" l="1"/>
  <c r="V27" i="2"/>
  <c r="S11" i="2"/>
  <c r="S31" i="2" s="1"/>
  <c r="S33" i="2" s="1"/>
  <c r="S35" i="2" s="1"/>
  <c r="S13" i="2"/>
  <c r="S15" i="2" s="1"/>
  <c r="Y12" i="2"/>
  <c r="X32" i="2"/>
  <c r="U23" i="2"/>
  <c r="U17" i="2"/>
  <c r="U5" i="2"/>
  <c r="V3" i="2"/>
  <c r="R20" i="2"/>
  <c r="W6" i="2"/>
  <c r="V26" i="2"/>
  <c r="T8" i="2"/>
  <c r="T18" i="2"/>
  <c r="Y9" i="2"/>
  <c r="Y29" i="2" s="1"/>
  <c r="S20" i="2" l="1"/>
  <c r="W26" i="2"/>
  <c r="X6" i="2"/>
  <c r="U8" i="2"/>
  <c r="U18" i="2"/>
  <c r="U4" i="2"/>
  <c r="U24" i="2" s="1"/>
  <c r="U25" i="2" s="1"/>
  <c r="U28" i="2" s="1"/>
  <c r="U30" i="2" s="1"/>
  <c r="X7" i="2"/>
  <c r="W27" i="2"/>
  <c r="Z12" i="2"/>
  <c r="Y32" i="2"/>
  <c r="W3" i="2"/>
  <c r="V23" i="2"/>
  <c r="V5" i="2"/>
  <c r="V17" i="2"/>
  <c r="T10" i="2"/>
  <c r="T19" i="2"/>
  <c r="Z9" i="2"/>
  <c r="Z29" i="2" s="1"/>
  <c r="U19" i="2" l="1"/>
  <c r="U10" i="2"/>
  <c r="T11" i="2"/>
  <c r="T31" i="2" s="1"/>
  <c r="T33" i="2" s="1"/>
  <c r="T35" i="2" s="1"/>
  <c r="X26" i="2"/>
  <c r="Y6" i="2"/>
  <c r="Y7" i="2"/>
  <c r="X27" i="2"/>
  <c r="V8" i="2"/>
  <c r="V18" i="2"/>
  <c r="V4" i="2"/>
  <c r="V24" i="2" s="1"/>
  <c r="V25" i="2" s="1"/>
  <c r="V28" i="2" s="1"/>
  <c r="V30" i="2" s="1"/>
  <c r="W23" i="2"/>
  <c r="W5" i="2"/>
  <c r="X3" i="2"/>
  <c r="W17" i="2"/>
  <c r="AA12" i="2"/>
  <c r="Z32" i="2"/>
  <c r="AA9" i="2"/>
  <c r="AA29" i="2" s="1"/>
  <c r="X23" i="2" l="1"/>
  <c r="X5" i="2"/>
  <c r="Y3" i="2"/>
  <c r="X17" i="2"/>
  <c r="W8" i="2"/>
  <c r="W18" i="2"/>
  <c r="Z7" i="2"/>
  <c r="Y27" i="2"/>
  <c r="Z6" i="2"/>
  <c r="Y26" i="2"/>
  <c r="W4" i="2"/>
  <c r="W24" i="2" s="1"/>
  <c r="W25" i="2" s="1"/>
  <c r="W28" i="2" s="1"/>
  <c r="W30" i="2" s="1"/>
  <c r="T13" i="2"/>
  <c r="T15" i="2" s="1"/>
  <c r="V19" i="2"/>
  <c r="V10" i="2"/>
  <c r="U20" i="2"/>
  <c r="U11" i="2"/>
  <c r="U31" i="2" s="1"/>
  <c r="U33" i="2" s="1"/>
  <c r="U35" i="2" s="1"/>
  <c r="AB12" i="2"/>
  <c r="AB32" i="2" s="1"/>
  <c r="AA32" i="2"/>
  <c r="T20" i="2"/>
  <c r="AB9" i="2"/>
  <c r="AA7" i="2" l="1"/>
  <c r="Z27" i="2"/>
  <c r="AB29" i="2"/>
  <c r="Y23" i="2"/>
  <c r="Y5" i="2"/>
  <c r="Z3" i="2"/>
  <c r="Y17" i="2"/>
  <c r="W19" i="2"/>
  <c r="W10" i="2"/>
  <c r="V11" i="2"/>
  <c r="V31" i="2" s="1"/>
  <c r="V33" i="2" s="1"/>
  <c r="V35" i="2" s="1"/>
  <c r="X8" i="2"/>
  <c r="X18" i="2"/>
  <c r="AA6" i="2"/>
  <c r="Z26" i="2"/>
  <c r="X4" i="2"/>
  <c r="X24" i="2" s="1"/>
  <c r="X25" i="2" s="1"/>
  <c r="X28" i="2" s="1"/>
  <c r="X30" i="2" s="1"/>
  <c r="U13" i="2"/>
  <c r="U15" i="2" s="1"/>
  <c r="Y8" i="2" l="1"/>
  <c r="Y18" i="2"/>
  <c r="V20" i="2"/>
  <c r="X19" i="2"/>
  <c r="X10" i="2"/>
  <c r="V13" i="2"/>
  <c r="V15" i="2" s="1"/>
  <c r="Z17" i="2"/>
  <c r="Z23" i="2"/>
  <c r="Z5" i="2"/>
  <c r="Z4" i="2"/>
  <c r="Z24" i="2" s="1"/>
  <c r="AA3" i="2"/>
  <c r="W13" i="2"/>
  <c r="W15" i="2" s="1"/>
  <c r="W11" i="2"/>
  <c r="W31" i="2" s="1"/>
  <c r="W33" i="2" s="1"/>
  <c r="W35" i="2" s="1"/>
  <c r="AB6" i="2"/>
  <c r="AB26" i="2" s="1"/>
  <c r="AA26" i="2"/>
  <c r="Y4" i="2"/>
  <c r="Y24" i="2" s="1"/>
  <c r="Y25" i="2" s="1"/>
  <c r="Y28" i="2" s="1"/>
  <c r="Y30" i="2" s="1"/>
  <c r="AB7" i="2"/>
  <c r="AB27" i="2" s="1"/>
  <c r="AA27" i="2"/>
  <c r="AA23" i="2" l="1"/>
  <c r="AA5" i="2"/>
  <c r="AA17" i="2"/>
  <c r="AB3" i="2"/>
  <c r="Z8" i="2"/>
  <c r="Z18" i="2"/>
  <c r="W20" i="2"/>
  <c r="X11" i="2"/>
  <c r="X31" i="2" s="1"/>
  <c r="X33" i="2" s="1"/>
  <c r="X35" i="2" s="1"/>
  <c r="X13" i="2"/>
  <c r="X15" i="2" s="1"/>
  <c r="Z25" i="2"/>
  <c r="Z28" i="2" s="1"/>
  <c r="Z30" i="2" s="1"/>
  <c r="Y19" i="2"/>
  <c r="Y10" i="2"/>
  <c r="Z19" i="2" l="1"/>
  <c r="Z10" i="2"/>
  <c r="Y11" i="2"/>
  <c r="Y31" i="2" s="1"/>
  <c r="Y33" i="2" s="1"/>
  <c r="Y35" i="2" s="1"/>
  <c r="AA8" i="2"/>
  <c r="AA18" i="2"/>
  <c r="X20" i="2"/>
  <c r="AA4" i="2"/>
  <c r="AA24" i="2" s="1"/>
  <c r="AA25" i="2" s="1"/>
  <c r="AA28" i="2" s="1"/>
  <c r="AA30" i="2" s="1"/>
  <c r="AB23" i="2"/>
  <c r="AB5" i="2"/>
  <c r="AB4" i="2" s="1"/>
  <c r="AB24" i="2" s="1"/>
  <c r="AB25" i="2" s="1"/>
  <c r="AB28" i="2" s="1"/>
  <c r="AB30" i="2" s="1"/>
  <c r="AB17" i="2"/>
  <c r="Y20" i="2" l="1"/>
  <c r="AA19" i="2"/>
  <c r="AA10" i="2"/>
  <c r="AB8" i="2"/>
  <c r="AB18" i="2"/>
  <c r="Y13" i="2"/>
  <c r="Y15" i="2" s="1"/>
  <c r="Z20" i="2"/>
  <c r="Z13" i="2"/>
  <c r="Z15" i="2" s="1"/>
  <c r="Z11" i="2"/>
  <c r="Z31" i="2" s="1"/>
  <c r="Z33" i="2" s="1"/>
  <c r="Z35" i="2" s="1"/>
  <c r="AB19" i="2" l="1"/>
  <c r="AB10" i="2"/>
  <c r="AA11" i="2"/>
  <c r="AA31" i="2" s="1"/>
  <c r="AA33" i="2" s="1"/>
  <c r="AA35" i="2" s="1"/>
  <c r="AA13" i="2" l="1"/>
  <c r="AA15" i="2" s="1"/>
  <c r="AA20" i="2"/>
  <c r="AB11" i="2"/>
  <c r="AB31" i="2" s="1"/>
  <c r="AB33" i="2" s="1"/>
  <c r="AB13" i="2"/>
  <c r="AB15" i="2" s="1"/>
  <c r="AB20" i="2" l="1"/>
  <c r="AB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A268B2-FB4A-40B0-8804-6CA8F20403A1}" keepAlive="1" name="Query - usd" description="Connection to the 'usd' query in the workbook." type="5" refreshedVersion="6" background="1" saveData="1">
    <dbPr connection="Provider=Microsoft.Mashup.OleDb.1;Data Source=$Workbook$;Location=usd;Extended Properties=&quot;&quot;" command="SELECT * FROM [usd]"/>
  </connection>
</connections>
</file>

<file path=xl/sharedStrings.xml><?xml version="1.0" encoding="utf-8"?>
<sst xmlns="http://schemas.openxmlformats.org/spreadsheetml/2006/main" count="87" uniqueCount="69">
  <si>
    <t>Price</t>
  </si>
  <si>
    <t>Shares</t>
  </si>
  <si>
    <t>MC</t>
  </si>
  <si>
    <t>Cash</t>
  </si>
  <si>
    <t>Debt</t>
  </si>
  <si>
    <t>Net Cash</t>
  </si>
  <si>
    <t>EV</t>
  </si>
  <si>
    <t>USD/KRW</t>
  </si>
  <si>
    <t>title</t>
  </si>
  <si>
    <t>link</t>
  </si>
  <si>
    <t>description</t>
  </si>
  <si>
    <t>baseCurrency</t>
  </si>
  <si>
    <t>pubDate</t>
  </si>
  <si>
    <t>USD</t>
  </si>
  <si>
    <t>baseName</t>
  </si>
  <si>
    <t>targetCurrency</t>
  </si>
  <si>
    <t>targetName</t>
  </si>
  <si>
    <t>exchangeRate</t>
  </si>
  <si>
    <t>inverseRate</t>
  </si>
  <si>
    <t>inverseDescription</t>
  </si>
  <si>
    <t>1 USD = 1,146.49440732 KRW</t>
  </si>
  <si>
    <t>http://www.floatrates.com/usd/krw/</t>
  </si>
  <si>
    <t>1 U.S. Dollar = 1,146.49440732 South Korean Won</t>
  </si>
  <si>
    <t>U.S. Dollar</t>
  </si>
  <si>
    <t>KRW</t>
  </si>
  <si>
    <t>South Korean Won</t>
  </si>
  <si>
    <t>1 South Korean Won = 0.00087222 U.S. Dollar</t>
  </si>
  <si>
    <t>Time last checked</t>
  </si>
  <si>
    <t>Today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</si>
  <si>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</si>
  <si>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</si>
  <si>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</si>
  <si>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</si>
  <si>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</si>
  <si>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</si>
  <si>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</si>
  <si>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</si>
  <si>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</si>
  <si>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</si>
  <si>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</si>
  <si>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</si>
  <si>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</si>
  <si>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</si>
  <si>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</si>
  <si>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SG&amp;A</t>
  </si>
  <si>
    <t>R&amp;D</t>
  </si>
  <si>
    <t>Operating profit</t>
  </si>
  <si>
    <t>(in ₩ billion)</t>
  </si>
  <si>
    <t>Finance expense</t>
  </si>
  <si>
    <t>Pretax profit</t>
  </si>
  <si>
    <t>Taxes</t>
  </si>
  <si>
    <t>Minority interest</t>
  </si>
  <si>
    <t>Net profit</t>
  </si>
  <si>
    <t>EPS</t>
  </si>
  <si>
    <t>Gross Margin</t>
  </si>
  <si>
    <t>Operating Margin</t>
  </si>
  <si>
    <t>Revenue y/y</t>
  </si>
  <si>
    <t>Maturity</t>
  </si>
  <si>
    <t>Discount rate</t>
  </si>
  <si>
    <t>Value</t>
  </si>
  <si>
    <t>NPV</t>
  </si>
  <si>
    <t>Net cash</t>
  </si>
  <si>
    <t>Per share</t>
  </si>
  <si>
    <t>Current price</t>
  </si>
  <si>
    <t>Variance</t>
  </si>
  <si>
    <t>Consensus</t>
  </si>
  <si>
    <t>Fairly valued</t>
  </si>
  <si>
    <t>Earnings</t>
  </si>
  <si>
    <t>Jan-Feb?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</si>
</sst>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0"/>
    <numFmt numFmtId="165" formatCode="[$₩-412]#,##0.00"/>
    <numFmt numFmtId="166" formatCode="[$₩-412]#,##0"/>
    <numFmt numFmtId="167" formatCode="[$$-409]#,##0"/>
    <numFmt numFmtId="168" formatCode="[$₩-412]#,##0;[Red]\-[$₩-412]#,##0"/>
    <numFmt numFmtId="169" formatCode="[$₩-412]#,##0.00;[Red]\-[$₩-412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0" fillId="0" borderId="0" xfId="0" applyNumberFormat="1"/>
    <xf numFmtId="22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/>
    <xf numFmtId="4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0" fillId="0" borderId="0" xfId="0" applyFont="1"/>
    <xf numFmtId="3" fontId="1" fillId="0" borderId="0" xfId="0" applyNumberFormat="1" applyFont="1"/>
    <xf numFmtId="3" fontId="0" fillId="0" borderId="0" xfId="0" applyNumberFormat="1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60C0B1-6E0B-4324-9AFC-F8248DEDB1A8}" autoFormatId="16" applyNumberFormats="0" applyBorderFormats="0" applyFontFormats="0" applyPatternFormats="0" applyAlignmentFormats="0" applyWidthHeightFormats="0">
  <queryTableRefresh nextId="16">
    <queryTableFields count="11">
      <queryTableField id="1" name="title" tableColumnId="9"/>
      <queryTableField id="2" name="link" tableColumnId="2"/>
      <queryTableField id="4" name="description" tableColumnId="4"/>
      <queryTableField id="7" name="pubDate" tableColumnId="7"/>
      <queryTableField id="6" name="baseCurrency" tableColumnId="6"/>
      <queryTableField id="9" name="baseName" tableColumnId="10"/>
      <queryTableField id="10" name="targetCurrency" tableColumnId="11"/>
      <queryTableField id="11" name="targetName" tableColumnId="12"/>
      <queryTableField id="12" name="exchangeRate" tableColumnId="13"/>
      <queryTableField id="13" name="inverseRate" tableColumnId="14"/>
      <queryTableField id="14" name="inverseDescription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5D9CD-26B1-4590-9CA6-3DD3BBE561F6}" name="usd" displayName="usd" ref="A1:K2" tableType="queryTable" totalsRowShown="0">
  <autoFilter ref="A1:K2" xr:uid="{7687842C-2C08-4C85-826A-839531A34C70}"/>
  <tableColumns count="11">
    <tableColumn id="9" xr3:uid="{A1D26E66-3EEC-47A4-B902-2231ADFA845C}" uniqueName="9" name="title" queryTableFieldId="1" dataDxfId="8"/>
    <tableColumn id="2" xr3:uid="{1C6DB68A-9C09-4CFB-8FB0-0066B1BB297E}" uniqueName="2" name="link" queryTableFieldId="2" dataDxfId="7"/>
    <tableColumn id="4" xr3:uid="{E469A1FC-567C-4AA8-A13A-A552DFABDA39}" uniqueName="4" name="description" queryTableFieldId="4" dataDxfId="6"/>
    <tableColumn id="7" xr3:uid="{60AE2D74-20CF-4AA1-BBA5-80A8F96FC5A8}" uniqueName="7" name="pubDate" queryTableFieldId="7" dataDxfId="5"/>
    <tableColumn id="6" xr3:uid="{33AF37F0-5447-4053-BD6B-AF8E374AFEB1}" uniqueName="6" name="baseCurrency" queryTableFieldId="6" dataDxfId="4"/>
    <tableColumn id="10" xr3:uid="{2DAB4063-08F1-45E8-BD71-E988CC2E5C1D}" uniqueName="10" name="baseName" queryTableFieldId="9" dataDxfId="3"/>
    <tableColumn id="11" xr3:uid="{A52AB409-E8EF-4DDE-BD6B-FECF37114744}" uniqueName="11" name="targetCurrency" queryTableFieldId="10" dataDxfId="2"/>
    <tableColumn id="12" xr3:uid="{104F3A27-3240-4AA4-A182-0E18458A6DCE}" uniqueName="12" name="targetName" queryTableFieldId="11" dataDxfId="1"/>
    <tableColumn id="13" xr3:uid="{E00F5BCF-1720-42D1-92CE-DD6AD6E8822B}" uniqueName="13" name="exchangeRate" queryTableFieldId="12"/>
    <tableColumn id="14" xr3:uid="{B227548C-5DB5-4949-A8CD-2941C8A1E302}" uniqueName="14" name="inverseRate" queryTableFieldId="13"/>
    <tableColumn id="15" xr3:uid="{AEA6B5AC-78F0-47FA-B4D9-1DB1BCA88DDF}" uniqueName="15" name="inverseDescription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E49E-7E30-4E03-BF43-E9DDC8F9D69F}">
  <dimension ref="B2:G12"/>
  <sheetViews>
    <sheetView workbookViewId="0">
      <selection activeCell="G4" sqref="G4"/>
    </sheetView>
  </sheetViews>
  <sheetFormatPr defaultRowHeight="14.4" x14ac:dyDescent="0.3"/>
  <cols>
    <col min="4" max="4" width="12.6640625" bestFit="1" customWidth="1"/>
    <col min="5" max="7" width="15.77734375" style="9" customWidth="1"/>
  </cols>
  <sheetData>
    <row r="2" spans="2:7" x14ac:dyDescent="0.3">
      <c r="E2" s="9" t="s">
        <v>27</v>
      </c>
      <c r="F2" s="9" t="s">
        <v>28</v>
      </c>
      <c r="G2" s="9" t="s">
        <v>67</v>
      </c>
    </row>
    <row r="3" spans="2:7" x14ac:dyDescent="0.3">
      <c r="B3" s="1">
        <v>5930</v>
      </c>
      <c r="C3" t="s">
        <v>0</v>
      </c>
      <c r="D3" s="2">
        <v>59500</v>
      </c>
      <c r="E3" s="10">
        <v>44120</v>
      </c>
      <c r="F3" s="10">
        <f ca="1">TODAY()</f>
        <v>44174</v>
      </c>
      <c r="G3" s="9" t="s">
        <v>68</v>
      </c>
    </row>
    <row r="4" spans="2:7" x14ac:dyDescent="0.3">
      <c r="C4" t="s">
        <v>1</v>
      </c>
      <c r="D4" s="5">
        <v>5969.78</v>
      </c>
      <c r="E4" s="9" t="s">
        <v>29</v>
      </c>
    </row>
    <row r="5" spans="2:7" x14ac:dyDescent="0.3">
      <c r="C5" t="s">
        <v>2</v>
      </c>
      <c r="D5" s="7">
        <f>(D3*D4)/D12</f>
        <v>309815.64997801074</v>
      </c>
    </row>
    <row r="6" spans="2:7" x14ac:dyDescent="0.3">
      <c r="C6" t="s">
        <v>3</v>
      </c>
      <c r="D6" s="6">
        <f>113395500</f>
        <v>113395500</v>
      </c>
      <c r="E6" s="9" t="s">
        <v>29</v>
      </c>
    </row>
    <row r="7" spans="2:7" x14ac:dyDescent="0.3">
      <c r="C7" t="s">
        <v>4</v>
      </c>
      <c r="D7" s="6">
        <f>16684800</f>
        <v>16684800</v>
      </c>
      <c r="E7" s="9" t="s">
        <v>29</v>
      </c>
    </row>
    <row r="8" spans="2:7" x14ac:dyDescent="0.3">
      <c r="C8" t="s">
        <v>5</v>
      </c>
      <c r="D8" s="7">
        <f>(D6-D7)/D12</f>
        <v>84353.398832591876</v>
      </c>
    </row>
    <row r="9" spans="2:7" x14ac:dyDescent="0.3">
      <c r="C9" t="s">
        <v>6</v>
      </c>
      <c r="D9" s="7">
        <f>D5-D8</f>
        <v>225462.25114541885</v>
      </c>
    </row>
    <row r="12" spans="2:7" x14ac:dyDescent="0.3">
      <c r="C12" t="s">
        <v>7</v>
      </c>
      <c r="D12">
        <f>usd[exchangeRate]</f>
        <v>1146.4944073199999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3C50-2BB7-4BD0-BA64-F9435B9E440C}">
  <dimension ref="B2:ET35"/>
  <sheetViews>
    <sheetView workbookViewId="0">
      <pane xSplit="2" ySplit="2" topLeftCell="O8" activePane="bottomRight" state="frozen"/>
      <selection pane="topRight" activeCell="C1" sqref="C1"/>
      <selection pane="bottomLeft" activeCell="A3" sqref="A3"/>
      <selection pane="bottomRight" activeCell="AE30" sqref="AE30"/>
    </sheetView>
  </sheetViews>
  <sheetFormatPr defaultRowHeight="14.4" x14ac:dyDescent="0.3"/>
  <cols>
    <col min="2" max="2" width="15.21875" bestFit="1" customWidth="1"/>
    <col min="3" max="3" width="8.109375" bestFit="1" customWidth="1"/>
    <col min="30" max="30" width="11.88671875" bestFit="1" customWidth="1"/>
    <col min="31" max="31" width="12.6640625" bestFit="1" customWidth="1"/>
  </cols>
  <sheetData>
    <row r="2" spans="2:150" x14ac:dyDescent="0.3">
      <c r="B2" s="8" t="s">
        <v>47</v>
      </c>
      <c r="C2" s="11" t="s">
        <v>31</v>
      </c>
      <c r="D2" s="11" t="s">
        <v>32</v>
      </c>
      <c r="E2" s="11" t="s">
        <v>33</v>
      </c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29</v>
      </c>
      <c r="M2" s="11" t="s">
        <v>40</v>
      </c>
      <c r="N2" s="11" t="s">
        <v>41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</row>
    <row r="3" spans="2:150" s="13" customFormat="1" x14ac:dyDescent="0.3">
      <c r="B3" s="13" t="s">
        <v>30</v>
      </c>
      <c r="C3" s="18">
        <v>60560</v>
      </c>
      <c r="D3" s="18">
        <v>58480</v>
      </c>
      <c r="E3" s="18">
        <v>65460</v>
      </c>
      <c r="F3" s="18">
        <v>59270</v>
      </c>
      <c r="G3" s="18">
        <v>52390</v>
      </c>
      <c r="H3" s="18">
        <v>56130</v>
      </c>
      <c r="I3" s="18">
        <v>62000</v>
      </c>
      <c r="J3" s="18">
        <v>59880</v>
      </c>
      <c r="K3" s="18">
        <v>55330</v>
      </c>
      <c r="L3" s="18">
        <v>52970</v>
      </c>
      <c r="M3" s="18">
        <f>I3*1.01</f>
        <v>62620</v>
      </c>
      <c r="N3" s="18">
        <f>J3*1.02</f>
        <v>61077.599999999999</v>
      </c>
      <c r="P3" s="18">
        <f>SUM(C3:F3)</f>
        <v>243770</v>
      </c>
      <c r="Q3" s="18">
        <f>SUM(G3:J3)</f>
        <v>230400</v>
      </c>
      <c r="R3" s="18">
        <f>SUM(K3:N3)</f>
        <v>231997.6</v>
      </c>
      <c r="S3" s="18">
        <f>R3*1.03</f>
        <v>238957.52800000002</v>
      </c>
      <c r="T3" s="18">
        <f t="shared" ref="T3" si="0">S3*1.03</f>
        <v>246126.25384000002</v>
      </c>
      <c r="U3" s="18">
        <f>T3*1.02</f>
        <v>251048.77891680002</v>
      </c>
      <c r="V3" s="18">
        <f t="shared" ref="V3:W3" si="1">U3*1.02</f>
        <v>256069.75449513603</v>
      </c>
      <c r="W3" s="18">
        <f t="shared" si="1"/>
        <v>261191.14958503874</v>
      </c>
      <c r="X3" s="18">
        <f>W3*1.01</f>
        <v>263803.06108088914</v>
      </c>
      <c r="Y3" s="18">
        <f t="shared" ref="Y3:AB3" si="2">X3*1.01</f>
        <v>266441.09169169801</v>
      </c>
      <c r="Z3" s="18">
        <f t="shared" si="2"/>
        <v>269105.50260861497</v>
      </c>
      <c r="AA3" s="18">
        <f t="shared" si="2"/>
        <v>271796.55763470114</v>
      </c>
      <c r="AB3" s="18">
        <f t="shared" si="2"/>
        <v>274514.52321104816</v>
      </c>
    </row>
    <row r="4" spans="2:150" x14ac:dyDescent="0.3">
      <c r="B4" t="s">
        <v>42</v>
      </c>
      <c r="C4" s="5">
        <v>31910</v>
      </c>
      <c r="D4" s="5">
        <v>31270</v>
      </c>
      <c r="E4" s="5">
        <v>35190</v>
      </c>
      <c r="F4" s="5">
        <v>34020</v>
      </c>
      <c r="G4" s="5">
        <v>32750</v>
      </c>
      <c r="H4" s="5">
        <v>35940</v>
      </c>
      <c r="I4" s="5">
        <v>39990</v>
      </c>
      <c r="J4" s="5">
        <v>38550</v>
      </c>
      <c r="K4" s="5">
        <v>34810</v>
      </c>
      <c r="L4" s="5">
        <v>31910</v>
      </c>
      <c r="M4" s="5">
        <f>M3-M5</f>
        <v>38824.400000000001</v>
      </c>
      <c r="N4" s="5">
        <f t="shared" ref="N4" si="3">N3-N5</f>
        <v>37868.111999999994</v>
      </c>
      <c r="P4" s="19">
        <f>SUM(C4:F4)</f>
        <v>132390</v>
      </c>
      <c r="Q4" s="19">
        <f>SUM(G4:J4)</f>
        <v>147230</v>
      </c>
      <c r="R4" s="19">
        <f>SUM(K4:N4)</f>
        <v>143412.51199999999</v>
      </c>
      <c r="S4" s="5">
        <f>S3-S5</f>
        <v>145764.09208</v>
      </c>
      <c r="T4" s="5">
        <f t="shared" ref="T4:AB4" si="4">T3-T5</f>
        <v>150137.01484240001</v>
      </c>
      <c r="U4" s="5">
        <f t="shared" si="4"/>
        <v>153139.75513924801</v>
      </c>
      <c r="V4" s="5">
        <f t="shared" si="4"/>
        <v>153641.85269708163</v>
      </c>
      <c r="W4" s="5">
        <f t="shared" si="4"/>
        <v>156714.68975102325</v>
      </c>
      <c r="X4" s="5">
        <f t="shared" si="4"/>
        <v>158281.83664853347</v>
      </c>
      <c r="Y4" s="5">
        <f t="shared" si="4"/>
        <v>159864.6550150188</v>
      </c>
      <c r="Z4" s="5">
        <f t="shared" si="4"/>
        <v>161463.30156516898</v>
      </c>
      <c r="AA4" s="5">
        <f t="shared" si="4"/>
        <v>163077.93458082067</v>
      </c>
      <c r="AB4" s="5">
        <f t="shared" si="4"/>
        <v>164708.71392662887</v>
      </c>
    </row>
    <row r="5" spans="2:150" s="13" customFormat="1" x14ac:dyDescent="0.3">
      <c r="B5" s="13" t="s">
        <v>43</v>
      </c>
      <c r="C5" s="18">
        <f t="shared" ref="C5:L5" si="5">C3-C4</f>
        <v>28650</v>
      </c>
      <c r="D5" s="18">
        <f t="shared" si="5"/>
        <v>27210</v>
      </c>
      <c r="E5" s="18">
        <f t="shared" si="5"/>
        <v>30270</v>
      </c>
      <c r="F5" s="18">
        <f t="shared" si="5"/>
        <v>25250</v>
      </c>
      <c r="G5" s="18">
        <f t="shared" si="5"/>
        <v>19640</v>
      </c>
      <c r="H5" s="18">
        <f t="shared" si="5"/>
        <v>20190</v>
      </c>
      <c r="I5" s="18">
        <f t="shared" si="5"/>
        <v>22010</v>
      </c>
      <c r="J5" s="18">
        <f t="shared" si="5"/>
        <v>21330</v>
      </c>
      <c r="K5" s="18">
        <f t="shared" si="5"/>
        <v>20520</v>
      </c>
      <c r="L5" s="18">
        <f t="shared" si="5"/>
        <v>21060</v>
      </c>
      <c r="M5" s="18">
        <f>M3*0.38</f>
        <v>23795.599999999999</v>
      </c>
      <c r="N5" s="18">
        <f t="shared" ref="N5" si="6">N3*0.38</f>
        <v>23209.488000000001</v>
      </c>
      <c r="P5" s="18">
        <f>P3-P4</f>
        <v>111380</v>
      </c>
      <c r="Q5" s="18">
        <f t="shared" ref="Q5:R5" si="7">Q3-Q4</f>
        <v>83170</v>
      </c>
      <c r="R5" s="18">
        <f t="shared" si="7"/>
        <v>88585.088000000018</v>
      </c>
      <c r="S5" s="18">
        <f>S3*0.39</f>
        <v>93193.435920000018</v>
      </c>
      <c r="T5" s="18">
        <f t="shared" ref="T5:U5" si="8">T3*0.39</f>
        <v>95989.238997600012</v>
      </c>
      <c r="U5" s="18">
        <f t="shared" si="8"/>
        <v>97909.023777552007</v>
      </c>
      <c r="V5" s="18">
        <f>V3*0.4</f>
        <v>102427.90179805442</v>
      </c>
      <c r="W5" s="18">
        <f t="shared" ref="W5:AB5" si="9">W3*0.4</f>
        <v>104476.45983401551</v>
      </c>
      <c r="X5" s="18">
        <f t="shared" si="9"/>
        <v>105521.22443235567</v>
      </c>
      <c r="Y5" s="18">
        <f t="shared" si="9"/>
        <v>106576.43667667921</v>
      </c>
      <c r="Z5" s="18">
        <f t="shared" si="9"/>
        <v>107642.201043446</v>
      </c>
      <c r="AA5" s="18">
        <f t="shared" si="9"/>
        <v>108718.62305388047</v>
      </c>
      <c r="AB5" s="18">
        <f t="shared" si="9"/>
        <v>109805.80928441927</v>
      </c>
    </row>
    <row r="6" spans="2:150" x14ac:dyDescent="0.3">
      <c r="B6" t="s">
        <v>44</v>
      </c>
      <c r="C6" s="5">
        <f>13010-C7</f>
        <v>8790</v>
      </c>
      <c r="D6" s="5">
        <f>12340-D7</f>
        <v>7970</v>
      </c>
      <c r="E6" s="5">
        <f>12690-E7</f>
        <v>8170</v>
      </c>
      <c r="F6" s="5">
        <f>14450-F7</f>
        <v>9210</v>
      </c>
      <c r="G6" s="5">
        <f>13410-G7</f>
        <v>8510</v>
      </c>
      <c r="H6" s="5">
        <f>13590-H7</f>
        <v>8640</v>
      </c>
      <c r="I6" s="5">
        <f>14230-I7</f>
        <v>9100</v>
      </c>
      <c r="J6" s="5">
        <f>14170-J7</f>
        <v>9250</v>
      </c>
      <c r="K6" s="5">
        <f>14070-K7</f>
        <v>8710</v>
      </c>
      <c r="L6" s="5">
        <f>12910-L7</f>
        <v>7690</v>
      </c>
      <c r="M6" s="5">
        <v>9000</v>
      </c>
      <c r="N6" s="5">
        <v>9000</v>
      </c>
      <c r="P6" s="19">
        <f>SUM(C6:F6)</f>
        <v>34140</v>
      </c>
      <c r="Q6" s="19">
        <f>SUM(G6:J6)</f>
        <v>35500</v>
      </c>
      <c r="R6" s="19">
        <f>SUM(K6:N6)</f>
        <v>34400</v>
      </c>
      <c r="S6" s="5">
        <f>R6*1.01</f>
        <v>34744</v>
      </c>
      <c r="T6" s="5">
        <f t="shared" ref="T6:W6" si="10">S6*1.01</f>
        <v>35091.440000000002</v>
      </c>
      <c r="U6" s="5">
        <f t="shared" si="10"/>
        <v>35442.354400000004</v>
      </c>
      <c r="V6" s="5">
        <f t="shared" si="10"/>
        <v>35796.777944000001</v>
      </c>
      <c r="W6" s="5">
        <f t="shared" si="10"/>
        <v>36154.745723439999</v>
      </c>
      <c r="X6" s="5">
        <f>W6*0.99</f>
        <v>35793.198266205596</v>
      </c>
      <c r="Y6" s="5">
        <f t="shared" ref="Y6:AB6" si="11">X6*0.99</f>
        <v>35435.26628354354</v>
      </c>
      <c r="Z6" s="5">
        <f t="shared" si="11"/>
        <v>35080.913620708103</v>
      </c>
      <c r="AA6" s="5">
        <f t="shared" si="11"/>
        <v>34730.104484501018</v>
      </c>
      <c r="AB6" s="5">
        <f t="shared" si="11"/>
        <v>34382.803439656011</v>
      </c>
    </row>
    <row r="7" spans="2:150" x14ac:dyDescent="0.3">
      <c r="B7" t="s">
        <v>45</v>
      </c>
      <c r="C7" s="5">
        <v>4220</v>
      </c>
      <c r="D7" s="5">
        <v>4370</v>
      </c>
      <c r="E7" s="5">
        <v>4520</v>
      </c>
      <c r="F7" s="5">
        <v>5240</v>
      </c>
      <c r="G7" s="5">
        <v>4900</v>
      </c>
      <c r="H7" s="5">
        <v>4950</v>
      </c>
      <c r="I7" s="5">
        <v>5130</v>
      </c>
      <c r="J7" s="5">
        <v>4920</v>
      </c>
      <c r="K7" s="5">
        <v>5360</v>
      </c>
      <c r="L7" s="5">
        <v>5220</v>
      </c>
      <c r="M7" s="5">
        <f>L7*1.01</f>
        <v>5272.2</v>
      </c>
      <c r="N7" s="5">
        <f t="shared" ref="N7" si="12">M7*1.01</f>
        <v>5324.9219999999996</v>
      </c>
      <c r="P7" s="19">
        <f>SUM(C7:F7)</f>
        <v>18350</v>
      </c>
      <c r="Q7" s="19">
        <f>SUM(G7:J7)</f>
        <v>19900</v>
      </c>
      <c r="R7" s="19">
        <f>SUM(K7:N7)</f>
        <v>21177.121999999999</v>
      </c>
      <c r="S7" s="5">
        <f>R7*1.01</f>
        <v>21388.893219999998</v>
      </c>
      <c r="T7" s="5">
        <f t="shared" ref="T7:AB7" si="13">S7*1.01</f>
        <v>21602.782152199998</v>
      </c>
      <c r="U7" s="5">
        <f t="shared" si="13"/>
        <v>21818.809973721996</v>
      </c>
      <c r="V7" s="5">
        <f t="shared" si="13"/>
        <v>22036.998073459217</v>
      </c>
      <c r="W7" s="5">
        <f t="shared" si="13"/>
        <v>22257.368054193808</v>
      </c>
      <c r="X7" s="5">
        <f t="shared" si="13"/>
        <v>22479.941734735745</v>
      </c>
      <c r="Y7" s="5">
        <f t="shared" si="13"/>
        <v>22704.741152083101</v>
      </c>
      <c r="Z7" s="5">
        <f t="shared" si="13"/>
        <v>22931.788563603932</v>
      </c>
      <c r="AA7" s="5">
        <f t="shared" si="13"/>
        <v>23161.106449239971</v>
      </c>
      <c r="AB7" s="5">
        <f t="shared" si="13"/>
        <v>23392.717513732372</v>
      </c>
    </row>
    <row r="8" spans="2:150" s="13" customFormat="1" x14ac:dyDescent="0.3">
      <c r="B8" s="13" t="s">
        <v>46</v>
      </c>
      <c r="C8" s="18">
        <f t="shared" ref="C8:L8" si="14">C5-C7-C6</f>
        <v>15640</v>
      </c>
      <c r="D8" s="18">
        <f t="shared" si="14"/>
        <v>14870</v>
      </c>
      <c r="E8" s="18">
        <f t="shared" si="14"/>
        <v>17580</v>
      </c>
      <c r="F8" s="18">
        <f t="shared" si="14"/>
        <v>10800</v>
      </c>
      <c r="G8" s="18">
        <f t="shared" si="14"/>
        <v>6230</v>
      </c>
      <c r="H8" s="18">
        <f t="shared" si="14"/>
        <v>6600</v>
      </c>
      <c r="I8" s="18">
        <f t="shared" si="14"/>
        <v>7780</v>
      </c>
      <c r="J8" s="18">
        <f t="shared" si="14"/>
        <v>7160</v>
      </c>
      <c r="K8" s="18">
        <f t="shared" si="14"/>
        <v>6450</v>
      </c>
      <c r="L8" s="18">
        <f t="shared" si="14"/>
        <v>8150</v>
      </c>
      <c r="M8" s="18">
        <f t="shared" ref="M8:R8" si="15">M5-M7-M6</f>
        <v>9523.3999999999978</v>
      </c>
      <c r="N8" s="18">
        <f t="shared" si="15"/>
        <v>8884.5660000000025</v>
      </c>
      <c r="P8" s="18">
        <f t="shared" si="15"/>
        <v>58890</v>
      </c>
      <c r="Q8" s="18">
        <f t="shared" si="15"/>
        <v>27770</v>
      </c>
      <c r="R8" s="18">
        <f t="shared" si="15"/>
        <v>33007.966000000015</v>
      </c>
      <c r="S8" s="18">
        <f t="shared" ref="S8" si="16">S5-S7-S6</f>
        <v>37060.54270000002</v>
      </c>
      <c r="T8" s="18">
        <f t="shared" ref="T8" si="17">T5-T7-T6</f>
        <v>39295.016845400009</v>
      </c>
      <c r="U8" s="18">
        <f t="shared" ref="U8" si="18">U5-U7-U6</f>
        <v>40647.85940383</v>
      </c>
      <c r="V8" s="18">
        <f t="shared" ref="V8" si="19">V5-V7-V6</f>
        <v>44594.125780595205</v>
      </c>
      <c r="W8" s="18">
        <f t="shared" ref="W8" si="20">W5-W7-W6</f>
        <v>46064.346056381699</v>
      </c>
      <c r="X8" s="18">
        <f t="shared" ref="X8" si="21">X5-X7-X6</f>
        <v>47248.084431414332</v>
      </c>
      <c r="Y8" s="18">
        <f t="shared" ref="Y8" si="22">Y5-Y7-Y6</f>
        <v>48436.429241052574</v>
      </c>
      <c r="Z8" s="18">
        <f t="shared" ref="Z8" si="23">Z5-Z7-Z6</f>
        <v>49629.498859133964</v>
      </c>
      <c r="AA8" s="18">
        <f t="shared" ref="AA8" si="24">AA5-AA7-AA6</f>
        <v>50827.412120139474</v>
      </c>
      <c r="AB8" s="18">
        <f t="shared" ref="AB8" si="25">AB5-AB7-AB6</f>
        <v>52030.288331030897</v>
      </c>
    </row>
    <row r="9" spans="2:150" x14ac:dyDescent="0.3">
      <c r="B9" t="s">
        <v>48</v>
      </c>
      <c r="C9" s="5">
        <f>-130-60-340</f>
        <v>-530</v>
      </c>
      <c r="D9" s="5">
        <f>-150-110-290</f>
        <v>-550</v>
      </c>
      <c r="E9" s="5">
        <f>-20-120-250</f>
        <v>-390</v>
      </c>
      <c r="F9" s="5">
        <f>-50-250-510</f>
        <v>-810</v>
      </c>
      <c r="G9" s="5">
        <f>-60-80-540</f>
        <v>-680</v>
      </c>
      <c r="H9" s="5">
        <f>-50-60-470</f>
        <v>-580</v>
      </c>
      <c r="I9" s="5">
        <f>-190-110-540</f>
        <v>-840</v>
      </c>
      <c r="J9" s="5">
        <f>-60-160-340</f>
        <v>-560</v>
      </c>
      <c r="K9" s="5">
        <f>-60-300+50</f>
        <v>-310</v>
      </c>
      <c r="L9" s="5">
        <f>-90-310+770</f>
        <v>370</v>
      </c>
      <c r="M9" s="5">
        <v>-350</v>
      </c>
      <c r="N9" s="5">
        <v>-400</v>
      </c>
      <c r="P9" s="19">
        <f>SUM(C9:F9)</f>
        <v>-2280</v>
      </c>
      <c r="Q9" s="19">
        <f>SUM(G9:J9)</f>
        <v>-2660</v>
      </c>
      <c r="R9" s="19">
        <f>SUM(K9:N9)</f>
        <v>-690</v>
      </c>
      <c r="S9" s="5">
        <v>-2400</v>
      </c>
      <c r="T9" s="5">
        <f>S9*1.01</f>
        <v>-2424</v>
      </c>
      <c r="U9" s="5">
        <f t="shared" ref="U9:AB9" si="26">T9*1.01</f>
        <v>-2448.2400000000002</v>
      </c>
      <c r="V9" s="5">
        <f t="shared" si="26"/>
        <v>-2472.7224000000001</v>
      </c>
      <c r="W9" s="5">
        <f t="shared" si="26"/>
        <v>-2497.4496240000003</v>
      </c>
      <c r="X9" s="5">
        <f t="shared" si="26"/>
        <v>-2522.4241202400003</v>
      </c>
      <c r="Y9" s="5">
        <f t="shared" si="26"/>
        <v>-2547.6483614424005</v>
      </c>
      <c r="Z9" s="5">
        <f t="shared" si="26"/>
        <v>-2573.1248450568246</v>
      </c>
      <c r="AA9" s="5">
        <f t="shared" si="26"/>
        <v>-2598.8560935073929</v>
      </c>
      <c r="AB9" s="5">
        <f t="shared" si="26"/>
        <v>-2624.8446544424669</v>
      </c>
    </row>
    <row r="10" spans="2:150" s="13" customFormat="1" x14ac:dyDescent="0.3">
      <c r="B10" s="13" t="s">
        <v>49</v>
      </c>
      <c r="C10" s="18">
        <f t="shared" ref="C10:L10" si="27">C8-C9</f>
        <v>16170</v>
      </c>
      <c r="D10" s="18">
        <f t="shared" si="27"/>
        <v>15420</v>
      </c>
      <c r="E10" s="18">
        <f t="shared" si="27"/>
        <v>17970</v>
      </c>
      <c r="F10" s="18">
        <f t="shared" si="27"/>
        <v>11610</v>
      </c>
      <c r="G10" s="18">
        <f t="shared" si="27"/>
        <v>6910</v>
      </c>
      <c r="H10" s="18">
        <f t="shared" si="27"/>
        <v>7180</v>
      </c>
      <c r="I10" s="18">
        <f t="shared" si="27"/>
        <v>8620</v>
      </c>
      <c r="J10" s="18">
        <f t="shared" si="27"/>
        <v>7720</v>
      </c>
      <c r="K10" s="18">
        <f t="shared" si="27"/>
        <v>6760</v>
      </c>
      <c r="L10" s="18">
        <f t="shared" si="27"/>
        <v>7780</v>
      </c>
      <c r="M10" s="18">
        <f t="shared" ref="M10:R10" si="28">M8-M9</f>
        <v>9873.3999999999978</v>
      </c>
      <c r="N10" s="18">
        <f t="shared" si="28"/>
        <v>9284.5660000000025</v>
      </c>
      <c r="P10" s="18">
        <f t="shared" si="28"/>
        <v>61170</v>
      </c>
      <c r="Q10" s="18">
        <f t="shared" si="28"/>
        <v>30430</v>
      </c>
      <c r="R10" s="18">
        <f t="shared" si="28"/>
        <v>33697.966000000015</v>
      </c>
      <c r="S10" s="18">
        <f t="shared" ref="S10" si="29">S8-S9</f>
        <v>39460.54270000002</v>
      </c>
      <c r="T10" s="18">
        <f t="shared" ref="T10" si="30">T8-T9</f>
        <v>41719.016845400009</v>
      </c>
      <c r="U10" s="18">
        <f t="shared" ref="U10" si="31">U8-U9</f>
        <v>43096.099403829998</v>
      </c>
      <c r="V10" s="18">
        <f t="shared" ref="V10" si="32">V8-V9</f>
        <v>47066.848180595203</v>
      </c>
      <c r="W10" s="18">
        <f t="shared" ref="W10" si="33">W8-W9</f>
        <v>48561.7956803817</v>
      </c>
      <c r="X10" s="18">
        <f t="shared" ref="X10" si="34">X8-X9</f>
        <v>49770.508551654333</v>
      </c>
      <c r="Y10" s="18">
        <f t="shared" ref="Y10" si="35">Y8-Y9</f>
        <v>50984.077602494974</v>
      </c>
      <c r="Z10" s="18">
        <f t="shared" ref="Z10" si="36">Z8-Z9</f>
        <v>52202.623704190788</v>
      </c>
      <c r="AA10" s="18">
        <f t="shared" ref="AA10" si="37">AA8-AA9</f>
        <v>53426.268213646865</v>
      </c>
      <c r="AB10" s="18">
        <f t="shared" ref="AB10" si="38">AB8-AB9</f>
        <v>54655.132985473363</v>
      </c>
    </row>
    <row r="11" spans="2:150" x14ac:dyDescent="0.3">
      <c r="B11" t="s">
        <v>50</v>
      </c>
      <c r="C11" s="5">
        <v>4490</v>
      </c>
      <c r="D11" s="5">
        <v>4360</v>
      </c>
      <c r="E11" s="5">
        <v>4820</v>
      </c>
      <c r="F11" s="5">
        <v>3150</v>
      </c>
      <c r="G11" s="5">
        <v>1870</v>
      </c>
      <c r="H11" s="5">
        <v>2000</v>
      </c>
      <c r="I11" s="5">
        <v>2330</v>
      </c>
      <c r="J11" s="5">
        <v>2490</v>
      </c>
      <c r="K11" s="5">
        <v>1870</v>
      </c>
      <c r="L11" s="5">
        <v>2210</v>
      </c>
      <c r="M11" s="5">
        <f>M10*0.29</f>
        <v>2863.2859999999991</v>
      </c>
      <c r="N11" s="5">
        <f t="shared" ref="N11" si="39">N10*0.29</f>
        <v>2692.5241400000004</v>
      </c>
      <c r="P11" s="19">
        <f>SUM(C11:F11)</f>
        <v>16820</v>
      </c>
      <c r="Q11" s="19">
        <f>SUM(G11:J11)</f>
        <v>8690</v>
      </c>
      <c r="R11" s="19">
        <f>SUM(K11:N11)</f>
        <v>9635.8101399999996</v>
      </c>
      <c r="S11" s="5">
        <f>S10*0.29</f>
        <v>11443.557383000005</v>
      </c>
      <c r="T11" s="5">
        <f t="shared" ref="T11:AB11" si="40">T10*0.29</f>
        <v>12098.514885166001</v>
      </c>
      <c r="U11" s="5">
        <f t="shared" si="40"/>
        <v>12497.868827110698</v>
      </c>
      <c r="V11" s="5">
        <f t="shared" si="40"/>
        <v>13649.385972372607</v>
      </c>
      <c r="W11" s="5">
        <f t="shared" si="40"/>
        <v>14082.920747310693</v>
      </c>
      <c r="X11" s="5">
        <f t="shared" si="40"/>
        <v>14433.447479979755</v>
      </c>
      <c r="Y11" s="5">
        <f t="shared" si="40"/>
        <v>14785.38250472354</v>
      </c>
      <c r="Z11" s="5">
        <f t="shared" si="40"/>
        <v>15138.760874215328</v>
      </c>
      <c r="AA11" s="5">
        <f t="shared" si="40"/>
        <v>15493.61778195759</v>
      </c>
      <c r="AB11" s="5">
        <f t="shared" si="40"/>
        <v>15849.988565787275</v>
      </c>
    </row>
    <row r="12" spans="2:150" x14ac:dyDescent="0.3">
      <c r="B12" t="s">
        <v>51</v>
      </c>
      <c r="C12" s="5">
        <v>70</v>
      </c>
      <c r="D12" s="5">
        <v>0</v>
      </c>
      <c r="E12" s="5">
        <v>0</v>
      </c>
      <c r="F12" s="5">
        <v>130</v>
      </c>
      <c r="G12" s="5">
        <v>70</v>
      </c>
      <c r="H12" s="5">
        <v>120</v>
      </c>
      <c r="I12" s="5">
        <v>180</v>
      </c>
      <c r="J12" s="5">
        <v>0</v>
      </c>
      <c r="K12" s="5">
        <v>10</v>
      </c>
      <c r="L12" s="5">
        <f>5560-5490</f>
        <v>70</v>
      </c>
      <c r="M12" s="5">
        <v>80</v>
      </c>
      <c r="N12" s="5">
        <v>80</v>
      </c>
      <c r="P12" s="19">
        <f>SUM(C12:F12)</f>
        <v>200</v>
      </c>
      <c r="Q12" s="19">
        <f>SUM(G12:J12)</f>
        <v>370</v>
      </c>
      <c r="R12" s="19">
        <f>SUM(K12:N12)</f>
        <v>240</v>
      </c>
      <c r="S12" s="5">
        <v>270</v>
      </c>
      <c r="T12" s="5">
        <f>S12*1.01</f>
        <v>272.7</v>
      </c>
      <c r="U12" s="5">
        <f t="shared" ref="U12:AB12" si="41">T12*1.01</f>
        <v>275.42699999999996</v>
      </c>
      <c r="V12" s="5">
        <f t="shared" si="41"/>
        <v>278.18126999999998</v>
      </c>
      <c r="W12" s="5">
        <f t="shared" si="41"/>
        <v>280.96308269999997</v>
      </c>
      <c r="X12" s="5">
        <f t="shared" si="41"/>
        <v>283.77271352699995</v>
      </c>
      <c r="Y12" s="5">
        <f t="shared" si="41"/>
        <v>286.61044066226998</v>
      </c>
      <c r="Z12" s="5">
        <f t="shared" si="41"/>
        <v>289.47654506889268</v>
      </c>
      <c r="AA12" s="5">
        <f t="shared" si="41"/>
        <v>292.37131051958158</v>
      </c>
      <c r="AB12" s="5">
        <f t="shared" si="41"/>
        <v>295.2950236247774</v>
      </c>
    </row>
    <row r="13" spans="2:150" s="13" customFormat="1" x14ac:dyDescent="0.3">
      <c r="B13" s="13" t="s">
        <v>52</v>
      </c>
      <c r="C13" s="18">
        <f t="shared" ref="C13:L13" si="42">C10-C11-C12</f>
        <v>11610</v>
      </c>
      <c r="D13" s="18">
        <f t="shared" si="42"/>
        <v>11060</v>
      </c>
      <c r="E13" s="18">
        <f t="shared" si="42"/>
        <v>13150</v>
      </c>
      <c r="F13" s="18">
        <f t="shared" si="42"/>
        <v>8330</v>
      </c>
      <c r="G13" s="18">
        <f t="shared" si="42"/>
        <v>4970</v>
      </c>
      <c r="H13" s="18">
        <f t="shared" si="42"/>
        <v>5060</v>
      </c>
      <c r="I13" s="18">
        <f t="shared" si="42"/>
        <v>6110</v>
      </c>
      <c r="J13" s="18">
        <f t="shared" si="42"/>
        <v>5230</v>
      </c>
      <c r="K13" s="18">
        <f t="shared" si="42"/>
        <v>4880</v>
      </c>
      <c r="L13" s="18">
        <f t="shared" si="42"/>
        <v>5500</v>
      </c>
      <c r="M13" s="18">
        <f t="shared" ref="M13:R13" si="43">M10-M11-M12</f>
        <v>6930.1139999999987</v>
      </c>
      <c r="N13" s="18">
        <f t="shared" si="43"/>
        <v>6512.0418600000021</v>
      </c>
      <c r="P13" s="18">
        <f t="shared" si="43"/>
        <v>44150</v>
      </c>
      <c r="Q13" s="18">
        <f t="shared" si="43"/>
        <v>21370</v>
      </c>
      <c r="R13" s="18">
        <f t="shared" si="43"/>
        <v>23822.155860000013</v>
      </c>
      <c r="S13" s="18">
        <f t="shared" ref="S13" si="44">S10-S11-S12</f>
        <v>27746.985317000013</v>
      </c>
      <c r="T13" s="18">
        <f t="shared" ref="T13" si="45">T10-T11-T12</f>
        <v>29347.801960234006</v>
      </c>
      <c r="U13" s="18">
        <f t="shared" ref="U13" si="46">U10-U11-U12</f>
        <v>30322.8035767193</v>
      </c>
      <c r="V13" s="18">
        <f t="shared" ref="V13" si="47">V10-V11-V12</f>
        <v>33139.280938222597</v>
      </c>
      <c r="W13" s="18">
        <f t="shared" ref="W13" si="48">W10-W11-W12</f>
        <v>34197.911850371005</v>
      </c>
      <c r="X13" s="18">
        <f t="shared" ref="X13" si="49">X10-X11-X12</f>
        <v>35053.288358147576</v>
      </c>
      <c r="Y13" s="18">
        <f t="shared" ref="Y13" si="50">Y10-Y11-Y12</f>
        <v>35912.084657109161</v>
      </c>
      <c r="Z13" s="18">
        <f t="shared" ref="Z13" si="51">Z10-Z11-Z12</f>
        <v>36774.38628490657</v>
      </c>
      <c r="AA13" s="18">
        <f t="shared" ref="AA13" si="52">AA10-AA11-AA12</f>
        <v>37640.279121169697</v>
      </c>
      <c r="AB13" s="18">
        <f t="shared" ref="AB13" si="53">AB10-AB11-AB12</f>
        <v>38509.849396061312</v>
      </c>
      <c r="AC13" s="13">
        <f>AB13*(1+$AE$22)</f>
        <v>38124.750902100699</v>
      </c>
      <c r="AD13" s="13">
        <f t="shared" ref="AD13:CO13" si="54">AC13*(1+$AE$22)</f>
        <v>37743.503393079693</v>
      </c>
      <c r="AE13" s="13">
        <f t="shared" si="54"/>
        <v>37366.068359148892</v>
      </c>
      <c r="AF13" s="13">
        <f t="shared" si="54"/>
        <v>36992.407675557406</v>
      </c>
      <c r="AG13" s="13">
        <f t="shared" si="54"/>
        <v>36622.483598801831</v>
      </c>
      <c r="AH13" s="13">
        <f t="shared" si="54"/>
        <v>36256.258762813814</v>
      </c>
      <c r="AI13" s="13">
        <f t="shared" si="54"/>
        <v>35893.696175185672</v>
      </c>
      <c r="AJ13" s="13">
        <f t="shared" si="54"/>
        <v>35534.759213433812</v>
      </c>
      <c r="AK13" s="13">
        <f t="shared" si="54"/>
        <v>35179.41162129947</v>
      </c>
      <c r="AL13" s="13">
        <f t="shared" si="54"/>
        <v>34827.617505086477</v>
      </c>
      <c r="AM13" s="13">
        <f t="shared" si="54"/>
        <v>34479.341330035611</v>
      </c>
      <c r="AN13" s="13">
        <f t="shared" si="54"/>
        <v>34134.547916735253</v>
      </c>
      <c r="AO13" s="13">
        <f t="shared" si="54"/>
        <v>33793.202437567903</v>
      </c>
      <c r="AP13" s="13">
        <f t="shared" si="54"/>
        <v>33455.270413192222</v>
      </c>
      <c r="AQ13" s="13">
        <f t="shared" si="54"/>
        <v>33120.7177090603</v>
      </c>
      <c r="AR13" s="13">
        <f t="shared" si="54"/>
        <v>32789.510531969696</v>
      </c>
      <c r="AS13" s="13">
        <f t="shared" si="54"/>
        <v>32461.615426649998</v>
      </c>
      <c r="AT13" s="13">
        <f t="shared" si="54"/>
        <v>32136.999272383498</v>
      </c>
      <c r="AU13" s="13">
        <f t="shared" si="54"/>
        <v>31815.629279659664</v>
      </c>
      <c r="AV13" s="13">
        <f t="shared" si="54"/>
        <v>31497.472986863067</v>
      </c>
      <c r="AW13" s="13">
        <f t="shared" si="54"/>
        <v>31182.498256994437</v>
      </c>
      <c r="AX13" s="13">
        <f t="shared" si="54"/>
        <v>30870.673274424491</v>
      </c>
      <c r="AY13" s="13">
        <f t="shared" si="54"/>
        <v>30561.966541680245</v>
      </c>
      <c r="AZ13" s="13">
        <f t="shared" si="54"/>
        <v>30256.346876263444</v>
      </c>
      <c r="BA13" s="13">
        <f t="shared" si="54"/>
        <v>29953.78340750081</v>
      </c>
      <c r="BB13" s="13">
        <f t="shared" si="54"/>
        <v>29654.245573425804</v>
      </c>
      <c r="BC13" s="13">
        <f t="shared" si="54"/>
        <v>29357.703117691544</v>
      </c>
      <c r="BD13" s="13">
        <f t="shared" si="54"/>
        <v>29064.126086514629</v>
      </c>
      <c r="BE13" s="13">
        <f t="shared" si="54"/>
        <v>28773.484825649481</v>
      </c>
      <c r="BF13" s="13">
        <f t="shared" si="54"/>
        <v>28485.749977392985</v>
      </c>
      <c r="BG13" s="13">
        <f t="shared" si="54"/>
        <v>28200.892477619054</v>
      </c>
      <c r="BH13" s="13">
        <f t="shared" si="54"/>
        <v>27918.883552842864</v>
      </c>
      <c r="BI13" s="13">
        <f t="shared" si="54"/>
        <v>27639.694717314436</v>
      </c>
      <c r="BJ13" s="13">
        <f t="shared" si="54"/>
        <v>27363.297770141293</v>
      </c>
      <c r="BK13" s="13">
        <f t="shared" si="54"/>
        <v>27089.664792439879</v>
      </c>
      <c r="BL13" s="13">
        <f t="shared" si="54"/>
        <v>26818.768144515481</v>
      </c>
      <c r="BM13" s="13">
        <f t="shared" si="54"/>
        <v>26550.580463070328</v>
      </c>
      <c r="BN13" s="13">
        <f t="shared" si="54"/>
        <v>26285.074658439626</v>
      </c>
      <c r="BO13" s="13">
        <f t="shared" si="54"/>
        <v>26022.223911855228</v>
      </c>
      <c r="BP13" s="13">
        <f t="shared" si="54"/>
        <v>25762.001672736675</v>
      </c>
      <c r="BQ13" s="13">
        <f t="shared" si="54"/>
        <v>25504.381656009307</v>
      </c>
      <c r="BR13" s="13">
        <f t="shared" si="54"/>
        <v>25249.337839449214</v>
      </c>
      <c r="BS13" s="13">
        <f t="shared" si="54"/>
        <v>24996.844461054723</v>
      </c>
      <c r="BT13" s="13">
        <f t="shared" si="54"/>
        <v>24746.876016444177</v>
      </c>
      <c r="BU13" s="13">
        <f t="shared" si="54"/>
        <v>24499.407256279734</v>
      </c>
      <c r="BV13" s="13">
        <f t="shared" si="54"/>
        <v>24254.413183716937</v>
      </c>
      <c r="BW13" s="13">
        <f t="shared" si="54"/>
        <v>24011.869051879767</v>
      </c>
      <c r="BX13" s="13">
        <f t="shared" si="54"/>
        <v>23771.75036136097</v>
      </c>
      <c r="BY13" s="13">
        <f t="shared" si="54"/>
        <v>23534.032857747359</v>
      </c>
      <c r="BZ13" s="13">
        <f t="shared" si="54"/>
        <v>23298.692529169886</v>
      </c>
      <c r="CA13" s="13">
        <f t="shared" si="54"/>
        <v>23065.705603878188</v>
      </c>
      <c r="CB13" s="13">
        <f t="shared" si="54"/>
        <v>22835.048547839408</v>
      </c>
      <c r="CC13" s="13">
        <f t="shared" si="54"/>
        <v>22606.698062361014</v>
      </c>
      <c r="CD13" s="13">
        <f t="shared" si="54"/>
        <v>22380.631081737403</v>
      </c>
      <c r="CE13" s="13">
        <f t="shared" si="54"/>
        <v>22156.82477092003</v>
      </c>
      <c r="CF13" s="13">
        <f t="shared" si="54"/>
        <v>21935.256523210828</v>
      </c>
      <c r="CG13" s="13">
        <f t="shared" si="54"/>
        <v>21715.90395797872</v>
      </c>
      <c r="CH13" s="13">
        <f t="shared" si="54"/>
        <v>21498.744918398934</v>
      </c>
      <c r="CI13" s="13">
        <f t="shared" si="54"/>
        <v>21283.757469214943</v>
      </c>
      <c r="CJ13" s="13">
        <f t="shared" si="54"/>
        <v>21070.919894522794</v>
      </c>
      <c r="CK13" s="13">
        <f t="shared" si="54"/>
        <v>20860.210695577567</v>
      </c>
      <c r="CL13" s="13">
        <f t="shared" si="54"/>
        <v>20651.608588621792</v>
      </c>
      <c r="CM13" s="13">
        <f t="shared" si="54"/>
        <v>20445.092502735573</v>
      </c>
      <c r="CN13" s="13">
        <f t="shared" si="54"/>
        <v>20240.641577708218</v>
      </c>
      <c r="CO13" s="13">
        <f t="shared" si="54"/>
        <v>20038.235161931138</v>
      </c>
      <c r="CP13" s="13">
        <f t="shared" ref="CP13:ET13" si="55">CO13*(1+$AE$22)</f>
        <v>19837.852810311826</v>
      </c>
      <c r="CQ13" s="13">
        <f t="shared" si="55"/>
        <v>19639.474282208706</v>
      </c>
      <c r="CR13" s="13">
        <f t="shared" si="55"/>
        <v>19443.079539386617</v>
      </c>
      <c r="CS13" s="13">
        <f t="shared" si="55"/>
        <v>19248.648743992751</v>
      </c>
      <c r="CT13" s="13">
        <f t="shared" si="55"/>
        <v>19056.162256552823</v>
      </c>
      <c r="CU13" s="13">
        <f t="shared" si="55"/>
        <v>18865.600633987295</v>
      </c>
      <c r="CV13" s="13">
        <f t="shared" si="55"/>
        <v>18676.944627647423</v>
      </c>
      <c r="CW13" s="13">
        <f t="shared" si="55"/>
        <v>18490.175181370949</v>
      </c>
      <c r="CX13" s="13">
        <f t="shared" si="55"/>
        <v>18305.273429557241</v>
      </c>
      <c r="CY13" s="13">
        <f t="shared" si="55"/>
        <v>18122.220695261669</v>
      </c>
      <c r="CZ13" s="13">
        <f t="shared" si="55"/>
        <v>17940.998488309051</v>
      </c>
      <c r="DA13" s="13">
        <f t="shared" si="55"/>
        <v>17761.588503425959</v>
      </c>
      <c r="DB13" s="13">
        <f t="shared" si="55"/>
        <v>17583.972618391701</v>
      </c>
      <c r="DC13" s="13">
        <f t="shared" si="55"/>
        <v>17408.132892207785</v>
      </c>
      <c r="DD13" s="13">
        <f t="shared" si="55"/>
        <v>17234.051563285706</v>
      </c>
      <c r="DE13" s="13">
        <f t="shared" si="55"/>
        <v>17061.711047652847</v>
      </c>
      <c r="DF13" s="13">
        <f t="shared" si="55"/>
        <v>16891.09393717632</v>
      </c>
      <c r="DG13" s="13">
        <f t="shared" si="55"/>
        <v>16722.182997804557</v>
      </c>
      <c r="DH13" s="13">
        <f t="shared" si="55"/>
        <v>16554.96116782651</v>
      </c>
      <c r="DI13" s="13">
        <f t="shared" si="55"/>
        <v>16389.411556148243</v>
      </c>
      <c r="DJ13" s="13">
        <f t="shared" si="55"/>
        <v>16225.51744058676</v>
      </c>
      <c r="DK13" s="13">
        <f t="shared" si="55"/>
        <v>16063.262266180893</v>
      </c>
      <c r="DL13" s="13">
        <f t="shared" si="55"/>
        <v>15902.629643519083</v>
      </c>
      <c r="DM13" s="13">
        <f t="shared" si="55"/>
        <v>15743.603347083892</v>
      </c>
      <c r="DN13" s="13">
        <f t="shared" si="55"/>
        <v>15586.167313613052</v>
      </c>
      <c r="DO13" s="13">
        <f t="shared" si="55"/>
        <v>15430.305640476921</v>
      </c>
      <c r="DP13" s="13">
        <f t="shared" si="55"/>
        <v>15276.002584072152</v>
      </c>
      <c r="DQ13" s="13">
        <f t="shared" si="55"/>
        <v>15123.24255823143</v>
      </c>
      <c r="DR13" s="13">
        <f t="shared" si="55"/>
        <v>14972.010132649115</v>
      </c>
      <c r="DS13" s="13">
        <f t="shared" si="55"/>
        <v>14822.290031322624</v>
      </c>
      <c r="DT13" s="13">
        <f t="shared" si="55"/>
        <v>14674.067131009397</v>
      </c>
      <c r="DU13" s="13">
        <f t="shared" si="55"/>
        <v>14527.326459699303</v>
      </c>
      <c r="DV13" s="13">
        <f t="shared" si="55"/>
        <v>14382.053195102309</v>
      </c>
      <c r="DW13" s="13">
        <f t="shared" si="55"/>
        <v>14238.232663151286</v>
      </c>
      <c r="DX13" s="13">
        <f t="shared" si="55"/>
        <v>14095.850336519774</v>
      </c>
      <c r="DY13" s="13">
        <f t="shared" si="55"/>
        <v>13954.891833154576</v>
      </c>
      <c r="DZ13" s="13">
        <f t="shared" si="55"/>
        <v>13815.34291482303</v>
      </c>
      <c r="EA13" s="13">
        <f t="shared" si="55"/>
        <v>13677.189485674799</v>
      </c>
      <c r="EB13" s="13">
        <f t="shared" si="55"/>
        <v>13540.41759081805</v>
      </c>
      <c r="EC13" s="13">
        <f t="shared" si="55"/>
        <v>13405.013414909869</v>
      </c>
      <c r="ED13" s="13">
        <f t="shared" si="55"/>
        <v>13270.96328076077</v>
      </c>
      <c r="EE13" s="13">
        <f t="shared" si="55"/>
        <v>13138.253647953163</v>
      </c>
      <c r="EF13" s="13">
        <f t="shared" si="55"/>
        <v>13006.871111473631</v>
      </c>
      <c r="EG13" s="13">
        <f t="shared" si="55"/>
        <v>12876.802400358894</v>
      </c>
      <c r="EH13" s="13">
        <f t="shared" si="55"/>
        <v>12748.034376355305</v>
      </c>
      <c r="EI13" s="13">
        <f t="shared" si="55"/>
        <v>12620.554032591752</v>
      </c>
      <c r="EJ13" s="13">
        <f t="shared" si="55"/>
        <v>12494.348492265834</v>
      </c>
      <c r="EK13" s="13">
        <f t="shared" si="55"/>
        <v>12369.405007343175</v>
      </c>
      <c r="EL13" s="13">
        <f t="shared" si="55"/>
        <v>12245.710957269743</v>
      </c>
      <c r="EM13" s="13">
        <f t="shared" si="55"/>
        <v>12123.253847697046</v>
      </c>
      <c r="EN13" s="13">
        <f t="shared" si="55"/>
        <v>12002.021309220076</v>
      </c>
      <c r="EO13" s="13">
        <f t="shared" si="55"/>
        <v>11882.001096127875</v>
      </c>
      <c r="EP13" s="13">
        <f t="shared" si="55"/>
        <v>11763.181085166596</v>
      </c>
      <c r="EQ13" s="13">
        <f t="shared" si="55"/>
        <v>11645.54927431493</v>
      </c>
      <c r="ER13" s="13">
        <f t="shared" si="55"/>
        <v>11529.093781571781</v>
      </c>
      <c r="ES13" s="13">
        <f t="shared" si="55"/>
        <v>11413.802843756062</v>
      </c>
      <c r="ET13" s="13">
        <f t="shared" si="55"/>
        <v>11299.664815318501</v>
      </c>
    </row>
    <row r="14" spans="2:150" x14ac:dyDescent="0.3">
      <c r="B14" t="s">
        <v>1</v>
      </c>
      <c r="C14">
        <v>5.97</v>
      </c>
      <c r="D14">
        <v>5.97</v>
      </c>
      <c r="E14">
        <v>5.97</v>
      </c>
      <c r="F14">
        <v>5.97</v>
      </c>
      <c r="G14">
        <v>5.97</v>
      </c>
      <c r="H14">
        <v>5.97</v>
      </c>
      <c r="I14">
        <v>5.97</v>
      </c>
      <c r="J14">
        <v>5.97</v>
      </c>
      <c r="K14">
        <v>5.97</v>
      </c>
      <c r="L14">
        <v>5.97</v>
      </c>
      <c r="M14">
        <v>5.97</v>
      </c>
      <c r="N14">
        <v>5.97</v>
      </c>
      <c r="P14">
        <v>5.97</v>
      </c>
      <c r="Q14">
        <v>5.97</v>
      </c>
      <c r="R14">
        <v>5.97</v>
      </c>
      <c r="S14">
        <v>5.97</v>
      </c>
      <c r="T14">
        <v>5.97</v>
      </c>
      <c r="U14">
        <v>5.97</v>
      </c>
      <c r="V14">
        <v>5.97</v>
      </c>
      <c r="W14">
        <v>5.97</v>
      </c>
      <c r="X14">
        <v>5.97</v>
      </c>
      <c r="Y14">
        <v>5.97</v>
      </c>
      <c r="Z14">
        <v>5.97</v>
      </c>
      <c r="AA14">
        <v>5.97</v>
      </c>
      <c r="AB14">
        <v>5.97</v>
      </c>
    </row>
    <row r="15" spans="2:150" s="13" customFormat="1" x14ac:dyDescent="0.3">
      <c r="B15" s="13" t="s">
        <v>53</v>
      </c>
      <c r="C15" s="14">
        <f t="shared" ref="C15:L15" si="56">C13/C14</f>
        <v>1944.7236180904524</v>
      </c>
      <c r="D15" s="14">
        <f t="shared" si="56"/>
        <v>1852.5963149078727</v>
      </c>
      <c r="E15" s="14">
        <f t="shared" si="56"/>
        <v>2202.6800670016751</v>
      </c>
      <c r="F15" s="14">
        <f t="shared" si="56"/>
        <v>1395.3098827470687</v>
      </c>
      <c r="G15" s="14">
        <f t="shared" si="56"/>
        <v>832.49581239530994</v>
      </c>
      <c r="H15" s="14">
        <f t="shared" si="56"/>
        <v>847.57118927973204</v>
      </c>
      <c r="I15" s="14">
        <f t="shared" si="56"/>
        <v>1023.4505862646566</v>
      </c>
      <c r="J15" s="14">
        <f t="shared" si="56"/>
        <v>876.04690117252937</v>
      </c>
      <c r="K15" s="14">
        <f t="shared" si="56"/>
        <v>817.42043551088784</v>
      </c>
      <c r="L15" s="14">
        <f t="shared" si="56"/>
        <v>921.27303182579567</v>
      </c>
      <c r="M15" s="14">
        <f t="shared" ref="M15:R15" si="57">M13/M14</f>
        <v>1160.8231155778892</v>
      </c>
      <c r="N15" s="14">
        <f t="shared" si="57"/>
        <v>1090.7942814070357</v>
      </c>
      <c r="P15" s="14">
        <f t="shared" si="57"/>
        <v>7395.3098827470694</v>
      </c>
      <c r="Q15" s="14">
        <f t="shared" si="57"/>
        <v>3579.5644891122279</v>
      </c>
      <c r="R15" s="14">
        <f t="shared" si="57"/>
        <v>3990.3108643216106</v>
      </c>
      <c r="S15" s="14">
        <f t="shared" ref="S15" si="58">S13/S14</f>
        <v>4647.7362340033524</v>
      </c>
      <c r="T15" s="14">
        <f t="shared" ref="T15" si="59">T13/T14</f>
        <v>4915.8797253323291</v>
      </c>
      <c r="U15" s="14">
        <f t="shared" ref="U15" si="60">U13/U14</f>
        <v>5079.1965790149579</v>
      </c>
      <c r="V15" s="14">
        <f t="shared" ref="V15" si="61">V13/V14</f>
        <v>5550.9683313605692</v>
      </c>
      <c r="W15" s="14">
        <f t="shared" ref="W15" si="62">W13/W14</f>
        <v>5728.2934422732005</v>
      </c>
      <c r="X15" s="14">
        <f t="shared" ref="X15" si="63">X13/X14</f>
        <v>5871.5725893044519</v>
      </c>
      <c r="Y15" s="14">
        <f t="shared" ref="Y15" si="64">Y13/Y14</f>
        <v>6015.4245656799267</v>
      </c>
      <c r="Z15" s="14">
        <f t="shared" ref="Z15" si="65">Z13/Z14</f>
        <v>6159.8636993143336</v>
      </c>
      <c r="AA15" s="14">
        <f t="shared" ref="AA15" si="66">AA13/AA14</f>
        <v>6304.90437540531</v>
      </c>
      <c r="AB15" s="14">
        <f t="shared" ref="AB15" si="67">AB13/AB14</f>
        <v>6450.5610378662168</v>
      </c>
    </row>
    <row r="17" spans="2:31" x14ac:dyDescent="0.3">
      <c r="B17" s="13" t="s">
        <v>56</v>
      </c>
      <c r="G17" s="12">
        <f>G3/C3-1</f>
        <v>-0.13490752972258913</v>
      </c>
      <c r="H17" s="12">
        <f t="shared" ref="H17:N17" si="68">H3/D3-1</f>
        <v>-4.0184678522571793E-2</v>
      </c>
      <c r="I17" s="12">
        <f t="shared" si="68"/>
        <v>-5.2856706385578933E-2</v>
      </c>
      <c r="J17" s="12">
        <f t="shared" si="68"/>
        <v>1.0291884595917011E-2</v>
      </c>
      <c r="K17" s="12">
        <f t="shared" si="68"/>
        <v>5.6117579690780683E-2</v>
      </c>
      <c r="L17" s="12">
        <f t="shared" si="68"/>
        <v>-5.6297879921610505E-2</v>
      </c>
      <c r="M17" s="12">
        <f t="shared" si="68"/>
        <v>1.0000000000000009E-2</v>
      </c>
      <c r="N17" s="12">
        <f t="shared" si="68"/>
        <v>2.0000000000000018E-2</v>
      </c>
      <c r="Q17" s="12">
        <f>Q3/P3-1</f>
        <v>-5.4846781802518785E-2</v>
      </c>
      <c r="R17" s="12">
        <f t="shared" ref="R17:AB17" si="69">R3/Q3-1</f>
        <v>6.9340277777778514E-3</v>
      </c>
      <c r="S17" s="12">
        <f t="shared" si="69"/>
        <v>3.0000000000000027E-2</v>
      </c>
      <c r="T17" s="12">
        <f t="shared" si="69"/>
        <v>3.0000000000000027E-2</v>
      </c>
      <c r="U17" s="12">
        <f t="shared" si="69"/>
        <v>2.0000000000000018E-2</v>
      </c>
      <c r="V17" s="12">
        <f t="shared" si="69"/>
        <v>2.0000000000000018E-2</v>
      </c>
      <c r="W17" s="12">
        <f t="shared" si="69"/>
        <v>2.0000000000000018E-2</v>
      </c>
      <c r="X17" s="12">
        <f t="shared" si="69"/>
        <v>1.0000000000000009E-2</v>
      </c>
      <c r="Y17" s="12">
        <f t="shared" si="69"/>
        <v>1.0000000000000009E-2</v>
      </c>
      <c r="Z17" s="12">
        <f t="shared" si="69"/>
        <v>1.0000000000000009E-2</v>
      </c>
      <c r="AA17" s="12">
        <f t="shared" si="69"/>
        <v>1.0000000000000009E-2</v>
      </c>
      <c r="AB17" s="12">
        <f t="shared" si="69"/>
        <v>1.0000000000000009E-2</v>
      </c>
    </row>
    <row r="18" spans="2:31" x14ac:dyDescent="0.3">
      <c r="B18" s="13" t="s">
        <v>54</v>
      </c>
      <c r="C18" s="16">
        <f>C5/C3</f>
        <v>0.47308454425363278</v>
      </c>
      <c r="D18" s="16">
        <f t="shared" ref="D18:N18" si="70">D5/D3</f>
        <v>0.46528727770177841</v>
      </c>
      <c r="E18" s="16">
        <f t="shared" si="70"/>
        <v>0.46241979835013747</v>
      </c>
      <c r="F18" s="16">
        <f t="shared" si="70"/>
        <v>0.42601653450312132</v>
      </c>
      <c r="G18" s="16">
        <f t="shared" si="70"/>
        <v>0.37488070242412674</v>
      </c>
      <c r="H18" s="16">
        <f t="shared" si="70"/>
        <v>0.35970069481560663</v>
      </c>
      <c r="I18" s="16">
        <f t="shared" si="70"/>
        <v>0.35499999999999998</v>
      </c>
      <c r="J18" s="16">
        <f t="shared" si="70"/>
        <v>0.35621242484969939</v>
      </c>
      <c r="K18" s="16">
        <f t="shared" si="70"/>
        <v>0.37086571480209651</v>
      </c>
      <c r="L18" s="16">
        <f t="shared" si="70"/>
        <v>0.3975835378516141</v>
      </c>
      <c r="M18" s="16">
        <f t="shared" si="70"/>
        <v>0.38</v>
      </c>
      <c r="N18" s="16">
        <f t="shared" si="70"/>
        <v>0.38</v>
      </c>
      <c r="P18" s="16">
        <f t="shared" ref="P18:AB18" si="71">P5/P3</f>
        <v>0.45690610001230669</v>
      </c>
      <c r="Q18" s="16">
        <f t="shared" si="71"/>
        <v>0.36098090277777778</v>
      </c>
      <c r="R18" s="16">
        <f t="shared" si="71"/>
        <v>0.38183622589199206</v>
      </c>
      <c r="S18" s="16">
        <f t="shared" si="71"/>
        <v>0.39000000000000007</v>
      </c>
      <c r="T18" s="16">
        <f t="shared" si="71"/>
        <v>0.39</v>
      </c>
      <c r="U18" s="16">
        <f t="shared" si="71"/>
        <v>0.39</v>
      </c>
      <c r="V18" s="16">
        <f t="shared" si="71"/>
        <v>0.4</v>
      </c>
      <c r="W18" s="16">
        <f t="shared" si="71"/>
        <v>0.4</v>
      </c>
      <c r="X18" s="16">
        <f t="shared" si="71"/>
        <v>0.4</v>
      </c>
      <c r="Y18" s="16">
        <f t="shared" si="71"/>
        <v>0.4</v>
      </c>
      <c r="Z18" s="16">
        <f t="shared" si="71"/>
        <v>0.4</v>
      </c>
      <c r="AA18" s="16">
        <f t="shared" si="71"/>
        <v>0.4</v>
      </c>
      <c r="AB18" s="16">
        <f t="shared" si="71"/>
        <v>0.4</v>
      </c>
    </row>
    <row r="19" spans="2:31" x14ac:dyDescent="0.3">
      <c r="B19" t="s">
        <v>55</v>
      </c>
      <c r="C19" s="12">
        <f>C8/C3</f>
        <v>0.25825627476882429</v>
      </c>
      <c r="D19" s="12">
        <f t="shared" ref="D19:N19" si="72">D8/D3</f>
        <v>0.25427496580027359</v>
      </c>
      <c r="E19" s="12">
        <f t="shared" si="72"/>
        <v>0.26856095325389551</v>
      </c>
      <c r="F19" s="12">
        <f t="shared" si="72"/>
        <v>0.1822169731736123</v>
      </c>
      <c r="G19" s="12">
        <f t="shared" si="72"/>
        <v>0.11891582363046382</v>
      </c>
      <c r="H19" s="12">
        <f t="shared" si="72"/>
        <v>0.11758417958311064</v>
      </c>
      <c r="I19" s="12">
        <f t="shared" si="72"/>
        <v>0.12548387096774194</v>
      </c>
      <c r="J19" s="12">
        <f t="shared" si="72"/>
        <v>0.11957247828991316</v>
      </c>
      <c r="K19" s="12">
        <f t="shared" si="72"/>
        <v>0.11657328754744262</v>
      </c>
      <c r="L19" s="12">
        <f t="shared" si="72"/>
        <v>0.15386067585425714</v>
      </c>
      <c r="M19" s="12">
        <f t="shared" si="72"/>
        <v>0.15208240178856591</v>
      </c>
      <c r="N19" s="12">
        <f t="shared" si="72"/>
        <v>0.14546357420723804</v>
      </c>
      <c r="P19" s="12">
        <f t="shared" ref="P19:AB19" si="73">P8/P3</f>
        <v>0.24158017803667392</v>
      </c>
      <c r="Q19" s="12">
        <f t="shared" si="73"/>
        <v>0.12052951388888888</v>
      </c>
      <c r="R19" s="12">
        <f t="shared" si="73"/>
        <v>0.14227718735021402</v>
      </c>
      <c r="S19" s="12">
        <f t="shared" si="73"/>
        <v>0.15509259327456726</v>
      </c>
      <c r="T19" s="12">
        <f t="shared" si="73"/>
        <v>0.15965390214302222</v>
      </c>
      <c r="U19" s="12">
        <f t="shared" si="73"/>
        <v>0.16191219722005137</v>
      </c>
      <c r="V19" s="12">
        <f t="shared" si="73"/>
        <v>0.17414835214926663</v>
      </c>
      <c r="W19" s="12">
        <f t="shared" si="73"/>
        <v>0.17636258399094049</v>
      </c>
      <c r="X19" s="12">
        <f t="shared" si="73"/>
        <v>0.17910362464265264</v>
      </c>
      <c r="Y19" s="12">
        <f t="shared" si="73"/>
        <v>0.1817903872616575</v>
      </c>
      <c r="Z19" s="12">
        <f t="shared" si="73"/>
        <v>0.18442394666048406</v>
      </c>
      <c r="AA19" s="12">
        <f t="shared" si="73"/>
        <v>0.18700535636824481</v>
      </c>
      <c r="AB19" s="12">
        <f t="shared" si="73"/>
        <v>0.18953564905208947</v>
      </c>
    </row>
    <row r="20" spans="2:31" x14ac:dyDescent="0.3">
      <c r="B20" s="17" t="s">
        <v>50</v>
      </c>
      <c r="C20" s="12">
        <f>C11/C10</f>
        <v>0.27767470624613483</v>
      </c>
      <c r="D20" s="12">
        <f t="shared" ref="D20:N20" si="74">D11/D10</f>
        <v>0.28274967574578469</v>
      </c>
      <c r="E20" s="12">
        <f t="shared" si="74"/>
        <v>0.26822481914301616</v>
      </c>
      <c r="F20" s="12">
        <f t="shared" si="74"/>
        <v>0.27131782945736432</v>
      </c>
      <c r="G20" s="12">
        <f t="shared" si="74"/>
        <v>0.27062228654124459</v>
      </c>
      <c r="H20" s="12">
        <f t="shared" si="74"/>
        <v>0.2785515320334262</v>
      </c>
      <c r="I20" s="12">
        <f t="shared" si="74"/>
        <v>0.27030162412993042</v>
      </c>
      <c r="J20" s="12">
        <f t="shared" si="74"/>
        <v>0.32253886010362692</v>
      </c>
      <c r="K20" s="12">
        <f t="shared" si="74"/>
        <v>0.27662721893491127</v>
      </c>
      <c r="L20" s="12">
        <f t="shared" si="74"/>
        <v>0.28406169665809766</v>
      </c>
      <c r="M20" s="12">
        <f t="shared" si="74"/>
        <v>0.28999999999999998</v>
      </c>
      <c r="N20" s="12">
        <f t="shared" si="74"/>
        <v>0.28999999999999998</v>
      </c>
      <c r="P20" s="12">
        <f t="shared" ref="P20:AB20" si="75">P11/P10</f>
        <v>0.27497139120483899</v>
      </c>
      <c r="Q20" s="12">
        <f t="shared" si="75"/>
        <v>0.28557344725599737</v>
      </c>
      <c r="R20" s="12">
        <f t="shared" si="75"/>
        <v>0.28594634287422555</v>
      </c>
      <c r="S20" s="12">
        <f t="shared" si="75"/>
        <v>0.28999999999999998</v>
      </c>
      <c r="T20" s="12">
        <f t="shared" si="75"/>
        <v>0.28999999999999998</v>
      </c>
      <c r="U20" s="12">
        <f t="shared" si="75"/>
        <v>0.28999999999999998</v>
      </c>
      <c r="V20" s="12">
        <f t="shared" si="75"/>
        <v>0.28999999999999998</v>
      </c>
      <c r="W20" s="12">
        <f t="shared" si="75"/>
        <v>0.28999999999999998</v>
      </c>
      <c r="X20" s="12">
        <f t="shared" si="75"/>
        <v>0.28999999999999998</v>
      </c>
      <c r="Y20" s="12">
        <f t="shared" si="75"/>
        <v>0.28999999999999998</v>
      </c>
      <c r="Z20" s="12">
        <f t="shared" si="75"/>
        <v>0.28999999999999998</v>
      </c>
      <c r="AA20" s="12">
        <f t="shared" si="75"/>
        <v>0.28999999999999998</v>
      </c>
      <c r="AB20" s="12">
        <f t="shared" si="75"/>
        <v>0.28999999999999998</v>
      </c>
    </row>
    <row r="22" spans="2:31" x14ac:dyDescent="0.3">
      <c r="AD22" t="s">
        <v>57</v>
      </c>
      <c r="AE22" s="12">
        <v>-0.01</v>
      </c>
    </row>
    <row r="23" spans="2:31" x14ac:dyDescent="0.3">
      <c r="B23" s="13" t="s">
        <v>30</v>
      </c>
      <c r="P23" s="18">
        <f>P3/Main!$D$12*1000</f>
        <v>212622.05767739165</v>
      </c>
      <c r="Q23" s="18">
        <f>Q3/Main!$D$12*1000</f>
        <v>200960.42207355719</v>
      </c>
      <c r="R23" s="18">
        <f>R3/Main!$D$12*1000</f>
        <v>202353.88722244921</v>
      </c>
      <c r="S23" s="18">
        <f>S3/Main!$D$12*1000</f>
        <v>208424.50383912268</v>
      </c>
      <c r="T23" s="18">
        <f>T3/Main!$D$12*1000</f>
        <v>214677.23895429636</v>
      </c>
      <c r="U23" s="18">
        <f>U3/Main!$D$12*1000</f>
        <v>218970.7837333823</v>
      </c>
      <c r="V23" s="18">
        <f>V3/Main!$D$12*1000</f>
        <v>223350.19940804996</v>
      </c>
      <c r="W23" s="18">
        <f>W3/Main!$D$12*1000</f>
        <v>227817.20339621094</v>
      </c>
      <c r="X23" s="18">
        <f>X3/Main!$D$12*1000</f>
        <v>230095.37543017304</v>
      </c>
      <c r="Y23" s="18">
        <f>Y3/Main!$D$12*1000</f>
        <v>232396.32918447477</v>
      </c>
      <c r="Z23" s="18">
        <f>Z3/Main!$D$12*1000</f>
        <v>234720.2924763195</v>
      </c>
      <c r="AA23" s="18">
        <f>AA3/Main!$D$12*1000</f>
        <v>237067.49540108271</v>
      </c>
      <c r="AB23" s="18">
        <f>AB3/Main!$D$12*1000</f>
        <v>239438.17035509355</v>
      </c>
      <c r="AD23" t="s">
        <v>58</v>
      </c>
      <c r="AE23" s="12">
        <v>0.05</v>
      </c>
    </row>
    <row r="24" spans="2:31" x14ac:dyDescent="0.3">
      <c r="B24" t="s">
        <v>42</v>
      </c>
      <c r="P24" s="19">
        <f>P4/Main!$D$12*1000</f>
        <v>115473.74252742292</v>
      </c>
      <c r="Q24" s="19">
        <f>Q4/Main!$D$12*1000</f>
        <v>128417.54749084126</v>
      </c>
      <c r="R24" s="19">
        <f>R4/Main!$D$12*1000</f>
        <v>125087.8426308554</v>
      </c>
      <c r="S24" s="19">
        <f>S4/Main!$D$12*1000</f>
        <v>127138.94734186484</v>
      </c>
      <c r="T24" s="19">
        <f>T4/Main!$D$12*1000</f>
        <v>130953.11576212077</v>
      </c>
      <c r="U24" s="19">
        <f>U4/Main!$D$12*1000</f>
        <v>133572.17807736318</v>
      </c>
      <c r="V24" s="19">
        <f>V4/Main!$D$12*1000</f>
        <v>134010.11964482997</v>
      </c>
      <c r="W24" s="19">
        <f>W4/Main!$D$12*1000</f>
        <v>136690.32203772655</v>
      </c>
      <c r="X24" s="19">
        <f>X4/Main!$D$12*1000</f>
        <v>138057.2252581038</v>
      </c>
      <c r="Y24" s="19">
        <f>Y4/Main!$D$12*1000</f>
        <v>139437.79751068485</v>
      </c>
      <c r="Z24" s="19">
        <f>Z4/Main!$D$12*1000</f>
        <v>140832.1754857917</v>
      </c>
      <c r="AA24" s="19">
        <f>AA4/Main!$D$12*1000</f>
        <v>142240.49724064962</v>
      </c>
      <c r="AB24" s="19">
        <f>AB4/Main!$D$12*1000</f>
        <v>143662.90221305611</v>
      </c>
      <c r="AD24" t="s">
        <v>60</v>
      </c>
      <c r="AE24" s="20">
        <f>NPV(AE23,R33:EQ33)*1000</f>
        <v>233917659.56704134</v>
      </c>
    </row>
    <row r="25" spans="2:31" x14ac:dyDescent="0.3">
      <c r="B25" s="13" t="s">
        <v>43</v>
      </c>
      <c r="P25" s="18">
        <f>P23-P24</f>
        <v>97148.315149968737</v>
      </c>
      <c r="Q25" s="18">
        <f t="shared" ref="Q25:AB25" si="76">Q23-Q24</f>
        <v>72542.874582715929</v>
      </c>
      <c r="R25" s="18">
        <f t="shared" si="76"/>
        <v>77266.044591593803</v>
      </c>
      <c r="S25" s="18">
        <f t="shared" si="76"/>
        <v>81285.556497257843</v>
      </c>
      <c r="T25" s="18">
        <f t="shared" si="76"/>
        <v>83724.123192175597</v>
      </c>
      <c r="U25" s="18">
        <f t="shared" si="76"/>
        <v>85398.605656019121</v>
      </c>
      <c r="V25" s="18">
        <f t="shared" si="76"/>
        <v>89340.079763219983</v>
      </c>
      <c r="W25" s="18">
        <f t="shared" si="76"/>
        <v>91126.881358484388</v>
      </c>
      <c r="X25" s="18">
        <f t="shared" si="76"/>
        <v>92038.150172069232</v>
      </c>
      <c r="Y25" s="18">
        <f t="shared" si="76"/>
        <v>92958.531673789927</v>
      </c>
      <c r="Z25" s="18">
        <f t="shared" si="76"/>
        <v>93888.116990527808</v>
      </c>
      <c r="AA25" s="18">
        <f t="shared" si="76"/>
        <v>94826.998160433082</v>
      </c>
      <c r="AB25" s="18">
        <f t="shared" si="76"/>
        <v>95775.268142037443</v>
      </c>
      <c r="AD25" t="s">
        <v>61</v>
      </c>
      <c r="AE25" s="6">
        <f>Main!D8*Main!D12</f>
        <v>96710700</v>
      </c>
    </row>
    <row r="26" spans="2:31" x14ac:dyDescent="0.3">
      <c r="B26" t="s">
        <v>44</v>
      </c>
      <c r="P26" s="19">
        <f>P6/Main!$D$12*1000</f>
        <v>29777.729208295328</v>
      </c>
      <c r="Q26" s="19">
        <f>Q6/Main!$D$12*1000</f>
        <v>30963.953921923963</v>
      </c>
      <c r="R26" s="19">
        <f>R6/Main!$D$12*1000</f>
        <v>30004.507462371388</v>
      </c>
      <c r="S26" s="19">
        <f>S6/Main!$D$12*1000</f>
        <v>30304.552536995103</v>
      </c>
      <c r="T26" s="19">
        <f>T6/Main!$D$12*1000</f>
        <v>30607.598062365058</v>
      </c>
      <c r="U26" s="19">
        <f>U6/Main!$D$12*1000</f>
        <v>30913.674042988707</v>
      </c>
      <c r="V26" s="19">
        <f>V6/Main!$D$12*1000</f>
        <v>31222.81078341859</v>
      </c>
      <c r="W26" s="19">
        <f>W6/Main!$D$12*1000</f>
        <v>31535.038891252774</v>
      </c>
      <c r="X26" s="19">
        <f>X6/Main!$D$12*1000</f>
        <v>31219.688502340243</v>
      </c>
      <c r="Y26" s="19">
        <f>Y6/Main!$D$12*1000</f>
        <v>30907.491617316842</v>
      </c>
      <c r="Z26" s="19">
        <f>Z6/Main!$D$12*1000</f>
        <v>30598.416701143673</v>
      </c>
      <c r="AA26" s="19">
        <f>AA6/Main!$D$12*1000</f>
        <v>30292.432534132233</v>
      </c>
      <c r="AB26" s="19">
        <f>AB6/Main!$D$12*1000</f>
        <v>29989.508208790914</v>
      </c>
      <c r="AD26" t="s">
        <v>59</v>
      </c>
      <c r="AE26" s="20">
        <f>AE24+AE25</f>
        <v>330628359.56704134</v>
      </c>
    </row>
    <row r="27" spans="2:31" x14ac:dyDescent="0.3">
      <c r="B27" t="s">
        <v>45</v>
      </c>
      <c r="P27" s="19">
        <f>P7/Main!$D$12*1000</f>
        <v>16005.311393445205</v>
      </c>
      <c r="Q27" s="19">
        <f>Q7/Main!$D$12*1000</f>
        <v>17357.258677360194</v>
      </c>
      <c r="R27" s="19">
        <f>R7/Main!$D$12*1000</f>
        <v>18471.195205829921</v>
      </c>
      <c r="S27" s="19">
        <f>S7/Main!$D$12*1000</f>
        <v>18655.907157888218</v>
      </c>
      <c r="T27" s="19">
        <f>T7/Main!$D$12*1000</f>
        <v>18842.4662294671</v>
      </c>
      <c r="U27" s="19">
        <f>U7/Main!$D$12*1000</f>
        <v>19030.89089176177</v>
      </c>
      <c r="V27" s="19">
        <f>V7/Main!$D$12*1000</f>
        <v>19221.199800679391</v>
      </c>
      <c r="W27" s="19">
        <f>W7/Main!$D$12*1000</f>
        <v>19413.411798686182</v>
      </c>
      <c r="X27" s="19">
        <f>X7/Main!$D$12*1000</f>
        <v>19607.545916673043</v>
      </c>
      <c r="Y27" s="19">
        <f>Y7/Main!$D$12*1000</f>
        <v>19803.621375839772</v>
      </c>
      <c r="Z27" s="19">
        <f>Z7/Main!$D$12*1000</f>
        <v>20001.65758959817</v>
      </c>
      <c r="AA27" s="19">
        <f>AA7/Main!$D$12*1000</f>
        <v>20201.674165494151</v>
      </c>
      <c r="AB27" s="19">
        <f>AB7/Main!$D$12*1000</f>
        <v>20403.690907149095</v>
      </c>
      <c r="AD27" t="s">
        <v>62</v>
      </c>
      <c r="AE27" s="21">
        <f>AE26/Main!D4</f>
        <v>55383.675707821953</v>
      </c>
    </row>
    <row r="28" spans="2:31" x14ac:dyDescent="0.3">
      <c r="B28" s="13" t="s">
        <v>46</v>
      </c>
      <c r="P28" s="18">
        <f t="shared" ref="P28" si="77">P25-P27-P26</f>
        <v>51365.274548228212</v>
      </c>
      <c r="Q28" s="18">
        <f t="shared" ref="Q28" si="78">Q25-Q27-Q26</f>
        <v>24221.661983431772</v>
      </c>
      <c r="R28" s="18">
        <f t="shared" ref="R28" si="79">R25-R27-R26</f>
        <v>28790.341923392494</v>
      </c>
      <c r="S28" s="18">
        <f t="shared" ref="S28" si="80">S25-S27-S26</f>
        <v>32325.096802374526</v>
      </c>
      <c r="T28" s="18">
        <f t="shared" ref="T28" si="81">T25-T27-T26</f>
        <v>34274.058900343443</v>
      </c>
      <c r="U28" s="18">
        <f t="shared" ref="U28" si="82">U25-U27-U26</f>
        <v>35454.040721268648</v>
      </c>
      <c r="V28" s="18">
        <f t="shared" ref="V28" si="83">V25-V27-V26</f>
        <v>38896.069179122002</v>
      </c>
      <c r="W28" s="18">
        <f t="shared" ref="W28" si="84">W25-W27-W26</f>
        <v>40178.430668545436</v>
      </c>
      <c r="X28" s="18">
        <f t="shared" ref="X28" si="85">X25-X27-X26</f>
        <v>41210.915753055946</v>
      </c>
      <c r="Y28" s="18">
        <f t="shared" ref="Y28" si="86">Y25-Y27-Y26</f>
        <v>42247.418680633302</v>
      </c>
      <c r="Z28" s="18">
        <f t="shared" ref="Z28" si="87">Z25-Z27-Z26</f>
        <v>43288.042699785969</v>
      </c>
      <c r="AA28" s="18">
        <f t="shared" ref="AA28" si="88">AA25-AA27-AA26</f>
        <v>44332.891460806692</v>
      </c>
      <c r="AB28" s="18">
        <f t="shared" ref="AB28" si="89">AB25-AB27-AB26</f>
        <v>45382.069026097437</v>
      </c>
      <c r="AD28" t="s">
        <v>63</v>
      </c>
      <c r="AE28" s="2">
        <f>Main!D3</f>
        <v>59500</v>
      </c>
    </row>
    <row r="29" spans="2:31" x14ac:dyDescent="0.3">
      <c r="B29" t="s">
        <v>48</v>
      </c>
      <c r="P29" s="19">
        <f>P9/Main!$D$12*1000</f>
        <v>-1988.6708434362433</v>
      </c>
      <c r="Q29" s="19">
        <f>Q9/Main!$D$12*1000</f>
        <v>-2320.1159840089504</v>
      </c>
      <c r="R29" s="19">
        <f>R9/Main!$D$12*1000</f>
        <v>-601.83459735570523</v>
      </c>
      <c r="S29" s="19">
        <f>S9/Main!$D$12*1000</f>
        <v>-2093.3377299328877</v>
      </c>
      <c r="T29" s="19">
        <f>T9/Main!$D$12*1000</f>
        <v>-2114.2711072322163</v>
      </c>
      <c r="U29" s="19">
        <f>U9/Main!$D$12*1000</f>
        <v>-2135.4138183045384</v>
      </c>
      <c r="V29" s="19">
        <f>V9/Main!$D$12*1000</f>
        <v>-2156.7679564875843</v>
      </c>
      <c r="W29" s="19">
        <f>W9/Main!$D$12*1000</f>
        <v>-2178.3356360524604</v>
      </c>
      <c r="X29" s="19">
        <f>X9/Main!$D$12*1000</f>
        <v>-2200.1189924129844</v>
      </c>
      <c r="Y29" s="19">
        <f>Y9/Main!$D$12*1000</f>
        <v>-2222.1201823371148</v>
      </c>
      <c r="Z29" s="19">
        <f>Z9/Main!$D$12*1000</f>
        <v>-2244.3413841604861</v>
      </c>
      <c r="AA29" s="19">
        <f>AA9/Main!$D$12*1000</f>
        <v>-2266.7847980020911</v>
      </c>
      <c r="AB29" s="19">
        <f>AB9/Main!$D$12*1000</f>
        <v>-2289.4526459821118</v>
      </c>
      <c r="AD29" s="13" t="s">
        <v>64</v>
      </c>
      <c r="AE29" s="15">
        <f>AE27/AE28-1</f>
        <v>-6.9181920876941971E-2</v>
      </c>
    </row>
    <row r="30" spans="2:31" x14ac:dyDescent="0.3">
      <c r="B30" s="13" t="s">
        <v>49</v>
      </c>
      <c r="P30" s="18">
        <f t="shared" ref="P30" si="90">P28-P29</f>
        <v>53353.945391664456</v>
      </c>
      <c r="Q30" s="18">
        <f t="shared" ref="Q30" si="91">Q28-Q29</f>
        <v>26541.777967440721</v>
      </c>
      <c r="R30" s="18">
        <f t="shared" ref="R30" si="92">R28-R29</f>
        <v>29392.176520748199</v>
      </c>
      <c r="S30" s="18">
        <f t="shared" ref="S30" si="93">S28-S29</f>
        <v>34418.434532307416</v>
      </c>
      <c r="T30" s="18">
        <f t="shared" ref="T30" si="94">T28-T29</f>
        <v>36388.330007575656</v>
      </c>
      <c r="U30" s="18">
        <f t="shared" ref="U30" si="95">U28-U29</f>
        <v>37589.454539573184</v>
      </c>
      <c r="V30" s="18">
        <f t="shared" ref="V30" si="96">V28-V29</f>
        <v>41052.837135609589</v>
      </c>
      <c r="W30" s="18">
        <f t="shared" ref="W30" si="97">W28-W29</f>
        <v>42356.766304597899</v>
      </c>
      <c r="X30" s="18">
        <f t="shared" ref="X30" si="98">X28-X29</f>
        <v>43411.034745468933</v>
      </c>
      <c r="Y30" s="18">
        <f t="shared" ref="Y30" si="99">Y28-Y29</f>
        <v>44469.538862970418</v>
      </c>
      <c r="Z30" s="18">
        <f t="shared" ref="Z30" si="100">Z28-Z29</f>
        <v>45532.384083946454</v>
      </c>
      <c r="AA30" s="18">
        <f t="shared" ref="AA30" si="101">AA28-AA29</f>
        <v>46599.67625880878</v>
      </c>
      <c r="AB30" s="18">
        <f t="shared" ref="AB30" si="102">AB28-AB29</f>
        <v>47671.521672079551</v>
      </c>
      <c r="AD30" t="s">
        <v>65</v>
      </c>
      <c r="AE30" s="11" t="s">
        <v>66</v>
      </c>
    </row>
    <row r="31" spans="2:31" x14ac:dyDescent="0.3">
      <c r="B31" t="s">
        <v>50</v>
      </c>
      <c r="P31" s="19">
        <f>P11/Main!$D$12*1000</f>
        <v>14670.808590612987</v>
      </c>
      <c r="Q31" s="19">
        <f>Q11/Main!$D$12*1000</f>
        <v>7579.6270304653299</v>
      </c>
      <c r="R31" s="19">
        <f>R11/Main!$D$12*1000</f>
        <v>8404.5853852216242</v>
      </c>
      <c r="S31" s="19">
        <f>S11/Main!$D$12*1000</f>
        <v>9981.3460143691518</v>
      </c>
      <c r="T31" s="19">
        <f>T11/Main!$D$12*1000</f>
        <v>10552.615702196936</v>
      </c>
      <c r="U31" s="19">
        <f>U11/Main!$D$12*1000</f>
        <v>10900.941816476212</v>
      </c>
      <c r="V31" s="19">
        <f>V11/Main!$D$12*1000</f>
        <v>11905.32276932678</v>
      </c>
      <c r="W31" s="19">
        <f>W11/Main!$D$12*1000</f>
        <v>12283.462228333388</v>
      </c>
      <c r="X31" s="19">
        <f>X11/Main!$D$12*1000</f>
        <v>12589.200076185991</v>
      </c>
      <c r="Y31" s="19">
        <f>Y11/Main!$D$12*1000</f>
        <v>12896.166270261419</v>
      </c>
      <c r="Z31" s="19">
        <f>Z11/Main!$D$12*1000</f>
        <v>13204.391384344472</v>
      </c>
      <c r="AA31" s="19">
        <f>AA11/Main!$D$12*1000</f>
        <v>13513.906115054551</v>
      </c>
      <c r="AB31" s="19">
        <f>AB11/Main!$D$12*1000</f>
        <v>13824.741284903066</v>
      </c>
    </row>
    <row r="32" spans="2:31" x14ac:dyDescent="0.3">
      <c r="B32" t="s">
        <v>51</v>
      </c>
      <c r="P32" s="19">
        <f>P12/Main!$D$12*1000</f>
        <v>174.44481082774064</v>
      </c>
      <c r="Q32" s="19">
        <f>Q12/Main!$D$12*1000</f>
        <v>322.72290003132014</v>
      </c>
      <c r="R32" s="19">
        <f>R12/Main!$D$12*1000</f>
        <v>209.33377299328876</v>
      </c>
      <c r="S32" s="19">
        <f>S12/Main!$D$12*1000</f>
        <v>235.50049461744985</v>
      </c>
      <c r="T32" s="19">
        <f>T12/Main!$D$12*1000</f>
        <v>237.85549956362433</v>
      </c>
      <c r="U32" s="19">
        <f>U12/Main!$D$12*1000</f>
        <v>240.23405455926056</v>
      </c>
      <c r="V32" s="19">
        <f>V12/Main!$D$12*1000</f>
        <v>242.63639510485319</v>
      </c>
      <c r="W32" s="19">
        <f>W12/Main!$D$12*1000</f>
        <v>245.06275905590172</v>
      </c>
      <c r="X32" s="19">
        <f>X12/Main!$D$12*1000</f>
        <v>247.5133866464607</v>
      </c>
      <c r="Y32" s="19">
        <f>Y12/Main!$D$12*1000</f>
        <v>249.98852051292533</v>
      </c>
      <c r="Z32" s="19">
        <f>Z12/Main!$D$12*1000</f>
        <v>252.48840571805459</v>
      </c>
      <c r="AA32" s="19">
        <f>AA12/Main!$D$12*1000</f>
        <v>255.01328977523514</v>
      </c>
      <c r="AB32" s="19">
        <f>AB12/Main!$D$12*1000</f>
        <v>257.56342267298749</v>
      </c>
    </row>
    <row r="33" spans="2:147" x14ac:dyDescent="0.3">
      <c r="B33" s="13" t="s">
        <v>52</v>
      </c>
      <c r="P33" s="18">
        <f t="shared" ref="P33" si="103">P30-P31-P32</f>
        <v>38508.691990223728</v>
      </c>
      <c r="Q33" s="18">
        <f t="shared" ref="Q33" si="104">Q30-Q31-Q32</f>
        <v>18639.428036944071</v>
      </c>
      <c r="R33" s="18">
        <f t="shared" ref="R33" si="105">R30-R31-R32</f>
        <v>20778.257362533284</v>
      </c>
      <c r="S33" s="18">
        <f t="shared" ref="S33" si="106">S30-S31-S32</f>
        <v>24201.588023320815</v>
      </c>
      <c r="T33" s="18">
        <f t="shared" ref="T33" si="107">T30-T31-T32</f>
        <v>25597.858805815096</v>
      </c>
      <c r="U33" s="18">
        <f t="shared" ref="U33" si="108">U30-U31-U32</f>
        <v>26448.278668537714</v>
      </c>
      <c r="V33" s="18">
        <f t="shared" ref="V33" si="109">V30-V31-V32</f>
        <v>28904.877971177957</v>
      </c>
      <c r="W33" s="18">
        <f t="shared" ref="W33" si="110">W30-W31-W32</f>
        <v>29828.241317208609</v>
      </c>
      <c r="X33" s="18">
        <f t="shared" ref="X33" si="111">X30-X31-X32</f>
        <v>30574.321282636483</v>
      </c>
      <c r="Y33" s="18">
        <f t="shared" ref="Y33" si="112">Y30-Y31-Y32</f>
        <v>31323.384072196073</v>
      </c>
      <c r="Z33" s="18">
        <f t="shared" ref="Z33" si="113">Z30-Z31-Z32</f>
        <v>32075.504293883929</v>
      </c>
      <c r="AA33" s="18">
        <f t="shared" ref="AA33" si="114">AA30-AA31-AA32</f>
        <v>32830.756853978994</v>
      </c>
      <c r="AB33" s="18">
        <f t="shared" ref="AB33" si="115">AB30-AB31-AB32</f>
        <v>33589.216964503496</v>
      </c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</row>
    <row r="34" spans="2:147" x14ac:dyDescent="0.3">
      <c r="B34" t="s">
        <v>1</v>
      </c>
      <c r="P34">
        <v>5970</v>
      </c>
      <c r="Q34">
        <v>5970</v>
      </c>
      <c r="R34">
        <v>5970</v>
      </c>
      <c r="S34">
        <v>5970</v>
      </c>
      <c r="T34">
        <v>5970</v>
      </c>
      <c r="U34">
        <v>5970</v>
      </c>
      <c r="V34">
        <v>5970</v>
      </c>
      <c r="W34">
        <v>5970</v>
      </c>
      <c r="X34">
        <v>5970</v>
      </c>
      <c r="Y34">
        <v>5970</v>
      </c>
      <c r="Z34">
        <v>5970</v>
      </c>
      <c r="AA34">
        <v>5970</v>
      </c>
      <c r="AB34">
        <v>5970</v>
      </c>
    </row>
    <row r="35" spans="2:147" x14ac:dyDescent="0.3">
      <c r="B35" s="13" t="s">
        <v>53</v>
      </c>
      <c r="P35" s="14">
        <f t="shared" ref="P35" si="116">P33/P34</f>
        <v>6.4503671675416632</v>
      </c>
      <c r="Q35" s="14">
        <f t="shared" ref="Q35" si="117">Q33/Q34</f>
        <v>3.1221822507444004</v>
      </c>
      <c r="R35" s="14">
        <f t="shared" ref="R35" si="118">R33/R34</f>
        <v>3.4804451193523089</v>
      </c>
      <c r="S35" s="14">
        <f t="shared" ref="S35" si="119">S33/S34</f>
        <v>4.0538673405897514</v>
      </c>
      <c r="T35" s="14">
        <f t="shared" ref="T35" si="120">T33/T34</f>
        <v>4.2877485436876208</v>
      </c>
      <c r="U35" s="14">
        <f t="shared" ref="U35" si="121">U33/U34</f>
        <v>4.4301974319158646</v>
      </c>
      <c r="V35" s="14">
        <f t="shared" ref="V35" si="122">V33/V34</f>
        <v>4.8416881023748672</v>
      </c>
      <c r="W35" s="14">
        <f t="shared" ref="W35" si="123">W33/W34</f>
        <v>4.99635532951568</v>
      </c>
      <c r="X35" s="14">
        <f t="shared" ref="X35" si="124">X33/X34</f>
        <v>5.1213268480128109</v>
      </c>
      <c r="Y35" s="14">
        <f t="shared" ref="Y35" si="125">Y33/Y34</f>
        <v>5.246798002042893</v>
      </c>
      <c r="Z35" s="14">
        <f t="shared" ref="Z35" si="126">Z33/Z34</f>
        <v>5.3727812887577766</v>
      </c>
      <c r="AA35" s="14">
        <f t="shared" ref="AA35" si="127">AA33/AA34</f>
        <v>5.4992892552728634</v>
      </c>
      <c r="AB35" s="14">
        <f t="shared" ref="AB35" si="128">AB33/AB34</f>
        <v>5.6263344999168332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B3E0-138D-400D-BAA6-508D38A1AB80}">
  <dimension ref="A1:K2"/>
  <sheetViews>
    <sheetView tabSelected="1" topLeftCell="C1" workbookViewId="0">
      <selection sqref="A1:H2"/>
    </sheetView>
  </sheetViews>
  <sheetFormatPr defaultRowHeight="14.4" x14ac:dyDescent="0.3"/>
  <cols>
    <col min="1" max="1" width="25.5546875" bestFit="1" customWidth="1"/>
    <col min="2" max="2" width="32.109375" bestFit="1" customWidth="1"/>
    <col min="3" max="3" width="42.5546875" bestFit="1" customWidth="1"/>
    <col min="4" max="4" width="15.6640625" bestFit="1" customWidth="1"/>
    <col min="5" max="5" width="14.6640625" bestFit="1" customWidth="1"/>
    <col min="6" max="6" width="12.109375" bestFit="1" customWidth="1"/>
    <col min="7" max="7" width="15.88671875" bestFit="1" customWidth="1"/>
    <col min="8" max="8" width="16.33203125" bestFit="1" customWidth="1"/>
    <col min="9" max="9" width="15" bestFit="1" customWidth="1"/>
    <col min="10" max="10" width="13" bestFit="1" customWidth="1"/>
    <col min="11" max="11" width="39" bestFit="1" customWidth="1"/>
    <col min="12" max="12" width="14.6640625" bestFit="1" customWidth="1"/>
    <col min="13" max="14" width="15.6640625" bestFit="1" customWidth="1"/>
  </cols>
  <sheetData>
    <row r="1" spans="1:11" x14ac:dyDescent="0.3">
      <c r="A1" s="3" t="s">
        <v>8</v>
      </c>
      <c r="B1" s="3" t="s">
        <v>9</v>
      </c>
      <c r="C1" s="3" t="s">
        <v>10</v>
      </c>
      <c r="D1" s="3" t="s">
        <v>12</v>
      </c>
      <c r="E1" s="3" t="s">
        <v>11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">
      <c r="A2" s="3" t="s">
        <v>20</v>
      </c>
      <c r="B2" s="3" t="s">
        <v>21</v>
      </c>
      <c r="C2" s="3" t="s">
        <v>22</v>
      </c>
      <c r="D2" s="4">
        <v>44120.625011574077</v>
      </c>
      <c r="E2" s="3" t="s">
        <v>13</v>
      </c>
      <c r="F2" s="3" t="s">
        <v>23</v>
      </c>
      <c r="G2" s="3" t="s">
        <v>24</v>
      </c>
      <c r="H2" s="3" t="s">
        <v>25</v>
      </c>
      <c r="I2">
        <v>1146.4944073199999</v>
      </c>
      <c r="J2">
        <v>8.7222000000000005E-4</v>
      </c>
      <c r="K2" s="3" t="s">
        <v>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b b 7 f f 5 - 2 a e 0 - 4 0 6 1 - a e 3 e - 7 0 b 6 9 e 5 1 8 b 2 a "   x m l n s = " h t t p : / / s c h e m a s . m i c r o s o f t . c o m / D a t a M a s h u p " > A A A A A G s E A A B Q S w M E F A A C A A g A o I x Q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K C M U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j F B R Y I v K 6 2 Q B A A D C A w A A E w A c A E Z v c m 1 1 b G F z L 1 N l Y 3 R p b 2 4 x L m 0 g o h g A K K A U A A A A A A A A A A A A A A A A A A A A A A A A A A A A l Z J P b 4 J A E M X v J H y H D b 1 g Q q D a 9 F L T i 3 g 0 H t S k T Z o e F h h 1 4 / 4 h u 4 N o C N + 9 i 9 T Y C G r K Z c l 7 z J u Z H 2 s g R a Y k W b b n c O w 6 r m O 2 V E N G C p O R d 8 I B X Y f Y Z 6 k K n Y J V P g U P V z T h Y P w P S M J Y S Q S J x v e 2 i L l 5 i 6 K y L M M 1 V x Q 1 R T B h q k S U U c a P k U 0 M D 4 J 7 g 0 H Q Z j 5 5 8 Z b K j W 2 2 O u b g 2 f B T c L j S V J q 1 0 i J W v B C y M Y 3 f D h B U l Y c M O X g B Q a s T h A P W A a k 8 z u S u I 9 p 2 s z 4 9 A 5 N q l j d L d 4 P s S A X d d D s k 1 E B c a A 0 y P X b M v E i m d t + z n t l 3 Z A J + E w 1 O C s a z 3 i / q M w 6 G I C y D K y r V c / 3 V O N + 9 0 I Y P q D W V / 2 R 2 j 8 2 9 L e / i a c w 5 F d 0 R k O o N 4 M 2 6 1 u 6 t h E N 6 A r H 4 M 5 A s R A L 6 Z D O 5 B 2 0 e u N M b u 9 a X K 7 o A o f Y N b Z W T h S r N B f h y x 3 L / + n c E w 9 F r t 3 i i E J W 4 q m / N m b 0 c c 7 + n T z B 6 G b g O k / e y x j 9 Q S w E C L Q A U A A I A C A C g j F B R C Q Z n G 6 U A A A D 1 A A A A E g A A A A A A A A A A A A A A A A A A A A A A Q 2 9 u Z m l n L 1 B h Y 2 t h Z 2 U u e G 1 s U E s B A i 0 A F A A C A A g A o I x Q U Q / K 6 a u k A A A A 6 Q A A A B M A A A A A A A A A A A A A A A A A 8 Q A A A F t D b 2 5 0 Z W 5 0 X 1 R 5 c G V z X S 5 4 b W x Q S w E C L Q A U A A I A C A C g j F B R Y I v K 6 2 Q B A A D C A w A A E w A A A A A A A A A A A A A A A A D i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E A A A A A A A A F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z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C 9 S Z W 1 v d m V k I E J v d H R v b S B S b 3 d z L n t 0 a X R s Z S w w f S Z x d W 9 0 O y w m c X V v d D t T Z W N 0 a W 9 u M S 9 1 c 2 Q v U m V t b 3 Z l Z C B C b 3 R 0 b 2 0 g U m 9 3 c y 5 7 b G l u a y w x f S Z x d W 9 0 O y w m c X V v d D t T Z W N 0 a W 9 u M S 9 1 c 2 Q v U m V t b 3 Z l Z C B C b 3 R 0 b 2 0 g U m 9 3 c y 5 7 Z G V z Y 3 J p c H R p b 2 4 s M n 0 m c X V v d D s s J n F 1 b 3 Q 7 U 2 V j d G l v b j E v d X N k L 1 J l b W 9 2 Z W Q g Q m 9 0 d G 9 t I F J v d 3 M u e 3 B 1 Y k R h d G U s M 3 0 m c X V v d D s s J n F 1 b 3 Q 7 U 2 V j d G l v b j E v d X N k L 1 J l b W 9 2 Z W Q g Q m 9 0 d G 9 t I F J v d 3 M u e 2 J h c 2 V D d X J y Z W 5 j e S w 0 f S Z x d W 9 0 O y w m c X V v d D t T Z W N 0 a W 9 u M S 9 1 c 2 Q v U m V t b 3 Z l Z C B C b 3 R 0 b 2 0 g U m 9 3 c y 5 7 Y m F z Z U 5 h b W U s N X 0 m c X V v d D s s J n F 1 b 3 Q 7 U 2 V j d G l v b j E v d X N k L 1 J l b W 9 2 Z W Q g Q m 9 0 d G 9 t I F J v d 3 M u e 3 R h c m d l d E N 1 c n J l b m N 5 L D Z 9 J n F 1 b 3 Q 7 L C Z x d W 9 0 O 1 N l Y 3 R p b 2 4 x L 3 V z Z C 9 S Z W 1 v d m V k I E J v d H R v b S B S b 3 d z L n t 0 Y X J n Z X R O Y W 1 l L D d 9 J n F 1 b 3 Q 7 L C Z x d W 9 0 O 1 N l Y 3 R p b 2 4 x L 3 V z Z C 9 S Z W 1 v d m V k I E J v d H R v b S B S b 3 d z L n t l e G N o Y W 5 n Z V J h d G U s O H 0 m c X V v d D s s J n F 1 b 3 Q 7 U 2 V j d G l v b j E v d X N k L 1 J l b W 9 2 Z W Q g Q m 9 0 d G 9 t I F J v d 3 M u e 2 l u d m V y c 2 V S Y X R l L D l 9 J n F 1 b 3 Q 7 L C Z x d W 9 0 O 1 N l Y 3 R p b 2 4 x L 3 V z Z C 9 S Z W 1 v d m V k I E J v d H R v b S B S b 3 d z L n t p b n Z l c n N l R G V z Y 3 J p c H R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1 c 2 Q v U m V t b 3 Z l Z C B C b 3 R 0 b 2 0 g U m 9 3 c y 5 7 d G l 0 b G U s M H 0 m c X V v d D s s J n F 1 b 3 Q 7 U 2 V j d G l v b j E v d X N k L 1 J l b W 9 2 Z W Q g Q m 9 0 d G 9 t I F J v d 3 M u e 2 x p b m s s M X 0 m c X V v d D s s J n F 1 b 3 Q 7 U 2 V j d G l v b j E v d X N k L 1 J l b W 9 2 Z W Q g Q m 9 0 d G 9 t I F J v d 3 M u e 2 R l c 2 N y a X B 0 a W 9 u L D J 9 J n F 1 b 3 Q 7 L C Z x d W 9 0 O 1 N l Y 3 R p b 2 4 x L 3 V z Z C 9 S Z W 1 v d m V k I E J v d H R v b S B S b 3 d z L n t w d W J E Y X R l L D N 9 J n F 1 b 3 Q 7 L C Z x d W 9 0 O 1 N l Y 3 R p b 2 4 x L 3 V z Z C 9 S Z W 1 v d m V k I E J v d H R v b S B S b 3 d z L n t i Y X N l Q 3 V y c m V u Y 3 k s N H 0 m c X V v d D s s J n F 1 b 3 Q 7 U 2 V j d G l v b j E v d X N k L 1 J l b W 9 2 Z W Q g Q m 9 0 d G 9 t I F J v d 3 M u e 2 J h c 2 V O Y W 1 l L D V 9 J n F 1 b 3 Q 7 L C Z x d W 9 0 O 1 N l Y 3 R p b 2 4 x L 3 V z Z C 9 S Z W 1 v d m V k I E J v d H R v b S B S b 3 d z L n t 0 Y X J n Z X R D d X J y Z W 5 j e S w 2 f S Z x d W 9 0 O y w m c X V v d D t T Z W N 0 a W 9 u M S 9 1 c 2 Q v U m V t b 3 Z l Z C B C b 3 R 0 b 2 0 g U m 9 3 c y 5 7 d G F y Z 2 V 0 T m F t Z S w 3 f S Z x d W 9 0 O y w m c X V v d D t T Z W N 0 a W 9 u M S 9 1 c 2 Q v U m V t b 3 Z l Z C B C b 3 R 0 b 2 0 g U m 9 3 c y 5 7 Z X h j a G F u Z 2 V S Y X R l L D h 9 J n F 1 b 3 Q 7 L C Z x d W 9 0 O 1 N l Y 3 R p b 2 4 x L 3 V z Z C 9 S Z W 1 v d m V k I E J v d H R v b S B S b 3 d z L n t p b n Z l c n N l U m F 0 Z S w 5 f S Z x d W 9 0 O y w m c X V v d D t T Z W N 0 a W 9 u M S 9 1 c 2 Q v U m V t b 3 Z l Z C B C b 3 R 0 b 2 0 g U m 9 3 c y 5 7 a W 5 2 Z X J z Z U R l c 2 N y a X B 0 a W 9 u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b G l u a y Z x d W 9 0 O y w m c X V v d D t k Z X N j c m l w d G l v b i Z x d W 9 0 O y w m c X V v d D t w d W J E Y X R l J n F 1 b 3 Q 7 L C Z x d W 9 0 O 2 J h c 2 V D d X J y Z W 5 j e S Z x d W 9 0 O y w m c X V v d D t i Y X N l T m F t Z S Z x d W 9 0 O y w m c X V v d D t 0 Y X J n Z X R D d X J y Z W 5 j e S Z x d W 9 0 O y w m c X V v d D t 0 Y X J n Z X R O Y W 1 l J n F 1 b 3 Q 7 L C Z x d W 9 0 O 2 V 4 Y 2 h h b m d l U m F 0 Z S Z x d W 9 0 O y w m c X V v d D t p b n Z l c n N l U m F 0 Z S Z x d W 9 0 O y w m c X V v d D t p b n Z l c n N l R G V z Y 3 J p c H R p b 2 4 m c X V v d D t d I i A v P j x F b n R y e S B U e X B l P S J G a W x s Q 2 9 s d W 1 u V H l w Z X M i I F Z h b H V l P S J z Q m d Z R 0 J 3 W U d C Z 1 l G Q l F Z P S I g L z 4 8 R W 5 0 c n k g V H l w Z T 0 i R m l s b E x h c 3 R V c G R h d G V k I i B W Y W x 1 Z T 0 i Z D I w M j A t M T A t M T Z U M T Q 6 M z c 6 M D E u M D U 2 M z c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2 Z T E 4 N j R i O C 1 i N z F m L T R m Y T U t Y W M w N C 0 5 N T F h N G R m Y z Z h M m M i I C 8 + P C 9 T d G F i b G V F b n R y a W V z P j w v S X R l b T 4 8 S X R l b T 4 8 S X R l b U x v Y 2 F 0 a W 9 u P j x J d G V t V H l w Z T 5 G b 3 J t d W x h P C 9 J d G V t V H l w Z T 4 8 S X R l b V B h d G g + U 2 V j d G l v b j E v d X N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p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s + a N U I Q 2 S L 4 0 o u 1 n 6 7 2 k A A A A A A I A A A A A A B B m A A A A A Q A A I A A A A L X L z n y f N U P j j b e d L I N Z q x X i 8 p t G Q S v k J u 1 O 3 E j k H i g G A A A A A A 6 A A A A A A g A A I A A A A J H e J B 0 e b N l t 0 W 7 W y u a 1 I 0 i 1 3 h z V v T w h S U B 6 + w C 7 7 S x N U A A A A I q q j P g r E x e l B S S s b 0 d j j C Z a n Q I X 9 l 9 9 G B f s W 0 i r y T b n m d l s y O b 2 l m 9 L J f e 2 a s T 4 J d c W M K K 2 D 7 9 x V d m b Q z J A Q y M 0 z Y v O 3 7 s B V h M V T W a N H 9 7 1 Q A A A A N X x 8 A I C p j O j k e B E N v w b w C 8 n V A R K V N / j D o 7 D 3 P N i p A g O i 5 r + 4 V 0 r 0 W W f D R r J R a u e D B 5 E H 9 k i h I e c 4 h V r M W W d n Q c = < / D a t a M a s h u p > 
</file>

<file path=customXml/itemProps1.xml><?xml version="1.0" encoding="utf-8"?>
<ds:datastoreItem xmlns:ds="http://schemas.openxmlformats.org/officeDocument/2006/customXml" ds:itemID="{E36CF2F7-F1EC-430E-8114-EA9104119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2020-10-16T14:16:02Z</dcterms:created>
  <dcterms:modified xsi:type="dcterms:W3CDTF">2020-12-09T20:59:48Z</dcterms:modified>
</cp:coreProperties>
</file>