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27E0CD07-4601-417C-8457-281E5FEADB94}" xr6:coauthVersionLast="46" xr6:coauthVersionMax="46" xr10:uidLastSave="{00000000-0000-0000-0000-000000000000}"/>
  <bookViews>
    <workbookView xWindow="-108" yWindow="-108" windowWidth="23256" windowHeight="12576" activeTab="1" xr2:uid="{91DA72C3-A7A1-43F5-9FD8-1E3D32E328B8}"/>
  </bookViews>
  <sheets>
    <sheet name="Main" sheetId="1" r:id="rId1"/>
    <sheet name="Model" sheetId="2" r:id="rId2"/>
    <sheet name="Currency" sheetId="4" r:id="rId3"/>
    <sheet name="Currency2" sheetId="6" r:id="rId4"/>
  </sheets>
  <definedNames>
    <definedName name="ExternalData_1" localSheetId="2" hidden="1">Currency!$A$1:$K$2</definedName>
    <definedName name="ExternalData_1" localSheetId="3" hidden="1">Currency2!$A$1:$K$2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2" l="1"/>
  <c r="W10" i="2"/>
  <c r="Y11" i="2"/>
  <c r="Z11" i="2" s="1"/>
  <c r="AA11" i="2" s="1"/>
  <c r="AB11" i="2" s="1"/>
  <c r="AC11" i="2" s="1"/>
  <c r="AD11" i="2" s="1"/>
  <c r="AE11" i="2" s="1"/>
  <c r="AF11" i="2" s="1"/>
  <c r="X11" i="2"/>
  <c r="W11" i="2"/>
  <c r="D7" i="1"/>
  <c r="D6" i="1"/>
  <c r="N15" i="2"/>
  <c r="N9" i="2"/>
  <c r="N24" i="2"/>
  <c r="N23" i="2"/>
  <c r="N31" i="2"/>
  <c r="M31" i="2"/>
  <c r="K31" i="2"/>
  <c r="J31" i="2"/>
  <c r="I31" i="2"/>
  <c r="H31" i="2"/>
  <c r="G31" i="2"/>
  <c r="N26" i="2"/>
  <c r="N25" i="2"/>
  <c r="M15" i="2"/>
  <c r="M7" i="2"/>
  <c r="M9" i="2" s="1"/>
  <c r="M26" i="2"/>
  <c r="L26" i="2"/>
  <c r="K26" i="2"/>
  <c r="J26" i="2"/>
  <c r="I26" i="2"/>
  <c r="H26" i="2"/>
  <c r="G26" i="2"/>
  <c r="M25" i="2"/>
  <c r="L25" i="2"/>
  <c r="K25" i="2"/>
  <c r="J25" i="2"/>
  <c r="I25" i="2"/>
  <c r="H25" i="2"/>
  <c r="G25" i="2"/>
  <c r="M24" i="2"/>
  <c r="L24" i="2"/>
  <c r="K24" i="2"/>
  <c r="J24" i="2"/>
  <c r="I24" i="2"/>
  <c r="H24" i="2"/>
  <c r="G24" i="2"/>
  <c r="M23" i="2"/>
  <c r="L23" i="2"/>
  <c r="K23" i="2"/>
  <c r="J23" i="2"/>
  <c r="I23" i="2"/>
  <c r="H23" i="2"/>
  <c r="G23" i="2"/>
  <c r="N7" i="2" l="1"/>
  <c r="AI44" i="2"/>
  <c r="V18" i="2" l="1"/>
  <c r="V12" i="2"/>
  <c r="V11" i="2"/>
  <c r="V10" i="2"/>
  <c r="V6" i="2"/>
  <c r="W6" i="2" s="1"/>
  <c r="X6" i="2" s="1"/>
  <c r="V5" i="2"/>
  <c r="W5" i="2" s="1"/>
  <c r="X5" i="2" s="1"/>
  <c r="V4" i="2"/>
  <c r="W4" i="2" s="1"/>
  <c r="X4" i="2" s="1"/>
  <c r="V3" i="2"/>
  <c r="U18" i="2"/>
  <c r="U17" i="2"/>
  <c r="U13" i="2"/>
  <c r="U12" i="2"/>
  <c r="U11" i="2"/>
  <c r="U10" i="2"/>
  <c r="U8" i="2"/>
  <c r="U6" i="2"/>
  <c r="U5" i="2"/>
  <c r="U4" i="2"/>
  <c r="U3" i="2"/>
  <c r="T18" i="2"/>
  <c r="T17" i="2"/>
  <c r="T13" i="2"/>
  <c r="T12" i="2"/>
  <c r="T11" i="2"/>
  <c r="T10" i="2"/>
  <c r="T8" i="2"/>
  <c r="T6" i="2"/>
  <c r="T5" i="2"/>
  <c r="T4" i="2"/>
  <c r="T3" i="2"/>
  <c r="U23" i="2" l="1"/>
  <c r="U31" i="2"/>
  <c r="U24" i="2"/>
  <c r="U25" i="2"/>
  <c r="W7" i="2"/>
  <c r="X3" i="2"/>
  <c r="Y4" i="2"/>
  <c r="X24" i="2"/>
  <c r="Y5" i="2"/>
  <c r="X25" i="2"/>
  <c r="Y6" i="2"/>
  <c r="X26" i="2"/>
  <c r="U26" i="2"/>
  <c r="W26" i="2"/>
  <c r="V26" i="2"/>
  <c r="V25" i="2"/>
  <c r="W25" i="2"/>
  <c r="W24" i="2"/>
  <c r="V24" i="2"/>
  <c r="V23" i="2"/>
  <c r="W23" i="2"/>
  <c r="W18" i="2"/>
  <c r="U7" i="2"/>
  <c r="T7" i="2"/>
  <c r="W9" i="2" l="1"/>
  <c r="W12" i="2"/>
  <c r="Z6" i="2"/>
  <c r="Y26" i="2"/>
  <c r="Z5" i="2"/>
  <c r="Y25" i="2"/>
  <c r="Z4" i="2"/>
  <c r="Y24" i="2"/>
  <c r="X23" i="2"/>
  <c r="X7" i="2"/>
  <c r="Y3" i="2"/>
  <c r="X18" i="2"/>
  <c r="T9" i="2"/>
  <c r="T14" i="2" s="1"/>
  <c r="T29" i="2" s="1"/>
  <c r="U9" i="2"/>
  <c r="U27" i="2"/>
  <c r="U30" i="2"/>
  <c r="T30" i="2"/>
  <c r="AA4" i="2" l="1"/>
  <c r="Z24" i="2"/>
  <c r="AA5" i="2"/>
  <c r="Z25" i="2"/>
  <c r="Z3" i="2"/>
  <c r="Y7" i="2"/>
  <c r="Y23" i="2"/>
  <c r="AA6" i="2"/>
  <c r="Z26" i="2"/>
  <c r="T28" i="2"/>
  <c r="Y18" i="2"/>
  <c r="U14" i="2"/>
  <c r="U29" i="2" s="1"/>
  <c r="U28" i="2"/>
  <c r="AA3" i="2" l="1"/>
  <c r="Z7" i="2"/>
  <c r="Z23" i="2"/>
  <c r="AB4" i="2"/>
  <c r="AA24" i="2"/>
  <c r="AB6" i="2"/>
  <c r="AA26" i="2"/>
  <c r="AB5" i="2"/>
  <c r="AA25" i="2"/>
  <c r="Z18" i="2"/>
  <c r="D15" i="2"/>
  <c r="D7" i="2"/>
  <c r="D9" i="2" s="1"/>
  <c r="D14" i="2" s="1"/>
  <c r="D29" i="2" s="1"/>
  <c r="C15" i="2"/>
  <c r="C7" i="2"/>
  <c r="C9" i="2" s="1"/>
  <c r="C14" i="2" s="1"/>
  <c r="C29" i="2" s="1"/>
  <c r="G15" i="2"/>
  <c r="G7" i="2"/>
  <c r="G9" i="2" s="1"/>
  <c r="G14" i="2" s="1"/>
  <c r="G29" i="2" s="1"/>
  <c r="E15" i="2"/>
  <c r="E7" i="2"/>
  <c r="E9" i="2" s="1"/>
  <c r="E14" i="2" s="1"/>
  <c r="E29" i="2" s="1"/>
  <c r="I15" i="2"/>
  <c r="I7" i="2"/>
  <c r="F15" i="2"/>
  <c r="F7" i="2"/>
  <c r="F9" i="2" s="1"/>
  <c r="F14" i="2" s="1"/>
  <c r="F29" i="2" s="1"/>
  <c r="J15" i="2"/>
  <c r="J7" i="2"/>
  <c r="J30" i="2" s="1"/>
  <c r="H15" i="2"/>
  <c r="H7" i="2"/>
  <c r="H9" i="2" s="1"/>
  <c r="H14" i="2" s="1"/>
  <c r="K15" i="2"/>
  <c r="K7" i="2"/>
  <c r="L15" i="2"/>
  <c r="L13" i="2"/>
  <c r="L31" i="2" s="1"/>
  <c r="L7" i="2"/>
  <c r="L9" i="2" s="1"/>
  <c r="L28" i="2" s="1"/>
  <c r="D13" i="1"/>
  <c r="D12" i="1"/>
  <c r="Y46" i="2" s="1"/>
  <c r="F3" i="1"/>
  <c r="AC5" i="2" l="1"/>
  <c r="AB25" i="2"/>
  <c r="AB3" i="2"/>
  <c r="AA7" i="2"/>
  <c r="AA23" i="2"/>
  <c r="AC4" i="2"/>
  <c r="AB24" i="2"/>
  <c r="AC6" i="2"/>
  <c r="AB26" i="2"/>
  <c r="D5" i="1"/>
  <c r="D8" i="1"/>
  <c r="AI41" i="2" s="1"/>
  <c r="U39" i="2"/>
  <c r="T36" i="2"/>
  <c r="V46" i="2"/>
  <c r="T46" i="2"/>
  <c r="U45" i="2"/>
  <c r="T45" i="2"/>
  <c r="U40" i="2"/>
  <c r="V40" i="2"/>
  <c r="V38" i="2"/>
  <c r="T40" i="2"/>
  <c r="T41" i="2"/>
  <c r="T39" i="2"/>
  <c r="U46" i="2"/>
  <c r="U38" i="2"/>
  <c r="V39" i="2"/>
  <c r="T38" i="2"/>
  <c r="U36" i="2"/>
  <c r="U41" i="2"/>
  <c r="W46" i="2"/>
  <c r="T35" i="2"/>
  <c r="T37" i="2" s="1"/>
  <c r="U35" i="2"/>
  <c r="W39" i="2"/>
  <c r="X46" i="2"/>
  <c r="X39" i="2"/>
  <c r="Y39" i="2"/>
  <c r="H30" i="2"/>
  <c r="K27" i="2"/>
  <c r="G28" i="2"/>
  <c r="G30" i="2"/>
  <c r="T15" i="2"/>
  <c r="H16" i="2"/>
  <c r="H19" i="2" s="1"/>
  <c r="H21" i="2" s="1"/>
  <c r="H29" i="2"/>
  <c r="H28" i="2"/>
  <c r="Z39" i="2"/>
  <c r="L30" i="2"/>
  <c r="AA18" i="2"/>
  <c r="Z46" i="2"/>
  <c r="G27" i="2"/>
  <c r="H27" i="2"/>
  <c r="I9" i="2"/>
  <c r="I30" i="2"/>
  <c r="I27" i="2"/>
  <c r="V15" i="2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J27" i="2"/>
  <c r="C28" i="2"/>
  <c r="C30" i="2"/>
  <c r="K30" i="2"/>
  <c r="K9" i="2"/>
  <c r="D30" i="2"/>
  <c r="L27" i="2"/>
  <c r="D28" i="2"/>
  <c r="E28" i="2"/>
  <c r="E30" i="2"/>
  <c r="J9" i="2"/>
  <c r="L14" i="2"/>
  <c r="L29" i="2" s="1"/>
  <c r="U15" i="2"/>
  <c r="F28" i="2"/>
  <c r="F30" i="2"/>
  <c r="F16" i="2"/>
  <c r="D16" i="2"/>
  <c r="C16" i="2"/>
  <c r="G16" i="2"/>
  <c r="E16" i="2"/>
  <c r="AD6" i="2" l="1"/>
  <c r="AC26" i="2"/>
  <c r="AD4" i="2"/>
  <c r="AC24" i="2"/>
  <c r="AD5" i="2"/>
  <c r="AC25" i="2"/>
  <c r="H32" i="2"/>
  <c r="AC3" i="2"/>
  <c r="AB7" i="2"/>
  <c r="AB12" i="2" s="1"/>
  <c r="AB23" i="2"/>
  <c r="U37" i="2"/>
  <c r="U42" i="2" s="1"/>
  <c r="D9" i="1"/>
  <c r="T42" i="2"/>
  <c r="T16" i="2"/>
  <c r="T43" i="2"/>
  <c r="AA39" i="2"/>
  <c r="U16" i="2"/>
  <c r="U19" i="2" s="1"/>
  <c r="U21" i="2" s="1"/>
  <c r="U43" i="2"/>
  <c r="V43" i="2"/>
  <c r="V13" i="2"/>
  <c r="AB18" i="2"/>
  <c r="AA46" i="2"/>
  <c r="G19" i="2"/>
  <c r="G21" i="2" s="1"/>
  <c r="G32" i="2"/>
  <c r="L16" i="2"/>
  <c r="M27" i="2"/>
  <c r="M30" i="2"/>
  <c r="K14" i="2"/>
  <c r="K29" i="2" s="1"/>
  <c r="K28" i="2"/>
  <c r="N27" i="2"/>
  <c r="N30" i="2"/>
  <c r="I14" i="2"/>
  <c r="I29" i="2" s="1"/>
  <c r="I28" i="2"/>
  <c r="C19" i="2"/>
  <c r="C21" i="2" s="1"/>
  <c r="C32" i="2"/>
  <c r="D19" i="2"/>
  <c r="D21" i="2" s="1"/>
  <c r="D32" i="2"/>
  <c r="F19" i="2"/>
  <c r="F21" i="2" s="1"/>
  <c r="F32" i="2"/>
  <c r="J14" i="2"/>
  <c r="J29" i="2" s="1"/>
  <c r="J28" i="2"/>
  <c r="E19" i="2"/>
  <c r="E21" i="2" s="1"/>
  <c r="E32" i="2"/>
  <c r="V7" i="2"/>
  <c r="AE6" i="2" l="1"/>
  <c r="AD26" i="2"/>
  <c r="AE5" i="2"/>
  <c r="AD25" i="2"/>
  <c r="AD3" i="2"/>
  <c r="AC7" i="2"/>
  <c r="AC12" i="2" s="1"/>
  <c r="AC23" i="2"/>
  <c r="AE4" i="2"/>
  <c r="AD24" i="2"/>
  <c r="V31" i="2"/>
  <c r="W13" i="2"/>
  <c r="X13" i="2" s="1"/>
  <c r="Y13" i="2" s="1"/>
  <c r="Z13" i="2" s="1"/>
  <c r="AA13" i="2" s="1"/>
  <c r="AB13" i="2" s="1"/>
  <c r="AC13" i="2" s="1"/>
  <c r="AD13" i="2" s="1"/>
  <c r="AE13" i="2" s="1"/>
  <c r="AF13" i="2" s="1"/>
  <c r="U44" i="2"/>
  <c r="U47" i="2" s="1"/>
  <c r="U49" i="2" s="1"/>
  <c r="T44" i="2"/>
  <c r="T47" i="2" s="1"/>
  <c r="T49" i="2" s="1"/>
  <c r="U32" i="2"/>
  <c r="AC18" i="2"/>
  <c r="AB46" i="2"/>
  <c r="W35" i="2"/>
  <c r="V35" i="2"/>
  <c r="V41" i="2"/>
  <c r="AB39" i="2"/>
  <c r="W43" i="2"/>
  <c r="T19" i="2"/>
  <c r="T21" i="2" s="1"/>
  <c r="T32" i="2"/>
  <c r="M14" i="2"/>
  <c r="M29" i="2" s="1"/>
  <c r="M28" i="2"/>
  <c r="K16" i="2"/>
  <c r="I16" i="2"/>
  <c r="V27" i="2"/>
  <c r="V30" i="2"/>
  <c r="N14" i="2"/>
  <c r="N29" i="2" s="1"/>
  <c r="N28" i="2"/>
  <c r="J16" i="2"/>
  <c r="L32" i="2"/>
  <c r="L19" i="2"/>
  <c r="L21" i="2" s="1"/>
  <c r="W31" i="2" l="1"/>
  <c r="AF4" i="2"/>
  <c r="AF24" i="2" s="1"/>
  <c r="AE24" i="2"/>
  <c r="AE3" i="2"/>
  <c r="AD7" i="2"/>
  <c r="AD12" i="2" s="1"/>
  <c r="AD23" i="2"/>
  <c r="AF6" i="2"/>
  <c r="AF26" i="2" s="1"/>
  <c r="AE26" i="2"/>
  <c r="AF5" i="2"/>
  <c r="AF25" i="2" s="1"/>
  <c r="AE25" i="2"/>
  <c r="AC39" i="2"/>
  <c r="X31" i="2"/>
  <c r="W41" i="2"/>
  <c r="X43" i="2"/>
  <c r="AD18" i="2"/>
  <c r="AC46" i="2"/>
  <c r="I19" i="2"/>
  <c r="I21" i="2" s="1"/>
  <c r="I32" i="2"/>
  <c r="K19" i="2"/>
  <c r="K21" i="2" s="1"/>
  <c r="K32" i="2"/>
  <c r="N16" i="2"/>
  <c r="J19" i="2"/>
  <c r="J21" i="2" s="1"/>
  <c r="J32" i="2"/>
  <c r="W8" i="2"/>
  <c r="W36" i="2" s="1"/>
  <c r="W37" i="2" s="1"/>
  <c r="X35" i="2"/>
  <c r="W27" i="2"/>
  <c r="M16" i="2"/>
  <c r="V8" i="2"/>
  <c r="AF3" i="2" l="1"/>
  <c r="AE7" i="2"/>
  <c r="AE12" i="2" s="1"/>
  <c r="AE23" i="2"/>
  <c r="Y43" i="2"/>
  <c r="Y31" i="2"/>
  <c r="X41" i="2"/>
  <c r="V9" i="2"/>
  <c r="V14" i="2" s="1"/>
  <c r="V29" i="2" s="1"/>
  <c r="V36" i="2"/>
  <c r="V37" i="2" s="1"/>
  <c r="V42" i="2" s="1"/>
  <c r="V44" i="2" s="1"/>
  <c r="AE18" i="2"/>
  <c r="AD46" i="2"/>
  <c r="AD39" i="2"/>
  <c r="W30" i="2"/>
  <c r="W40" i="2"/>
  <c r="M19" i="2"/>
  <c r="M21" i="2" s="1"/>
  <c r="N32" i="2"/>
  <c r="X12" i="2"/>
  <c r="X9" i="2"/>
  <c r="X8" i="2" s="1"/>
  <c r="X36" i="2" s="1"/>
  <c r="X37" i="2" s="1"/>
  <c r="Y35" i="2"/>
  <c r="X27" i="2"/>
  <c r="W28" i="2"/>
  <c r="AF7" i="2" l="1"/>
  <c r="AF12" i="2" s="1"/>
  <c r="AF23" i="2"/>
  <c r="V28" i="2"/>
  <c r="Z43" i="2"/>
  <c r="Z31" i="2"/>
  <c r="Y41" i="2"/>
  <c r="AF18" i="2"/>
  <c r="AF46" i="2" s="1"/>
  <c r="AE46" i="2"/>
  <c r="N19" i="2"/>
  <c r="N21" i="2" s="1"/>
  <c r="AF39" i="2"/>
  <c r="AE39" i="2"/>
  <c r="X30" i="2"/>
  <c r="X40" i="2"/>
  <c r="V17" i="2"/>
  <c r="V45" i="2" s="1"/>
  <c r="V47" i="2" s="1"/>
  <c r="V49" i="2" s="1"/>
  <c r="M32" i="2"/>
  <c r="Y9" i="2"/>
  <c r="Y12" i="2"/>
  <c r="Z35" i="2"/>
  <c r="Y27" i="2"/>
  <c r="X28" i="2"/>
  <c r="V16" i="2"/>
  <c r="V19" i="2" l="1"/>
  <c r="AA43" i="2"/>
  <c r="AA31" i="2"/>
  <c r="Z41" i="2"/>
  <c r="Y30" i="2"/>
  <c r="Y40" i="2"/>
  <c r="Z12" i="2"/>
  <c r="Z9" i="2"/>
  <c r="Z27" i="2"/>
  <c r="Y8" i="2"/>
  <c r="Y36" i="2" s="1"/>
  <c r="Y37" i="2" s="1"/>
  <c r="Y28" i="2"/>
  <c r="V32" i="2"/>
  <c r="V21" i="2" l="1"/>
  <c r="AA35" i="2"/>
  <c r="AB31" i="2"/>
  <c r="AA41" i="2"/>
  <c r="AB43" i="2"/>
  <c r="Z30" i="2"/>
  <c r="Z40" i="2"/>
  <c r="AA12" i="2"/>
  <c r="AA9" i="2"/>
  <c r="AA27" i="2"/>
  <c r="Z8" i="2"/>
  <c r="Z36" i="2" s="1"/>
  <c r="Z37" i="2" s="1"/>
  <c r="Z28" i="2"/>
  <c r="W38" i="2" l="1"/>
  <c r="W42" i="2" s="1"/>
  <c r="W44" i="2" s="1"/>
  <c r="W14" i="2"/>
  <c r="AB35" i="2"/>
  <c r="AC43" i="2"/>
  <c r="AC31" i="2"/>
  <c r="AB41" i="2"/>
  <c r="AA30" i="2"/>
  <c r="AA40" i="2"/>
  <c r="AC35" i="2"/>
  <c r="AB9" i="2"/>
  <c r="AB8" i="2" s="1"/>
  <c r="AB36" i="2" s="1"/>
  <c r="AB27" i="2"/>
  <c r="AA28" i="2"/>
  <c r="AA8" i="2"/>
  <c r="AA36" i="2" s="1"/>
  <c r="AA37" i="2" s="1"/>
  <c r="W29" i="2" l="1"/>
  <c r="W16" i="2"/>
  <c r="AB37" i="2"/>
  <c r="AD31" i="2"/>
  <c r="AC41" i="2"/>
  <c r="AD43" i="2"/>
  <c r="AB30" i="2"/>
  <c r="AB40" i="2"/>
  <c r="AB28" i="2"/>
  <c r="AD35" i="2"/>
  <c r="AC9" i="2"/>
  <c r="AC8" i="2" s="1"/>
  <c r="AC36" i="2" s="1"/>
  <c r="AC37" i="2" s="1"/>
  <c r="AC27" i="2"/>
  <c r="W17" i="2" l="1"/>
  <c r="AF43" i="2"/>
  <c r="AE43" i="2"/>
  <c r="AE31" i="2"/>
  <c r="AD41" i="2"/>
  <c r="AC30" i="2"/>
  <c r="AC40" i="2"/>
  <c r="AC28" i="2"/>
  <c r="AE35" i="2"/>
  <c r="AD9" i="2"/>
  <c r="AD8" i="2" s="1"/>
  <c r="AD36" i="2" s="1"/>
  <c r="AD37" i="2" s="1"/>
  <c r="AD27" i="2"/>
  <c r="W32" i="2" l="1"/>
  <c r="W45" i="2"/>
  <c r="W47" i="2" s="1"/>
  <c r="W49" i="2" s="1"/>
  <c r="W19" i="2"/>
  <c r="AE41" i="2"/>
  <c r="AD30" i="2"/>
  <c r="AD40" i="2"/>
  <c r="AD28" i="2"/>
  <c r="AF35" i="2"/>
  <c r="AE9" i="2"/>
  <c r="AE8" i="2" s="1"/>
  <c r="AE36" i="2" s="1"/>
  <c r="AE37" i="2" s="1"/>
  <c r="AE27" i="2"/>
  <c r="X10" i="2" l="1"/>
  <c r="W21" i="2"/>
  <c r="AF41" i="2"/>
  <c r="AF31" i="2"/>
  <c r="AE30" i="2"/>
  <c r="AE40" i="2"/>
  <c r="AE28" i="2"/>
  <c r="AF9" i="2"/>
  <c r="AF27" i="2"/>
  <c r="X38" i="2" l="1"/>
  <c r="X42" i="2" s="1"/>
  <c r="X44" i="2" s="1"/>
  <c r="X14" i="2"/>
  <c r="AF30" i="2"/>
  <c r="AF40" i="2"/>
  <c r="AF28" i="2"/>
  <c r="AF8" i="2"/>
  <c r="AF36" i="2" s="1"/>
  <c r="AF37" i="2" s="1"/>
  <c r="X29" i="2" l="1"/>
  <c r="X16" i="2"/>
  <c r="X17" i="2" s="1"/>
  <c r="X19" i="2" l="1"/>
  <c r="X45" i="2"/>
  <c r="X47" i="2" s="1"/>
  <c r="X49" i="2" s="1"/>
  <c r="X32" i="2"/>
  <c r="X21" i="2" l="1"/>
  <c r="Y10" i="2"/>
  <c r="Y38" i="2" l="1"/>
  <c r="Y42" i="2" s="1"/>
  <c r="Y44" i="2" s="1"/>
  <c r="Y14" i="2"/>
  <c r="Y29" i="2" l="1"/>
  <c r="Y16" i="2"/>
  <c r="Y17" i="2" s="1"/>
  <c r="Y19" i="2" l="1"/>
  <c r="Y32" i="2"/>
  <c r="Y45" i="2"/>
  <c r="Y47" i="2" s="1"/>
  <c r="Y49" i="2" s="1"/>
  <c r="Y21" i="2" l="1"/>
  <c r="Z10" i="2"/>
  <c r="Z38" i="2" l="1"/>
  <c r="Z42" i="2" s="1"/>
  <c r="Z44" i="2" s="1"/>
  <c r="Z14" i="2"/>
  <c r="Z29" i="2" l="1"/>
  <c r="Z16" i="2"/>
  <c r="Z17" i="2" l="1"/>
  <c r="Z19" i="2" s="1"/>
  <c r="Z21" i="2" l="1"/>
  <c r="AA10" i="2"/>
  <c r="Z32" i="2"/>
  <c r="Z45" i="2"/>
  <c r="Z47" i="2" s="1"/>
  <c r="Z49" i="2" s="1"/>
  <c r="AA38" i="2" l="1"/>
  <c r="AA42" i="2" s="1"/>
  <c r="AA44" i="2" s="1"/>
  <c r="AA14" i="2"/>
  <c r="AA29" i="2" l="1"/>
  <c r="AA16" i="2"/>
  <c r="AA17" i="2" s="1"/>
  <c r="AA19" i="2" l="1"/>
  <c r="AA32" i="2"/>
  <c r="AA45" i="2"/>
  <c r="AA47" i="2" s="1"/>
  <c r="AA49" i="2" s="1"/>
  <c r="AB10" i="2" l="1"/>
  <c r="AA21" i="2"/>
  <c r="AB14" i="2" l="1"/>
  <c r="AB38" i="2"/>
  <c r="AB42" i="2" s="1"/>
  <c r="AB44" i="2" s="1"/>
  <c r="AB29" i="2" l="1"/>
  <c r="AB16" i="2"/>
  <c r="AB17" i="2" s="1"/>
  <c r="AB19" i="2" l="1"/>
  <c r="AB32" i="2"/>
  <c r="AB45" i="2"/>
  <c r="AB47" i="2" s="1"/>
  <c r="AB49" i="2" s="1"/>
  <c r="AB21" i="2" l="1"/>
  <c r="AC10" i="2"/>
  <c r="AC14" i="2" l="1"/>
  <c r="AC38" i="2"/>
  <c r="AC42" i="2" s="1"/>
  <c r="AC44" i="2" s="1"/>
  <c r="AC29" i="2" l="1"/>
  <c r="AC16" i="2"/>
  <c r="AC17" i="2" s="1"/>
  <c r="AC19" i="2" l="1"/>
  <c r="AC32" i="2"/>
  <c r="AC45" i="2"/>
  <c r="AC47" i="2" s="1"/>
  <c r="AC49" i="2" s="1"/>
  <c r="AC21" i="2" l="1"/>
  <c r="AD10" i="2"/>
  <c r="AD14" i="2" l="1"/>
  <c r="AD38" i="2"/>
  <c r="AD42" i="2" s="1"/>
  <c r="AD44" i="2" s="1"/>
  <c r="AD16" i="2" l="1"/>
  <c r="AD29" i="2"/>
  <c r="AD17" i="2" l="1"/>
  <c r="AD19" i="2" s="1"/>
  <c r="AD21" i="2" l="1"/>
  <c r="AE10" i="2"/>
  <c r="AD32" i="2"/>
  <c r="AD45" i="2"/>
  <c r="AD47" i="2" s="1"/>
  <c r="AD49" i="2" s="1"/>
  <c r="AE38" i="2" l="1"/>
  <c r="AE42" i="2" s="1"/>
  <c r="AE44" i="2" s="1"/>
  <c r="AE14" i="2"/>
  <c r="AE16" i="2" l="1"/>
  <c r="AE17" i="2" s="1"/>
  <c r="AE29" i="2"/>
  <c r="AE19" i="2" l="1"/>
  <c r="AE32" i="2"/>
  <c r="AE45" i="2"/>
  <c r="AE47" i="2" s="1"/>
  <c r="AE49" i="2" s="1"/>
  <c r="AE21" i="2" l="1"/>
  <c r="AF10" i="2"/>
  <c r="AF38" i="2" l="1"/>
  <c r="AF42" i="2" s="1"/>
  <c r="AF44" i="2" s="1"/>
  <c r="AF14" i="2"/>
  <c r="AF29" i="2" l="1"/>
  <c r="AF16" i="2"/>
  <c r="AF17" i="2" s="1"/>
  <c r="AF19" i="2" l="1"/>
  <c r="AF32" i="2"/>
  <c r="AF45" i="2"/>
  <c r="AF47" i="2" s="1"/>
  <c r="AF49" i="2" s="1"/>
  <c r="AG19" i="2" l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BP19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CG19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X19" i="2" s="1"/>
  <c r="CY19" i="2" s="1"/>
  <c r="CZ19" i="2" s="1"/>
  <c r="DA19" i="2" s="1"/>
  <c r="DB19" i="2" s="1"/>
  <c r="DC19" i="2" s="1"/>
  <c r="DD19" i="2" s="1"/>
  <c r="DE19" i="2" s="1"/>
  <c r="DF19" i="2" s="1"/>
  <c r="DG19" i="2" s="1"/>
  <c r="DH19" i="2" s="1"/>
  <c r="DI19" i="2" s="1"/>
  <c r="DJ19" i="2" s="1"/>
  <c r="DK19" i="2" s="1"/>
  <c r="DL19" i="2" s="1"/>
  <c r="DM19" i="2" s="1"/>
  <c r="DN19" i="2" s="1"/>
  <c r="DO19" i="2" s="1"/>
  <c r="DP19" i="2" s="1"/>
  <c r="DQ19" i="2" s="1"/>
  <c r="DR19" i="2" s="1"/>
  <c r="DS19" i="2" s="1"/>
  <c r="DT19" i="2" s="1"/>
  <c r="DU19" i="2" s="1"/>
  <c r="DV19" i="2" s="1"/>
  <c r="DW19" i="2" s="1"/>
  <c r="DX19" i="2" s="1"/>
  <c r="DY19" i="2" s="1"/>
  <c r="DZ19" i="2" s="1"/>
  <c r="EA19" i="2" s="1"/>
  <c r="EB19" i="2" s="1"/>
  <c r="EC19" i="2" s="1"/>
  <c r="ED19" i="2" s="1"/>
  <c r="EE19" i="2" s="1"/>
  <c r="EF19" i="2" s="1"/>
  <c r="EG19" i="2" s="1"/>
  <c r="EH19" i="2" s="1"/>
  <c r="EI19" i="2" s="1"/>
  <c r="EJ19" i="2" s="1"/>
  <c r="EK19" i="2" s="1"/>
  <c r="EL19" i="2" s="1"/>
  <c r="EM19" i="2" s="1"/>
  <c r="EN19" i="2" s="1"/>
  <c r="EO19" i="2" s="1"/>
  <c r="EP19" i="2" s="1"/>
  <c r="EQ19" i="2" s="1"/>
  <c r="ER19" i="2" s="1"/>
  <c r="ES19" i="2" s="1"/>
  <c r="AI40" i="2" s="1"/>
  <c r="AI42" i="2" s="1"/>
  <c r="AI43" i="2" s="1"/>
  <c r="AI45" i="2" s="1"/>
  <c r="AF2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</author>
  </authors>
  <commentList>
    <comment ref="D6" authorId="0" shapeId="0" xr:uid="{750D39E6-B5DE-4B7B-AC5E-3C3BECDC934A}">
      <text>
        <r>
          <rPr>
            <b/>
            <sz val="9"/>
            <color indexed="81"/>
            <rFont val="Tahoma"/>
            <family val="2"/>
          </rPr>
          <t>Anton:</t>
        </r>
        <r>
          <rPr>
            <sz val="9"/>
            <color indexed="81"/>
            <rFont val="Tahoma"/>
            <family val="2"/>
          </rPr>
          <t xml:space="preserve">
non-current investments in associates not counted, perhaps they should be, read more about this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</author>
  </authors>
  <commentList>
    <comment ref="T2" authorId="0" shapeId="0" xr:uid="{9AED3D8F-9B70-4820-9CD0-9C859A2A1888}">
      <text>
        <r>
          <rPr>
            <b/>
            <sz val="9"/>
            <color indexed="81"/>
            <rFont val="Tahoma"/>
            <family val="2"/>
          </rPr>
          <t>Anton:</t>
        </r>
        <r>
          <rPr>
            <sz val="9"/>
            <color indexed="81"/>
            <rFont val="Tahoma"/>
            <family val="2"/>
          </rPr>
          <t xml:space="preserve">
adjust for historical currency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DEAC14-3B04-455D-9150-0BEF322A7DF2}" keepAlive="1" name="Query - cny" description="Connection to the 'cny' query in the workbook." type="5" refreshedVersion="7" background="1" saveData="1">
    <dbPr connection="Provider=Microsoft.Mashup.OleDb.1;Data Source=$Workbook$;Location=cny;Extended Properties=&quot;&quot;" command="SELECT * FROM [cny]"/>
  </connection>
  <connection id="2" xr16:uid="{639E5DF4-825F-45EF-B90D-CF762125CC09}" keepAlive="1" name="Query - rmb" description="Connection to the 'rmb' query in the workbook." type="5" refreshedVersion="7" background="1" saveData="1">
    <dbPr connection="Provider=Microsoft.Mashup.OleDb.1;Data Source=$Workbook$;Location=rmb;Extended Properties=&quot;&quot;" command="SELECT * FROM [rmb]"/>
  </connection>
</connections>
</file>

<file path=xl/sharedStrings.xml><?xml version="1.0" encoding="utf-8"?>
<sst xmlns="http://schemas.openxmlformats.org/spreadsheetml/2006/main" count="123" uniqueCount="90">
  <si>
    <t>Price</t>
  </si>
  <si>
    <t>Shares</t>
  </si>
  <si>
    <t>MC</t>
  </si>
  <si>
    <t>Cash</t>
  </si>
  <si>
    <t>Debt</t>
  </si>
  <si>
    <t>Net Cash</t>
  </si>
  <si>
    <t>EV</t>
  </si>
  <si>
    <t>RMB/HKD</t>
  </si>
  <si>
    <t>Time last checked</t>
  </si>
  <si>
    <t>Today</t>
  </si>
  <si>
    <t>Q220</t>
  </si>
  <si>
    <t>title</t>
  </si>
  <si>
    <t>link</t>
  </si>
  <si>
    <t>description</t>
  </si>
  <si>
    <t>baseCurrency</t>
  </si>
  <si>
    <t>pubDate</t>
  </si>
  <si>
    <t>USD</t>
  </si>
  <si>
    <t>baseName</t>
  </si>
  <si>
    <t>targetCurrency</t>
  </si>
  <si>
    <t>targetName</t>
  </si>
  <si>
    <t>exchangeRate</t>
  </si>
  <si>
    <t>inverseRate</t>
  </si>
  <si>
    <t>inverseDescription</t>
  </si>
  <si>
    <t>U.S. Dollar</t>
  </si>
  <si>
    <t>http://www.floatrates.com/usd/cny/</t>
  </si>
  <si>
    <t>CNY</t>
  </si>
  <si>
    <t>Chinese Yuan</t>
  </si>
  <si>
    <t>HKD</t>
  </si>
  <si>
    <t>Hong Kong Dollar</t>
  </si>
  <si>
    <t>http://www.floatrates.com/cny/hkd/</t>
  </si>
  <si>
    <t>USD/RMB</t>
  </si>
  <si>
    <t>Revenue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</si>
  <si>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</si>
  <si>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</si>
  <si>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</si>
  <si>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</si>
  <si>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</si>
  <si>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</si>
  <si>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</si>
  <si>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</si>
  <si>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</si>
  <si>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Q320</t>
  </si>
  <si>
    <t>Q420</t>
  </si>
  <si>
    <t>VAS</t>
  </si>
  <si>
    <t>FinTech and Services</t>
  </si>
  <si>
    <t>Advertising</t>
  </si>
  <si>
    <t>Other</t>
  </si>
  <si>
    <t>Cost of sales</t>
  </si>
  <si>
    <t>Gross profit</t>
  </si>
  <si>
    <t>Interest income</t>
  </si>
  <si>
    <t>Other gains</t>
  </si>
  <si>
    <t>S&amp;M</t>
  </si>
  <si>
    <t>G&amp;A</t>
  </si>
  <si>
    <t>Operating profit</t>
  </si>
  <si>
    <t>Finance expense</t>
  </si>
  <si>
    <t>Pretax profit</t>
  </si>
  <si>
    <t>Taxes</t>
  </si>
  <si>
    <t>Minority interest</t>
  </si>
  <si>
    <t>Net profit</t>
  </si>
  <si>
    <t>EPS</t>
  </si>
  <si>
    <t>Gross Margin</t>
  </si>
  <si>
    <t>Operating Margin</t>
  </si>
  <si>
    <t>S&amp;M Margin</t>
  </si>
  <si>
    <t>Revenue y/y</t>
  </si>
  <si>
    <t>Maturity</t>
  </si>
  <si>
    <t>Discount rate</t>
  </si>
  <si>
    <t>NPV</t>
  </si>
  <si>
    <t>Value</t>
  </si>
  <si>
    <t>Per share</t>
  </si>
  <si>
    <t>Current price</t>
  </si>
  <si>
    <t>Net cash</t>
  </si>
  <si>
    <t>Variance</t>
  </si>
  <si>
    <t>Consensus</t>
  </si>
  <si>
    <t>Earnings</t>
  </si>
  <si>
    <t>VAS y/y</t>
  </si>
  <si>
    <t>FinTech and Services y/y</t>
  </si>
  <si>
    <t>Advertising y/y</t>
  </si>
  <si>
    <t>Other y/y</t>
  </si>
  <si>
    <t>G&amp;A y/y</t>
  </si>
  <si>
    <t>Q121</t>
  </si>
  <si>
    <t>Q221</t>
  </si>
  <si>
    <t>Q321</t>
  </si>
  <si>
    <t>Q421</t>
  </si>
  <si>
    <t>1 USD = 6.46661587 CNY</t>
  </si>
  <si>
    <t>1 U.S. Dollar = 6.46661587 Chinese Yuan</t>
  </si>
  <si>
    <t>1 Chinese Yuan = 0.15464039 U.S. Dollar</t>
  </si>
  <si>
    <t>1 CNY = 1.20113999 HKD</t>
  </si>
  <si>
    <t>1 Chinese Yuan = 1.20113999 Hong Kong Dollar</t>
  </si>
  <si>
    <t>1 Hong Kong Dollar = 0.83254242 Chinese Yuan</t>
  </si>
  <si>
    <t>Fairly 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</si>
</sst>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"/>
    <numFmt numFmtId="165" formatCode="[$HKD]\ #,##0.00"/>
    <numFmt numFmtId="166" formatCode="[$¥-804]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1" fillId="0" borderId="0" xfId="0" applyNumberFormat="1" applyFont="1"/>
    <xf numFmtId="165" fontId="0" fillId="0" borderId="0" xfId="0" applyNumberForma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0" fillId="0" borderId="0" xfId="0" applyNumberFormat="1"/>
    <xf numFmtId="166" fontId="0" fillId="0" borderId="0" xfId="0" applyNumberFormat="1"/>
    <xf numFmtId="22" fontId="0" fillId="0" borderId="0" xfId="0" applyNumberFormat="1"/>
    <xf numFmtId="0" fontId="0" fillId="0" borderId="0" xfId="0" applyNumberFormat="1" applyBorder="1"/>
    <xf numFmtId="0" fontId="0" fillId="0" borderId="0" xfId="0" applyBorder="1"/>
    <xf numFmtId="22" fontId="0" fillId="0" borderId="0" xfId="0" applyNumberFormat="1" applyBorder="1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Font="1"/>
    <xf numFmtId="9" fontId="1" fillId="0" borderId="0" xfId="0" applyNumberFormat="1" applyFont="1"/>
    <xf numFmtId="4" fontId="1" fillId="0" borderId="0" xfId="0" applyNumberFormat="1" applyFont="1"/>
    <xf numFmtId="9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0" fillId="0" borderId="0" xfId="0" applyNumberFormat="1" applyFont="1"/>
    <xf numFmtId="3" fontId="1" fillId="0" borderId="0" xfId="0" applyNumberFormat="1" applyFont="1" applyAlignment="1">
      <alignment horizontal="right"/>
    </xf>
    <xf numFmtId="165" fontId="0" fillId="0" borderId="0" xfId="0" applyNumberFormat="1" applyFont="1"/>
    <xf numFmtId="166" fontId="0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</xdr:colOff>
      <xdr:row>0</xdr:row>
      <xdr:rowOff>0</xdr:rowOff>
    </xdr:from>
    <xdr:to>
      <xdr:col>14</xdr:col>
      <xdr:colOff>30480</xdr:colOff>
      <xdr:row>33</xdr:row>
      <xdr:rowOff>83820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AC9694E-9B63-44EB-B373-EEEB21C31CE1}"/>
            </a:ext>
          </a:extLst>
        </xdr:cNvPr>
        <xdr:cNvCxnSpPr/>
      </xdr:nvCxnSpPr>
      <xdr:spPr>
        <a:xfrm>
          <a:off x="9387840" y="0"/>
          <a:ext cx="0" cy="6118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22860</xdr:colOff>
      <xdr:row>0</xdr:row>
      <xdr:rowOff>0</xdr:rowOff>
    </xdr:from>
    <xdr:to>
      <xdr:col>22</xdr:col>
      <xdr:colOff>22860</xdr:colOff>
      <xdr:row>33</xdr:row>
      <xdr:rowOff>91440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932A2A3-6338-4077-BF33-5AF8D491C409}"/>
            </a:ext>
          </a:extLst>
        </xdr:cNvPr>
        <xdr:cNvCxnSpPr/>
      </xdr:nvCxnSpPr>
      <xdr:spPr>
        <a:xfrm>
          <a:off x="11818620" y="0"/>
          <a:ext cx="0" cy="6126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C29493F-AA1E-4884-A520-0C229E2725C3}" autoFormatId="16" applyNumberFormats="0" applyBorderFormats="0" applyFontFormats="0" applyPatternFormats="0" applyAlignmentFormats="0" applyWidthHeightFormats="0">
  <queryTableRefresh nextId="16">
    <queryTableFields count="11">
      <queryTableField id="1" name="title" tableColumnId="9"/>
      <queryTableField id="2" name="link" tableColumnId="2"/>
      <queryTableField id="4" name="description" tableColumnId="4"/>
      <queryTableField id="7" name="pubDate" tableColumnId="7"/>
      <queryTableField id="6" name="baseCurrency" tableColumnId="6"/>
      <queryTableField id="9" name="baseName" tableColumnId="10"/>
      <queryTableField id="10" name="targetCurrency" tableColumnId="11"/>
      <queryTableField id="11" name="targetName" tableColumnId="12"/>
      <queryTableField id="12" name="exchangeRate" tableColumnId="13"/>
      <queryTableField id="13" name="inverseRate" tableColumnId="14"/>
      <queryTableField id="14" name="inverseDescription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0B5EC89-3A45-457D-BE61-C5FDD9809DF4}" autoFormatId="16" applyNumberFormats="0" applyBorderFormats="0" applyFontFormats="0" applyPatternFormats="0" applyAlignmentFormats="0" applyWidthHeightFormats="0">
  <queryTableRefresh nextId="12">
    <queryTableFields count="11">
      <queryTableField id="1" name="title" tableColumnId="12"/>
      <queryTableField id="2" name="link" tableColumnId="2"/>
      <queryTableField id="3" name="description" tableColumnId="3"/>
      <queryTableField id="4" name="pubDate" tableColumnId="4"/>
      <queryTableField id="5" name="baseCurrency" tableColumnId="5"/>
      <queryTableField id="6" name="baseName" tableColumnId="6"/>
      <queryTableField id="7" name="targetCurrency" tableColumnId="7"/>
      <queryTableField id="8" name="targetName" tableColumnId="8"/>
      <queryTableField id="9" name="exchangeRate" tableColumnId="9"/>
      <queryTableField id="10" name="inverseRate" tableColumnId="10"/>
      <queryTableField id="11" name="inverseDescription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7473EE-09D9-4B1B-A0C2-A27C4E49BA0C}" name="rmb" displayName="rmb" ref="A1:K2" tableType="queryTable" totalsRowShown="0">
  <autoFilter ref="A1:K2" xr:uid="{56D42CAC-0DB9-4ADD-AA6A-F8A2F82AF496}"/>
  <tableColumns count="11">
    <tableColumn id="9" xr3:uid="{EA9B4B43-901D-4815-BDFB-8B60A90C95FD}" uniqueName="9" name="title" queryTableFieldId="1" dataDxfId="19"/>
    <tableColumn id="2" xr3:uid="{7435B920-5D35-4D1C-8A64-297CE973F84C}" uniqueName="2" name="link" queryTableFieldId="2" dataDxfId="18"/>
    <tableColumn id="4" xr3:uid="{892ED710-E8CA-4677-8189-41F144EB0E3D}" uniqueName="4" name="description" queryTableFieldId="4" dataDxfId="17"/>
    <tableColumn id="7" xr3:uid="{89154F1B-2971-4B37-815B-3DC6F55139D0}" uniqueName="7" name="pubDate" queryTableFieldId="7" dataDxfId="16"/>
    <tableColumn id="6" xr3:uid="{8E600142-0D16-4278-8041-E5CC6E30121C}" uniqueName="6" name="baseCurrency" queryTableFieldId="6" dataDxfId="15"/>
    <tableColumn id="10" xr3:uid="{4F15F6BE-BFA5-41E7-860B-58965ED3EE41}" uniqueName="10" name="baseName" queryTableFieldId="9" dataDxfId="14"/>
    <tableColumn id="11" xr3:uid="{B7E90277-535F-48D2-A0CB-33534B2ADE86}" uniqueName="11" name="targetCurrency" queryTableFieldId="10" dataDxfId="13"/>
    <tableColumn id="12" xr3:uid="{4FCA5668-0CEB-423E-AC4B-1CC5036CD80C}" uniqueName="12" name="targetName" queryTableFieldId="11" dataDxfId="12"/>
    <tableColumn id="13" xr3:uid="{F3D6EB5A-68AC-4860-AFE7-B70A40FC95AF}" uniqueName="13" name="exchangeRate" queryTableFieldId="12"/>
    <tableColumn id="14" xr3:uid="{4335ABE3-6DAE-497C-80A1-95EB18905111}" uniqueName="14" name="inverseRate" queryTableFieldId="13"/>
    <tableColumn id="15" xr3:uid="{36EA548C-8FE1-4BF7-98AD-C742C63B8BC1}" uniqueName="15" name="inverseDescription" queryTableFieldId="14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97BE17-D94B-4EF2-A9C4-0E3DFD2BC33E}" name="cny" displayName="cny" ref="A1:K2" tableType="queryTable" totalsRowShown="0">
  <autoFilter ref="A1:K2" xr:uid="{8EC804BE-AFA7-412D-8DD4-58F29940073C}"/>
  <tableColumns count="11">
    <tableColumn id="12" xr3:uid="{E05DCE5C-E209-41E8-B774-2B984033BA56}" uniqueName="12" name="title" queryTableFieldId="1" dataDxfId="10"/>
    <tableColumn id="2" xr3:uid="{A6C263C8-6656-43F8-A086-5B1CD07E7908}" uniqueName="2" name="link" queryTableFieldId="2" dataDxfId="9"/>
    <tableColumn id="3" xr3:uid="{37959955-36E3-49EF-937D-9336E60A19C8}" uniqueName="3" name="description" queryTableFieldId="3" dataDxfId="8"/>
    <tableColumn id="4" xr3:uid="{11E39F9B-66F8-4CD9-B908-C8A0FB71C41B}" uniqueName="4" name="pubDate" queryTableFieldId="4" dataDxfId="7"/>
    <tableColumn id="5" xr3:uid="{05D1B989-47D6-42FD-806F-C05E6A71C708}" uniqueName="5" name="baseCurrency" queryTableFieldId="5" dataDxfId="6"/>
    <tableColumn id="6" xr3:uid="{80C9C1AE-E716-4359-8759-9DCABE1AD576}" uniqueName="6" name="baseName" queryTableFieldId="6" dataDxfId="5"/>
    <tableColumn id="7" xr3:uid="{52A71888-8E6E-4AB6-A9A5-94A2C60A1BF2}" uniqueName="7" name="targetCurrency" queryTableFieldId="7" dataDxfId="4"/>
    <tableColumn id="8" xr3:uid="{03961922-2FDA-4907-909C-5EF2331DCB55}" uniqueName="8" name="targetName" queryTableFieldId="8" dataDxfId="3"/>
    <tableColumn id="9" xr3:uid="{074F69FD-7E27-4C48-B4AA-D280939AE34D}" uniqueName="9" name="exchangeRate" queryTableFieldId="9" dataDxfId="2"/>
    <tableColumn id="10" xr3:uid="{7D25EDC2-54EE-46C2-B032-7CFE24DB01B2}" uniqueName="10" name="inverseRate" queryTableFieldId="10" dataDxfId="1"/>
    <tableColumn id="11" xr3:uid="{26AD5405-8FFB-4185-A244-8F20810BECD2}" uniqueName="11" name="inverseDescription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56E30-4297-4A8A-9EE6-50EEBBB8694A}">
  <sheetPr codeName="Sheet1"/>
  <dimension ref="B2:G13"/>
  <sheetViews>
    <sheetView workbookViewId="0">
      <selection activeCell="D13" sqref="D13"/>
    </sheetView>
  </sheetViews>
  <sheetFormatPr defaultRowHeight="14.4" x14ac:dyDescent="0.3"/>
  <cols>
    <col min="4" max="4" width="10.44140625" bestFit="1" customWidth="1"/>
    <col min="5" max="7" width="15.77734375" style="3" customWidth="1"/>
  </cols>
  <sheetData>
    <row r="2" spans="2:7" x14ac:dyDescent="0.3">
      <c r="E2" s="3" t="s">
        <v>8</v>
      </c>
      <c r="F2" s="3" t="s">
        <v>9</v>
      </c>
      <c r="G2" s="3" t="s">
        <v>73</v>
      </c>
    </row>
    <row r="3" spans="2:7" x14ac:dyDescent="0.3">
      <c r="B3" s="1">
        <v>700</v>
      </c>
      <c r="C3" t="s">
        <v>0</v>
      </c>
      <c r="D3" s="2">
        <v>600</v>
      </c>
      <c r="E3" s="4">
        <v>44323</v>
      </c>
      <c r="F3" s="4">
        <f ca="1">TODAY()</f>
        <v>44323</v>
      </c>
      <c r="G3" s="4">
        <v>44336</v>
      </c>
    </row>
    <row r="4" spans="2:7" x14ac:dyDescent="0.3">
      <c r="C4" t="s">
        <v>1</v>
      </c>
      <c r="D4" s="12">
        <v>9651</v>
      </c>
      <c r="E4" s="3" t="s">
        <v>42</v>
      </c>
    </row>
    <row r="5" spans="2:7" x14ac:dyDescent="0.3">
      <c r="C5" t="s">
        <v>2</v>
      </c>
      <c r="D5" s="12">
        <f>(D3*D4)/(D12*D13)</f>
        <v>745508.97454445821</v>
      </c>
      <c r="E5" s="5"/>
    </row>
    <row r="6" spans="2:7" x14ac:dyDescent="0.3">
      <c r="C6" t="s">
        <v>3</v>
      </c>
      <c r="D6" s="7">
        <f>152798+68487+6593+31681+165944+7649+297609</f>
        <v>730761</v>
      </c>
      <c r="E6" s="3" t="s">
        <v>42</v>
      </c>
    </row>
    <row r="7" spans="2:7" x14ac:dyDescent="0.3">
      <c r="C7" t="s">
        <v>4</v>
      </c>
      <c r="D7" s="7">
        <f>14242+122057+112145</f>
        <v>248444</v>
      </c>
      <c r="E7" s="3" t="s">
        <v>42</v>
      </c>
    </row>
    <row r="8" spans="2:7" x14ac:dyDescent="0.3">
      <c r="C8" t="s">
        <v>5</v>
      </c>
      <c r="D8" s="12">
        <f>(D6-D7)/D12</f>
        <v>74585.688974904275</v>
      </c>
    </row>
    <row r="9" spans="2:7" x14ac:dyDescent="0.3">
      <c r="C9" t="s">
        <v>6</v>
      </c>
      <c r="D9" s="12">
        <f>D5-D8</f>
        <v>670923.28556955396</v>
      </c>
    </row>
    <row r="12" spans="2:7" x14ac:dyDescent="0.3">
      <c r="C12" t="s">
        <v>30</v>
      </c>
      <c r="D12" s="25">
        <f>rmb[exchangeRate]</f>
        <v>6.46661587</v>
      </c>
    </row>
    <row r="13" spans="2:7" x14ac:dyDescent="0.3">
      <c r="C13" t="s">
        <v>7</v>
      </c>
      <c r="D13" s="25">
        <f>cny[exchangeRate]</f>
        <v>1.2011399899999999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8A544-7776-424D-AD57-B09510E6006A}">
  <sheetPr codeName="Sheet2"/>
  <dimension ref="B2:ES49"/>
  <sheetViews>
    <sheetView tabSelected="1" workbookViewId="0">
      <pane xSplit="2" ySplit="2" topLeftCell="R38" activePane="bottomRight" state="frozen"/>
      <selection pane="topRight" activeCell="C1" sqref="C1"/>
      <selection pane="bottomLeft" activeCell="A3" sqref="A3"/>
      <selection pane="bottomRight" activeCell="AI40" sqref="AI40"/>
    </sheetView>
  </sheetViews>
  <sheetFormatPr defaultRowHeight="14.4" x14ac:dyDescent="0.3"/>
  <cols>
    <col min="2" max="2" width="20.88671875" bestFit="1" customWidth="1"/>
    <col min="34" max="34" width="11.88671875" bestFit="1" customWidth="1"/>
    <col min="35" max="35" width="16.21875" bestFit="1" customWidth="1"/>
  </cols>
  <sheetData>
    <row r="2" spans="2:33" x14ac:dyDescent="0.3">
      <c r="C2" s="13" t="s">
        <v>32</v>
      </c>
      <c r="D2" s="13" t="s">
        <v>33</v>
      </c>
      <c r="E2" s="13" t="s">
        <v>34</v>
      </c>
      <c r="F2" s="13" t="s">
        <v>35</v>
      </c>
      <c r="G2" s="13" t="s">
        <v>36</v>
      </c>
      <c r="H2" s="13" t="s">
        <v>37</v>
      </c>
      <c r="I2" s="13" t="s">
        <v>38</v>
      </c>
      <c r="J2" s="13" t="s">
        <v>39</v>
      </c>
      <c r="K2" s="13" t="s">
        <v>40</v>
      </c>
      <c r="L2" s="13" t="s">
        <v>10</v>
      </c>
      <c r="M2" s="13" t="s">
        <v>41</v>
      </c>
      <c r="N2" s="13" t="s">
        <v>42</v>
      </c>
      <c r="O2" s="13" t="s">
        <v>79</v>
      </c>
      <c r="P2" s="13" t="s">
        <v>80</v>
      </c>
      <c r="Q2" s="13" t="s">
        <v>81</v>
      </c>
      <c r="R2" s="13" t="s">
        <v>82</v>
      </c>
      <c r="T2">
        <v>2018</v>
      </c>
      <c r="U2">
        <v>2019</v>
      </c>
      <c r="V2">
        <v>2020</v>
      </c>
      <c r="W2">
        <v>2021</v>
      </c>
      <c r="X2">
        <v>2022</v>
      </c>
      <c r="Y2">
        <v>2023</v>
      </c>
      <c r="Z2">
        <v>2024</v>
      </c>
      <c r="AA2">
        <v>2025</v>
      </c>
      <c r="AB2">
        <v>2026</v>
      </c>
      <c r="AC2">
        <v>2027</v>
      </c>
      <c r="AD2">
        <v>2028</v>
      </c>
      <c r="AE2">
        <v>2029</v>
      </c>
      <c r="AF2">
        <v>2030</v>
      </c>
    </row>
    <row r="3" spans="2:33" x14ac:dyDescent="0.3">
      <c r="B3" t="s">
        <v>43</v>
      </c>
      <c r="C3" s="19">
        <v>46877</v>
      </c>
      <c r="D3" s="19">
        <v>42069</v>
      </c>
      <c r="E3" s="19">
        <v>44049</v>
      </c>
      <c r="F3" s="19">
        <v>43651</v>
      </c>
      <c r="G3" s="19">
        <v>48974</v>
      </c>
      <c r="H3" s="19">
        <v>48080</v>
      </c>
      <c r="I3" s="19">
        <v>50629</v>
      </c>
      <c r="J3" s="19">
        <v>52308</v>
      </c>
      <c r="K3" s="19">
        <v>62429</v>
      </c>
      <c r="L3" s="19">
        <v>65002</v>
      </c>
      <c r="M3" s="19">
        <v>69802</v>
      </c>
      <c r="N3" s="19">
        <v>66979</v>
      </c>
      <c r="O3" s="19"/>
      <c r="P3" s="19"/>
      <c r="Q3" s="19"/>
      <c r="R3" s="19"/>
      <c r="T3" s="19">
        <f>SUM(C3:F3)</f>
        <v>176646</v>
      </c>
      <c r="U3" s="19">
        <f>SUM(G3:J3)</f>
        <v>199991</v>
      </c>
      <c r="V3" s="19">
        <f t="shared" ref="V3:V8" si="0">SUM(K3:N3)</f>
        <v>264212</v>
      </c>
      <c r="W3" s="12">
        <f>V3*1.21</f>
        <v>319696.52</v>
      </c>
      <c r="X3" s="12">
        <f>W3*1.15</f>
        <v>367650.99800000002</v>
      </c>
      <c r="Y3" s="12">
        <f>X3*1.1</f>
        <v>404416.09780000005</v>
      </c>
      <c r="Z3" s="12">
        <f>Y3*1.08</f>
        <v>436769.3856240001</v>
      </c>
      <c r="AA3" s="12">
        <f>Z3*1.05</f>
        <v>458607.85490520013</v>
      </c>
      <c r="AB3" s="12">
        <f>AA3*1.04</f>
        <v>476952.16910140816</v>
      </c>
      <c r="AC3" s="12">
        <f>AB3*1.03</f>
        <v>491260.73417445039</v>
      </c>
      <c r="AD3" s="12">
        <f>AC3*1.02</f>
        <v>501085.94885793939</v>
      </c>
      <c r="AE3" s="12">
        <f>AD3*1.02</f>
        <v>511107.66783509817</v>
      </c>
      <c r="AF3" s="12">
        <f t="shared" ref="AF3" si="1">AE3*1.02</f>
        <v>521329.82119180012</v>
      </c>
      <c r="AG3" s="12"/>
    </row>
    <row r="4" spans="2:33" x14ac:dyDescent="0.3">
      <c r="B4" t="s">
        <v>44</v>
      </c>
      <c r="C4" s="19">
        <v>15182</v>
      </c>
      <c r="D4" s="19">
        <v>16666</v>
      </c>
      <c r="E4" s="19">
        <v>19693</v>
      </c>
      <c r="F4" s="19">
        <v>21597</v>
      </c>
      <c r="G4" s="19">
        <v>21789</v>
      </c>
      <c r="H4" s="19">
        <v>22888</v>
      </c>
      <c r="I4" s="19">
        <v>26758</v>
      </c>
      <c r="J4" s="19">
        <v>29920</v>
      </c>
      <c r="K4" s="19">
        <v>26475</v>
      </c>
      <c r="L4" s="19">
        <v>29862</v>
      </c>
      <c r="M4" s="19">
        <v>33255</v>
      </c>
      <c r="N4" s="19">
        <v>38494</v>
      </c>
      <c r="O4" s="19"/>
      <c r="P4" s="19"/>
      <c r="Q4" s="19"/>
      <c r="R4" s="19"/>
      <c r="T4" s="19">
        <f>SUM(C4:F4)</f>
        <v>73138</v>
      </c>
      <c r="U4" s="19">
        <f>SUM(G4:J4)</f>
        <v>101355</v>
      </c>
      <c r="V4" s="19">
        <f t="shared" si="0"/>
        <v>128086</v>
      </c>
      <c r="W4" s="12">
        <f>V4*1.18</f>
        <v>151141.47999999998</v>
      </c>
      <c r="X4" s="12">
        <f>W4*1.12</f>
        <v>169278.45759999999</v>
      </c>
      <c r="Y4" s="12">
        <f>X4*1.08</f>
        <v>182820.73420800001</v>
      </c>
      <c r="Z4" s="12">
        <f>Y4*1.06</f>
        <v>193789.97826048001</v>
      </c>
      <c r="AA4" s="12">
        <f>Z4*1.05</f>
        <v>203479.47717350401</v>
      </c>
      <c r="AB4" s="12">
        <f>AA4*1.04</f>
        <v>211618.65626044417</v>
      </c>
      <c r="AC4" s="12">
        <f>AB4*1.03</f>
        <v>217967.21594825751</v>
      </c>
      <c r="AD4" s="12">
        <f>AC4*1.03</f>
        <v>224506.23242670525</v>
      </c>
      <c r="AE4" s="12">
        <f>AD4*1.02</f>
        <v>228996.35707523936</v>
      </c>
      <c r="AF4" s="12">
        <f>AE4*1.02</f>
        <v>233576.28421674416</v>
      </c>
    </row>
    <row r="5" spans="2:33" x14ac:dyDescent="0.3">
      <c r="B5" t="s">
        <v>45</v>
      </c>
      <c r="C5" s="19">
        <v>10689</v>
      </c>
      <c r="D5" s="19">
        <v>14110</v>
      </c>
      <c r="E5" s="19">
        <v>16247</v>
      </c>
      <c r="F5" s="19">
        <v>17033</v>
      </c>
      <c r="G5" s="19">
        <v>13377</v>
      </c>
      <c r="H5" s="19">
        <v>16409</v>
      </c>
      <c r="I5" s="19">
        <v>18366</v>
      </c>
      <c r="J5" s="19">
        <v>20225</v>
      </c>
      <c r="K5" s="19">
        <v>17713</v>
      </c>
      <c r="L5" s="19">
        <v>18552</v>
      </c>
      <c r="M5" s="19">
        <v>21351</v>
      </c>
      <c r="N5" s="19">
        <v>24655</v>
      </c>
      <c r="O5" s="19"/>
      <c r="P5" s="19"/>
      <c r="Q5" s="19"/>
      <c r="R5" s="19"/>
      <c r="T5" s="19">
        <f>SUM(C5:F5)</f>
        <v>58079</v>
      </c>
      <c r="U5" s="19">
        <f>SUM(G5:J5)</f>
        <v>68377</v>
      </c>
      <c r="V5" s="19">
        <f t="shared" si="0"/>
        <v>82271</v>
      </c>
      <c r="W5" s="12">
        <f>V5*1.15</f>
        <v>94611.65</v>
      </c>
      <c r="X5" s="12">
        <f>W5*1.11</f>
        <v>105018.93150000001</v>
      </c>
      <c r="Y5" s="12">
        <f>X5*1.07</f>
        <v>112370.25670500001</v>
      </c>
      <c r="Z5" s="12">
        <f>Y5*1.06</f>
        <v>119112.47210730001</v>
      </c>
      <c r="AA5" s="12">
        <f>Z5*1.05</f>
        <v>125068.09571266502</v>
      </c>
      <c r="AB5" s="12">
        <f>AA5*1.04</f>
        <v>130070.81954117163</v>
      </c>
      <c r="AC5" s="12">
        <f>AB5*1.03</f>
        <v>133972.94412740678</v>
      </c>
      <c r="AD5" s="12">
        <f>AC5*1.02</f>
        <v>136652.40300995493</v>
      </c>
      <c r="AE5" s="12">
        <f>AD5*1.02</f>
        <v>139385.45107015403</v>
      </c>
      <c r="AF5" s="12">
        <f>AE5*1.02</f>
        <v>142173.1600915571</v>
      </c>
    </row>
    <row r="6" spans="2:33" x14ac:dyDescent="0.3">
      <c r="B6" t="s">
        <v>46</v>
      </c>
      <c r="C6" s="19">
        <v>780</v>
      </c>
      <c r="D6" s="19">
        <v>830</v>
      </c>
      <c r="E6" s="19">
        <v>606</v>
      </c>
      <c r="F6" s="19">
        <v>2615</v>
      </c>
      <c r="G6" s="19">
        <v>1325</v>
      </c>
      <c r="H6" s="19">
        <v>1444</v>
      </c>
      <c r="I6" s="19">
        <v>1483</v>
      </c>
      <c r="J6" s="19">
        <v>3314</v>
      </c>
      <c r="K6" s="19">
        <v>1448</v>
      </c>
      <c r="L6" s="19">
        <v>1467</v>
      </c>
      <c r="M6" s="19">
        <v>1039</v>
      </c>
      <c r="N6" s="19">
        <v>3541</v>
      </c>
      <c r="O6" s="19"/>
      <c r="P6" s="19"/>
      <c r="Q6" s="19"/>
      <c r="R6" s="19"/>
      <c r="T6" s="19">
        <f>SUM(C6:F6)</f>
        <v>4831</v>
      </c>
      <c r="U6" s="19">
        <f>SUM(G6:J6)</f>
        <v>7566</v>
      </c>
      <c r="V6" s="19">
        <f t="shared" si="0"/>
        <v>7495</v>
      </c>
      <c r="W6" s="12">
        <f>V6*1.1</f>
        <v>8244.5</v>
      </c>
      <c r="X6" s="12">
        <f>W6*1.07</f>
        <v>8821.6149999999998</v>
      </c>
      <c r="Y6" s="12">
        <f>X6*1.04</f>
        <v>9174.4796000000006</v>
      </c>
      <c r="Z6" s="12">
        <f>Y6*1.03</f>
        <v>9449.7139880000013</v>
      </c>
      <c r="AA6" s="12">
        <f>Z6*1.02</f>
        <v>9638.708267760001</v>
      </c>
      <c r="AB6" s="12">
        <f t="shared" ref="AB6:AF6" si="2">AA6*1.02</f>
        <v>9831.4824331152013</v>
      </c>
      <c r="AC6" s="12">
        <f t="shared" si="2"/>
        <v>10028.112081777506</v>
      </c>
      <c r="AD6" s="12">
        <f t="shared" si="2"/>
        <v>10228.674323413057</v>
      </c>
      <c r="AE6" s="12">
        <f t="shared" si="2"/>
        <v>10433.247809881319</v>
      </c>
      <c r="AF6" s="12">
        <f t="shared" si="2"/>
        <v>10641.912766078945</v>
      </c>
    </row>
    <row r="7" spans="2:33" s="14" customFormat="1" x14ac:dyDescent="0.3">
      <c r="B7" s="14" t="s">
        <v>31</v>
      </c>
      <c r="C7" s="20">
        <f t="shared" ref="C7:N7" si="3">SUM(C3:C6)</f>
        <v>73528</v>
      </c>
      <c r="D7" s="20">
        <f t="shared" si="3"/>
        <v>73675</v>
      </c>
      <c r="E7" s="20">
        <f t="shared" si="3"/>
        <v>80595</v>
      </c>
      <c r="F7" s="20">
        <f t="shared" si="3"/>
        <v>84896</v>
      </c>
      <c r="G7" s="20">
        <f t="shared" si="3"/>
        <v>85465</v>
      </c>
      <c r="H7" s="20">
        <f t="shared" si="3"/>
        <v>88821</v>
      </c>
      <c r="I7" s="20">
        <f t="shared" si="3"/>
        <v>97236</v>
      </c>
      <c r="J7" s="20">
        <f t="shared" si="3"/>
        <v>105767</v>
      </c>
      <c r="K7" s="20">
        <f t="shared" si="3"/>
        <v>108065</v>
      </c>
      <c r="L7" s="20">
        <f t="shared" si="3"/>
        <v>114883</v>
      </c>
      <c r="M7" s="20">
        <f t="shared" si="3"/>
        <v>125447</v>
      </c>
      <c r="N7" s="20">
        <f t="shared" si="3"/>
        <v>133669</v>
      </c>
      <c r="O7" s="20"/>
      <c r="P7" s="20"/>
      <c r="Q7" s="20"/>
      <c r="R7" s="20"/>
      <c r="T7" s="20">
        <f>SUM(T3:T6)</f>
        <v>312694</v>
      </c>
      <c r="U7" s="20">
        <f>SUM(U3:U6)</f>
        <v>377289</v>
      </c>
      <c r="V7" s="22">
        <f t="shared" si="0"/>
        <v>482064</v>
      </c>
      <c r="W7" s="22">
        <f>SUM(W3:W6)</f>
        <v>573694.15</v>
      </c>
      <c r="X7" s="22">
        <f t="shared" ref="X7:AF7" si="4">SUM(X3:X6)</f>
        <v>650770.00209999993</v>
      </c>
      <c r="Y7" s="22">
        <f t="shared" si="4"/>
        <v>708781.56831300003</v>
      </c>
      <c r="Z7" s="22">
        <f t="shared" si="4"/>
        <v>759121.54997977999</v>
      </c>
      <c r="AA7" s="22">
        <f t="shared" si="4"/>
        <v>796794.13605912914</v>
      </c>
      <c r="AB7" s="22">
        <f t="shared" si="4"/>
        <v>828473.12733613921</v>
      </c>
      <c r="AC7" s="22">
        <f t="shared" si="4"/>
        <v>853229.00633189222</v>
      </c>
      <c r="AD7" s="22">
        <f t="shared" si="4"/>
        <v>872473.25861801265</v>
      </c>
      <c r="AE7" s="22">
        <f t="shared" si="4"/>
        <v>889922.72379037295</v>
      </c>
      <c r="AF7" s="22">
        <f t="shared" si="4"/>
        <v>907721.17826618033</v>
      </c>
    </row>
    <row r="8" spans="2:33" x14ac:dyDescent="0.3">
      <c r="B8" t="s">
        <v>47</v>
      </c>
      <c r="C8" s="19">
        <v>36486</v>
      </c>
      <c r="D8" s="19">
        <v>39229</v>
      </c>
      <c r="E8" s="19">
        <v>45115</v>
      </c>
      <c r="F8" s="19">
        <v>49744</v>
      </c>
      <c r="G8" s="19">
        <v>45645</v>
      </c>
      <c r="H8" s="19">
        <v>49695</v>
      </c>
      <c r="I8" s="19">
        <v>54757</v>
      </c>
      <c r="J8" s="19">
        <v>59659</v>
      </c>
      <c r="K8" s="19">
        <v>55271</v>
      </c>
      <c r="L8" s="19">
        <v>61673</v>
      </c>
      <c r="M8" s="12">
        <v>68800</v>
      </c>
      <c r="N8" s="12">
        <v>74788</v>
      </c>
      <c r="O8" s="12"/>
      <c r="P8" s="12"/>
      <c r="Q8" s="12"/>
      <c r="R8" s="12"/>
      <c r="T8" s="19">
        <f>SUM(C8:F8)</f>
        <v>170574</v>
      </c>
      <c r="U8" s="19">
        <f>SUM(G8:J8)</f>
        <v>209756</v>
      </c>
      <c r="V8" s="19">
        <f t="shared" si="0"/>
        <v>260532</v>
      </c>
      <c r="W8" s="12">
        <f t="shared" ref="W8:AF8" si="5">W7-W9</f>
        <v>315531.78249999997</v>
      </c>
      <c r="X8" s="12">
        <f t="shared" si="5"/>
        <v>351415.80113399995</v>
      </c>
      <c r="Y8" s="12">
        <f t="shared" si="5"/>
        <v>382742.04688902001</v>
      </c>
      <c r="Z8" s="12">
        <f t="shared" si="5"/>
        <v>409925.63698908116</v>
      </c>
      <c r="AA8" s="12">
        <f t="shared" si="5"/>
        <v>430268.83347192971</v>
      </c>
      <c r="AB8" s="12">
        <f t="shared" si="5"/>
        <v>439090.75748815382</v>
      </c>
      <c r="AC8" s="12">
        <f t="shared" si="5"/>
        <v>452211.37335590291</v>
      </c>
      <c r="AD8" s="12">
        <f t="shared" si="5"/>
        <v>462410.82706754672</v>
      </c>
      <c r="AE8" s="12">
        <f t="shared" si="5"/>
        <v>471659.04360889771</v>
      </c>
      <c r="AF8" s="12">
        <f t="shared" si="5"/>
        <v>481092.22448107559</v>
      </c>
    </row>
    <row r="9" spans="2:33" s="14" customFormat="1" x14ac:dyDescent="0.3">
      <c r="B9" s="14" t="s">
        <v>48</v>
      </c>
      <c r="C9" s="20">
        <f t="shared" ref="C9:N9" si="6">C7-C8</f>
        <v>37042</v>
      </c>
      <c r="D9" s="20">
        <f t="shared" si="6"/>
        <v>34446</v>
      </c>
      <c r="E9" s="20">
        <f t="shared" si="6"/>
        <v>35480</v>
      </c>
      <c r="F9" s="20">
        <f t="shared" si="6"/>
        <v>35152</v>
      </c>
      <c r="G9" s="20">
        <f t="shared" si="6"/>
        <v>39820</v>
      </c>
      <c r="H9" s="20">
        <f t="shared" si="6"/>
        <v>39126</v>
      </c>
      <c r="I9" s="20">
        <f t="shared" si="6"/>
        <v>42479</v>
      </c>
      <c r="J9" s="20">
        <f t="shared" si="6"/>
        <v>46108</v>
      </c>
      <c r="K9" s="20">
        <f t="shared" si="6"/>
        <v>52794</v>
      </c>
      <c r="L9" s="20">
        <f t="shared" si="6"/>
        <v>53210</v>
      </c>
      <c r="M9" s="20">
        <f t="shared" si="6"/>
        <v>56647</v>
      </c>
      <c r="N9" s="20">
        <f t="shared" si="6"/>
        <v>58881</v>
      </c>
      <c r="O9" s="20"/>
      <c r="P9" s="20"/>
      <c r="Q9" s="20"/>
      <c r="R9" s="20"/>
      <c r="T9" s="20">
        <f>T7-T8</f>
        <v>142120</v>
      </c>
      <c r="U9" s="20">
        <f>U7-U8</f>
        <v>167533</v>
      </c>
      <c r="V9" s="20">
        <f>V7-V8</f>
        <v>221532</v>
      </c>
      <c r="W9" s="20">
        <f>W7*0.45</f>
        <v>258162.36750000002</v>
      </c>
      <c r="X9" s="20">
        <f t="shared" ref="X9:AA9" si="7">X7*0.46</f>
        <v>299354.20096599997</v>
      </c>
      <c r="Y9" s="20">
        <f t="shared" si="7"/>
        <v>326039.52142398001</v>
      </c>
      <c r="Z9" s="20">
        <f t="shared" si="7"/>
        <v>349195.91299069882</v>
      </c>
      <c r="AA9" s="20">
        <f t="shared" si="7"/>
        <v>366525.30258719943</v>
      </c>
      <c r="AB9" s="20">
        <f>AB7*0.47</f>
        <v>389382.36984798539</v>
      </c>
      <c r="AC9" s="20">
        <f t="shared" ref="AC9:AF9" si="8">AC7*0.47</f>
        <v>401017.63297598931</v>
      </c>
      <c r="AD9" s="20">
        <f t="shared" si="8"/>
        <v>410062.43155046593</v>
      </c>
      <c r="AE9" s="20">
        <f t="shared" si="8"/>
        <v>418263.68018147524</v>
      </c>
      <c r="AF9" s="20">
        <f t="shared" si="8"/>
        <v>426628.95378510474</v>
      </c>
    </row>
    <row r="10" spans="2:33" x14ac:dyDescent="0.3">
      <c r="B10" t="s">
        <v>49</v>
      </c>
      <c r="C10" s="19">
        <v>-1065</v>
      </c>
      <c r="D10" s="19">
        <v>-1072</v>
      </c>
      <c r="E10" s="19">
        <v>-1082</v>
      </c>
      <c r="F10" s="19">
        <v>-1350</v>
      </c>
      <c r="G10" s="19">
        <v>-1408</v>
      </c>
      <c r="H10" s="19">
        <v>-1652</v>
      </c>
      <c r="I10" s="19">
        <v>-1674</v>
      </c>
      <c r="J10" s="19">
        <v>-1580</v>
      </c>
      <c r="K10" s="19">
        <v>-1636</v>
      </c>
      <c r="L10" s="19">
        <v>-1749</v>
      </c>
      <c r="M10" s="12">
        <v>-1864</v>
      </c>
      <c r="N10" s="12">
        <v>-1708</v>
      </c>
      <c r="O10" s="12"/>
      <c r="P10" s="12"/>
      <c r="Q10" s="12"/>
      <c r="R10" s="12"/>
      <c r="T10" s="19">
        <f>SUM(C10:F10)</f>
        <v>-4569</v>
      </c>
      <c r="U10" s="19">
        <f>SUM(G10:J10)</f>
        <v>-6314</v>
      </c>
      <c r="V10" s="19">
        <f>SUM(K10:N10)</f>
        <v>-6957</v>
      </c>
      <c r="W10" s="12">
        <f>-V19*0.05</f>
        <v>-7992.35</v>
      </c>
      <c r="X10" s="12">
        <f t="shared" ref="X10:AF10" si="9">-W19*0.06</f>
        <v>-8345.6203462499998</v>
      </c>
      <c r="Y10" s="12">
        <f t="shared" si="9"/>
        <v>-9923.213498626048</v>
      </c>
      <c r="Z10" s="12">
        <f t="shared" si="9"/>
        <v>-10852.455805860332</v>
      </c>
      <c r="AA10" s="12">
        <f t="shared" si="9"/>
        <v>-11711.602630654188</v>
      </c>
      <c r="AB10" s="12">
        <f t="shared" si="9"/>
        <v>-12348.330772806999</v>
      </c>
      <c r="AC10" s="12">
        <f t="shared" si="9"/>
        <v>-13329.433092456928</v>
      </c>
      <c r="AD10" s="12">
        <f t="shared" si="9"/>
        <v>-13762.214340045777</v>
      </c>
      <c r="AE10" s="12">
        <f t="shared" si="9"/>
        <v>-14103.834797930193</v>
      </c>
      <c r="AF10" s="12">
        <f t="shared" si="9"/>
        <v>-14400.28529781764</v>
      </c>
    </row>
    <row r="11" spans="2:33" x14ac:dyDescent="0.3">
      <c r="B11" t="s">
        <v>50</v>
      </c>
      <c r="C11" s="21">
        <v>-7585</v>
      </c>
      <c r="D11" s="21">
        <v>-2506</v>
      </c>
      <c r="E11" s="21">
        <v>-8762</v>
      </c>
      <c r="F11" s="21">
        <v>2139</v>
      </c>
      <c r="G11" s="21">
        <v>-11089</v>
      </c>
      <c r="H11" s="21">
        <v>-4038</v>
      </c>
      <c r="I11" s="21">
        <v>-932</v>
      </c>
      <c r="J11" s="21">
        <v>-3630</v>
      </c>
      <c r="K11" s="21">
        <v>-4037</v>
      </c>
      <c r="L11" s="21">
        <v>-8607</v>
      </c>
      <c r="M11" s="12">
        <v>-11551</v>
      </c>
      <c r="N11" s="12">
        <v>-32936</v>
      </c>
      <c r="O11" s="12"/>
      <c r="P11" s="12"/>
      <c r="Q11" s="12"/>
      <c r="R11" s="12"/>
      <c r="T11" s="19">
        <f>SUM(C11:F11)</f>
        <v>-16714</v>
      </c>
      <c r="U11" s="19">
        <f>SUM(G11:J11)</f>
        <v>-19689</v>
      </c>
      <c r="V11" s="19">
        <f>SUM(K11:N11)</f>
        <v>-57131</v>
      </c>
      <c r="W11" s="12">
        <f>U11*1.05</f>
        <v>-20673.45</v>
      </c>
      <c r="X11" s="12">
        <f>W11*1.02</f>
        <v>-21086.919000000002</v>
      </c>
      <c r="Y11" s="12">
        <f t="shared" ref="Y11:AF11" si="10">X11*1.02</f>
        <v>-21508.657380000001</v>
      </c>
      <c r="Z11" s="12">
        <f t="shared" si="10"/>
        <v>-21938.830527599999</v>
      </c>
      <c r="AA11" s="12">
        <f t="shared" si="10"/>
        <v>-22377.607138151998</v>
      </c>
      <c r="AB11" s="12">
        <f t="shared" si="10"/>
        <v>-22825.159280915039</v>
      </c>
      <c r="AC11" s="12">
        <f t="shared" si="10"/>
        <v>-23281.66246653334</v>
      </c>
      <c r="AD11" s="12">
        <f t="shared" si="10"/>
        <v>-23747.295715864006</v>
      </c>
      <c r="AE11" s="12">
        <f t="shared" si="10"/>
        <v>-24222.241630181285</v>
      </c>
      <c r="AF11" s="12">
        <f t="shared" si="10"/>
        <v>-24706.68646278491</v>
      </c>
    </row>
    <row r="12" spans="2:33" x14ac:dyDescent="0.3">
      <c r="B12" t="s">
        <v>51</v>
      </c>
      <c r="C12" s="19">
        <v>5570</v>
      </c>
      <c r="D12" s="19">
        <v>6360</v>
      </c>
      <c r="E12" s="19">
        <v>6573</v>
      </c>
      <c r="F12" s="19">
        <v>5730</v>
      </c>
      <c r="G12" s="19">
        <v>4244</v>
      </c>
      <c r="H12" s="19">
        <v>4718</v>
      </c>
      <c r="I12" s="19">
        <v>5722</v>
      </c>
      <c r="J12" s="19">
        <v>6712</v>
      </c>
      <c r="K12" s="19">
        <v>7049</v>
      </c>
      <c r="L12" s="19">
        <v>7756</v>
      </c>
      <c r="M12" s="12">
        <v>8920</v>
      </c>
      <c r="N12" s="12">
        <v>10033</v>
      </c>
      <c r="O12" s="12"/>
      <c r="P12" s="12"/>
      <c r="Q12" s="12"/>
      <c r="R12" s="12"/>
      <c r="T12" s="19">
        <f>SUM(C12:F12)</f>
        <v>24233</v>
      </c>
      <c r="U12" s="19">
        <f>SUM(G12:J12)</f>
        <v>21396</v>
      </c>
      <c r="V12" s="19">
        <f>SUM(K12:N12)</f>
        <v>33758</v>
      </c>
      <c r="W12" s="12">
        <f>W7*0.075</f>
        <v>43027.061249999999</v>
      </c>
      <c r="X12" s="12">
        <f t="shared" ref="X12:AF12" si="11">X7*0.07</f>
        <v>45553.900147</v>
      </c>
      <c r="Y12" s="12">
        <f t="shared" si="11"/>
        <v>49614.709781910009</v>
      </c>
      <c r="Z12" s="12">
        <f t="shared" si="11"/>
        <v>53138.508498584604</v>
      </c>
      <c r="AA12" s="12">
        <f t="shared" si="11"/>
        <v>55775.589524139046</v>
      </c>
      <c r="AB12" s="12">
        <f t="shared" si="11"/>
        <v>57993.118913529754</v>
      </c>
      <c r="AC12" s="12">
        <f t="shared" si="11"/>
        <v>59726.030443232463</v>
      </c>
      <c r="AD12" s="12">
        <f t="shared" si="11"/>
        <v>61073.128103260889</v>
      </c>
      <c r="AE12" s="12">
        <f t="shared" si="11"/>
        <v>62294.590665326112</v>
      </c>
      <c r="AF12" s="12">
        <f t="shared" si="11"/>
        <v>63540.482478632628</v>
      </c>
    </row>
    <row r="13" spans="2:33" x14ac:dyDescent="0.3">
      <c r="B13" t="s">
        <v>52</v>
      </c>
      <c r="C13" s="12">
        <v>9430</v>
      </c>
      <c r="D13" s="12">
        <v>9857</v>
      </c>
      <c r="E13" s="12">
        <v>10890</v>
      </c>
      <c r="F13" s="12">
        <v>11345</v>
      </c>
      <c r="G13" s="12">
        <v>11331</v>
      </c>
      <c r="H13" s="12">
        <v>12577</v>
      </c>
      <c r="I13" s="12">
        <v>13536</v>
      </c>
      <c r="J13" s="12">
        <v>16002</v>
      </c>
      <c r="K13" s="12">
        <v>14158</v>
      </c>
      <c r="L13" s="12">
        <f>16499</f>
        <v>16499</v>
      </c>
      <c r="M13" s="12">
        <v>17189</v>
      </c>
      <c r="N13" s="12">
        <v>19779</v>
      </c>
      <c r="O13" s="12"/>
      <c r="P13" s="12"/>
      <c r="Q13" s="12"/>
      <c r="R13" s="12"/>
      <c r="T13" s="19">
        <f>SUM(C13:F13)</f>
        <v>41522</v>
      </c>
      <c r="U13" s="19">
        <f>SUM(G13:J13)</f>
        <v>53446</v>
      </c>
      <c r="V13" s="19">
        <f>SUM(K13:N13)</f>
        <v>67625</v>
      </c>
      <c r="W13" s="12">
        <f>V13*1.18</f>
        <v>79797.5</v>
      </c>
      <c r="X13" s="12">
        <f>W13*1.12</f>
        <v>89373.200000000012</v>
      </c>
      <c r="Y13" s="12">
        <f>X13*1.08</f>
        <v>96523.056000000026</v>
      </c>
      <c r="Z13" s="12">
        <f>Y13*1.05</f>
        <v>101349.20880000004</v>
      </c>
      <c r="AA13" s="12">
        <f>Z13*1.04</f>
        <v>105403.17715200005</v>
      </c>
      <c r="AB13" s="12">
        <f>AA13*1.03</f>
        <v>108565.27246656005</v>
      </c>
      <c r="AC13" s="12">
        <f>AB13*1.03</f>
        <v>111822.23064055685</v>
      </c>
      <c r="AD13" s="12">
        <f>AC13*1.02</f>
        <v>114058.675253368</v>
      </c>
      <c r="AE13" s="12">
        <f t="shared" ref="AE13:AF13" si="12">AD13*1.02</f>
        <v>116339.84875843536</v>
      </c>
      <c r="AF13" s="12">
        <f t="shared" si="12"/>
        <v>118666.64573360406</v>
      </c>
    </row>
    <row r="14" spans="2:33" s="14" customFormat="1" x14ac:dyDescent="0.3">
      <c r="B14" s="14" t="s">
        <v>53</v>
      </c>
      <c r="C14" s="20">
        <f t="shared" ref="C14:L14" si="13">C9-SUM(C10:C13)</f>
        <v>30692</v>
      </c>
      <c r="D14" s="20">
        <f t="shared" si="13"/>
        <v>21807</v>
      </c>
      <c r="E14" s="20">
        <f t="shared" si="13"/>
        <v>27861</v>
      </c>
      <c r="F14" s="20">
        <f t="shared" si="13"/>
        <v>17288</v>
      </c>
      <c r="G14" s="20">
        <f t="shared" si="13"/>
        <v>36742</v>
      </c>
      <c r="H14" s="20">
        <f t="shared" si="13"/>
        <v>27521</v>
      </c>
      <c r="I14" s="20">
        <f t="shared" si="13"/>
        <v>25827</v>
      </c>
      <c r="J14" s="20">
        <f t="shared" si="13"/>
        <v>28604</v>
      </c>
      <c r="K14" s="20">
        <f t="shared" si="13"/>
        <v>37260</v>
      </c>
      <c r="L14" s="20">
        <f t="shared" si="13"/>
        <v>39311</v>
      </c>
      <c r="M14" s="20">
        <f t="shared" ref="M14:N14" si="14">M9-SUM(M10:M13)</f>
        <v>43953</v>
      </c>
      <c r="N14" s="20">
        <f t="shared" si="14"/>
        <v>63713</v>
      </c>
      <c r="O14" s="20"/>
      <c r="P14" s="20"/>
      <c r="Q14" s="20"/>
      <c r="R14" s="20"/>
      <c r="T14" s="20">
        <f>T9-SUM(T10:T13)</f>
        <v>97648</v>
      </c>
      <c r="U14" s="20">
        <f>U9-SUM(U10:U13)</f>
        <v>118694</v>
      </c>
      <c r="V14" s="20">
        <f>V9-SUM(V10:V13)</f>
        <v>184237</v>
      </c>
      <c r="W14" s="20">
        <f t="shared" ref="W14:AF14" si="15">W9-SUM(W10:W13)</f>
        <v>164003.60625000001</v>
      </c>
      <c r="X14" s="20">
        <f t="shared" si="15"/>
        <v>193859.64016524996</v>
      </c>
      <c r="Y14" s="20">
        <f t="shared" si="15"/>
        <v>211333.62652069604</v>
      </c>
      <c r="Z14" s="20">
        <f t="shared" si="15"/>
        <v>227499.48202557451</v>
      </c>
      <c r="AA14" s="20">
        <f t="shared" si="15"/>
        <v>239435.74567986652</v>
      </c>
      <c r="AB14" s="20">
        <f t="shared" si="15"/>
        <v>257997.46852161761</v>
      </c>
      <c r="AC14" s="20">
        <f t="shared" si="15"/>
        <v>266080.46745119023</v>
      </c>
      <c r="AD14" s="20">
        <f t="shared" si="15"/>
        <v>272440.13824974681</v>
      </c>
      <c r="AE14" s="20">
        <f t="shared" si="15"/>
        <v>277955.31718582526</v>
      </c>
      <c r="AF14" s="20">
        <f t="shared" si="15"/>
        <v>283528.7973334706</v>
      </c>
    </row>
    <row r="15" spans="2:33" x14ac:dyDescent="0.3">
      <c r="B15" t="s">
        <v>54</v>
      </c>
      <c r="C15" s="12">
        <f>654+319</f>
        <v>973</v>
      </c>
      <c r="D15" s="12">
        <f>1151-1526</f>
        <v>-375</v>
      </c>
      <c r="E15" s="12">
        <f>1492-264</f>
        <v>1228</v>
      </c>
      <c r="F15" s="12">
        <f>1372-16</f>
        <v>1356</v>
      </c>
      <c r="G15" s="12">
        <f>1117+2957</f>
        <v>4074</v>
      </c>
      <c r="H15" s="12">
        <f>1982-2370</f>
        <v>-388</v>
      </c>
      <c r="I15" s="12">
        <f>1747-234</f>
        <v>1513</v>
      </c>
      <c r="J15" s="12">
        <f>2767+1328</f>
        <v>4095</v>
      </c>
      <c r="K15" s="12">
        <f>1684+281</f>
        <v>1965</v>
      </c>
      <c r="L15" s="12">
        <f>2005+295</f>
        <v>2300</v>
      </c>
      <c r="M15" s="12">
        <f>1945-2630</f>
        <v>-685</v>
      </c>
      <c r="N15" s="12">
        <f>2253-1618</f>
        <v>635</v>
      </c>
      <c r="O15" s="12"/>
      <c r="P15" s="12"/>
      <c r="Q15" s="12"/>
      <c r="R15" s="12"/>
      <c r="T15" s="19">
        <f>SUM(C15:F15)</f>
        <v>3182</v>
      </c>
      <c r="U15" s="19">
        <f>SUM(G15:J15)</f>
        <v>9294</v>
      </c>
      <c r="V15" s="19">
        <f>SUM(K15:N15)</f>
        <v>4215</v>
      </c>
      <c r="W15" s="12">
        <f>V15*0.9</f>
        <v>3793.5</v>
      </c>
      <c r="X15" s="12">
        <f t="shared" ref="X15:AF15" si="16">W15*0.9</f>
        <v>3414.15</v>
      </c>
      <c r="Y15" s="12">
        <f t="shared" si="16"/>
        <v>3072.7350000000001</v>
      </c>
      <c r="Z15" s="12">
        <f t="shared" si="16"/>
        <v>2765.4615000000003</v>
      </c>
      <c r="AA15" s="12">
        <f t="shared" si="16"/>
        <v>2488.9153500000002</v>
      </c>
      <c r="AB15" s="12">
        <f t="shared" si="16"/>
        <v>2240.0238150000005</v>
      </c>
      <c r="AC15" s="12">
        <f t="shared" si="16"/>
        <v>2016.0214335000005</v>
      </c>
      <c r="AD15" s="12">
        <f t="shared" si="16"/>
        <v>1814.4192901500005</v>
      </c>
      <c r="AE15" s="12">
        <f t="shared" si="16"/>
        <v>1632.9773611350006</v>
      </c>
      <c r="AF15" s="12">
        <f t="shared" si="16"/>
        <v>1469.6796250215007</v>
      </c>
    </row>
    <row r="16" spans="2:33" s="14" customFormat="1" x14ac:dyDescent="0.3">
      <c r="B16" s="14" t="s">
        <v>55</v>
      </c>
      <c r="C16" s="20">
        <f t="shared" ref="C16:L16" si="17">C14-C15</f>
        <v>29719</v>
      </c>
      <c r="D16" s="20">
        <f t="shared" si="17"/>
        <v>22182</v>
      </c>
      <c r="E16" s="20">
        <f t="shared" si="17"/>
        <v>26633</v>
      </c>
      <c r="F16" s="20">
        <f t="shared" si="17"/>
        <v>15932</v>
      </c>
      <c r="G16" s="20">
        <f t="shared" si="17"/>
        <v>32668</v>
      </c>
      <c r="H16" s="20">
        <f t="shared" si="17"/>
        <v>27909</v>
      </c>
      <c r="I16" s="20">
        <f t="shared" si="17"/>
        <v>24314</v>
      </c>
      <c r="J16" s="20">
        <f t="shared" si="17"/>
        <v>24509</v>
      </c>
      <c r="K16" s="20">
        <f t="shared" si="17"/>
        <v>35295</v>
      </c>
      <c r="L16" s="20">
        <f t="shared" si="17"/>
        <v>37011</v>
      </c>
      <c r="M16" s="20">
        <f t="shared" ref="M16:N16" si="18">M14-M15</f>
        <v>44638</v>
      </c>
      <c r="N16" s="20">
        <f t="shared" si="18"/>
        <v>63078</v>
      </c>
      <c r="O16" s="20"/>
      <c r="P16" s="20"/>
      <c r="Q16" s="20"/>
      <c r="R16" s="20"/>
      <c r="T16" s="20">
        <f>T14-T15</f>
        <v>94466</v>
      </c>
      <c r="U16" s="20">
        <f>U14-U15</f>
        <v>109400</v>
      </c>
      <c r="V16" s="20">
        <f>V14-V15</f>
        <v>180022</v>
      </c>
      <c r="W16" s="20">
        <f t="shared" ref="W16:AF16" si="19">W14-W15</f>
        <v>160210.10625000001</v>
      </c>
      <c r="X16" s="20">
        <f t="shared" si="19"/>
        <v>190445.49016524997</v>
      </c>
      <c r="Y16" s="20">
        <f t="shared" si="19"/>
        <v>208260.89152069605</v>
      </c>
      <c r="Z16" s="20">
        <f t="shared" si="19"/>
        <v>224734.02052557451</v>
      </c>
      <c r="AA16" s="20">
        <f t="shared" si="19"/>
        <v>236946.83032986653</v>
      </c>
      <c r="AB16" s="20">
        <f t="shared" si="19"/>
        <v>255757.44470661762</v>
      </c>
      <c r="AC16" s="20">
        <f t="shared" si="19"/>
        <v>264064.44601769024</v>
      </c>
      <c r="AD16" s="20">
        <f t="shared" si="19"/>
        <v>270625.71895959682</v>
      </c>
      <c r="AE16" s="20">
        <f t="shared" si="19"/>
        <v>276322.33982469025</v>
      </c>
      <c r="AF16" s="20">
        <f t="shared" si="19"/>
        <v>282059.11770844908</v>
      </c>
    </row>
    <row r="17" spans="2:149" x14ac:dyDescent="0.3">
      <c r="B17" t="s">
        <v>56</v>
      </c>
      <c r="C17" s="12">
        <v>5746</v>
      </c>
      <c r="D17" s="12">
        <v>3602</v>
      </c>
      <c r="E17" s="12">
        <v>3228</v>
      </c>
      <c r="F17" s="12">
        <v>1906</v>
      </c>
      <c r="G17" s="12">
        <v>4812</v>
      </c>
      <c r="H17" s="12">
        <v>3225</v>
      </c>
      <c r="I17" s="12">
        <v>3338</v>
      </c>
      <c r="J17" s="12">
        <v>2137</v>
      </c>
      <c r="K17" s="12">
        <v>5892</v>
      </c>
      <c r="L17" s="12">
        <v>4557</v>
      </c>
      <c r="M17" s="12">
        <v>5739</v>
      </c>
      <c r="N17" s="12">
        <v>3709</v>
      </c>
      <c r="O17" s="12"/>
      <c r="P17" s="12"/>
      <c r="Q17" s="12"/>
      <c r="R17" s="12"/>
      <c r="T17" s="19">
        <f>SUM(C17:F17)</f>
        <v>14482</v>
      </c>
      <c r="U17" s="19">
        <f>SUM(G17:J17)</f>
        <v>13512</v>
      </c>
      <c r="V17" s="19">
        <f>SUM(K17:N17)</f>
        <v>19897</v>
      </c>
      <c r="W17" s="12">
        <f>W16*0.13</f>
        <v>20827.3138125</v>
      </c>
      <c r="X17" s="12">
        <f t="shared" ref="X17:AF17" si="20">X16*0.13</f>
        <v>24757.913721482495</v>
      </c>
      <c r="Y17" s="12">
        <f t="shared" si="20"/>
        <v>27073.915897690487</v>
      </c>
      <c r="Z17" s="12">
        <f t="shared" si="20"/>
        <v>29215.422668324689</v>
      </c>
      <c r="AA17" s="12">
        <f t="shared" si="20"/>
        <v>30803.087942882648</v>
      </c>
      <c r="AB17" s="12">
        <f t="shared" si="20"/>
        <v>33248.46781186029</v>
      </c>
      <c r="AC17" s="12">
        <f t="shared" si="20"/>
        <v>34328.377982299731</v>
      </c>
      <c r="AD17" s="12">
        <f t="shared" si="20"/>
        <v>35181.343464747588</v>
      </c>
      <c r="AE17" s="12">
        <f t="shared" si="20"/>
        <v>35921.904177209733</v>
      </c>
      <c r="AF17" s="12">
        <f t="shared" si="20"/>
        <v>36667.685302098384</v>
      </c>
    </row>
    <row r="18" spans="2:149" x14ac:dyDescent="0.3">
      <c r="B18" t="s">
        <v>57</v>
      </c>
      <c r="C18" s="12">
        <v>683</v>
      </c>
      <c r="D18" s="12">
        <v>713</v>
      </c>
      <c r="E18" s="12">
        <v>72</v>
      </c>
      <c r="F18" s="12">
        <v>-203</v>
      </c>
      <c r="G18" s="12">
        <v>646</v>
      </c>
      <c r="H18" s="12">
        <v>548</v>
      </c>
      <c r="I18" s="12">
        <v>594</v>
      </c>
      <c r="J18" s="12">
        <v>790</v>
      </c>
      <c r="K18" s="12">
        <v>507</v>
      </c>
      <c r="L18" s="12">
        <v>-653</v>
      </c>
      <c r="M18" s="12">
        <v>357</v>
      </c>
      <c r="N18" s="12">
        <v>67</v>
      </c>
      <c r="O18" s="12"/>
      <c r="P18" s="12"/>
      <c r="Q18" s="12"/>
      <c r="R18" s="12"/>
      <c r="T18" s="19">
        <f>SUM(C18:F18)</f>
        <v>1265</v>
      </c>
      <c r="U18" s="19">
        <f>SUM(G18:J18)</f>
        <v>2578</v>
      </c>
      <c r="V18" s="19">
        <f>SUM(K18:N18)</f>
        <v>278</v>
      </c>
      <c r="W18" s="12">
        <f>V18*1.04</f>
        <v>289.12</v>
      </c>
      <c r="X18" s="12">
        <f t="shared" ref="X18:AF18" si="21">W18*1.04</f>
        <v>300.6848</v>
      </c>
      <c r="Y18" s="12">
        <f t="shared" si="21"/>
        <v>312.71219200000002</v>
      </c>
      <c r="Z18" s="12">
        <f t="shared" si="21"/>
        <v>325.22067968000005</v>
      </c>
      <c r="AA18" s="12">
        <f t="shared" si="21"/>
        <v>338.22950686720009</v>
      </c>
      <c r="AB18" s="12">
        <f t="shared" si="21"/>
        <v>351.75868714188812</v>
      </c>
      <c r="AC18" s="12">
        <f t="shared" si="21"/>
        <v>365.82903462756366</v>
      </c>
      <c r="AD18" s="12">
        <f t="shared" si="21"/>
        <v>380.4621960126662</v>
      </c>
      <c r="AE18" s="12">
        <f t="shared" si="21"/>
        <v>395.68068385317287</v>
      </c>
      <c r="AF18" s="12">
        <f t="shared" si="21"/>
        <v>411.5079112072998</v>
      </c>
    </row>
    <row r="19" spans="2:149" s="14" customFormat="1" x14ac:dyDescent="0.3">
      <c r="B19" s="14" t="s">
        <v>58</v>
      </c>
      <c r="C19" s="20">
        <f t="shared" ref="C19:L19" si="22">C16-C17-C18</f>
        <v>23290</v>
      </c>
      <c r="D19" s="20">
        <f t="shared" si="22"/>
        <v>17867</v>
      </c>
      <c r="E19" s="20">
        <f t="shared" si="22"/>
        <v>23333</v>
      </c>
      <c r="F19" s="20">
        <f t="shared" si="22"/>
        <v>14229</v>
      </c>
      <c r="G19" s="20">
        <f t="shared" si="22"/>
        <v>27210</v>
      </c>
      <c r="H19" s="20">
        <f t="shared" si="22"/>
        <v>24136</v>
      </c>
      <c r="I19" s="20">
        <f t="shared" si="22"/>
        <v>20382</v>
      </c>
      <c r="J19" s="20">
        <f t="shared" si="22"/>
        <v>21582</v>
      </c>
      <c r="K19" s="20">
        <f t="shared" si="22"/>
        <v>28896</v>
      </c>
      <c r="L19" s="20">
        <f t="shared" si="22"/>
        <v>33107</v>
      </c>
      <c r="M19" s="20">
        <f t="shared" ref="M19:N19" si="23">M16-M17-M18</f>
        <v>38542</v>
      </c>
      <c r="N19" s="20">
        <f t="shared" si="23"/>
        <v>59302</v>
      </c>
      <c r="O19" s="20"/>
      <c r="P19" s="20"/>
      <c r="Q19" s="20"/>
      <c r="R19" s="20"/>
      <c r="T19" s="20">
        <f>T16-T17-T18</f>
        <v>78719</v>
      </c>
      <c r="U19" s="20">
        <f>U16-U17-U18</f>
        <v>93310</v>
      </c>
      <c r="V19" s="20">
        <f>V16-V17-V18</f>
        <v>159847</v>
      </c>
      <c r="W19" s="20">
        <f t="shared" ref="W19:AF19" si="24">W16-W17-W18</f>
        <v>139093.6724375</v>
      </c>
      <c r="X19" s="20">
        <f t="shared" si="24"/>
        <v>165386.89164376748</v>
      </c>
      <c r="Y19" s="20">
        <f t="shared" si="24"/>
        <v>180874.26343100556</v>
      </c>
      <c r="Z19" s="20">
        <f t="shared" si="24"/>
        <v>195193.37717756981</v>
      </c>
      <c r="AA19" s="20">
        <f t="shared" si="24"/>
        <v>205805.51288011667</v>
      </c>
      <c r="AB19" s="20">
        <f t="shared" si="24"/>
        <v>222157.21820761546</v>
      </c>
      <c r="AC19" s="20">
        <f t="shared" si="24"/>
        <v>229370.23900076296</v>
      </c>
      <c r="AD19" s="20">
        <f t="shared" si="24"/>
        <v>235063.91329883656</v>
      </c>
      <c r="AE19" s="20">
        <f t="shared" si="24"/>
        <v>240004.75496362735</v>
      </c>
      <c r="AF19" s="20">
        <f t="shared" si="24"/>
        <v>244979.92449514338</v>
      </c>
      <c r="AG19" s="14">
        <f>AF19*(1+$AI$38)</f>
        <v>242530.12525019195</v>
      </c>
      <c r="AH19" s="14">
        <f t="shared" ref="AH19:CS19" si="25">AG19*(1+$AI$38)</f>
        <v>240104.82399769002</v>
      </c>
      <c r="AI19" s="14">
        <f t="shared" si="25"/>
        <v>237703.77575771313</v>
      </c>
      <c r="AJ19" s="14">
        <f t="shared" si="25"/>
        <v>235326.73800013599</v>
      </c>
      <c r="AK19" s="14">
        <f t="shared" si="25"/>
        <v>232973.47062013461</v>
      </c>
      <c r="AL19" s="14">
        <f t="shared" si="25"/>
        <v>230643.73591393325</v>
      </c>
      <c r="AM19" s="14">
        <f t="shared" si="25"/>
        <v>228337.29855479393</v>
      </c>
      <c r="AN19" s="14">
        <f t="shared" si="25"/>
        <v>226053.925569246</v>
      </c>
      <c r="AO19" s="14">
        <f t="shared" si="25"/>
        <v>223793.38631355355</v>
      </c>
      <c r="AP19" s="14">
        <f t="shared" si="25"/>
        <v>221555.452450418</v>
      </c>
      <c r="AQ19" s="14">
        <f t="shared" si="25"/>
        <v>219339.89792591383</v>
      </c>
      <c r="AR19" s="14">
        <f t="shared" si="25"/>
        <v>217146.4989466547</v>
      </c>
      <c r="AS19" s="14">
        <f t="shared" si="25"/>
        <v>214975.03395718816</v>
      </c>
      <c r="AT19" s="14">
        <f t="shared" si="25"/>
        <v>212825.28361761628</v>
      </c>
      <c r="AU19" s="14">
        <f t="shared" si="25"/>
        <v>210697.03078144012</v>
      </c>
      <c r="AV19" s="14">
        <f t="shared" si="25"/>
        <v>208590.06047362572</v>
      </c>
      <c r="AW19" s="14">
        <f t="shared" si="25"/>
        <v>206504.15986888946</v>
      </c>
      <c r="AX19" s="14">
        <f t="shared" si="25"/>
        <v>204439.11827020056</v>
      </c>
      <c r="AY19" s="14">
        <f t="shared" si="25"/>
        <v>202394.72708749856</v>
      </c>
      <c r="AZ19" s="14">
        <f t="shared" si="25"/>
        <v>200370.77981662357</v>
      </c>
      <c r="BA19" s="14">
        <f t="shared" si="25"/>
        <v>198367.07201845734</v>
      </c>
      <c r="BB19" s="14">
        <f t="shared" si="25"/>
        <v>196383.40129827277</v>
      </c>
      <c r="BC19" s="14">
        <f t="shared" si="25"/>
        <v>194419.56728529005</v>
      </c>
      <c r="BD19" s="14">
        <f t="shared" si="25"/>
        <v>192475.37161243716</v>
      </c>
      <c r="BE19" s="14">
        <f t="shared" si="25"/>
        <v>190550.61789631279</v>
      </c>
      <c r="BF19" s="14">
        <f t="shared" si="25"/>
        <v>188645.11171734965</v>
      </c>
      <c r="BG19" s="14">
        <f t="shared" si="25"/>
        <v>186758.66060017614</v>
      </c>
      <c r="BH19" s="14">
        <f t="shared" si="25"/>
        <v>184891.07399417437</v>
      </c>
      <c r="BI19" s="14">
        <f t="shared" si="25"/>
        <v>183042.16325423261</v>
      </c>
      <c r="BJ19" s="14">
        <f t="shared" si="25"/>
        <v>181211.74162169028</v>
      </c>
      <c r="BK19" s="14">
        <f t="shared" si="25"/>
        <v>179399.62420547337</v>
      </c>
      <c r="BL19" s="14">
        <f t="shared" si="25"/>
        <v>177605.62796341864</v>
      </c>
      <c r="BM19" s="14">
        <f t="shared" si="25"/>
        <v>175829.57168378445</v>
      </c>
      <c r="BN19" s="14">
        <f t="shared" si="25"/>
        <v>174071.27596694662</v>
      </c>
      <c r="BO19" s="14">
        <f t="shared" si="25"/>
        <v>172330.56320727716</v>
      </c>
      <c r="BP19" s="14">
        <f t="shared" si="25"/>
        <v>170607.25757520439</v>
      </c>
      <c r="BQ19" s="14">
        <f t="shared" si="25"/>
        <v>168901.18499945235</v>
      </c>
      <c r="BR19" s="14">
        <f t="shared" si="25"/>
        <v>167212.17314945781</v>
      </c>
      <c r="BS19" s="14">
        <f t="shared" si="25"/>
        <v>165540.05141796323</v>
      </c>
      <c r="BT19" s="14">
        <f t="shared" si="25"/>
        <v>163884.65090378359</v>
      </c>
      <c r="BU19" s="14">
        <f t="shared" si="25"/>
        <v>162245.80439474576</v>
      </c>
      <c r="BV19" s="14">
        <f t="shared" si="25"/>
        <v>160623.3463507983</v>
      </c>
      <c r="BW19" s="14">
        <f t="shared" si="25"/>
        <v>159017.11288729031</v>
      </c>
      <c r="BX19" s="14">
        <f t="shared" si="25"/>
        <v>157426.94175841741</v>
      </c>
      <c r="BY19" s="14">
        <f t="shared" si="25"/>
        <v>155852.67234083323</v>
      </c>
      <c r="BZ19" s="14">
        <f t="shared" si="25"/>
        <v>154294.14561742489</v>
      </c>
      <c r="CA19" s="14">
        <f t="shared" si="25"/>
        <v>152751.20416125064</v>
      </c>
      <c r="CB19" s="14">
        <f t="shared" si="25"/>
        <v>151223.69211963814</v>
      </c>
      <c r="CC19" s="14">
        <f t="shared" si="25"/>
        <v>149711.45519844175</v>
      </c>
      <c r="CD19" s="14">
        <f t="shared" si="25"/>
        <v>148214.34064645733</v>
      </c>
      <c r="CE19" s="14">
        <f t="shared" si="25"/>
        <v>146732.19723999276</v>
      </c>
      <c r="CF19" s="14">
        <f t="shared" si="25"/>
        <v>145264.87526759284</v>
      </c>
      <c r="CG19" s="14">
        <f t="shared" si="25"/>
        <v>143812.22651491693</v>
      </c>
      <c r="CH19" s="14">
        <f t="shared" si="25"/>
        <v>142374.10424976776</v>
      </c>
      <c r="CI19" s="14">
        <f t="shared" si="25"/>
        <v>140950.36320727007</v>
      </c>
      <c r="CJ19" s="14">
        <f t="shared" si="25"/>
        <v>139540.85957519736</v>
      </c>
      <c r="CK19" s="14">
        <f t="shared" si="25"/>
        <v>138145.45097944539</v>
      </c>
      <c r="CL19" s="14">
        <f t="shared" si="25"/>
        <v>136763.99646965094</v>
      </c>
      <c r="CM19" s="14">
        <f t="shared" si="25"/>
        <v>135396.35650495443</v>
      </c>
      <c r="CN19" s="14">
        <f t="shared" si="25"/>
        <v>134042.39293990488</v>
      </c>
      <c r="CO19" s="14">
        <f t="shared" si="25"/>
        <v>132701.96901050583</v>
      </c>
      <c r="CP19" s="14">
        <f t="shared" si="25"/>
        <v>131374.94932040077</v>
      </c>
      <c r="CQ19" s="14">
        <f t="shared" si="25"/>
        <v>130061.19982719676</v>
      </c>
      <c r="CR19" s="14">
        <f t="shared" si="25"/>
        <v>128760.58782892479</v>
      </c>
      <c r="CS19" s="14">
        <f t="shared" si="25"/>
        <v>127472.98195063554</v>
      </c>
      <c r="CT19" s="14">
        <f t="shared" ref="CT19:ES19" si="26">CS19*(1+$AI$38)</f>
        <v>126198.25213112918</v>
      </c>
      <c r="CU19" s="14">
        <f t="shared" si="26"/>
        <v>124936.26960981789</v>
      </c>
      <c r="CV19" s="14">
        <f t="shared" si="26"/>
        <v>123686.90691371971</v>
      </c>
      <c r="CW19" s="14">
        <f t="shared" si="26"/>
        <v>122450.0378445825</v>
      </c>
      <c r="CX19" s="14">
        <f t="shared" si="26"/>
        <v>121225.53746613668</v>
      </c>
      <c r="CY19" s="14">
        <f t="shared" si="26"/>
        <v>120013.28209147531</v>
      </c>
      <c r="CZ19" s="14">
        <f t="shared" si="26"/>
        <v>118813.14927056055</v>
      </c>
      <c r="DA19" s="14">
        <f t="shared" si="26"/>
        <v>117625.01777785494</v>
      </c>
      <c r="DB19" s="14">
        <f t="shared" si="26"/>
        <v>116448.76760007639</v>
      </c>
      <c r="DC19" s="14">
        <f t="shared" si="26"/>
        <v>115284.27992407563</v>
      </c>
      <c r="DD19" s="14">
        <f t="shared" si="26"/>
        <v>114131.43712483488</v>
      </c>
      <c r="DE19" s="14">
        <f t="shared" si="26"/>
        <v>112990.12275358653</v>
      </c>
      <c r="DF19" s="14">
        <f t="shared" si="26"/>
        <v>111860.22152605066</v>
      </c>
      <c r="DG19" s="14">
        <f t="shared" si="26"/>
        <v>110741.61931079015</v>
      </c>
      <c r="DH19" s="14">
        <f t="shared" si="26"/>
        <v>109634.20311768225</v>
      </c>
      <c r="DI19" s="14">
        <f t="shared" si="26"/>
        <v>108537.86108650542</v>
      </c>
      <c r="DJ19" s="14">
        <f t="shared" si="26"/>
        <v>107452.48247564037</v>
      </c>
      <c r="DK19" s="14">
        <f t="shared" si="26"/>
        <v>106377.95765088397</v>
      </c>
      <c r="DL19" s="14">
        <f t="shared" si="26"/>
        <v>105314.17807437513</v>
      </c>
      <c r="DM19" s="14">
        <f t="shared" si="26"/>
        <v>104261.03629363138</v>
      </c>
      <c r="DN19" s="14">
        <f t="shared" si="26"/>
        <v>103218.42593069506</v>
      </c>
      <c r="DO19" s="14">
        <f t="shared" si="26"/>
        <v>102186.24167138811</v>
      </c>
      <c r="DP19" s="14">
        <f t="shared" si="26"/>
        <v>101164.37925467423</v>
      </c>
      <c r="DQ19" s="14">
        <f t="shared" si="26"/>
        <v>100152.73546212749</v>
      </c>
      <c r="DR19" s="14">
        <f t="shared" si="26"/>
        <v>99151.208107506216</v>
      </c>
      <c r="DS19" s="14">
        <f t="shared" si="26"/>
        <v>98159.696026431149</v>
      </c>
      <c r="DT19" s="14">
        <f t="shared" si="26"/>
        <v>97178.099066166833</v>
      </c>
      <c r="DU19" s="14">
        <f t="shared" si="26"/>
        <v>96206.318075505158</v>
      </c>
      <c r="DV19" s="14">
        <f t="shared" si="26"/>
        <v>95244.254894750105</v>
      </c>
      <c r="DW19" s="14">
        <f t="shared" si="26"/>
        <v>94291.812345802609</v>
      </c>
      <c r="DX19" s="14">
        <f t="shared" si="26"/>
        <v>93348.894222344577</v>
      </c>
      <c r="DY19" s="14">
        <f t="shared" si="26"/>
        <v>92415.405280121136</v>
      </c>
      <c r="DZ19" s="14">
        <f t="shared" si="26"/>
        <v>91491.251227319925</v>
      </c>
      <c r="EA19" s="14">
        <f t="shared" si="26"/>
        <v>90576.338715046732</v>
      </c>
      <c r="EB19" s="14">
        <f t="shared" si="26"/>
        <v>89670.575327896266</v>
      </c>
      <c r="EC19" s="14">
        <f t="shared" si="26"/>
        <v>88773.869574617303</v>
      </c>
      <c r="ED19" s="14">
        <f t="shared" si="26"/>
        <v>87886.130878871132</v>
      </c>
      <c r="EE19" s="14">
        <f t="shared" si="26"/>
        <v>87007.269570082426</v>
      </c>
      <c r="EF19" s="14">
        <f t="shared" si="26"/>
        <v>86137.196874381596</v>
      </c>
      <c r="EG19" s="14">
        <f t="shared" si="26"/>
        <v>85275.824905637783</v>
      </c>
      <c r="EH19" s="14">
        <f t="shared" si="26"/>
        <v>84423.066656581403</v>
      </c>
      <c r="EI19" s="14">
        <f t="shared" si="26"/>
        <v>83578.835990015592</v>
      </c>
      <c r="EJ19" s="14">
        <f t="shared" si="26"/>
        <v>82743.047630115441</v>
      </c>
      <c r="EK19" s="14">
        <f t="shared" si="26"/>
        <v>81915.617153814281</v>
      </c>
      <c r="EL19" s="14">
        <f t="shared" si="26"/>
        <v>81096.460982276141</v>
      </c>
      <c r="EM19" s="14">
        <f t="shared" si="26"/>
        <v>80285.496372453374</v>
      </c>
      <c r="EN19" s="14">
        <f t="shared" si="26"/>
        <v>79482.641408728843</v>
      </c>
      <c r="EO19" s="14">
        <f t="shared" si="26"/>
        <v>78687.814994641551</v>
      </c>
      <c r="EP19" s="14">
        <f t="shared" si="26"/>
        <v>77900.936844695141</v>
      </c>
      <c r="EQ19" s="14">
        <f t="shared" si="26"/>
        <v>77121.927476248195</v>
      </c>
      <c r="ER19" s="14">
        <f t="shared" si="26"/>
        <v>76350.708201485715</v>
      </c>
      <c r="ES19" s="14">
        <f t="shared" si="26"/>
        <v>75587.201119470861</v>
      </c>
    </row>
    <row r="20" spans="2:149" x14ac:dyDescent="0.3">
      <c r="B20" t="s">
        <v>1</v>
      </c>
      <c r="C20" s="12">
        <v>9468</v>
      </c>
      <c r="D20" s="12">
        <v>9468</v>
      </c>
      <c r="E20" s="12">
        <v>9468</v>
      </c>
      <c r="F20" s="12">
        <v>9468</v>
      </c>
      <c r="G20" s="12">
        <v>9468</v>
      </c>
      <c r="H20" s="12">
        <v>9468</v>
      </c>
      <c r="I20" s="12">
        <v>9468</v>
      </c>
      <c r="J20" s="12">
        <v>9468</v>
      </c>
      <c r="K20" s="12">
        <v>9468</v>
      </c>
      <c r="L20" s="12">
        <v>9468</v>
      </c>
      <c r="M20" s="12">
        <v>9468</v>
      </c>
      <c r="N20" s="12">
        <v>9468</v>
      </c>
      <c r="O20" s="12"/>
      <c r="P20" s="12"/>
      <c r="Q20" s="12"/>
      <c r="R20" s="12"/>
      <c r="T20" s="12">
        <v>9468</v>
      </c>
      <c r="U20" s="12">
        <v>9468</v>
      </c>
      <c r="V20" s="12">
        <v>9468</v>
      </c>
      <c r="W20" s="12">
        <v>9468</v>
      </c>
      <c r="X20" s="12">
        <v>9468</v>
      </c>
      <c r="Y20" s="12">
        <v>9468</v>
      </c>
      <c r="Z20" s="12">
        <v>9468</v>
      </c>
      <c r="AA20" s="12">
        <v>9468</v>
      </c>
      <c r="AB20" s="12">
        <v>9468</v>
      </c>
      <c r="AC20" s="12">
        <v>9468</v>
      </c>
      <c r="AD20" s="12">
        <v>9468</v>
      </c>
      <c r="AE20" s="12">
        <v>9468</v>
      </c>
      <c r="AF20" s="12">
        <v>9468</v>
      </c>
    </row>
    <row r="21" spans="2:149" s="14" customFormat="1" x14ac:dyDescent="0.3">
      <c r="B21" s="14" t="s">
        <v>59</v>
      </c>
      <c r="C21" s="17">
        <f t="shared" ref="C21:L21" si="27">C19/C20</f>
        <v>2.459864807773553</v>
      </c>
      <c r="D21" s="17">
        <f t="shared" si="27"/>
        <v>1.8870933671313899</v>
      </c>
      <c r="E21" s="17">
        <f t="shared" si="27"/>
        <v>2.4644064216307564</v>
      </c>
      <c r="F21" s="17">
        <f t="shared" si="27"/>
        <v>1.502851711026616</v>
      </c>
      <c r="G21" s="17">
        <f t="shared" si="27"/>
        <v>2.873891001267427</v>
      </c>
      <c r="H21" s="17">
        <f t="shared" si="27"/>
        <v>2.5492184199408534</v>
      </c>
      <c r="I21" s="17">
        <f t="shared" si="27"/>
        <v>2.1527249683143221</v>
      </c>
      <c r="J21" s="17">
        <f t="shared" si="27"/>
        <v>2.2794676806083651</v>
      </c>
      <c r="K21" s="17">
        <f t="shared" si="27"/>
        <v>3.0519645120405579</v>
      </c>
      <c r="L21" s="17">
        <f t="shared" si="27"/>
        <v>3.4967258132657371</v>
      </c>
      <c r="M21" s="17">
        <f t="shared" ref="M21:N21" si="28">M19/M20</f>
        <v>4.0707646810308411</v>
      </c>
      <c r="N21" s="17">
        <f t="shared" si="28"/>
        <v>6.2634136037177859</v>
      </c>
      <c r="O21" s="17"/>
      <c r="P21" s="17"/>
      <c r="Q21" s="17"/>
      <c r="R21" s="17"/>
      <c r="T21" s="17">
        <f>T19/T20</f>
        <v>8.3142163075623152</v>
      </c>
      <c r="U21" s="17">
        <f>U19/U20</f>
        <v>9.8553020701309677</v>
      </c>
      <c r="V21" s="17">
        <f>V19/V20</f>
        <v>16.882868610054921</v>
      </c>
      <c r="W21" s="17">
        <f t="shared" ref="W21:AF21" si="29">W19/W20</f>
        <v>14.690924423056613</v>
      </c>
      <c r="X21" s="17">
        <f t="shared" si="29"/>
        <v>17.467986020676751</v>
      </c>
      <c r="Y21" s="17">
        <f t="shared" si="29"/>
        <v>19.103745609527415</v>
      </c>
      <c r="Z21" s="17">
        <f t="shared" si="29"/>
        <v>20.616115037766139</v>
      </c>
      <c r="AA21" s="17">
        <f t="shared" si="29"/>
        <v>21.736957422910507</v>
      </c>
      <c r="AB21" s="17">
        <f t="shared" si="29"/>
        <v>23.464006992777296</v>
      </c>
      <c r="AC21" s="17">
        <f t="shared" si="29"/>
        <v>24.225838508741337</v>
      </c>
      <c r="AD21" s="17">
        <f t="shared" si="29"/>
        <v>24.827198278288609</v>
      </c>
      <c r="AE21" s="17">
        <f t="shared" si="29"/>
        <v>25.349044672964443</v>
      </c>
      <c r="AF21" s="17">
        <f t="shared" si="29"/>
        <v>25.874516740086964</v>
      </c>
    </row>
    <row r="23" spans="2:149" x14ac:dyDescent="0.3">
      <c r="B23" t="s">
        <v>74</v>
      </c>
      <c r="G23" s="18">
        <f t="shared" ref="G23:N23" si="30">G3/C3-1</f>
        <v>4.4734091345435933E-2</v>
      </c>
      <c r="H23" s="18">
        <f t="shared" si="30"/>
        <v>0.14288430911122196</v>
      </c>
      <c r="I23" s="18">
        <f t="shared" si="30"/>
        <v>0.14937910054711789</v>
      </c>
      <c r="J23" s="18">
        <f t="shared" si="30"/>
        <v>0.19832306247279563</v>
      </c>
      <c r="K23" s="18">
        <f t="shared" si="30"/>
        <v>0.27473761587781276</v>
      </c>
      <c r="L23" s="18">
        <f t="shared" si="30"/>
        <v>0.35195507487520805</v>
      </c>
      <c r="M23" s="18">
        <f t="shared" si="30"/>
        <v>0.37869600426632966</v>
      </c>
      <c r="N23" s="18">
        <f t="shared" si="30"/>
        <v>0.28047335015676378</v>
      </c>
      <c r="O23" s="18"/>
      <c r="P23" s="18"/>
      <c r="Q23" s="18"/>
      <c r="R23" s="18"/>
      <c r="U23" s="18">
        <f t="shared" ref="U23:AF23" si="31">U3/T3-1</f>
        <v>0.13215696930584331</v>
      </c>
      <c r="V23" s="18">
        <f t="shared" si="31"/>
        <v>0.32111945037526679</v>
      </c>
      <c r="W23" s="18">
        <f t="shared" si="31"/>
        <v>0.20999999999999996</v>
      </c>
      <c r="X23" s="18">
        <f t="shared" si="31"/>
        <v>0.14999999999999991</v>
      </c>
      <c r="Y23" s="18">
        <f t="shared" si="31"/>
        <v>0.10000000000000009</v>
      </c>
      <c r="Z23" s="18">
        <f t="shared" si="31"/>
        <v>8.0000000000000071E-2</v>
      </c>
      <c r="AA23" s="18">
        <f t="shared" si="31"/>
        <v>5.0000000000000044E-2</v>
      </c>
      <c r="AB23" s="18">
        <f t="shared" si="31"/>
        <v>4.0000000000000036E-2</v>
      </c>
      <c r="AC23" s="18">
        <f t="shared" si="31"/>
        <v>3.0000000000000027E-2</v>
      </c>
      <c r="AD23" s="18">
        <f t="shared" si="31"/>
        <v>2.0000000000000018E-2</v>
      </c>
      <c r="AE23" s="18">
        <f t="shared" si="31"/>
        <v>2.0000000000000018E-2</v>
      </c>
      <c r="AF23" s="18">
        <f t="shared" si="31"/>
        <v>2.0000000000000018E-2</v>
      </c>
    </row>
    <row r="24" spans="2:149" x14ac:dyDescent="0.3">
      <c r="B24" t="s">
        <v>75</v>
      </c>
      <c r="G24" s="18">
        <f t="shared" ref="G24:N24" si="32">G4/C4-1</f>
        <v>0.43518640495323413</v>
      </c>
      <c r="H24" s="18">
        <f t="shared" si="32"/>
        <v>0.37333493339733592</v>
      </c>
      <c r="I24" s="18">
        <f t="shared" si="32"/>
        <v>0.35875691870207693</v>
      </c>
      <c r="J24" s="18">
        <f t="shared" si="32"/>
        <v>0.38537759874056587</v>
      </c>
      <c r="K24" s="18">
        <f t="shared" si="32"/>
        <v>0.21506264628941207</v>
      </c>
      <c r="L24" s="18">
        <f t="shared" si="32"/>
        <v>0.30470115344285209</v>
      </c>
      <c r="M24" s="18">
        <f t="shared" si="32"/>
        <v>0.2428058898273413</v>
      </c>
      <c r="N24" s="18">
        <f t="shared" si="32"/>
        <v>0.2865641711229947</v>
      </c>
      <c r="O24" s="18"/>
      <c r="P24" s="18"/>
      <c r="Q24" s="18"/>
      <c r="R24" s="18"/>
      <c r="U24" s="18">
        <f t="shared" ref="U24:AF24" si="33">U4/T4-1</f>
        <v>0.38580491673275175</v>
      </c>
      <c r="V24" s="18">
        <f t="shared" si="33"/>
        <v>0.26373637215726897</v>
      </c>
      <c r="W24" s="18">
        <f t="shared" si="33"/>
        <v>0.17999999999999994</v>
      </c>
      <c r="X24" s="18">
        <f t="shared" si="33"/>
        <v>0.12000000000000011</v>
      </c>
      <c r="Y24" s="18">
        <f t="shared" si="33"/>
        <v>8.0000000000000071E-2</v>
      </c>
      <c r="Z24" s="18">
        <f t="shared" si="33"/>
        <v>6.0000000000000053E-2</v>
      </c>
      <c r="AA24" s="18">
        <f t="shared" si="33"/>
        <v>5.0000000000000044E-2</v>
      </c>
      <c r="AB24" s="18">
        <f t="shared" si="33"/>
        <v>4.0000000000000036E-2</v>
      </c>
      <c r="AC24" s="18">
        <f t="shared" si="33"/>
        <v>3.0000000000000027E-2</v>
      </c>
      <c r="AD24" s="18">
        <f t="shared" si="33"/>
        <v>3.0000000000000027E-2</v>
      </c>
      <c r="AE24" s="18">
        <f t="shared" si="33"/>
        <v>2.0000000000000018E-2</v>
      </c>
      <c r="AF24" s="18">
        <f t="shared" si="33"/>
        <v>2.0000000000000018E-2</v>
      </c>
    </row>
    <row r="25" spans="2:149" x14ac:dyDescent="0.3">
      <c r="B25" t="s">
        <v>76</v>
      </c>
      <c r="G25" s="18">
        <f t="shared" ref="G25:N25" si="34">G5/C5-1</f>
        <v>0.2514734774066798</v>
      </c>
      <c r="H25" s="18">
        <f t="shared" si="34"/>
        <v>0.16293408929836994</v>
      </c>
      <c r="I25" s="18">
        <f t="shared" si="34"/>
        <v>0.13042407829137681</v>
      </c>
      <c r="J25" s="18">
        <f t="shared" si="34"/>
        <v>0.18740092761110794</v>
      </c>
      <c r="K25" s="18">
        <f t="shared" si="34"/>
        <v>0.32413844658742619</v>
      </c>
      <c r="L25" s="18">
        <f t="shared" si="34"/>
        <v>0.13059906149064537</v>
      </c>
      <c r="M25" s="18">
        <f t="shared" si="34"/>
        <v>0.16252858542959814</v>
      </c>
      <c r="N25" s="18">
        <f t="shared" si="34"/>
        <v>0.21903584672435095</v>
      </c>
      <c r="O25" s="18"/>
      <c r="P25" s="18"/>
      <c r="Q25" s="18"/>
      <c r="R25" s="18"/>
      <c r="U25" s="18">
        <f t="shared" ref="U25:AF25" si="35">U5/T5-1</f>
        <v>0.17731021539627068</v>
      </c>
      <c r="V25" s="18">
        <f t="shared" si="35"/>
        <v>0.20319698144112786</v>
      </c>
      <c r="W25" s="18">
        <f t="shared" si="35"/>
        <v>0.14999999999999991</v>
      </c>
      <c r="X25" s="18">
        <f t="shared" si="35"/>
        <v>0.1100000000000001</v>
      </c>
      <c r="Y25" s="18">
        <f t="shared" si="35"/>
        <v>7.0000000000000062E-2</v>
      </c>
      <c r="Z25" s="18">
        <f t="shared" si="35"/>
        <v>6.0000000000000053E-2</v>
      </c>
      <c r="AA25" s="18">
        <f t="shared" si="35"/>
        <v>5.0000000000000044E-2</v>
      </c>
      <c r="AB25" s="18">
        <f t="shared" si="35"/>
        <v>4.0000000000000036E-2</v>
      </c>
      <c r="AC25" s="18">
        <f t="shared" si="35"/>
        <v>3.0000000000000027E-2</v>
      </c>
      <c r="AD25" s="18">
        <f t="shared" si="35"/>
        <v>2.0000000000000018E-2</v>
      </c>
      <c r="AE25" s="18">
        <f t="shared" si="35"/>
        <v>2.0000000000000018E-2</v>
      </c>
      <c r="AF25" s="18">
        <f t="shared" si="35"/>
        <v>2.0000000000000018E-2</v>
      </c>
    </row>
    <row r="26" spans="2:149" x14ac:dyDescent="0.3">
      <c r="B26" t="s">
        <v>77</v>
      </c>
      <c r="G26" s="18">
        <f t="shared" ref="G26:N26" si="36">G6/C6-1</f>
        <v>0.69871794871794868</v>
      </c>
      <c r="H26" s="18">
        <f t="shared" si="36"/>
        <v>0.73975903614457827</v>
      </c>
      <c r="I26" s="18">
        <f t="shared" si="36"/>
        <v>1.447194719471947</v>
      </c>
      <c r="J26" s="18">
        <f t="shared" si="36"/>
        <v>0.26730401529636705</v>
      </c>
      <c r="K26" s="18">
        <f t="shared" si="36"/>
        <v>9.2830188679245307E-2</v>
      </c>
      <c r="L26" s="18">
        <f t="shared" si="36"/>
        <v>1.5927977839335083E-2</v>
      </c>
      <c r="M26" s="18">
        <f t="shared" si="36"/>
        <v>-0.29939312204989887</v>
      </c>
      <c r="N26" s="18">
        <f t="shared" si="36"/>
        <v>6.849728424864221E-2</v>
      </c>
      <c r="O26" s="18"/>
      <c r="P26" s="18"/>
      <c r="Q26" s="18"/>
      <c r="R26" s="18"/>
      <c r="U26" s="18">
        <f t="shared" ref="U26:AF26" si="37">U6/T6-1</f>
        <v>0.56613537569861316</v>
      </c>
      <c r="V26" s="18">
        <f t="shared" si="37"/>
        <v>-9.3840867036742992E-3</v>
      </c>
      <c r="W26" s="18">
        <f t="shared" si="37"/>
        <v>0.10000000000000009</v>
      </c>
      <c r="X26" s="18">
        <f t="shared" si="37"/>
        <v>7.0000000000000062E-2</v>
      </c>
      <c r="Y26" s="18">
        <f t="shared" si="37"/>
        <v>4.0000000000000036E-2</v>
      </c>
      <c r="Z26" s="18">
        <f t="shared" si="37"/>
        <v>3.0000000000000027E-2</v>
      </c>
      <c r="AA26" s="18">
        <f t="shared" si="37"/>
        <v>2.0000000000000018E-2</v>
      </c>
      <c r="AB26" s="18">
        <f t="shared" si="37"/>
        <v>2.0000000000000018E-2</v>
      </c>
      <c r="AC26" s="18">
        <f t="shared" si="37"/>
        <v>2.0000000000000018E-2</v>
      </c>
      <c r="AD26" s="18">
        <f t="shared" si="37"/>
        <v>2.0000000000000018E-2</v>
      </c>
      <c r="AE26" s="18">
        <f t="shared" si="37"/>
        <v>2.0000000000000018E-2</v>
      </c>
      <c r="AF26" s="18">
        <f t="shared" si="37"/>
        <v>2.0000000000000018E-2</v>
      </c>
    </row>
    <row r="27" spans="2:149" x14ac:dyDescent="0.3">
      <c r="B27" s="14" t="s">
        <v>63</v>
      </c>
      <c r="G27" s="18">
        <f>G7/C7-1</f>
        <v>0.16234631704928737</v>
      </c>
      <c r="H27" s="18">
        <f t="shared" ref="H27:N27" si="38">H7/D7-1</f>
        <v>0.20557855446216489</v>
      </c>
      <c r="I27" s="18">
        <f t="shared" si="38"/>
        <v>0.20647682858738126</v>
      </c>
      <c r="J27" s="18">
        <f t="shared" si="38"/>
        <v>0.24584197135318497</v>
      </c>
      <c r="K27" s="18">
        <f t="shared" si="38"/>
        <v>0.2644357339261687</v>
      </c>
      <c r="L27" s="18">
        <f t="shared" si="38"/>
        <v>0.29342160074757095</v>
      </c>
      <c r="M27" s="18">
        <f t="shared" si="38"/>
        <v>0.29012917026615659</v>
      </c>
      <c r="N27" s="18">
        <f t="shared" si="38"/>
        <v>0.26380629118723231</v>
      </c>
      <c r="O27" s="18"/>
      <c r="P27" s="18"/>
      <c r="Q27" s="18"/>
      <c r="R27" s="18"/>
      <c r="U27" s="18">
        <f>U7/T7-1</f>
        <v>0.2065757577695766</v>
      </c>
      <c r="V27" s="18">
        <f t="shared" ref="V27:AF27" si="39">V7/U7-1</f>
        <v>0.27770488935537485</v>
      </c>
      <c r="W27" s="18">
        <f t="shared" si="39"/>
        <v>0.19007880696339075</v>
      </c>
      <c r="X27" s="18">
        <f t="shared" si="39"/>
        <v>0.13435007503562635</v>
      </c>
      <c r="Y27" s="18">
        <f t="shared" si="39"/>
        <v>8.9142962991225705E-2</v>
      </c>
      <c r="Z27" s="18">
        <f t="shared" si="39"/>
        <v>7.1023265724299511E-2</v>
      </c>
      <c r="AA27" s="18">
        <f t="shared" si="39"/>
        <v>4.9626553323842026E-2</v>
      </c>
      <c r="AB27" s="18">
        <f t="shared" si="39"/>
        <v>3.9758062771008129E-2</v>
      </c>
      <c r="AC27" s="18">
        <f t="shared" si="39"/>
        <v>2.9881330098602943E-2</v>
      </c>
      <c r="AD27" s="18">
        <f t="shared" si="39"/>
        <v>2.2554615634615027E-2</v>
      </c>
      <c r="AE27" s="18">
        <f t="shared" si="39"/>
        <v>2.0000000000000018E-2</v>
      </c>
      <c r="AF27" s="18">
        <f t="shared" si="39"/>
        <v>1.9999999999999796E-2</v>
      </c>
    </row>
    <row r="28" spans="2:149" x14ac:dyDescent="0.3">
      <c r="B28" s="14" t="s">
        <v>60</v>
      </c>
      <c r="C28" s="18">
        <f>C9/C7</f>
        <v>0.50378087259275373</v>
      </c>
      <c r="D28" s="18">
        <f t="shared" ref="D28:N28" si="40">D9/D7</f>
        <v>0.46753987105531047</v>
      </c>
      <c r="E28" s="18">
        <f t="shared" si="40"/>
        <v>0.44022582046032632</v>
      </c>
      <c r="F28" s="18">
        <f t="shared" si="40"/>
        <v>0.41405955522050508</v>
      </c>
      <c r="G28" s="18">
        <f t="shared" si="40"/>
        <v>0.46592172234247936</v>
      </c>
      <c r="H28" s="18">
        <f t="shared" si="40"/>
        <v>0.44050393488026479</v>
      </c>
      <c r="I28" s="18">
        <f t="shared" si="40"/>
        <v>0.43686494713891977</v>
      </c>
      <c r="J28" s="18">
        <f t="shared" si="40"/>
        <v>0.43593937617593387</v>
      </c>
      <c r="K28" s="18">
        <f t="shared" si="40"/>
        <v>0.48853930504788784</v>
      </c>
      <c r="L28" s="18">
        <f t="shared" si="40"/>
        <v>0.4631668741241089</v>
      </c>
      <c r="M28" s="18">
        <f t="shared" si="40"/>
        <v>0.45156121708769442</v>
      </c>
      <c r="N28" s="18">
        <f t="shared" si="40"/>
        <v>0.44049854491318108</v>
      </c>
      <c r="O28" s="18"/>
      <c r="P28" s="18"/>
      <c r="Q28" s="18"/>
      <c r="R28" s="18"/>
      <c r="T28" s="18">
        <f t="shared" ref="T28:AF28" si="41">T9/T7</f>
        <v>0.45450184525446602</v>
      </c>
      <c r="U28" s="18">
        <f t="shared" si="41"/>
        <v>0.4440442207432499</v>
      </c>
      <c r="V28" s="18">
        <f t="shared" si="41"/>
        <v>0.45954893955989246</v>
      </c>
      <c r="W28" s="18">
        <f t="shared" si="41"/>
        <v>0.45</v>
      </c>
      <c r="X28" s="18">
        <f t="shared" si="41"/>
        <v>0.46</v>
      </c>
      <c r="Y28" s="18">
        <f t="shared" si="41"/>
        <v>0.46</v>
      </c>
      <c r="Z28" s="18">
        <f t="shared" si="41"/>
        <v>0.46</v>
      </c>
      <c r="AA28" s="18">
        <f t="shared" si="41"/>
        <v>0.46</v>
      </c>
      <c r="AB28" s="18">
        <f t="shared" si="41"/>
        <v>0.47</v>
      </c>
      <c r="AC28" s="18">
        <f t="shared" si="41"/>
        <v>0.47</v>
      </c>
      <c r="AD28" s="18">
        <f t="shared" si="41"/>
        <v>0.47</v>
      </c>
      <c r="AE28" s="18">
        <f t="shared" si="41"/>
        <v>0.46999999999999992</v>
      </c>
      <c r="AF28" s="18">
        <f t="shared" si="41"/>
        <v>0.47</v>
      </c>
    </row>
    <row r="29" spans="2:149" x14ac:dyDescent="0.3">
      <c r="B29" t="s">
        <v>61</v>
      </c>
      <c r="C29" s="18">
        <f t="shared" ref="C29:N29" si="42">C14/C7</f>
        <v>0.41741921444891744</v>
      </c>
      <c r="D29" s="18">
        <f t="shared" si="42"/>
        <v>0.29598914149983035</v>
      </c>
      <c r="E29" s="18">
        <f t="shared" si="42"/>
        <v>0.34569142006327935</v>
      </c>
      <c r="F29" s="18">
        <f t="shared" si="42"/>
        <v>0.20363739163211458</v>
      </c>
      <c r="G29" s="18">
        <f t="shared" si="42"/>
        <v>0.42990697946527817</v>
      </c>
      <c r="H29" s="18">
        <f t="shared" si="42"/>
        <v>0.30984789633082266</v>
      </c>
      <c r="I29" s="18">
        <f t="shared" si="42"/>
        <v>0.26561150191287175</v>
      </c>
      <c r="J29" s="18">
        <f t="shared" si="42"/>
        <v>0.27044352208155664</v>
      </c>
      <c r="K29" s="18">
        <f t="shared" si="42"/>
        <v>0.34479248600379403</v>
      </c>
      <c r="L29" s="18">
        <f t="shared" si="42"/>
        <v>0.34218291653247218</v>
      </c>
      <c r="M29" s="18">
        <f t="shared" si="42"/>
        <v>0.35037107304279896</v>
      </c>
      <c r="N29" s="18">
        <f t="shared" si="42"/>
        <v>0.47664753981850688</v>
      </c>
      <c r="O29" s="18"/>
      <c r="P29" s="18"/>
      <c r="Q29" s="18"/>
      <c r="R29" s="18"/>
      <c r="T29" s="18">
        <f>T14/T7</f>
        <v>0.31227973673943216</v>
      </c>
      <c r="U29" s="18">
        <f>U14/U7</f>
        <v>0.31459703304363501</v>
      </c>
      <c r="V29" s="18">
        <f t="shared" ref="V29:AF29" si="43">V14/V7</f>
        <v>0.38218369345149189</v>
      </c>
      <c r="W29" s="18">
        <f t="shared" si="43"/>
        <v>0.28587289281231126</v>
      </c>
      <c r="X29" s="18">
        <f t="shared" si="43"/>
        <v>0.29789271100338877</v>
      </c>
      <c r="Y29" s="18">
        <f t="shared" si="43"/>
        <v>0.29816467578819783</v>
      </c>
      <c r="Z29" s="18">
        <f t="shared" si="43"/>
        <v>0.29968781946927237</v>
      </c>
      <c r="AA29" s="18">
        <f t="shared" si="43"/>
        <v>0.30049888025543686</v>
      </c>
      <c r="AB29" s="18">
        <f t="shared" si="43"/>
        <v>0.31141320099443542</v>
      </c>
      <c r="AC29" s="18">
        <f t="shared" si="43"/>
        <v>0.31185117415908531</v>
      </c>
      <c r="AD29" s="18">
        <f t="shared" si="43"/>
        <v>0.31226187801020833</v>
      </c>
      <c r="AE29" s="18">
        <f t="shared" si="43"/>
        <v>0.31233646445385005</v>
      </c>
      <c r="AF29" s="18">
        <f t="shared" si="43"/>
        <v>0.31235229949689303</v>
      </c>
    </row>
    <row r="30" spans="2:149" x14ac:dyDescent="0.3">
      <c r="B30" s="15" t="s">
        <v>62</v>
      </c>
      <c r="C30" s="18">
        <f>C12/C7</f>
        <v>7.5753454466325754E-2</v>
      </c>
      <c r="D30" s="18">
        <f t="shared" ref="D30:N30" si="44">D12/D7</f>
        <v>8.6325076348829313E-2</v>
      </c>
      <c r="E30" s="18">
        <f t="shared" si="44"/>
        <v>8.1555927787083565E-2</v>
      </c>
      <c r="F30" s="18">
        <f t="shared" si="44"/>
        <v>6.7494346023369775E-2</v>
      </c>
      <c r="G30" s="18">
        <f t="shared" si="44"/>
        <v>4.9657754636400868E-2</v>
      </c>
      <c r="H30" s="18">
        <f t="shared" si="44"/>
        <v>5.3118068925141579E-2</v>
      </c>
      <c r="I30" s="18">
        <f t="shared" si="44"/>
        <v>5.8846517750627339E-2</v>
      </c>
      <c r="J30" s="18">
        <f t="shared" si="44"/>
        <v>6.3460247525220531E-2</v>
      </c>
      <c r="K30" s="18">
        <f t="shared" si="44"/>
        <v>6.5229260167491782E-2</v>
      </c>
      <c r="L30" s="18">
        <f t="shared" si="44"/>
        <v>6.7512164550020459E-2</v>
      </c>
      <c r="M30" s="18">
        <f t="shared" si="44"/>
        <v>7.1105725924095434E-2</v>
      </c>
      <c r="N30" s="18">
        <f t="shared" si="44"/>
        <v>7.5058540125234718E-2</v>
      </c>
      <c r="O30" s="18"/>
      <c r="P30" s="18"/>
      <c r="Q30" s="18"/>
      <c r="R30" s="18"/>
      <c r="T30" s="18">
        <f t="shared" ref="T30:AF30" si="45">T12/T7</f>
        <v>7.7497489558482097E-2</v>
      </c>
      <c r="U30" s="18">
        <f t="shared" si="45"/>
        <v>5.6709843117610105E-2</v>
      </c>
      <c r="V30" s="18">
        <f t="shared" si="45"/>
        <v>7.0028046068571811E-2</v>
      </c>
      <c r="W30" s="18">
        <f t="shared" si="45"/>
        <v>7.4999999999999997E-2</v>
      </c>
      <c r="X30" s="18">
        <f t="shared" si="45"/>
        <v>7.0000000000000007E-2</v>
      </c>
      <c r="Y30" s="18">
        <f t="shared" si="45"/>
        <v>7.0000000000000007E-2</v>
      </c>
      <c r="Z30" s="18">
        <f t="shared" si="45"/>
        <v>7.0000000000000007E-2</v>
      </c>
      <c r="AA30" s="18">
        <f t="shared" si="45"/>
        <v>7.0000000000000007E-2</v>
      </c>
      <c r="AB30" s="18">
        <f t="shared" si="45"/>
        <v>7.0000000000000007E-2</v>
      </c>
      <c r="AC30" s="18">
        <f t="shared" si="45"/>
        <v>7.0000000000000007E-2</v>
      </c>
      <c r="AD30" s="18">
        <f t="shared" si="45"/>
        <v>7.0000000000000007E-2</v>
      </c>
      <c r="AE30" s="18">
        <f t="shared" si="45"/>
        <v>7.0000000000000007E-2</v>
      </c>
      <c r="AF30" s="18">
        <f t="shared" si="45"/>
        <v>7.0000000000000007E-2</v>
      </c>
    </row>
    <row r="31" spans="2:149" x14ac:dyDescent="0.3">
      <c r="B31" s="15" t="s">
        <v>78</v>
      </c>
      <c r="C31" s="18"/>
      <c r="D31" s="18"/>
      <c r="E31" s="18"/>
      <c r="F31" s="18"/>
      <c r="G31" s="18">
        <f>G13/C13-1</f>
        <v>0.20159066808059389</v>
      </c>
      <c r="H31" s="18">
        <f t="shared" ref="H31:N31" si="46">H13/D13-1</f>
        <v>0.27594602820330727</v>
      </c>
      <c r="I31" s="18">
        <f t="shared" si="46"/>
        <v>0.24297520661157024</v>
      </c>
      <c r="J31" s="18">
        <f t="shared" si="46"/>
        <v>0.41048920229175856</v>
      </c>
      <c r="K31" s="18">
        <f t="shared" si="46"/>
        <v>0.24949254258229625</v>
      </c>
      <c r="L31" s="18">
        <f t="shared" si="46"/>
        <v>0.31183907132066468</v>
      </c>
      <c r="M31" s="18">
        <f t="shared" si="46"/>
        <v>0.26987293144208047</v>
      </c>
      <c r="N31" s="18">
        <f t="shared" si="46"/>
        <v>0.23603299587551563</v>
      </c>
      <c r="O31" s="18"/>
      <c r="P31" s="18"/>
      <c r="Q31" s="18"/>
      <c r="R31" s="18"/>
      <c r="T31" s="18"/>
      <c r="U31" s="18">
        <f>U13/T13-1</f>
        <v>0.28717306488126781</v>
      </c>
      <c r="V31" s="18">
        <f t="shared" ref="V31:AF31" si="47">V13/U13-1</f>
        <v>0.26529581259589108</v>
      </c>
      <c r="W31" s="18">
        <f t="shared" si="47"/>
        <v>0.17999999999999994</v>
      </c>
      <c r="X31" s="18">
        <f t="shared" si="47"/>
        <v>0.12000000000000011</v>
      </c>
      <c r="Y31" s="18">
        <f t="shared" si="47"/>
        <v>8.0000000000000071E-2</v>
      </c>
      <c r="Z31" s="18">
        <f t="shared" si="47"/>
        <v>5.0000000000000044E-2</v>
      </c>
      <c r="AA31" s="18">
        <f t="shared" si="47"/>
        <v>4.0000000000000036E-2</v>
      </c>
      <c r="AB31" s="18">
        <f t="shared" si="47"/>
        <v>3.0000000000000027E-2</v>
      </c>
      <c r="AC31" s="18">
        <f t="shared" si="47"/>
        <v>3.0000000000000027E-2</v>
      </c>
      <c r="AD31" s="18">
        <f t="shared" si="47"/>
        <v>2.0000000000000018E-2</v>
      </c>
      <c r="AE31" s="18">
        <f t="shared" si="47"/>
        <v>2.0000000000000018E-2</v>
      </c>
      <c r="AF31" s="18">
        <f t="shared" si="47"/>
        <v>2.0000000000000018E-2</v>
      </c>
    </row>
    <row r="32" spans="2:149" x14ac:dyDescent="0.3">
      <c r="B32" s="15" t="s">
        <v>56</v>
      </c>
      <c r="C32" s="18">
        <f>C17/C16</f>
        <v>0.19334432517917829</v>
      </c>
      <c r="D32" s="18">
        <f t="shared" ref="D32:N32" si="48">D17/D16</f>
        <v>0.16238391488594356</v>
      </c>
      <c r="E32" s="18">
        <f t="shared" si="48"/>
        <v>0.1212030188112492</v>
      </c>
      <c r="F32" s="18">
        <f t="shared" si="48"/>
        <v>0.11963344212904846</v>
      </c>
      <c r="G32" s="18">
        <f t="shared" si="48"/>
        <v>0.14730011019958369</v>
      </c>
      <c r="H32" s="18">
        <f t="shared" si="48"/>
        <v>0.11555412232613135</v>
      </c>
      <c r="I32" s="18">
        <f t="shared" si="48"/>
        <v>0.13728715966110061</v>
      </c>
      <c r="J32" s="18">
        <f t="shared" si="48"/>
        <v>8.7192459912685136E-2</v>
      </c>
      <c r="K32" s="18">
        <f t="shared" si="48"/>
        <v>0.1669358266043349</v>
      </c>
      <c r="L32" s="18">
        <f t="shared" si="48"/>
        <v>0.12312555726675853</v>
      </c>
      <c r="M32" s="18">
        <f t="shared" si="48"/>
        <v>0.12856758815359112</v>
      </c>
      <c r="N32" s="18">
        <f t="shared" si="48"/>
        <v>5.8800215606075019E-2</v>
      </c>
      <c r="O32" s="18"/>
      <c r="P32" s="18"/>
      <c r="Q32" s="18"/>
      <c r="R32" s="18"/>
      <c r="T32" s="18">
        <f t="shared" ref="T32:AF32" si="49">T17/T16</f>
        <v>0.15330383418372748</v>
      </c>
      <c r="U32" s="18">
        <f t="shared" si="49"/>
        <v>0.12351005484460695</v>
      </c>
      <c r="V32" s="18">
        <f t="shared" si="49"/>
        <v>0.11052538023130506</v>
      </c>
      <c r="W32" s="18">
        <f t="shared" si="49"/>
        <v>0.13</v>
      </c>
      <c r="X32" s="18">
        <f t="shared" si="49"/>
        <v>0.13</v>
      </c>
      <c r="Y32" s="18">
        <f t="shared" si="49"/>
        <v>0.13</v>
      </c>
      <c r="Z32" s="18">
        <f t="shared" si="49"/>
        <v>0.13</v>
      </c>
      <c r="AA32" s="18">
        <f t="shared" si="49"/>
        <v>0.13</v>
      </c>
      <c r="AB32" s="18">
        <f t="shared" si="49"/>
        <v>0.13</v>
      </c>
      <c r="AC32" s="18">
        <f t="shared" si="49"/>
        <v>0.13</v>
      </c>
      <c r="AD32" s="18">
        <f t="shared" si="49"/>
        <v>0.13</v>
      </c>
      <c r="AE32" s="18">
        <f t="shared" si="49"/>
        <v>0.13</v>
      </c>
      <c r="AF32" s="18">
        <f t="shared" si="49"/>
        <v>0.13</v>
      </c>
    </row>
    <row r="35" spans="2:35" s="14" customFormat="1" x14ac:dyDescent="0.3">
      <c r="B35" s="14" t="s">
        <v>31</v>
      </c>
      <c r="T35" s="20">
        <f>T7/Main!$D$12</f>
        <v>48355.122105002971</v>
      </c>
      <c r="U35" s="20">
        <f>U7/Main!$D$12</f>
        <v>58344.118095884362</v>
      </c>
      <c r="V35" s="20">
        <f>V7/Main!$D$12</f>
        <v>74546.564956238843</v>
      </c>
      <c r="W35" s="20">
        <f>W7/Main!$D$12</f>
        <v>88716.287086339653</v>
      </c>
      <c r="X35" s="20">
        <f>X7/Main!$D$12</f>
        <v>100635.32691327155</v>
      </c>
      <c r="Y35" s="20">
        <f>Y7/Main!$D$12</f>
        <v>109606.25813591121</v>
      </c>
      <c r="Z35" s="20">
        <f>Z7/Main!$D$12</f>
        <v>117390.85253254419</v>
      </c>
      <c r="AA35" s="20">
        <f>AA7/Main!$D$12</f>
        <v>123216.55593548178</v>
      </c>
      <c r="AB35" s="20">
        <f>AB7/Main!$D$12</f>
        <v>128115.40750079209</v>
      </c>
      <c r="AC35" s="20">
        <f>AC7/Main!$D$12</f>
        <v>131943.66628304028</v>
      </c>
      <c r="AD35" s="20">
        <f>AD7/Main!$D$12</f>
        <v>134919.60496147617</v>
      </c>
      <c r="AE35" s="20">
        <f>AE7/Main!$D$12</f>
        <v>137617.9970607057</v>
      </c>
      <c r="AF35" s="20">
        <f>AF7/Main!$D$12</f>
        <v>140370.35700191982</v>
      </c>
    </row>
    <row r="36" spans="2:35" x14ac:dyDescent="0.3">
      <c r="B36" t="s">
        <v>47</v>
      </c>
      <c r="T36" s="21">
        <f>T8/Main!$D$12</f>
        <v>26377.6298807741</v>
      </c>
      <c r="U36" s="21">
        <f>U8/Main!$D$12</f>
        <v>32436.749641045248</v>
      </c>
      <c r="V36" s="21">
        <f>V8/Main!$D$12</f>
        <v>40288.770082766641</v>
      </c>
      <c r="W36" s="21">
        <f>W8/Main!$D$12</f>
        <v>48793.957897486798</v>
      </c>
      <c r="X36" s="21">
        <f>X8/Main!$D$12</f>
        <v>54343.076533166633</v>
      </c>
      <c r="Y36" s="21">
        <f>Y8/Main!$D$12</f>
        <v>59187.379393392053</v>
      </c>
      <c r="Z36" s="21">
        <f>Z8/Main!$D$12</f>
        <v>63391.06036757386</v>
      </c>
      <c r="AA36" s="21">
        <f>AA8/Main!$D$12</f>
        <v>66536.94020516015</v>
      </c>
      <c r="AB36" s="21">
        <f>AB8/Main!$D$12</f>
        <v>67901.165975419819</v>
      </c>
      <c r="AC36" s="21">
        <f>AC8/Main!$D$12</f>
        <v>69930.143130011362</v>
      </c>
      <c r="AD36" s="21">
        <f>AD8/Main!$D$12</f>
        <v>71507.390629582384</v>
      </c>
      <c r="AE36" s="21">
        <f>AE8/Main!$D$12</f>
        <v>72937.538442174031</v>
      </c>
      <c r="AF36" s="21">
        <f>AF8/Main!$D$12</f>
        <v>74396.289211017502</v>
      </c>
    </row>
    <row r="37" spans="2:35" s="14" customFormat="1" x14ac:dyDescent="0.3">
      <c r="B37" s="14" t="s">
        <v>48</v>
      </c>
      <c r="T37" s="20">
        <f>T35-T36</f>
        <v>21977.49222422887</v>
      </c>
      <c r="U37" s="20">
        <f t="shared" ref="U37:AF37" si="50">U35-U36</f>
        <v>25907.368454839114</v>
      </c>
      <c r="V37" s="20">
        <f t="shared" si="50"/>
        <v>34257.794873472201</v>
      </c>
      <c r="W37" s="20">
        <f t="shared" si="50"/>
        <v>39922.329188852855</v>
      </c>
      <c r="X37" s="20">
        <f t="shared" si="50"/>
        <v>46292.250380104917</v>
      </c>
      <c r="Y37" s="20">
        <f t="shared" si="50"/>
        <v>50418.878742519155</v>
      </c>
      <c r="Z37" s="20">
        <f t="shared" si="50"/>
        <v>53999.792164970328</v>
      </c>
      <c r="AA37" s="20">
        <f t="shared" si="50"/>
        <v>56679.615730321631</v>
      </c>
      <c r="AB37" s="20">
        <f t="shared" si="50"/>
        <v>60214.241525372272</v>
      </c>
      <c r="AC37" s="20">
        <f t="shared" si="50"/>
        <v>62013.523153028917</v>
      </c>
      <c r="AD37" s="20">
        <f t="shared" si="50"/>
        <v>63412.214331893789</v>
      </c>
      <c r="AE37" s="20">
        <f t="shared" si="50"/>
        <v>64680.458618531673</v>
      </c>
      <c r="AF37" s="20">
        <f t="shared" si="50"/>
        <v>65974.067790902322</v>
      </c>
    </row>
    <row r="38" spans="2:35" x14ac:dyDescent="0.3">
      <c r="B38" t="s">
        <v>49</v>
      </c>
      <c r="T38" s="21">
        <f>T10/Main!$D$12</f>
        <v>-706.55194182734101</v>
      </c>
      <c r="U38" s="21">
        <f>U10/Main!$D$12</f>
        <v>-976.39942234577165</v>
      </c>
      <c r="V38" s="21">
        <f>V10/Main!$D$12</f>
        <v>-1075.8331931041391</v>
      </c>
      <c r="W38" s="21">
        <f>W10/Main!$D$12</f>
        <v>-1235.9401208719082</v>
      </c>
      <c r="X38" s="21">
        <f>X10/Main!$D$12</f>
        <v>-1290.5699849850521</v>
      </c>
      <c r="Y38" s="21">
        <f>Y10/Main!$D$12</f>
        <v>-1534.529605301273</v>
      </c>
      <c r="Z38" s="21">
        <f>Z10/Main!$D$12</f>
        <v>-1678.2279980796714</v>
      </c>
      <c r="AA38" s="21">
        <f>AA10/Main!$D$12</f>
        <v>-1811.0867981175118</v>
      </c>
      <c r="AB38" s="21">
        <f>AB10/Main!$D$12</f>
        <v>-1909.5506863324788</v>
      </c>
      <c r="AC38" s="21">
        <f>AC10/Main!$D$12</f>
        <v>-2061.2687316552988</v>
      </c>
      <c r="AD38" s="21">
        <f>AD10/Main!$D$12</f>
        <v>-2128.1941925592955</v>
      </c>
      <c r="AE38" s="21">
        <f>AE10/Main!$D$12</f>
        <v>-2181.02251339234</v>
      </c>
      <c r="AF38" s="21">
        <f>AF10/Main!$D$12</f>
        <v>-2226.8657343052664</v>
      </c>
      <c r="AH38" t="s">
        <v>64</v>
      </c>
      <c r="AI38" s="18">
        <v>-0.01</v>
      </c>
    </row>
    <row r="39" spans="2:35" x14ac:dyDescent="0.3">
      <c r="B39" t="s">
        <v>50</v>
      </c>
      <c r="T39" s="21">
        <f>T11/Main!$D$12</f>
        <v>-2584.6594781576223</v>
      </c>
      <c r="U39" s="21">
        <f>U11/Main!$D$12</f>
        <v>-3044.7146383538011</v>
      </c>
      <c r="V39" s="21">
        <f>V11/Main!$D$12</f>
        <v>-8834.7601200564277</v>
      </c>
      <c r="W39" s="21">
        <f>W11/Main!$D$12</f>
        <v>-3196.950370271491</v>
      </c>
      <c r="X39" s="21">
        <f>X11/Main!$D$12</f>
        <v>-3260.889377676921</v>
      </c>
      <c r="Y39" s="21">
        <f>Y11/Main!$D$12</f>
        <v>-3326.1071652304595</v>
      </c>
      <c r="Z39" s="21">
        <f>Z11/Main!$D$12</f>
        <v>-3392.6293085350685</v>
      </c>
      <c r="AA39" s="21">
        <f>AA11/Main!$D$12</f>
        <v>-3460.4818947057693</v>
      </c>
      <c r="AB39" s="21">
        <f>AB11/Main!$D$12</f>
        <v>-3529.6915325998848</v>
      </c>
      <c r="AC39" s="21">
        <f>AC11/Main!$D$12</f>
        <v>-3600.2853632518827</v>
      </c>
      <c r="AD39" s="21">
        <f>AD11/Main!$D$12</f>
        <v>-3672.2910705169202</v>
      </c>
      <c r="AE39" s="21">
        <f>AE11/Main!$D$12</f>
        <v>-3745.7368919272585</v>
      </c>
      <c r="AF39" s="21">
        <f>AF11/Main!$D$12</f>
        <v>-3820.6516297658036</v>
      </c>
      <c r="AH39" t="s">
        <v>65</v>
      </c>
      <c r="AI39" s="18">
        <v>0.05</v>
      </c>
    </row>
    <row r="40" spans="2:35" x14ac:dyDescent="0.3">
      <c r="B40" t="s">
        <v>51</v>
      </c>
      <c r="T40" s="21">
        <f>T12/Main!$D$12</f>
        <v>3747.4005704315941</v>
      </c>
      <c r="U40" s="21">
        <f>U12/Main!$D$12</f>
        <v>3308.6857840529192</v>
      </c>
      <c r="V40" s="21">
        <f>V12/Main!$D$12</f>
        <v>5220.3502850092746</v>
      </c>
      <c r="W40" s="21">
        <f>W12/Main!$D$12</f>
        <v>6653.7215314754731</v>
      </c>
      <c r="X40" s="21">
        <f>X12/Main!$D$12</f>
        <v>7044.4728839290092</v>
      </c>
      <c r="Y40" s="21">
        <f>Y12/Main!$D$12</f>
        <v>7672.4380695137852</v>
      </c>
      <c r="Z40" s="21">
        <f>Z12/Main!$D$12</f>
        <v>8217.3596772780948</v>
      </c>
      <c r="AA40" s="21">
        <f>AA12/Main!$D$12</f>
        <v>8625.1589154837257</v>
      </c>
      <c r="AB40" s="21">
        <f>AB12/Main!$D$12</f>
        <v>8968.0785250554472</v>
      </c>
      <c r="AC40" s="21">
        <f>AC12/Main!$D$12</f>
        <v>9236.0566398128212</v>
      </c>
      <c r="AD40" s="21">
        <f>AD12/Main!$D$12</f>
        <v>9444.3723473033333</v>
      </c>
      <c r="AE40" s="21">
        <f>AE12/Main!$D$12</f>
        <v>9633.2597942494012</v>
      </c>
      <c r="AF40" s="21">
        <f>AF12/Main!$D$12</f>
        <v>9825.9249901343883</v>
      </c>
      <c r="AH40" t="s">
        <v>66</v>
      </c>
      <c r="AI40" s="7">
        <f>NPV(AI39,V19:ES19)</f>
        <v>3992768.6413044226</v>
      </c>
    </row>
    <row r="41" spans="2:35" x14ac:dyDescent="0.3">
      <c r="B41" t="s">
        <v>52</v>
      </c>
      <c r="T41" s="21">
        <f>T13/Main!$D$12</f>
        <v>6420.9782728288146</v>
      </c>
      <c r="U41" s="21">
        <f>U13/Main!$D$12</f>
        <v>8264.9102829730946</v>
      </c>
      <c r="V41" s="21">
        <f>V13/Main!$D$12</f>
        <v>10457.556372526578</v>
      </c>
      <c r="W41" s="21">
        <f>W13/Main!$D$12</f>
        <v>12339.916519581362</v>
      </c>
      <c r="X41" s="21">
        <f>X13/Main!$D$12</f>
        <v>13820.706501931127</v>
      </c>
      <c r="Y41" s="21">
        <f>Y13/Main!$D$12</f>
        <v>14926.363022085619</v>
      </c>
      <c r="Z41" s="21">
        <f>Z13/Main!$D$12</f>
        <v>15672.681173189902</v>
      </c>
      <c r="AA41" s="21">
        <f>AA13/Main!$D$12</f>
        <v>16299.588420117499</v>
      </c>
      <c r="AB41" s="21">
        <f>AB13/Main!$D$12</f>
        <v>16788.576072721025</v>
      </c>
      <c r="AC41" s="21">
        <f>AC13/Main!$D$12</f>
        <v>17292.233354902655</v>
      </c>
      <c r="AD41" s="21">
        <f>AD13/Main!$D$12</f>
        <v>17638.078022000711</v>
      </c>
      <c r="AE41" s="21">
        <f>AE13/Main!$D$12</f>
        <v>17990.839582440723</v>
      </c>
      <c r="AF41" s="21">
        <f>AF13/Main!$D$12</f>
        <v>18350.656374089536</v>
      </c>
      <c r="AH41" t="s">
        <v>70</v>
      </c>
      <c r="AI41" s="7">
        <f>Main!D8*Main!D12</f>
        <v>482317</v>
      </c>
    </row>
    <row r="42" spans="2:35" s="14" customFormat="1" x14ac:dyDescent="0.3">
      <c r="B42" s="14" t="s">
        <v>53</v>
      </c>
      <c r="T42" s="20">
        <f>T37-SUM(T38:T41)</f>
        <v>15100.324800953425</v>
      </c>
      <c r="U42" s="20">
        <f t="shared" ref="U42:AF42" si="51">U37-SUM(U38:U41)</f>
        <v>18354.886448512672</v>
      </c>
      <c r="V42" s="20">
        <f t="shared" si="51"/>
        <v>28490.481529096916</v>
      </c>
      <c r="W42" s="20">
        <f t="shared" si="51"/>
        <v>25361.581628939421</v>
      </c>
      <c r="X42" s="20">
        <f t="shared" si="51"/>
        <v>29978.530356906755</v>
      </c>
      <c r="Y42" s="20">
        <f t="shared" si="51"/>
        <v>32680.714421451485</v>
      </c>
      <c r="Z42" s="20">
        <f t="shared" si="51"/>
        <v>35180.60862111707</v>
      </c>
      <c r="AA42" s="20">
        <f t="shared" si="51"/>
        <v>37026.437087543687</v>
      </c>
      <c r="AB42" s="20">
        <f t="shared" si="51"/>
        <v>39896.829146528165</v>
      </c>
      <c r="AC42" s="20">
        <f t="shared" si="51"/>
        <v>41146.787253220624</v>
      </c>
      <c r="AD42" s="20">
        <f t="shared" si="51"/>
        <v>42130.249225665961</v>
      </c>
      <c r="AE42" s="20">
        <f t="shared" si="51"/>
        <v>42983.118647161144</v>
      </c>
      <c r="AF42" s="20">
        <f t="shared" si="51"/>
        <v>43845.00379074947</v>
      </c>
      <c r="AH42" t="s">
        <v>67</v>
      </c>
      <c r="AI42" s="24">
        <f>AI40+AI41</f>
        <v>4475085.6413044222</v>
      </c>
    </row>
    <row r="43" spans="2:35" x14ac:dyDescent="0.3">
      <c r="B43" t="s">
        <v>54</v>
      </c>
      <c r="T43" s="21">
        <f>T15/Main!$D$12</f>
        <v>492.06572092243357</v>
      </c>
      <c r="U43" s="21">
        <f>U15/Main!$D$12</f>
        <v>1437.2277844918597</v>
      </c>
      <c r="V43" s="21">
        <f>V15/Main!$D$12</f>
        <v>651.80924377374527</v>
      </c>
      <c r="W43" s="21">
        <f>W15/Main!$D$12</f>
        <v>586.62831939637078</v>
      </c>
      <c r="X43" s="21">
        <f>X15/Main!$D$12</f>
        <v>527.96548745673374</v>
      </c>
      <c r="Y43" s="21">
        <f>Y15/Main!$D$12</f>
        <v>475.16893871106032</v>
      </c>
      <c r="Z43" s="21">
        <f>Z15/Main!$D$12</f>
        <v>427.65204483995433</v>
      </c>
      <c r="AA43" s="21">
        <f>AA15/Main!$D$12</f>
        <v>384.8868403559589</v>
      </c>
      <c r="AB43" s="21">
        <f>AB15/Main!$D$12</f>
        <v>346.39815632036306</v>
      </c>
      <c r="AC43" s="21">
        <f>AC15/Main!$D$12</f>
        <v>311.75834068832677</v>
      </c>
      <c r="AD43" s="21">
        <f>AD15/Main!$D$12</f>
        <v>280.5825066194941</v>
      </c>
      <c r="AE43" s="21">
        <f>AE15/Main!$D$12</f>
        <v>252.52425595754471</v>
      </c>
      <c r="AF43" s="21">
        <f>AF15/Main!$D$12</f>
        <v>227.27183036179025</v>
      </c>
      <c r="AH43" s="15" t="s">
        <v>68</v>
      </c>
      <c r="AI43" s="2">
        <f>(AI42*Main!D13)/AF48</f>
        <v>567.7233124678429</v>
      </c>
    </row>
    <row r="44" spans="2:35" s="14" customFormat="1" x14ac:dyDescent="0.3">
      <c r="B44" s="14" t="s">
        <v>55</v>
      </c>
      <c r="T44" s="20">
        <f>T42-T43</f>
        <v>14608.259080030992</v>
      </c>
      <c r="U44" s="20">
        <f t="shared" ref="U44:AF44" si="52">U42-U43</f>
        <v>16917.658664020812</v>
      </c>
      <c r="V44" s="20">
        <f t="shared" si="52"/>
        <v>27838.672285323169</v>
      </c>
      <c r="W44" s="20">
        <f t="shared" si="52"/>
        <v>24774.953309543049</v>
      </c>
      <c r="X44" s="20">
        <f t="shared" si="52"/>
        <v>29450.56486945002</v>
      </c>
      <c r="Y44" s="20">
        <f t="shared" si="52"/>
        <v>32205.545482740425</v>
      </c>
      <c r="Z44" s="20">
        <f t="shared" si="52"/>
        <v>34752.956576277116</v>
      </c>
      <c r="AA44" s="20">
        <f t="shared" si="52"/>
        <v>36641.550247187726</v>
      </c>
      <c r="AB44" s="20">
        <f t="shared" si="52"/>
        <v>39550.430990207802</v>
      </c>
      <c r="AC44" s="20">
        <f t="shared" si="52"/>
        <v>40835.028912532296</v>
      </c>
      <c r="AD44" s="20">
        <f t="shared" si="52"/>
        <v>41849.666719046465</v>
      </c>
      <c r="AE44" s="20">
        <f t="shared" si="52"/>
        <v>42730.594391203602</v>
      </c>
      <c r="AF44" s="20">
        <f t="shared" si="52"/>
        <v>43617.731960387682</v>
      </c>
      <c r="AH44" t="s">
        <v>69</v>
      </c>
      <c r="AI44" s="23">
        <f>Main!D3</f>
        <v>600</v>
      </c>
    </row>
    <row r="45" spans="2:35" x14ac:dyDescent="0.3">
      <c r="B45" t="s">
        <v>56</v>
      </c>
      <c r="T45" s="21">
        <f>T17/Main!$D$12</f>
        <v>2239.5021277180022</v>
      </c>
      <c r="U45" s="21">
        <f>U17/Main!$D$12</f>
        <v>2089.5009494355509</v>
      </c>
      <c r="V45" s="21">
        <f>V17/Main!$D$12</f>
        <v>3076.879839470038</v>
      </c>
      <c r="W45" s="21">
        <f>W17/Main!$D$12</f>
        <v>3220.7439302405942</v>
      </c>
      <c r="X45" s="21">
        <f>X17/Main!$D$12</f>
        <v>3828.5734330285022</v>
      </c>
      <c r="Y45" s="21">
        <f>Y17/Main!$D$12</f>
        <v>4186.7209127562555</v>
      </c>
      <c r="Z45" s="21">
        <f>Z17/Main!$D$12</f>
        <v>4517.8843549160265</v>
      </c>
      <c r="AA45" s="21">
        <f>AA17/Main!$D$12</f>
        <v>4763.4015321344032</v>
      </c>
      <c r="AB45" s="21">
        <f>AB17/Main!$D$12</f>
        <v>5141.5560287270146</v>
      </c>
      <c r="AC45" s="21">
        <f>AC17/Main!$D$12</f>
        <v>5308.5537586291994</v>
      </c>
      <c r="AD45" s="21">
        <f>AD17/Main!$D$12</f>
        <v>5440.4566734760429</v>
      </c>
      <c r="AE45" s="21">
        <f>AE17/Main!$D$12</f>
        <v>5554.9772708564697</v>
      </c>
      <c r="AF45" s="21">
        <f>AF17/Main!$D$12</f>
        <v>5670.3051548503972</v>
      </c>
      <c r="AH45" s="14" t="s">
        <v>71</v>
      </c>
      <c r="AI45" s="16">
        <f>AI43/AI44-1</f>
        <v>-5.3794479220261815E-2</v>
      </c>
    </row>
    <row r="46" spans="2:35" x14ac:dyDescent="0.3">
      <c r="B46" t="s">
        <v>57</v>
      </c>
      <c r="T46" s="21">
        <f>T18/Main!$D$12</f>
        <v>195.62009332711455</v>
      </c>
      <c r="U46" s="21">
        <f>U18/Main!$D$12</f>
        <v>398.66292537336068</v>
      </c>
      <c r="V46" s="21">
        <f>V18/Main!$D$12</f>
        <v>42.990028414970624</v>
      </c>
      <c r="W46" s="21">
        <f>W18/Main!$D$12</f>
        <v>44.709629551569449</v>
      </c>
      <c r="X46" s="21">
        <f>X18/Main!$D$12</f>
        <v>46.498014733632232</v>
      </c>
      <c r="Y46" s="21">
        <f>Y18/Main!$D$12</f>
        <v>48.357935322977518</v>
      </c>
      <c r="Z46" s="21">
        <f>Z18/Main!$D$12</f>
        <v>50.292252735896625</v>
      </c>
      <c r="AA46" s="21">
        <f>AA18/Main!$D$12</f>
        <v>52.3039428453325</v>
      </c>
      <c r="AB46" s="21">
        <f>AB18/Main!$D$12</f>
        <v>54.3961005591458</v>
      </c>
      <c r="AC46" s="21">
        <f>AC18/Main!$D$12</f>
        <v>56.571944581511637</v>
      </c>
      <c r="AD46" s="21">
        <f>AD18/Main!$D$12</f>
        <v>58.834822364772101</v>
      </c>
      <c r="AE46" s="21">
        <f>AE18/Main!$D$12</f>
        <v>61.188215259362991</v>
      </c>
      <c r="AF46" s="21">
        <f>AF18/Main!$D$12</f>
        <v>63.63574386973751</v>
      </c>
      <c r="AH46" t="s">
        <v>72</v>
      </c>
      <c r="AI46" s="13" t="s">
        <v>89</v>
      </c>
    </row>
    <row r="47" spans="2:35" s="14" customFormat="1" x14ac:dyDescent="0.3">
      <c r="B47" s="14" t="s">
        <v>58</v>
      </c>
      <c r="T47" s="20">
        <f>T44-T45-T46</f>
        <v>12173.136858985876</v>
      </c>
      <c r="U47" s="20">
        <f t="shared" ref="U47:AF47" si="53">U44-U45-U46</f>
        <v>14429.4947892119</v>
      </c>
      <c r="V47" s="20">
        <f t="shared" si="53"/>
        <v>24718.802417438161</v>
      </c>
      <c r="W47" s="20">
        <f t="shared" si="53"/>
        <v>21509.499749750885</v>
      </c>
      <c r="X47" s="20">
        <f t="shared" si="53"/>
        <v>25575.493421687886</v>
      </c>
      <c r="Y47" s="20">
        <f t="shared" si="53"/>
        <v>27970.466634661192</v>
      </c>
      <c r="Z47" s="20">
        <f t="shared" si="53"/>
        <v>30184.779968625193</v>
      </c>
      <c r="AA47" s="20">
        <f t="shared" si="53"/>
        <v>31825.844772207987</v>
      </c>
      <c r="AB47" s="20">
        <f t="shared" si="53"/>
        <v>34354.478860921641</v>
      </c>
      <c r="AC47" s="20">
        <f t="shared" si="53"/>
        <v>35469.903209321586</v>
      </c>
      <c r="AD47" s="20">
        <f t="shared" si="53"/>
        <v>36350.37522320565</v>
      </c>
      <c r="AE47" s="20">
        <f t="shared" si="53"/>
        <v>37114.428905087771</v>
      </c>
      <c r="AF47" s="20">
        <f t="shared" si="53"/>
        <v>37883.791061667544</v>
      </c>
    </row>
    <row r="48" spans="2:35" x14ac:dyDescent="0.3">
      <c r="B48" t="s">
        <v>1</v>
      </c>
      <c r="T48" s="12">
        <v>9468</v>
      </c>
      <c r="U48" s="12">
        <v>9468</v>
      </c>
      <c r="V48" s="12">
        <v>9468</v>
      </c>
      <c r="W48" s="12">
        <v>9468</v>
      </c>
      <c r="X48" s="12">
        <v>9468</v>
      </c>
      <c r="Y48" s="12">
        <v>9468</v>
      </c>
      <c r="Z48" s="12">
        <v>9468</v>
      </c>
      <c r="AA48" s="12">
        <v>9468</v>
      </c>
      <c r="AB48" s="12">
        <v>9468</v>
      </c>
      <c r="AC48" s="12">
        <v>9468</v>
      </c>
      <c r="AD48" s="12">
        <v>9468</v>
      </c>
      <c r="AE48" s="12">
        <v>9468</v>
      </c>
      <c r="AF48" s="12">
        <v>9468</v>
      </c>
    </row>
    <row r="49" spans="2:32" s="14" customFormat="1" x14ac:dyDescent="0.3">
      <c r="B49" s="14" t="s">
        <v>59</v>
      </c>
      <c r="T49" s="17">
        <f>T47/T48</f>
        <v>1.2857136521953818</v>
      </c>
      <c r="U49" s="17">
        <f t="shared" ref="U49:AF49" si="54">U47/U48</f>
        <v>1.5240277555145649</v>
      </c>
      <c r="V49" s="17">
        <f t="shared" si="54"/>
        <v>2.6107733858722182</v>
      </c>
      <c r="W49" s="17">
        <f t="shared" si="54"/>
        <v>2.2718102819762236</v>
      </c>
      <c r="X49" s="17">
        <f t="shared" si="54"/>
        <v>2.701256170435983</v>
      </c>
      <c r="Y49" s="17">
        <f t="shared" si="54"/>
        <v>2.954210671172496</v>
      </c>
      <c r="Z49" s="17">
        <f t="shared" si="54"/>
        <v>3.1880840693520485</v>
      </c>
      <c r="AA49" s="17">
        <f t="shared" si="54"/>
        <v>3.3614115728990268</v>
      </c>
      <c r="AB49" s="17">
        <f t="shared" si="54"/>
        <v>3.6284831919013141</v>
      </c>
      <c r="AC49" s="17">
        <f t="shared" si="54"/>
        <v>3.7462931146305012</v>
      </c>
      <c r="AD49" s="17">
        <f t="shared" si="54"/>
        <v>3.839287623912722</v>
      </c>
      <c r="AE49" s="17">
        <f t="shared" si="54"/>
        <v>3.9199861538960468</v>
      </c>
      <c r="AF49" s="17">
        <f t="shared" si="54"/>
        <v>4.0012453592804755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BEFBC-BDC2-44C1-99D3-ACD19BB2BBA8}">
  <sheetPr codeName="Sheet3"/>
  <dimension ref="A1:K2"/>
  <sheetViews>
    <sheetView topLeftCell="E1" workbookViewId="0">
      <selection activeCell="E2" sqref="E2"/>
    </sheetView>
  </sheetViews>
  <sheetFormatPr defaultRowHeight="14.4" x14ac:dyDescent="0.3"/>
  <cols>
    <col min="1" max="1" width="21.5546875" bestFit="1" customWidth="1"/>
    <col min="2" max="2" width="31.88671875" bestFit="1" customWidth="1"/>
    <col min="3" max="3" width="34.44140625" bestFit="1" customWidth="1"/>
    <col min="4" max="4" width="15.6640625" bestFit="1" customWidth="1"/>
    <col min="5" max="5" width="14.6640625" bestFit="1" customWidth="1"/>
    <col min="6" max="6" width="12.109375" bestFit="1" customWidth="1"/>
    <col min="7" max="7" width="15.88671875" bestFit="1" customWidth="1"/>
    <col min="8" max="8" width="13.21875" bestFit="1" customWidth="1"/>
    <col min="9" max="9" width="15" bestFit="1" customWidth="1"/>
    <col min="10" max="10" width="13" bestFit="1" customWidth="1"/>
    <col min="11" max="11" width="34.44140625" bestFit="1" customWidth="1"/>
    <col min="12" max="12" width="14.6640625" bestFit="1" customWidth="1"/>
    <col min="13" max="14" width="15.6640625" bestFit="1" customWidth="1"/>
  </cols>
  <sheetData>
    <row r="1" spans="1:11" x14ac:dyDescent="0.3">
      <c r="A1" s="9" t="s">
        <v>11</v>
      </c>
      <c r="B1" s="9" t="s">
        <v>12</v>
      </c>
      <c r="C1" s="9" t="s">
        <v>13</v>
      </c>
      <c r="D1" s="9" t="s">
        <v>15</v>
      </c>
      <c r="E1" s="9" t="s">
        <v>14</v>
      </c>
      <c r="F1" s="10" t="s">
        <v>17</v>
      </c>
      <c r="G1" s="10" t="s">
        <v>18</v>
      </c>
      <c r="H1" s="10" t="s">
        <v>19</v>
      </c>
      <c r="I1" s="10" t="s">
        <v>20</v>
      </c>
      <c r="J1" s="10" t="s">
        <v>21</v>
      </c>
      <c r="K1" s="10" t="s">
        <v>22</v>
      </c>
    </row>
    <row r="2" spans="1:11" x14ac:dyDescent="0.3">
      <c r="A2" s="9" t="s">
        <v>83</v>
      </c>
      <c r="B2" s="9" t="s">
        <v>24</v>
      </c>
      <c r="C2" s="9" t="s">
        <v>84</v>
      </c>
      <c r="D2" s="11">
        <v>44323.625011574077</v>
      </c>
      <c r="E2" s="9" t="s">
        <v>16</v>
      </c>
      <c r="F2" s="9" t="s">
        <v>23</v>
      </c>
      <c r="G2" s="9" t="s">
        <v>25</v>
      </c>
      <c r="H2" s="9" t="s">
        <v>26</v>
      </c>
      <c r="I2" s="10">
        <v>6.46661587</v>
      </c>
      <c r="J2" s="10">
        <v>0.15464038999999999</v>
      </c>
      <c r="K2" s="9" t="s">
        <v>85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94912-2DD6-4A14-9AA8-D2073BC55C8C}">
  <sheetPr codeName="Sheet4"/>
  <dimension ref="A1:K2"/>
  <sheetViews>
    <sheetView topLeftCell="C1" workbookViewId="0">
      <selection activeCell="C2" sqref="C2"/>
    </sheetView>
  </sheetViews>
  <sheetFormatPr defaultRowHeight="14.4" x14ac:dyDescent="0.3"/>
  <cols>
    <col min="1" max="1" width="21.5546875" bestFit="1" customWidth="1"/>
    <col min="2" max="2" width="32" bestFit="1" customWidth="1"/>
    <col min="3" max="3" width="39.88671875" bestFit="1" customWidth="1"/>
    <col min="4" max="4" width="15.6640625" bestFit="1" customWidth="1"/>
    <col min="5" max="5" width="14.6640625" bestFit="1" customWidth="1"/>
    <col min="6" max="6" width="12.109375" bestFit="1" customWidth="1"/>
    <col min="7" max="7" width="15.88671875" bestFit="1" customWidth="1"/>
    <col min="8" max="8" width="15.109375" bestFit="1" customWidth="1"/>
    <col min="9" max="9" width="15" bestFit="1" customWidth="1"/>
    <col min="10" max="10" width="13" bestFit="1" customWidth="1"/>
    <col min="11" max="11" width="39.88671875" bestFit="1" customWidth="1"/>
  </cols>
  <sheetData>
    <row r="1" spans="1:11" x14ac:dyDescent="0.3">
      <c r="A1" s="6" t="s">
        <v>11</v>
      </c>
      <c r="B1" s="6" t="s">
        <v>12</v>
      </c>
      <c r="C1" s="6" t="s">
        <v>13</v>
      </c>
      <c r="D1" s="6" t="s">
        <v>15</v>
      </c>
      <c r="E1" s="6" t="s">
        <v>14</v>
      </c>
      <c r="F1" s="6" t="s">
        <v>17</v>
      </c>
      <c r="G1" s="6" t="s">
        <v>18</v>
      </c>
      <c r="H1" s="6" t="s">
        <v>19</v>
      </c>
      <c r="I1" s="6" t="s">
        <v>20</v>
      </c>
      <c r="J1" s="6" t="s">
        <v>21</v>
      </c>
      <c r="K1" s="6" t="s">
        <v>22</v>
      </c>
    </row>
    <row r="2" spans="1:11" x14ac:dyDescent="0.3">
      <c r="A2" s="6" t="s">
        <v>86</v>
      </c>
      <c r="B2" s="6" t="s">
        <v>29</v>
      </c>
      <c r="C2" s="6" t="s">
        <v>87</v>
      </c>
      <c r="D2" s="8">
        <v>44323.625011574077</v>
      </c>
      <c r="E2" s="6" t="s">
        <v>25</v>
      </c>
      <c r="F2" s="6" t="s">
        <v>26</v>
      </c>
      <c r="G2" s="6" t="s">
        <v>27</v>
      </c>
      <c r="H2" s="6" t="s">
        <v>28</v>
      </c>
      <c r="I2" s="6">
        <v>1.2011399899999999</v>
      </c>
      <c r="J2" s="6">
        <v>0.83254242000000001</v>
      </c>
      <c r="K2" s="6" t="s">
        <v>88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6 8 2 f 1 3 b - 3 9 4 8 - 4 0 6 b - 9 2 c c - 8 8 9 6 6 8 9 e 8 c 1 7 "   x m l n s = " h t t p : / / s c h e m a s . m i c r o s o f t . c o m / D a t a M a s h u p " > A A A A A E k E A A B Q S w M E F A A C A A g A z Y C n U t U e S Q a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Q K R i Y m e g Y 0 + T M z G N z M P I W 8 E d C 5 I F k n Q x r k 0 p 6 S 0 K N U u N U / X 3 c l G H 8 a 1 0 Y d 6 w Q 4 A U E s D B B Q A A g A I A M 2 A p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g K d S g 9 D Z 9 U I B A A C z B A A A E w A c A E Z v c m 1 1 b G F z L 1 N l Y 3 R p b 2 4 x L m 0 g o h g A K K A U A A A A A A A A A A A A A A A A A A A A A A A A A A A A 7 V J N S 8 Q w F L w X + h 9 C v L R Q W p f F i + K p e x M 8 7 C 4 o i I c 0 f e s G 8 1 G S V 7 u l 7 H 8 3 b f 1 Y r K s e P I m 5 J M z k z Z u 8 j A O O w m i y G v f Z R R i E g d s y C y W x q i C X R A K G A f F r Z W r L w S O 3 S q Z r V k h w 0 Q 0 U a W 4 0 g k Y X 0 S 1 i 5 c 6 z r G m a d C M N Q 8 s Q X M q N y k o m Z J v V r k x 3 S t I 4 T k Z N g a C 8 4 i j d n e 7 v e u D + h T y h + Z b p B + 9 k 3 V Z A / b 2 h a 7 q 2 T L u N s S o 3 s l a 6 J 1 3 U F y Z d R 1 G g B J o Q 9 C h B 2 O E + I R 2 V Q j 9 O w B I c t 6 L q 3 z 3 h q r p Y e P O v e O n P K B Q M X M E c 5 L W 1 o H k 7 K e z J a 6 a m F p D Z B 8 C j d S P 9 a S X s + D C H 5 Y E h X a s C 7 E A L / Q T W f c M u j r x 1 H 7 8 N + w o q J M u + E T E b s j S N e x / 5 A E c f P i S Z z 5 N Z H A Z C f y F x G C i u 2 1 8 O l F f 8 D 9 T f C d T Z T w L 1 D F B L A Q I t A B Q A A g A I A M 2 A p 1 L V H k k G p Q A A A P U A A A A S A A A A A A A A A A A A A A A A A A A A A A B D b 2 5 m a W c v U G F j a 2 F n Z S 5 4 b W x Q S w E C L Q A U A A I A C A D N g K d S D 8 r p q 6 Q A A A D p A A A A E w A A A A A A A A A A A A A A A A D x A A A A W 0 N v b n R l b n R f V H l w Z X N d L n h t b F B L A Q I t A B Q A A g A I A M 2 A p 1 K D 0 N n 1 Q g E A A L M E A A A T A A A A A A A A A A A A A A A A A O I B A A B G b 3 J t d W x h c y 9 T Z W N 0 a W 9 u M S 5 t U E s F B g A A A A A D A A M A w g A A A H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8 c A A A A A A A A n R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t Y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b W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b W I v Q 2 h h b m d l Z C B U e X B l L n t 0 a X R s Z S w w f S Z x d W 9 0 O y w m c X V v d D t T Z W N 0 a W 9 u M S 9 y b W I v Q 2 h h b m d l Z C B U e X B l L n t s a W 5 r L D F 9 J n F 1 b 3 Q 7 L C Z x d W 9 0 O 1 N l Y 3 R p b 2 4 x L 3 J t Y i 9 D a G F u Z 2 V k I F R 5 c G U u e 2 R l c 2 N y a X B 0 a W 9 u L D J 9 J n F 1 b 3 Q 7 L C Z x d W 9 0 O 1 N l Y 3 R p b 2 4 x L 3 J t Y i 9 D a G F u Z 2 V k I F R 5 c G U u e 3 B 1 Y k R h d G U s M 3 0 m c X V v d D s s J n F 1 b 3 Q 7 U 2 V j d G l v b j E v c m 1 i L 0 N o Y W 5 n Z W Q g V H l w Z S 5 7 Y m F z Z U N 1 c n J l b m N 5 L D R 9 J n F 1 b 3 Q 7 L C Z x d W 9 0 O 1 N l Y 3 R p b 2 4 x L 3 J t Y i 9 D a G F u Z 2 V k I F R 5 c G U u e 2 J h c 2 V O Y W 1 l L D V 9 J n F 1 b 3 Q 7 L C Z x d W 9 0 O 1 N l Y 3 R p b 2 4 x L 3 J t Y i 9 D a G F u Z 2 V k I F R 5 c G U u e 3 R h c m d l d E N 1 c n J l b m N 5 L D Z 9 J n F 1 b 3 Q 7 L C Z x d W 9 0 O 1 N l Y 3 R p b 2 4 x L 3 J t Y i 9 D a G F u Z 2 V k I F R 5 c G U u e 3 R h c m d l d E 5 h b W U s N 3 0 m c X V v d D s s J n F 1 b 3 Q 7 U 2 V j d G l v b j E v c m 1 i L 0 N o Y W 5 n Z W Q g V H l w Z S 5 7 Z X h j a G F u Z 2 V S Y X R l L D h 9 J n F 1 b 3 Q 7 L C Z x d W 9 0 O 1 N l Y 3 R p b 2 4 x L 3 J t Y i 9 D a G F u Z 2 V k I F R 5 c G U u e 2 l u d m V y c 2 V S Y X R l L D l 9 J n F 1 b 3 Q 7 L C Z x d W 9 0 O 1 N l Y 3 R p b 2 4 x L 3 J t Y i 9 D a G F u Z 2 V k I F R 5 c G U u e 2 l u d m V y c 2 V E Z X N j c m l w d G l v b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J t Y i 9 D a G F u Z 2 V k I F R 5 c G U u e 3 R p d G x l L D B 9 J n F 1 b 3 Q 7 L C Z x d W 9 0 O 1 N l Y 3 R p b 2 4 x L 3 J t Y i 9 D a G F u Z 2 V k I F R 5 c G U u e 2 x p b m s s M X 0 m c X V v d D s s J n F 1 b 3 Q 7 U 2 V j d G l v b j E v c m 1 i L 0 N o Y W 5 n Z W Q g V H l w Z S 5 7 Z G V z Y 3 J p c H R p b 2 4 s M n 0 m c X V v d D s s J n F 1 b 3 Q 7 U 2 V j d G l v b j E v c m 1 i L 0 N o Y W 5 n Z W Q g V H l w Z S 5 7 c H V i R G F 0 Z S w z f S Z x d W 9 0 O y w m c X V v d D t T Z W N 0 a W 9 u M S 9 y b W I v Q 2 h h b m d l Z C B U e X B l L n t i Y X N l Q 3 V y c m V u Y 3 k s N H 0 m c X V v d D s s J n F 1 b 3 Q 7 U 2 V j d G l v b j E v c m 1 i L 0 N o Y W 5 n Z W Q g V H l w Z S 5 7 Y m F z Z U 5 h b W U s N X 0 m c X V v d D s s J n F 1 b 3 Q 7 U 2 V j d G l v b j E v c m 1 i L 0 N o Y W 5 n Z W Q g V H l w Z S 5 7 d G F y Z 2 V 0 Q 3 V y c m V u Y 3 k s N n 0 m c X V v d D s s J n F 1 b 3 Q 7 U 2 V j d G l v b j E v c m 1 i L 0 N o Y W 5 n Z W Q g V H l w Z S 5 7 d G F y Z 2 V 0 T m F t Z S w 3 f S Z x d W 9 0 O y w m c X V v d D t T Z W N 0 a W 9 u M S 9 y b W I v Q 2 h h b m d l Z C B U e X B l L n t l e G N o Y W 5 n Z V J h d G U s O H 0 m c X V v d D s s J n F 1 b 3 Q 7 U 2 V j d G l v b j E v c m 1 i L 0 N o Y W 5 n Z W Q g V H l w Z S 5 7 a W 5 2 Z X J z Z V J h d G U s O X 0 m c X V v d D s s J n F 1 b 3 Q 7 U 2 V j d G l v b j E v c m 1 i L 0 N o Y W 5 n Z W Q g V H l w Z S 5 7 a W 5 2 Z X J z Z U R l c 2 N y a X B 0 a W 9 u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d G l 0 b G U m c X V v d D s s J n F 1 b 3 Q 7 b G l u a y Z x d W 9 0 O y w m c X V v d D t k Z X N j c m l w d G l v b i Z x d W 9 0 O y w m c X V v d D t w d W J E Y X R l J n F 1 b 3 Q 7 L C Z x d W 9 0 O 2 J h c 2 V D d X J y Z W 5 j e S Z x d W 9 0 O y w m c X V v d D t i Y X N l T m F t Z S Z x d W 9 0 O y w m c X V v d D t 0 Y X J n Z X R D d X J y Z W 5 j e S Z x d W 9 0 O y w m c X V v d D t 0 Y X J n Z X R O Y W 1 l J n F 1 b 3 Q 7 L C Z x d W 9 0 O 2 V 4 Y 2 h h b m d l U m F 0 Z S Z x d W 9 0 O y w m c X V v d D t p b n Z l c n N l U m F 0 Z S Z x d W 9 0 O y w m c X V v d D t p b n Z l c n N l R G V z Y 3 J p c H R p b 2 4 m c X V v d D t d I i A v P j x F b n R y e S B U e X B l P S J G a W x s Q 2 9 s d W 1 u V H l w Z X M i I F Z h b H V l P S J z Q m d Z R 0 J 3 W U d C Z 1 l G Q l F Z P S I g L z 4 8 R W 5 0 c n k g V H l w Z T 0 i R m l s b E x h c 3 R V c G R h d G V k I i B W Y W x 1 Z T 0 i Z D I w M j E t M D U t M D d U M T M 6 M D U 6 N D Q u N z Y x N T I w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N j O G J i Y W Y 0 Z S 0 1 O G F h L T Q z O D E t O G R i Y S 0 x N j h m Y T g w Z T E 4 M T Y i I C 8 + P E V u d H J 5 I F R 5 c G U 9 I k Z p b G x D b 3 V u d C I g V m F s d W U 9 I m w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1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t Y i 9 p d G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5 5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9 E Y X R h T W 9 k Z W x F b m F i b G V k I i B W Y W x 1 Z T 0 i b D A i I C 8 + P E V u d H J 5 I F R 5 c G U 9 I l J l Y 2 9 2 Z X J 5 V G F y Z 2 V 0 U 2 h l Z X Q i I F Z h b H V l P S J z U 2 h l Z X Q 2 I i A v P j x F b n R y e S B U e X B l P S J S Z W N v d m V y e V R h c m d l d E N v b H V t b i I g V m F s d W U 9 I m w x I i A v P j x F b n R y e S B U e X B l P S J G a W x s T 2 J q Z W N 0 V H l w Z S I g V m F s d W U 9 I n N U Y W J s Z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Z p b G x F b m F i b G V k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n k v Q 2 h h b m d l Z C B U e X B l L n t 0 a X R s Z S w w f S Z x d W 9 0 O y w m c X V v d D t T Z W N 0 a W 9 u M S 9 j b n k v Q 2 h h b m d l Z C B U e X B l L n t s a W 5 r L D F 9 J n F 1 b 3 Q 7 L C Z x d W 9 0 O 1 N l Y 3 R p b 2 4 x L 2 N u e S 9 D a G F u Z 2 V k I F R 5 c G U u e 2 R l c 2 N y a X B 0 a W 9 u L D J 9 J n F 1 b 3 Q 7 L C Z x d W 9 0 O 1 N l Y 3 R p b 2 4 x L 2 N u e S 9 D a G F u Z 2 V k I F R 5 c G U u e 3 B 1 Y k R h d G U s M 3 0 m c X V v d D s s J n F 1 b 3 Q 7 U 2 V j d G l v b j E v Y 2 5 5 L 0 N o Y W 5 n Z W Q g V H l w Z S 5 7 Y m F z Z U N 1 c n J l b m N 5 L D R 9 J n F 1 b 3 Q 7 L C Z x d W 9 0 O 1 N l Y 3 R p b 2 4 x L 2 N u e S 9 D a G F u Z 2 V k I F R 5 c G U u e 2 J h c 2 V O Y W 1 l L D V 9 J n F 1 b 3 Q 7 L C Z x d W 9 0 O 1 N l Y 3 R p b 2 4 x L 2 N u e S 9 D a G F u Z 2 V k I F R 5 c G U u e 3 R h c m d l d E N 1 c n J l b m N 5 L D Z 9 J n F 1 b 3 Q 7 L C Z x d W 9 0 O 1 N l Y 3 R p b 2 4 x L 2 N u e S 9 D a G F u Z 2 V k I F R 5 c G U u e 3 R h c m d l d E 5 h b W U s N 3 0 m c X V v d D s s J n F 1 b 3 Q 7 U 2 V j d G l v b j E v Y 2 5 5 L 0 N o Y W 5 n Z W Q g V H l w Z S 5 7 Z X h j a G F u Z 2 V S Y X R l L D h 9 J n F 1 b 3 Q 7 L C Z x d W 9 0 O 1 N l Y 3 R p b 2 4 x L 2 N u e S 9 D a G F u Z 2 V k I F R 5 c G U u e 2 l u d m V y c 2 V S Y X R l L D l 9 J n F 1 b 3 Q 7 L C Z x d W 9 0 O 1 N l Y 3 R p b 2 4 x L 2 N u e S 9 D a G F u Z 2 V k I F R 5 c G U u e 2 l u d m V y c 2 V E Z X N j c m l w d G l v b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N u e S 9 D a G F u Z 2 V k I F R 5 c G U u e 3 R p d G x l L D B 9 J n F 1 b 3 Q 7 L C Z x d W 9 0 O 1 N l Y 3 R p b 2 4 x L 2 N u e S 9 D a G F u Z 2 V k I F R 5 c G U u e 2 x p b m s s M X 0 m c X V v d D s s J n F 1 b 3 Q 7 U 2 V j d G l v b j E v Y 2 5 5 L 0 N o Y W 5 n Z W Q g V H l w Z S 5 7 Z G V z Y 3 J p c H R p b 2 4 s M n 0 m c X V v d D s s J n F 1 b 3 Q 7 U 2 V j d G l v b j E v Y 2 5 5 L 0 N o Y W 5 n Z W Q g V H l w Z S 5 7 c H V i R G F 0 Z S w z f S Z x d W 9 0 O y w m c X V v d D t T Z W N 0 a W 9 u M S 9 j b n k v Q 2 h h b m d l Z C B U e X B l L n t i Y X N l Q 3 V y c m V u Y 3 k s N H 0 m c X V v d D s s J n F 1 b 3 Q 7 U 2 V j d G l v b j E v Y 2 5 5 L 0 N o Y W 5 n Z W Q g V H l w Z S 5 7 Y m F z Z U 5 h b W U s N X 0 m c X V v d D s s J n F 1 b 3 Q 7 U 2 V j d G l v b j E v Y 2 5 5 L 0 N o Y W 5 n Z W Q g V H l w Z S 5 7 d G F y Z 2 V 0 Q 3 V y c m V u Y 3 k s N n 0 m c X V v d D s s J n F 1 b 3 Q 7 U 2 V j d G l v b j E v Y 2 5 5 L 0 N o Y W 5 n Z W Q g V H l w Z S 5 7 d G F y Z 2 V 0 T m F t Z S w 3 f S Z x d W 9 0 O y w m c X V v d D t T Z W N 0 a W 9 u M S 9 j b n k v Q 2 h h b m d l Z C B U e X B l L n t l e G N o Y W 5 n Z V J h d G U s O H 0 m c X V v d D s s J n F 1 b 3 Q 7 U 2 V j d G l v b j E v Y 2 5 5 L 0 N o Y W 5 n Z W Q g V H l w Z S 5 7 a W 5 2 Z X J z Z V J h d G U s O X 0 m c X V v d D s s J n F 1 b 3 Q 7 U 2 V j d G l v b j E v Y 2 5 5 L 0 N o Y W 5 n Z W Q g V H l w Z S 5 7 a W 5 2 Z X J z Z U R l c 2 N y a X B 0 a W 9 u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d G l 0 b G U m c X V v d D s s J n F 1 b 3 Q 7 b G l u a y Z x d W 9 0 O y w m c X V v d D t k Z X N j c m l w d G l v b i Z x d W 9 0 O y w m c X V v d D t w d W J E Y X R l J n F 1 b 3 Q 7 L C Z x d W 9 0 O 2 J h c 2 V D d X J y Z W 5 j e S Z x d W 9 0 O y w m c X V v d D t i Y X N l T m F t Z S Z x d W 9 0 O y w m c X V v d D t 0 Y X J n Z X R D d X J y Z W 5 j e S Z x d W 9 0 O y w m c X V v d D t 0 Y X J n Z X R O Y W 1 l J n F 1 b 3 Q 7 L C Z x d W 9 0 O 2 V 4 Y 2 h h b m d l U m F 0 Z S Z x d W 9 0 O y w m c X V v d D t p b n Z l c n N l U m F 0 Z S Z x d W 9 0 O y w m c X V v d D t p b n Z l c n N l R G V z Y 3 J p c H R p b 2 4 m c X V v d D t d I i A v P j x F b n R y e S B U e X B l P S J G a W x s Q 2 9 s d W 1 u V H l w Z X M i I F Z h b H V l P S J z Q m d Z R 0 J 3 W U d C Z 1 l G Q l F Z P S I g L z 4 8 R W 5 0 c n k g V H l w Z T 0 i R m l s b E x h c 3 R V c G R h d G V k I i B W Y W x 1 Z T 0 i Z D I w M j E t M D U t M D d U M T M 6 M D Y 6 M j c u M z Y 4 N z E 2 O V o i I C 8 + P E V u d H J 5 I F R 5 c G U 9 I k Z p b G x U Y X J n Z X Q i I F Z h b H V l P S J z Y 2 5 5 I i A v P j x F b n R y e S B U e X B l P S J G a W x s V G F y Z 2 V 0 T m F t Z U N 1 c 3 R v b W l 6 Z W Q i I F Z h b H V l P S J s M S I g L z 4 8 R W 5 0 c n k g V H l w Z T 0 i U X V l c n l J R C I g V m F s d W U 9 I n M y M z Q 5 Z G I y M S 0 5 Z j R j L T R j M G M t Y W N m M y 0 z N D U 3 Z j l h Z m Y 3 O D U i I C 8 + P E V u d H J 5 I F R 5 c G U 9 I k Z p b G x D b 3 V u d C I g V m F s d W U 9 I m w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5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u e S 9 p d G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1 i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1 i L 0 t l c H Q l M j B S Y W 5 n Z S U y M G 9 m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u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u e S 9 L Z X B 0 J T I w U m F u Z 2 U l M j B v Z i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s w R E i G q R k O M o X r O + 7 f k l g A A A A A C A A A A A A A Q Z g A A A A E A A C A A A A B Y 4 I A t C 6 Q T G q n 9 B F z s F B z q A J Z 9 k n a 0 a E D I q h G d k o 7 + Z g A A A A A O g A A A A A I A A C A A A A A D f J p L X m 2 K S C t j L 9 M 8 9 C Z Y x y i 1 u 8 i L W Y j Q L Y n L d M H / t l A A A A C U e N V U L d G H d t 2 9 7 j s H 7 g 8 3 v e R o h M d y u X g S N p L 1 c w h 1 Y + 9 n q E B f Q C i w c f a x H J V K i n q p R c f z W 5 g m 1 U l 2 b i i k O 4 k a 6 a Y g P E r f c v 1 o t S n F 5 8 e D X U A A A A D v 2 z H o l J K j 7 q 5 D B m 4 r l Y 0 A F G u e d b s E S o l R s z z 2 n 8 G R k F V P I y T m U y C R U u B C 1 q n D v s C 3 f G I t + b r b o S l P l f h L K c C j < / D a t a M a s h u p > 
</file>

<file path=customXml/itemProps1.xml><?xml version="1.0" encoding="utf-8"?>
<ds:datastoreItem xmlns:ds="http://schemas.openxmlformats.org/officeDocument/2006/customXml" ds:itemID="{E3BD0196-7AF7-42DD-A45D-45FA8ADA04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Currency</vt:lpstr>
      <vt:lpstr>Currency2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cp:lastPrinted>2020-10-16T13:02:20Z</cp:lastPrinted>
  <dcterms:created xsi:type="dcterms:W3CDTF">2020-10-16T09:11:42Z</dcterms:created>
  <dcterms:modified xsi:type="dcterms:W3CDTF">2021-05-07T13:09:22Z</dcterms:modified>
</cp:coreProperties>
</file>