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23369FE-112B-4E56-BB4F-D43490885F93}" xr6:coauthVersionLast="46" xr6:coauthVersionMax="46" xr10:uidLastSave="{00000000-0000-0000-0000-000000000000}"/>
  <bookViews>
    <workbookView xWindow="-108" yWindow="-108" windowWidth="23256" windowHeight="12576" activeTab="1" xr2:uid="{8F00B6D5-E9B7-41D1-B249-CAFA93BFC4C7}"/>
  </bookViews>
  <sheets>
    <sheet name="Main" sheetId="1" r:id="rId1"/>
    <sheet name="Model" sheetId="3" r:id="rId2"/>
    <sheet name="Currency" sheetId="2" r:id="rId3"/>
  </sheets>
  <definedNames>
    <definedName name="ExternalData_1" localSheetId="2" hidden="1">Currency!$A$1:$F$2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3" l="1"/>
  <c r="R28" i="3"/>
  <c r="R27" i="3"/>
  <c r="R26" i="3"/>
  <c r="R25" i="3"/>
  <c r="R24" i="3"/>
  <c r="Q14" i="3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CK14" i="3" s="1"/>
  <c r="CL14" i="3" s="1"/>
  <c r="CM14" i="3" s="1"/>
  <c r="CN14" i="3" s="1"/>
  <c r="CO14" i="3" s="1"/>
  <c r="CP14" i="3" s="1"/>
  <c r="CQ14" i="3" s="1"/>
  <c r="CR14" i="3" s="1"/>
  <c r="CS14" i="3" s="1"/>
  <c r="CT14" i="3" s="1"/>
  <c r="CU14" i="3" s="1"/>
  <c r="CV14" i="3" s="1"/>
  <c r="CW14" i="3" s="1"/>
  <c r="CX14" i="3" s="1"/>
  <c r="CY14" i="3" s="1"/>
  <c r="CZ14" i="3" s="1"/>
  <c r="DA14" i="3" s="1"/>
  <c r="DB14" i="3" s="1"/>
  <c r="DC14" i="3" s="1"/>
  <c r="DD14" i="3" s="1"/>
  <c r="DE14" i="3" s="1"/>
  <c r="P14" i="3"/>
  <c r="O25" i="3"/>
  <c r="N25" i="3"/>
  <c r="M25" i="3"/>
  <c r="L25" i="3"/>
  <c r="K25" i="3"/>
  <c r="J25" i="3"/>
  <c r="I25" i="3"/>
  <c r="H25" i="3"/>
  <c r="G25" i="3"/>
  <c r="F25" i="3"/>
  <c r="O23" i="3"/>
  <c r="N23" i="3"/>
  <c r="M23" i="3"/>
  <c r="L23" i="3"/>
  <c r="K23" i="3"/>
  <c r="J23" i="3"/>
  <c r="I23" i="3"/>
  <c r="H23" i="3"/>
  <c r="G23" i="3"/>
  <c r="F23" i="3"/>
  <c r="O21" i="3"/>
  <c r="N21" i="3"/>
  <c r="M21" i="3"/>
  <c r="L21" i="3"/>
  <c r="K21" i="3"/>
  <c r="J21" i="3"/>
  <c r="I21" i="3"/>
  <c r="H21" i="3"/>
  <c r="G21" i="3"/>
  <c r="F21" i="3"/>
  <c r="O20" i="3"/>
  <c r="N20" i="3"/>
  <c r="M20" i="3"/>
  <c r="L20" i="3"/>
  <c r="K20" i="3"/>
  <c r="J20" i="3"/>
  <c r="I20" i="3"/>
  <c r="H20" i="3"/>
  <c r="G20" i="3"/>
  <c r="F20" i="3"/>
  <c r="O19" i="3"/>
  <c r="N19" i="3"/>
  <c r="M19" i="3"/>
  <c r="L19" i="3"/>
  <c r="K19" i="3"/>
  <c r="J19" i="3"/>
  <c r="I19" i="3"/>
  <c r="H19" i="3"/>
  <c r="G19" i="3"/>
  <c r="F19" i="3"/>
  <c r="O18" i="3"/>
  <c r="N18" i="3"/>
  <c r="M18" i="3"/>
  <c r="L18" i="3"/>
  <c r="K18" i="3"/>
  <c r="J18" i="3"/>
  <c r="I18" i="3"/>
  <c r="H18" i="3"/>
  <c r="G18" i="3"/>
  <c r="F18" i="3"/>
  <c r="G3" i="3"/>
  <c r="H3" i="3" s="1"/>
  <c r="H9" i="3"/>
  <c r="I9" i="3" s="1"/>
  <c r="J9" i="3" s="1"/>
  <c r="K9" i="3" s="1"/>
  <c r="L9" i="3" s="1"/>
  <c r="M9" i="3" s="1"/>
  <c r="N9" i="3" s="1"/>
  <c r="O9" i="3" s="1"/>
  <c r="G9" i="3"/>
  <c r="F9" i="3"/>
  <c r="O10" i="3"/>
  <c r="N10" i="3"/>
  <c r="M10" i="3"/>
  <c r="L10" i="3"/>
  <c r="K10" i="3"/>
  <c r="J10" i="3"/>
  <c r="I10" i="3"/>
  <c r="H10" i="3"/>
  <c r="G10" i="3"/>
  <c r="G7" i="3"/>
  <c r="G5" i="3"/>
  <c r="F4" i="3"/>
  <c r="F3" i="3"/>
  <c r="E25" i="3"/>
  <c r="D25" i="3"/>
  <c r="C25" i="3"/>
  <c r="F10" i="3"/>
  <c r="F8" i="3"/>
  <c r="F7" i="3"/>
  <c r="F6" i="3"/>
  <c r="F5" i="3"/>
  <c r="I3" i="3" l="1"/>
  <c r="H7" i="3"/>
  <c r="H6" i="3"/>
  <c r="H8" i="3" s="1"/>
  <c r="H11" i="3" s="1"/>
  <c r="H5" i="3"/>
  <c r="H4" i="3" s="1"/>
  <c r="G4" i="3"/>
  <c r="G6" i="3"/>
  <c r="G8" i="3" s="1"/>
  <c r="G11" i="3" s="1"/>
  <c r="G12" i="3" s="1"/>
  <c r="G14" i="3" s="1"/>
  <c r="F11" i="3"/>
  <c r="F12" i="3" s="1"/>
  <c r="F14" i="3" s="1"/>
  <c r="J3" i="3" l="1"/>
  <c r="I7" i="3"/>
  <c r="I6" i="3"/>
  <c r="I5" i="3"/>
  <c r="I4" i="3"/>
  <c r="G16" i="3"/>
  <c r="H12" i="3"/>
  <c r="H14" i="3" s="1"/>
  <c r="F16" i="3"/>
  <c r="I8" i="3" l="1"/>
  <c r="I11" i="3" s="1"/>
  <c r="I12" i="3" s="1"/>
  <c r="I14" i="3" s="1"/>
  <c r="J7" i="3"/>
  <c r="J6" i="3"/>
  <c r="J5" i="3"/>
  <c r="J4" i="3" s="1"/>
  <c r="K3" i="3"/>
  <c r="H16" i="3"/>
  <c r="K6" i="3" l="1"/>
  <c r="K5" i="3"/>
  <c r="K4" i="3"/>
  <c r="L3" i="3"/>
  <c r="K7" i="3"/>
  <c r="J8" i="3"/>
  <c r="J11" i="3" s="1"/>
  <c r="J12" i="3" s="1"/>
  <c r="J14" i="3" s="1"/>
  <c r="I16" i="3"/>
  <c r="K8" i="3" l="1"/>
  <c r="K11" i="3" s="1"/>
  <c r="K12" i="3" s="1"/>
  <c r="K14" i="3" s="1"/>
  <c r="K16" i="3" s="1"/>
  <c r="J16" i="3"/>
  <c r="M3" i="3"/>
  <c r="L5" i="3"/>
  <c r="L7" i="3"/>
  <c r="L6" i="3"/>
  <c r="L4" i="3"/>
  <c r="L8" i="3" l="1"/>
  <c r="L11" i="3" s="1"/>
  <c r="L12" i="3" s="1"/>
  <c r="L14" i="3" s="1"/>
  <c r="L16" i="3" s="1"/>
  <c r="N3" i="3"/>
  <c r="M4" i="3"/>
  <c r="M5" i="3"/>
  <c r="M7" i="3"/>
  <c r="M6" i="3"/>
  <c r="O3" i="3" l="1"/>
  <c r="N5" i="3"/>
  <c r="N4" i="3" s="1"/>
  <c r="N7" i="3"/>
  <c r="N8" i="3" s="1"/>
  <c r="N11" i="3" s="1"/>
  <c r="N12" i="3" s="1"/>
  <c r="N14" i="3" s="1"/>
  <c r="N16" i="3" s="1"/>
  <c r="N6" i="3"/>
  <c r="M8" i="3"/>
  <c r="M11" i="3" s="1"/>
  <c r="M12" i="3" s="1"/>
  <c r="M14" i="3" s="1"/>
  <c r="M16" i="3" s="1"/>
  <c r="O7" i="3" l="1"/>
  <c r="O6" i="3"/>
  <c r="O8" i="3" s="1"/>
  <c r="O11" i="3" s="1"/>
  <c r="O12" i="3" s="1"/>
  <c r="O14" i="3" s="1"/>
  <c r="O16" i="3" s="1"/>
  <c r="O5" i="3"/>
  <c r="O4" i="3" s="1"/>
  <c r="E13" i="3" l="1"/>
  <c r="D13" i="3"/>
  <c r="C13" i="3"/>
  <c r="E12" i="3"/>
  <c r="D12" i="3"/>
  <c r="C12" i="3"/>
  <c r="E10" i="3"/>
  <c r="D10" i="3"/>
  <c r="C10" i="3"/>
  <c r="E9" i="3"/>
  <c r="D9" i="3"/>
  <c r="C9" i="3"/>
  <c r="E7" i="3"/>
  <c r="E21" i="3" s="1"/>
  <c r="D7" i="3"/>
  <c r="D21" i="3" s="1"/>
  <c r="C7" i="3"/>
  <c r="C21" i="3" s="1"/>
  <c r="E6" i="3"/>
  <c r="E20" i="3" s="1"/>
  <c r="D6" i="3"/>
  <c r="C6" i="3"/>
  <c r="E4" i="3"/>
  <c r="D4" i="3"/>
  <c r="C4" i="3"/>
  <c r="E3" i="3"/>
  <c r="E5" i="3" s="1"/>
  <c r="D3" i="3"/>
  <c r="D5" i="3" s="1"/>
  <c r="C3" i="3"/>
  <c r="C5" i="3" s="1"/>
  <c r="E29" i="3"/>
  <c r="E32" i="3" s="1"/>
  <c r="E35" i="3" s="1"/>
  <c r="E38" i="3" s="1"/>
  <c r="E40" i="3" s="1"/>
  <c r="D29" i="3"/>
  <c r="D32" i="3" s="1"/>
  <c r="D35" i="3" s="1"/>
  <c r="D38" i="3" s="1"/>
  <c r="C29" i="3"/>
  <c r="C32" i="3" s="1"/>
  <c r="D11" i="1"/>
  <c r="D10" i="1"/>
  <c r="D9" i="1"/>
  <c r="D8" i="1"/>
  <c r="D7" i="1"/>
  <c r="D13" i="1"/>
  <c r="D20" i="3" l="1"/>
  <c r="C20" i="3"/>
  <c r="D23" i="3"/>
  <c r="E23" i="3"/>
  <c r="C8" i="3"/>
  <c r="C18" i="3"/>
  <c r="D8" i="3"/>
  <c r="D18" i="3"/>
  <c r="E8" i="3"/>
  <c r="E18" i="3"/>
  <c r="C35" i="3"/>
  <c r="D40" i="3"/>
  <c r="E19" i="3" l="1"/>
  <c r="E11" i="3"/>
  <c r="E14" i="3" s="1"/>
  <c r="D11" i="3"/>
  <c r="D14" i="3" s="1"/>
  <c r="D16" i="3" s="1"/>
  <c r="D19" i="3"/>
  <c r="C19" i="3"/>
  <c r="C11" i="3"/>
  <c r="C14" i="3" s="1"/>
  <c r="C16" i="3" s="1"/>
  <c r="C38" i="3"/>
  <c r="E16" i="3" l="1"/>
  <c r="C40" i="3"/>
  <c r="D5" i="1" l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C32BD-238B-4666-BE62-5996BC5568ED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<sst xmlns="http://schemas.openxmlformats.org/spreadsheetml/2006/main" count="73" uniqueCount="50">
  <si>
    <t>Price</t>
  </si>
  <si>
    <t>Shares</t>
  </si>
  <si>
    <t>MC</t>
  </si>
  <si>
    <t>Net Cash</t>
  </si>
  <si>
    <t>EV</t>
  </si>
  <si>
    <t>Time last checked</t>
  </si>
  <si>
    <t>Today</t>
  </si>
  <si>
    <t>Cash JPY</t>
  </si>
  <si>
    <t>Debt JPY</t>
  </si>
  <si>
    <t>Cash USD</t>
  </si>
  <si>
    <t>Debt USD</t>
  </si>
  <si>
    <t>USD/JPY</t>
  </si>
  <si>
    <t>Currency Name</t>
  </si>
  <si>
    <t>Code</t>
  </si>
  <si>
    <t>1 usd</t>
  </si>
  <si>
    <t>in usd</t>
  </si>
  <si>
    <t>Converter</t>
  </si>
  <si>
    <t>Chart</t>
  </si>
  <si>
    <t>Japanese Yen</t>
  </si>
  <si>
    <t>JPY</t>
  </si>
  <si>
    <t/>
  </si>
  <si>
    <t>Q120</t>
  </si>
  <si>
    <t>Revenue</t>
  </si>
  <si>
    <t>Cost of sales</t>
  </si>
  <si>
    <t>Gross profit</t>
  </si>
  <si>
    <t>SG&amp;A</t>
  </si>
  <si>
    <t>R&amp;D</t>
  </si>
  <si>
    <t>Operating profit</t>
  </si>
  <si>
    <t>Equity method investments</t>
  </si>
  <si>
    <t>Net finance expense</t>
  </si>
  <si>
    <t>Pretax income</t>
  </si>
  <si>
    <t>Taxes</t>
  </si>
  <si>
    <t>Minority interest</t>
  </si>
  <si>
    <t>Net income</t>
  </si>
  <si>
    <t>EPS</t>
  </si>
  <si>
    <t>Gross Margin</t>
  </si>
  <si>
    <t>Operating Margin</t>
  </si>
  <si>
    <t>SG&amp;A Margin</t>
  </si>
  <si>
    <t>R&amp;D Margin</t>
  </si>
  <si>
    <t>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</si>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</sst>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¥-411]#,##0"/>
    <numFmt numFmtId="165" formatCode="[$$-409]#,##0.00"/>
    <numFmt numFmtId="166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Font="1"/>
    <xf numFmtId="9" fontId="0" fillId="0" borderId="0" xfId="0" applyNumberFormat="1" applyFont="1"/>
    <xf numFmtId="3" fontId="1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0</xdr:rowOff>
    </xdr:from>
    <xdr:to>
      <xdr:col>5</xdr:col>
      <xdr:colOff>53340</xdr:colOff>
      <xdr:row>43</xdr:row>
      <xdr:rowOff>45720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330145A-FC68-490D-A34A-B7FDF2F12E1D}"/>
            </a:ext>
          </a:extLst>
        </xdr:cNvPr>
        <xdr:cNvCxnSpPr/>
      </xdr:nvCxnSpPr>
      <xdr:spPr>
        <a:xfrm>
          <a:off x="4480560" y="0"/>
          <a:ext cx="0" cy="7726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E7AD02-70A5-4735-A231-C91126A672E7}" autoFormatId="16" applyNumberFormats="0" applyBorderFormats="0" applyFontFormats="0" applyPatternFormats="0" applyAlignmentFormats="0" applyWidthHeightFormats="0">
  <queryTableRefresh nextId="7">
    <queryTableFields count="6">
      <queryTableField id="1" name="Currency Name" tableColumnId="7"/>
      <queryTableField id="2" name="Code" tableColumnId="2"/>
      <queryTableField id="3" name="1 usd" tableColumnId="3"/>
      <queryTableField id="4" name="in usd" tableColumnId="4"/>
      <queryTableField id="5" name="Converter" tableColumnId="5"/>
      <queryTableField id="6" name="Char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CB891-1B80-4ADE-9937-30D74DAA39A2}" name="Table_0" displayName="Table_0" ref="A1:F2" tableType="queryTable" totalsRowShown="0">
  <autoFilter ref="A1:F2" xr:uid="{C6B998BE-C8A5-4DCE-90E1-15679A2A3605}"/>
  <tableColumns count="6">
    <tableColumn id="7" xr3:uid="{649F0816-BA25-477C-9DD0-13F9FC731CFC}" uniqueName="7" name="Currency Name" queryTableFieldId="1" dataDxfId="5"/>
    <tableColumn id="2" xr3:uid="{60A0F2C1-47D7-4AEA-A708-8BB85E54E638}" uniqueName="2" name="Code" queryTableFieldId="2" dataDxfId="4"/>
    <tableColumn id="3" xr3:uid="{971A0527-6157-473D-84CB-DE9E68A73D17}" uniqueName="3" name="1 usd" queryTableFieldId="3" dataDxfId="3"/>
    <tableColumn id="4" xr3:uid="{7BA674FD-6AC6-4972-977A-387CB012BDF7}" uniqueName="4" name="in usd" queryTableFieldId="4" dataDxfId="2"/>
    <tableColumn id="5" xr3:uid="{FCAA5105-9009-4925-B28D-42ADD0778847}" uniqueName="5" name="Converter" queryTableFieldId="5" dataDxfId="1"/>
    <tableColumn id="6" xr3:uid="{08F5F954-895D-401B-8424-F85564A5A5C6}" uniqueName="6" name="Char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0D48-739A-4DB7-823C-4A585D1462CF}">
  <dimension ref="B2:F13"/>
  <sheetViews>
    <sheetView workbookViewId="0">
      <selection activeCell="E4" sqref="E4"/>
    </sheetView>
  </sheetViews>
  <sheetFormatPr defaultRowHeight="14.4" x14ac:dyDescent="0.3"/>
  <cols>
    <col min="4" max="4" width="10.6640625" bestFit="1" customWidth="1"/>
    <col min="5" max="6" width="15.44140625" customWidth="1"/>
  </cols>
  <sheetData>
    <row r="2" spans="2:6" x14ac:dyDescent="0.3">
      <c r="E2" s="3" t="s">
        <v>5</v>
      </c>
      <c r="F2" s="3" t="s">
        <v>6</v>
      </c>
    </row>
    <row r="3" spans="2:6" x14ac:dyDescent="0.3">
      <c r="B3" s="1">
        <v>7267</v>
      </c>
      <c r="C3" t="s">
        <v>0</v>
      </c>
      <c r="D3" s="8">
        <v>25.53</v>
      </c>
      <c r="E3" s="4">
        <v>44089</v>
      </c>
      <c r="F3" s="4">
        <f ca="1">TODAY()</f>
        <v>44257</v>
      </c>
    </row>
    <row r="4" spans="2:6" x14ac:dyDescent="0.3">
      <c r="C4" t="s">
        <v>1</v>
      </c>
      <c r="D4" s="5">
        <v>1726.6</v>
      </c>
      <c r="E4" s="3" t="s">
        <v>21</v>
      </c>
      <c r="F4" s="3"/>
    </row>
    <row r="5" spans="2:6" x14ac:dyDescent="0.3">
      <c r="C5" t="s">
        <v>2</v>
      </c>
      <c r="D5" s="9">
        <f>D3*D4</f>
        <v>44080.097999999998</v>
      </c>
      <c r="E5" s="3"/>
      <c r="F5" s="3"/>
    </row>
    <row r="6" spans="2:6" x14ac:dyDescent="0.3">
      <c r="C6" t="s">
        <v>7</v>
      </c>
      <c r="D6" s="7">
        <v>2494121</v>
      </c>
      <c r="E6" s="3" t="s">
        <v>21</v>
      </c>
      <c r="F6" s="3"/>
    </row>
    <row r="7" spans="2:6" x14ac:dyDescent="0.3">
      <c r="C7" t="s">
        <v>8</v>
      </c>
      <c r="D7" s="7">
        <f>3188782+132910+4142338+63689</f>
        <v>7527719</v>
      </c>
      <c r="E7" s="3" t="s">
        <v>21</v>
      </c>
      <c r="F7" s="3"/>
    </row>
    <row r="8" spans="2:6" x14ac:dyDescent="0.3">
      <c r="C8" t="s">
        <v>9</v>
      </c>
      <c r="D8" s="9">
        <f>D6/$D$13</f>
        <v>23601.823732511308</v>
      </c>
      <c r="E8" s="3" t="s">
        <v>21</v>
      </c>
      <c r="F8" s="3"/>
    </row>
    <row r="9" spans="2:6" x14ac:dyDescent="0.3">
      <c r="C9" t="s">
        <v>10</v>
      </c>
      <c r="D9" s="9">
        <f>D7/$D$13</f>
        <v>71234.674238289284</v>
      </c>
      <c r="E9" s="3" t="s">
        <v>21</v>
      </c>
      <c r="F9" s="3"/>
    </row>
    <row r="10" spans="2:6" x14ac:dyDescent="0.3">
      <c r="C10" t="s">
        <v>3</v>
      </c>
      <c r="D10" s="9">
        <f>D8-D9</f>
        <v>-47632.850505777977</v>
      </c>
      <c r="E10" s="3" t="s">
        <v>21</v>
      </c>
      <c r="F10" s="3"/>
    </row>
    <row r="11" spans="2:6" x14ac:dyDescent="0.3">
      <c r="C11" t="s">
        <v>4</v>
      </c>
      <c r="D11" s="9">
        <f>D5-D10</f>
        <v>91712.948505777982</v>
      </c>
      <c r="E11" s="3" t="s">
        <v>21</v>
      </c>
      <c r="F11" s="3"/>
    </row>
    <row r="13" spans="2:6" x14ac:dyDescent="0.3">
      <c r="C13" t="s">
        <v>11</v>
      </c>
      <c r="D13">
        <f>Table_0[1 usd]</f>
        <v>105.674927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802D-8D46-4D62-BF35-B00035FF1C38}">
  <dimension ref="B1:DE40"/>
  <sheetViews>
    <sheetView tabSelected="1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Q31" sqref="Q31"/>
    </sheetView>
  </sheetViews>
  <sheetFormatPr defaultRowHeight="14.4" x14ac:dyDescent="0.3"/>
  <cols>
    <col min="2" max="2" width="23.33203125" bestFit="1" customWidth="1"/>
    <col min="3" max="15" width="10.77734375" customWidth="1"/>
    <col min="17" max="17" width="11.88671875" bestFit="1" customWidth="1"/>
    <col min="18" max="18" width="17.33203125" bestFit="1" customWidth="1"/>
  </cols>
  <sheetData>
    <row r="1" spans="2:109" x14ac:dyDescent="0.3">
      <c r="C1" s="2">
        <v>43190</v>
      </c>
      <c r="D1" s="2">
        <v>43555</v>
      </c>
      <c r="E1" s="2">
        <v>43921</v>
      </c>
    </row>
    <row r="2" spans="2:109" x14ac:dyDescent="0.3"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</row>
    <row r="3" spans="2:109" s="1" customFormat="1" x14ac:dyDescent="0.3">
      <c r="B3" s="1" t="s">
        <v>22</v>
      </c>
      <c r="C3" s="12">
        <f>C27/Main!$D$13</f>
        <v>145362.25797440106</v>
      </c>
      <c r="D3" s="12">
        <f>D27/Main!$D$13</f>
        <v>150353.70689208046</v>
      </c>
      <c r="E3" s="12">
        <f>E27/Main!$D$13</f>
        <v>141291.87900929424</v>
      </c>
      <c r="F3" s="12">
        <f>E3*1.05</f>
        <v>148356.47295975895</v>
      </c>
      <c r="G3" s="12">
        <f>F3*1.03</f>
        <v>152807.16714855173</v>
      </c>
      <c r="H3" s="12">
        <f t="shared" ref="H3:J3" si="0">G3*1.02</f>
        <v>155863.31049152277</v>
      </c>
      <c r="I3" s="12">
        <f t="shared" si="0"/>
        <v>158980.57670135325</v>
      </c>
      <c r="J3" s="12">
        <f t="shared" si="0"/>
        <v>162160.18823538031</v>
      </c>
      <c r="K3" s="12">
        <f>J3*1.01</f>
        <v>163781.79011773411</v>
      </c>
      <c r="L3" s="12">
        <f t="shared" ref="L3:O3" si="1">K3*1.01</f>
        <v>165419.60801891144</v>
      </c>
      <c r="M3" s="12">
        <f t="shared" si="1"/>
        <v>167073.80409910055</v>
      </c>
      <c r="N3" s="12">
        <f t="shared" si="1"/>
        <v>168744.54214009157</v>
      </c>
      <c r="O3" s="12">
        <f t="shared" si="1"/>
        <v>170431.98756149248</v>
      </c>
    </row>
    <row r="4" spans="2:109" x14ac:dyDescent="0.3">
      <c r="B4" t="s">
        <v>23</v>
      </c>
      <c r="C4" s="11">
        <f>C28/Main!$D$13</f>
        <v>113561.28970876886</v>
      </c>
      <c r="D4" s="11">
        <f>D28/Main!$D$13</f>
        <v>119053.30201931439</v>
      </c>
      <c r="E4" s="11">
        <f>E28/Main!$D$13</f>
        <v>112152.04340760983</v>
      </c>
      <c r="F4" s="11">
        <f>F3-F5</f>
        <v>117201.61363820957</v>
      </c>
      <c r="G4" s="11">
        <f t="shared" ref="G4:O4" si="2">G3-G5</f>
        <v>120717.66204735587</v>
      </c>
      <c r="H4" s="11">
        <f t="shared" si="2"/>
        <v>123132.015288303</v>
      </c>
      <c r="I4" s="11">
        <f t="shared" si="2"/>
        <v>125594.65559406907</v>
      </c>
      <c r="J4" s="11">
        <f t="shared" si="2"/>
        <v>128106.54870595044</v>
      </c>
      <c r="K4" s="11">
        <f t="shared" si="2"/>
        <v>129387.61419300994</v>
      </c>
      <c r="L4" s="11">
        <f t="shared" si="2"/>
        <v>130681.49033494004</v>
      </c>
      <c r="M4" s="11">
        <f t="shared" si="2"/>
        <v>131988.30523828944</v>
      </c>
      <c r="N4" s="11">
        <f t="shared" si="2"/>
        <v>133308.18829067235</v>
      </c>
      <c r="O4" s="11">
        <f t="shared" si="2"/>
        <v>134641.27017357905</v>
      </c>
    </row>
    <row r="5" spans="2:109" s="1" customFormat="1" x14ac:dyDescent="0.3">
      <c r="B5" s="1" t="s">
        <v>24</v>
      </c>
      <c r="C5" s="12">
        <f>C3-C4</f>
        <v>31800.968265632197</v>
      </c>
      <c r="D5" s="12">
        <f t="shared" ref="D5:E5" si="3">D3-D4</f>
        <v>31300.40487276607</v>
      </c>
      <c r="E5" s="12">
        <f t="shared" si="3"/>
        <v>29139.835601684405</v>
      </c>
      <c r="F5" s="12">
        <f>F3*0.21</f>
        <v>31154.859321549378</v>
      </c>
      <c r="G5" s="12">
        <f t="shared" ref="G5:O5" si="4">G3*0.21</f>
        <v>32089.50510119586</v>
      </c>
      <c r="H5" s="12">
        <f t="shared" si="4"/>
        <v>32731.295203219783</v>
      </c>
      <c r="I5" s="12">
        <f t="shared" si="4"/>
        <v>33385.921107284179</v>
      </c>
      <c r="J5" s="12">
        <f t="shared" si="4"/>
        <v>34053.639529429864</v>
      </c>
      <c r="K5" s="12">
        <f t="shared" si="4"/>
        <v>34394.175924724164</v>
      </c>
      <c r="L5" s="12">
        <f t="shared" si="4"/>
        <v>34738.117683971403</v>
      </c>
      <c r="M5" s="12">
        <f t="shared" si="4"/>
        <v>35085.498860811116</v>
      </c>
      <c r="N5" s="12">
        <f t="shared" si="4"/>
        <v>35436.353849419225</v>
      </c>
      <c r="O5" s="12">
        <f t="shared" si="4"/>
        <v>35790.717387913421</v>
      </c>
    </row>
    <row r="6" spans="2:109" x14ac:dyDescent="0.3">
      <c r="B6" t="s">
        <v>25</v>
      </c>
      <c r="C6" s="11">
        <f>C30/Main!$D$13</f>
        <v>16798.22310168239</v>
      </c>
      <c r="D6" s="11">
        <f>D30/Main!$D$13</f>
        <v>16791.050160839004</v>
      </c>
      <c r="E6" s="11">
        <f>E30/Main!$D$13</f>
        <v>15534.3376769023</v>
      </c>
      <c r="F6" s="11">
        <f>F3*0.11</f>
        <v>16319.212025573484</v>
      </c>
      <c r="G6" s="11">
        <f t="shared" ref="G6:O6" si="5">G3*0.11</f>
        <v>16808.78838634069</v>
      </c>
      <c r="H6" s="11">
        <f t="shared" si="5"/>
        <v>17144.964154067504</v>
      </c>
      <c r="I6" s="11">
        <f t="shared" si="5"/>
        <v>17487.863437148859</v>
      </c>
      <c r="J6" s="11">
        <f t="shared" si="5"/>
        <v>17837.620705891833</v>
      </c>
      <c r="K6" s="11">
        <f t="shared" si="5"/>
        <v>18015.996912950752</v>
      </c>
      <c r="L6" s="11">
        <f t="shared" si="5"/>
        <v>18196.15688208026</v>
      </c>
      <c r="M6" s="11">
        <f t="shared" si="5"/>
        <v>18378.11845090106</v>
      </c>
      <c r="N6" s="11">
        <f t="shared" si="5"/>
        <v>18561.899635410071</v>
      </c>
      <c r="O6" s="11">
        <f t="shared" si="5"/>
        <v>18747.518631764175</v>
      </c>
    </row>
    <row r="7" spans="2:109" x14ac:dyDescent="0.3">
      <c r="B7" t="s">
        <v>26</v>
      </c>
      <c r="C7" s="11">
        <f>C31/Main!$D$13</f>
        <v>7114.8002780262159</v>
      </c>
      <c r="D7" s="11">
        <f>D31/Main!$D$13</f>
        <v>7635.7280095400492</v>
      </c>
      <c r="E7" s="11">
        <f>E31/Main!$D$13</f>
        <v>7609.401991827257</v>
      </c>
      <c r="F7" s="11">
        <f>F3*0.05</f>
        <v>7417.8236479879479</v>
      </c>
      <c r="G7" s="11">
        <f t="shared" ref="G7:O7" si="6">G3*0.05</f>
        <v>7640.3583574275872</v>
      </c>
      <c r="H7" s="11">
        <f t="shared" si="6"/>
        <v>7793.1655245761394</v>
      </c>
      <c r="I7" s="11">
        <f t="shared" si="6"/>
        <v>7949.0288350676628</v>
      </c>
      <c r="J7" s="11">
        <f t="shared" si="6"/>
        <v>8108.009411769016</v>
      </c>
      <c r="K7" s="11">
        <f t="shared" si="6"/>
        <v>8189.0895058867063</v>
      </c>
      <c r="L7" s="11">
        <f t="shared" si="6"/>
        <v>8270.9804009455729</v>
      </c>
      <c r="M7" s="11">
        <f t="shared" si="6"/>
        <v>8353.6902049550281</v>
      </c>
      <c r="N7" s="11">
        <f t="shared" si="6"/>
        <v>8437.227107004579</v>
      </c>
      <c r="O7" s="11">
        <f t="shared" si="6"/>
        <v>8521.5993780746248</v>
      </c>
    </row>
    <row r="8" spans="2:109" s="1" customFormat="1" x14ac:dyDescent="0.3">
      <c r="B8" s="1" t="s">
        <v>27</v>
      </c>
      <c r="C8" s="12">
        <f>C5-C6-C7</f>
        <v>7887.9448859235908</v>
      </c>
      <c r="D8" s="12">
        <f>D5-D6-D7</f>
        <v>6873.6267023870168</v>
      </c>
      <c r="E8" s="12">
        <f>E5-E6-E7</f>
        <v>5996.0959329548477</v>
      </c>
      <c r="F8" s="12">
        <f>F5-F6-F7</f>
        <v>7417.8236479879461</v>
      </c>
      <c r="G8" s="12">
        <f t="shared" ref="G8:O8" si="7">G5-G6-G7</f>
        <v>7640.3583574275835</v>
      </c>
      <c r="H8" s="12">
        <f t="shared" si="7"/>
        <v>7793.1655245761394</v>
      </c>
      <c r="I8" s="12">
        <f t="shared" si="7"/>
        <v>7949.0288350676574</v>
      </c>
      <c r="J8" s="12">
        <f t="shared" si="7"/>
        <v>8108.0094117690142</v>
      </c>
      <c r="K8" s="12">
        <f t="shared" si="7"/>
        <v>8189.0895058867063</v>
      </c>
      <c r="L8" s="12">
        <f t="shared" si="7"/>
        <v>8270.9804009455693</v>
      </c>
      <c r="M8" s="12">
        <f t="shared" si="7"/>
        <v>8353.6902049550281</v>
      </c>
      <c r="N8" s="12">
        <f t="shared" si="7"/>
        <v>8437.2271070045754</v>
      </c>
      <c r="O8" s="12">
        <f t="shared" si="7"/>
        <v>8521.5993780746212</v>
      </c>
    </row>
    <row r="9" spans="2:109" x14ac:dyDescent="0.3">
      <c r="B9" t="s">
        <v>28</v>
      </c>
      <c r="C9" s="11">
        <f>C33/Main!$D$13</f>
        <v>-2343.4414106574213</v>
      </c>
      <c r="D9" s="11">
        <f>D33/Main!$D$13</f>
        <v>-2165.3859292469633</v>
      </c>
      <c r="E9" s="11">
        <f>E33/Main!$D$13</f>
        <v>-1553.8501389265214</v>
      </c>
      <c r="F9" s="12">
        <f>E9*1.05</f>
        <v>-1631.5426458728475</v>
      </c>
      <c r="G9" s="12">
        <f t="shared" ref="G9:O9" si="8">F9*1.05</f>
        <v>-1713.1197781664901</v>
      </c>
      <c r="H9" s="12">
        <f t="shared" si="8"/>
        <v>-1798.7757670748147</v>
      </c>
      <c r="I9" s="12">
        <f t="shared" si="8"/>
        <v>-1888.7145554285555</v>
      </c>
      <c r="J9" s="12">
        <f t="shared" si="8"/>
        <v>-1983.1502831999833</v>
      </c>
      <c r="K9" s="12">
        <f t="shared" si="8"/>
        <v>-2082.3077973599825</v>
      </c>
      <c r="L9" s="12">
        <f t="shared" si="8"/>
        <v>-2186.4231872279815</v>
      </c>
      <c r="M9" s="12">
        <f t="shared" si="8"/>
        <v>-2295.7443465893807</v>
      </c>
      <c r="N9" s="12">
        <f t="shared" si="8"/>
        <v>-2410.5315639188498</v>
      </c>
      <c r="O9" s="12">
        <f t="shared" si="8"/>
        <v>-2531.0581421147922</v>
      </c>
    </row>
    <row r="10" spans="2:109" x14ac:dyDescent="0.3">
      <c r="B10" t="s">
        <v>29</v>
      </c>
      <c r="C10" s="11">
        <f>C34/Main!$D$13</f>
        <v>-319.58384981898308</v>
      </c>
      <c r="D10" s="11">
        <f>D34/Main!$D$13</f>
        <v>-228.79599434215839</v>
      </c>
      <c r="E10" s="11">
        <f>E34/Main!$D$13</f>
        <v>74.965748497749146</v>
      </c>
      <c r="F10" s="11">
        <f>-274*1.01</f>
        <v>-276.74</v>
      </c>
      <c r="G10" s="11">
        <f t="shared" ref="G10:O10" si="9">-274*1.01</f>
        <v>-276.74</v>
      </c>
      <c r="H10" s="11">
        <f t="shared" si="9"/>
        <v>-276.74</v>
      </c>
      <c r="I10" s="11">
        <f t="shared" si="9"/>
        <v>-276.74</v>
      </c>
      <c r="J10" s="11">
        <f t="shared" si="9"/>
        <v>-276.74</v>
      </c>
      <c r="K10" s="11">
        <f t="shared" si="9"/>
        <v>-276.74</v>
      </c>
      <c r="L10" s="11">
        <f t="shared" si="9"/>
        <v>-276.74</v>
      </c>
      <c r="M10" s="11">
        <f t="shared" si="9"/>
        <v>-276.74</v>
      </c>
      <c r="N10" s="11">
        <f t="shared" si="9"/>
        <v>-276.74</v>
      </c>
      <c r="O10" s="11">
        <f t="shared" si="9"/>
        <v>-276.74</v>
      </c>
    </row>
    <row r="11" spans="2:109" s="1" customFormat="1" x14ac:dyDescent="0.3">
      <c r="B11" s="1" t="s">
        <v>30</v>
      </c>
      <c r="C11" s="12">
        <f t="shared" ref="C11:F11" si="10">C8-C9-C10</f>
        <v>10550.970146399994</v>
      </c>
      <c r="D11" s="12">
        <f t="shared" si="10"/>
        <v>9267.8086259761403</v>
      </c>
      <c r="E11" s="12">
        <f t="shared" si="10"/>
        <v>7474.9803233836201</v>
      </c>
      <c r="F11" s="12">
        <f t="shared" si="10"/>
        <v>9326.1062938607938</v>
      </c>
      <c r="G11" s="12">
        <f t="shared" ref="G11:O11" si="11">G8-G9-G10</f>
        <v>9630.2181355940738</v>
      </c>
      <c r="H11" s="12">
        <f t="shared" si="11"/>
        <v>9868.6812916509534</v>
      </c>
      <c r="I11" s="12">
        <f t="shared" si="11"/>
        <v>10114.483390496212</v>
      </c>
      <c r="J11" s="12">
        <f t="shared" si="11"/>
        <v>10367.899694968997</v>
      </c>
      <c r="K11" s="12">
        <f t="shared" si="11"/>
        <v>10548.137303246689</v>
      </c>
      <c r="L11" s="12">
        <f t="shared" si="11"/>
        <v>10734.143588173551</v>
      </c>
      <c r="M11" s="12">
        <f t="shared" si="11"/>
        <v>10926.174551544409</v>
      </c>
      <c r="N11" s="12">
        <f t="shared" si="11"/>
        <v>11124.498670923425</v>
      </c>
      <c r="O11" s="12">
        <f t="shared" si="11"/>
        <v>11329.397520189414</v>
      </c>
    </row>
    <row r="12" spans="2:109" x14ac:dyDescent="0.3">
      <c r="B12" t="s">
        <v>31</v>
      </c>
      <c r="C12" s="11">
        <f>C36/Main!$D$13</f>
        <v>-129.32112079907091</v>
      </c>
      <c r="D12" s="11">
        <f>D36/Main!$D$13</f>
        <v>2868.1259462805215</v>
      </c>
      <c r="E12" s="11">
        <f>E36/Main!$D$13</f>
        <v>2649.5026582795749</v>
      </c>
      <c r="F12" s="11">
        <f>F11*0.33</f>
        <v>3077.615076974062</v>
      </c>
      <c r="G12" s="11">
        <f t="shared" ref="G12:O12" si="12">G11*0.33</f>
        <v>3177.9719847460447</v>
      </c>
      <c r="H12" s="11">
        <f t="shared" si="12"/>
        <v>3256.6648262448148</v>
      </c>
      <c r="I12" s="11">
        <f t="shared" si="12"/>
        <v>3337.7795188637501</v>
      </c>
      <c r="J12" s="11">
        <f t="shared" si="12"/>
        <v>3421.4068993397691</v>
      </c>
      <c r="K12" s="11">
        <f t="shared" si="12"/>
        <v>3480.8853100714077</v>
      </c>
      <c r="L12" s="11">
        <f t="shared" si="12"/>
        <v>3542.267384097272</v>
      </c>
      <c r="M12" s="11">
        <f t="shared" si="12"/>
        <v>3605.637602009655</v>
      </c>
      <c r="N12" s="11">
        <f t="shared" si="12"/>
        <v>3671.0845614047307</v>
      </c>
      <c r="O12" s="11">
        <f t="shared" si="12"/>
        <v>3738.7011816625068</v>
      </c>
    </row>
    <row r="13" spans="2:109" x14ac:dyDescent="0.3">
      <c r="B13" t="s">
        <v>32</v>
      </c>
      <c r="C13" s="11">
        <f>C37/Main!$D$13</f>
        <v>655.80362312433863</v>
      </c>
      <c r="D13" s="11">
        <f>D37/Main!$D$13</f>
        <v>624.27296495790347</v>
      </c>
      <c r="E13" s="11">
        <f>E37/Main!$D$13</f>
        <v>512.76117749293553</v>
      </c>
      <c r="F13" s="11">
        <v>640</v>
      </c>
      <c r="G13" s="11">
        <v>640</v>
      </c>
      <c r="H13" s="11">
        <v>640</v>
      </c>
      <c r="I13" s="11">
        <v>640</v>
      </c>
      <c r="J13" s="11">
        <v>640</v>
      </c>
      <c r="K13" s="11">
        <v>640</v>
      </c>
      <c r="L13" s="11">
        <v>640</v>
      </c>
      <c r="M13" s="11">
        <v>640</v>
      </c>
      <c r="N13" s="11">
        <v>640</v>
      </c>
      <c r="O13" s="11">
        <v>640</v>
      </c>
    </row>
    <row r="14" spans="2:109" s="1" customFormat="1" x14ac:dyDescent="0.3">
      <c r="B14" s="1" t="s">
        <v>33</v>
      </c>
      <c r="C14" s="12">
        <f>C11-C12-C13</f>
        <v>10024.487644074727</v>
      </c>
      <c r="D14" s="12">
        <f>D11-D12-D13</f>
        <v>5775.4097147377161</v>
      </c>
      <c r="E14" s="12">
        <f>E11-E12-E13</f>
        <v>4312.7164876111092</v>
      </c>
      <c r="F14" s="12">
        <f>F11-F12-F13</f>
        <v>5608.4912168867322</v>
      </c>
      <c r="G14" s="12">
        <f t="shared" ref="G14:O14" si="13">G11-G12-G13</f>
        <v>5812.2461508480292</v>
      </c>
      <c r="H14" s="12">
        <f t="shared" si="13"/>
        <v>5972.0164654061391</v>
      </c>
      <c r="I14" s="12">
        <f t="shared" si="13"/>
        <v>6136.7038716324623</v>
      </c>
      <c r="J14" s="12">
        <f t="shared" si="13"/>
        <v>6306.4927956292286</v>
      </c>
      <c r="K14" s="12">
        <f t="shared" si="13"/>
        <v>6427.2519931752813</v>
      </c>
      <c r="L14" s="12">
        <f t="shared" si="13"/>
        <v>6551.8762040762786</v>
      </c>
      <c r="M14" s="12">
        <f t="shared" si="13"/>
        <v>6680.5369495347541</v>
      </c>
      <c r="N14" s="12">
        <f t="shared" si="13"/>
        <v>6813.4141095186951</v>
      </c>
      <c r="O14" s="12">
        <f t="shared" si="13"/>
        <v>6950.6963385269064</v>
      </c>
      <c r="P14" s="1">
        <f>O14*(1+$R$22)</f>
        <v>6881.1893751416374</v>
      </c>
      <c r="Q14" s="1">
        <f t="shared" ref="Q14:CB14" si="14">P14*(1+$R$22)</f>
        <v>6812.377481390221</v>
      </c>
      <c r="R14" s="1">
        <f t="shared" si="14"/>
        <v>6744.253706576319</v>
      </c>
      <c r="S14" s="1">
        <f t="shared" si="14"/>
        <v>6676.8111695105554</v>
      </c>
      <c r="T14" s="1">
        <f t="shared" si="14"/>
        <v>6610.0430578154501</v>
      </c>
      <c r="U14" s="1">
        <f t="shared" si="14"/>
        <v>6543.9426272372957</v>
      </c>
      <c r="V14" s="1">
        <f t="shared" si="14"/>
        <v>6478.5032009649231</v>
      </c>
      <c r="W14" s="1">
        <f t="shared" si="14"/>
        <v>6413.7181689552735</v>
      </c>
      <c r="X14" s="1">
        <f t="shared" si="14"/>
        <v>6349.580987265721</v>
      </c>
      <c r="Y14" s="1">
        <f t="shared" si="14"/>
        <v>6286.0851773930635</v>
      </c>
      <c r="Z14" s="1">
        <f t="shared" si="14"/>
        <v>6223.2243256191332</v>
      </c>
      <c r="AA14" s="1">
        <f t="shared" si="14"/>
        <v>6160.9920823629418</v>
      </c>
      <c r="AB14" s="1">
        <f t="shared" si="14"/>
        <v>6099.3821615393126</v>
      </c>
      <c r="AC14" s="1">
        <f t="shared" si="14"/>
        <v>6038.3883399239194</v>
      </c>
      <c r="AD14" s="1">
        <f t="shared" si="14"/>
        <v>5978.0044565246799</v>
      </c>
      <c r="AE14" s="1">
        <f t="shared" si="14"/>
        <v>5918.2244119594334</v>
      </c>
      <c r="AF14" s="1">
        <f t="shared" si="14"/>
        <v>5859.0421678398388</v>
      </c>
      <c r="AG14" s="1">
        <f t="shared" si="14"/>
        <v>5800.4517461614405</v>
      </c>
      <c r="AH14" s="1">
        <f t="shared" si="14"/>
        <v>5742.4472286998262</v>
      </c>
      <c r="AI14" s="1">
        <f t="shared" si="14"/>
        <v>5685.0227564128281</v>
      </c>
      <c r="AJ14" s="1">
        <f t="shared" si="14"/>
        <v>5628.1725288486996</v>
      </c>
      <c r="AK14" s="1">
        <f t="shared" si="14"/>
        <v>5571.8908035602126</v>
      </c>
      <c r="AL14" s="1">
        <f t="shared" si="14"/>
        <v>5516.1718955246106</v>
      </c>
      <c r="AM14" s="1">
        <f t="shared" si="14"/>
        <v>5461.0101765693644</v>
      </c>
      <c r="AN14" s="1">
        <f t="shared" si="14"/>
        <v>5406.4000748036706</v>
      </c>
      <c r="AO14" s="1">
        <f t="shared" si="14"/>
        <v>5352.3360740556336</v>
      </c>
      <c r="AP14" s="1">
        <f t="shared" si="14"/>
        <v>5298.8127133150774</v>
      </c>
      <c r="AQ14" s="1">
        <f t="shared" si="14"/>
        <v>5245.8245861819269</v>
      </c>
      <c r="AR14" s="1">
        <f t="shared" si="14"/>
        <v>5193.3663403201072</v>
      </c>
      <c r="AS14" s="1">
        <f t="shared" si="14"/>
        <v>5141.4326769169056</v>
      </c>
      <c r="AT14" s="1">
        <f t="shared" si="14"/>
        <v>5090.0183501477368</v>
      </c>
      <c r="AU14" s="1">
        <f t="shared" si="14"/>
        <v>5039.1181666462589</v>
      </c>
      <c r="AV14" s="1">
        <f t="shared" si="14"/>
        <v>4988.7269849797967</v>
      </c>
      <c r="AW14" s="1">
        <f t="shared" si="14"/>
        <v>4938.8397151299987</v>
      </c>
      <c r="AX14" s="1">
        <f t="shared" si="14"/>
        <v>4889.4513179786991</v>
      </c>
      <c r="AY14" s="1">
        <f t="shared" si="14"/>
        <v>4840.5568047989118</v>
      </c>
      <c r="AZ14" s="1">
        <f t="shared" si="14"/>
        <v>4792.1512367509231</v>
      </c>
      <c r="BA14" s="1">
        <f t="shared" si="14"/>
        <v>4744.2297243834137</v>
      </c>
      <c r="BB14" s="1">
        <f t="shared" si="14"/>
        <v>4696.7874271395794</v>
      </c>
      <c r="BC14" s="1">
        <f t="shared" si="14"/>
        <v>4649.8195528681836</v>
      </c>
      <c r="BD14" s="1">
        <f t="shared" si="14"/>
        <v>4603.3213573395014</v>
      </c>
      <c r="BE14" s="1">
        <f t="shared" si="14"/>
        <v>4557.2881437661063</v>
      </c>
      <c r="BF14" s="1">
        <f t="shared" si="14"/>
        <v>4511.7152623284455</v>
      </c>
      <c r="BG14" s="1">
        <f t="shared" si="14"/>
        <v>4466.5981097051608</v>
      </c>
      <c r="BH14" s="1">
        <f t="shared" si="14"/>
        <v>4421.9321286081095</v>
      </c>
      <c r="BI14" s="1">
        <f t="shared" si="14"/>
        <v>4377.7128073220283</v>
      </c>
      <c r="BJ14" s="1">
        <f t="shared" si="14"/>
        <v>4333.9356792488079</v>
      </c>
      <c r="BK14" s="1">
        <f t="shared" si="14"/>
        <v>4290.5963224563202</v>
      </c>
      <c r="BL14" s="1">
        <f t="shared" si="14"/>
        <v>4247.6903592317567</v>
      </c>
      <c r="BM14" s="1">
        <f t="shared" si="14"/>
        <v>4205.2134556394394</v>
      </c>
      <c r="BN14" s="1">
        <f t="shared" si="14"/>
        <v>4163.1613210830446</v>
      </c>
      <c r="BO14" s="1">
        <f t="shared" si="14"/>
        <v>4121.5297078722142</v>
      </c>
      <c r="BP14" s="1">
        <f t="shared" si="14"/>
        <v>4080.3144107934922</v>
      </c>
      <c r="BQ14" s="1">
        <f t="shared" si="14"/>
        <v>4039.5112666855571</v>
      </c>
      <c r="BR14" s="1">
        <f t="shared" si="14"/>
        <v>3999.1161540187013</v>
      </c>
      <c r="BS14" s="1">
        <f t="shared" si="14"/>
        <v>3959.1249924785143</v>
      </c>
      <c r="BT14" s="1">
        <f t="shared" si="14"/>
        <v>3919.5337425537291</v>
      </c>
      <c r="BU14" s="1">
        <f t="shared" si="14"/>
        <v>3880.3384051281919</v>
      </c>
      <c r="BV14" s="1">
        <f t="shared" si="14"/>
        <v>3841.5350210769097</v>
      </c>
      <c r="BW14" s="1">
        <f t="shared" si="14"/>
        <v>3803.1196708661405</v>
      </c>
      <c r="BX14" s="1">
        <f t="shared" si="14"/>
        <v>3765.0884741574791</v>
      </c>
      <c r="BY14" s="1">
        <f t="shared" si="14"/>
        <v>3727.4375894159043</v>
      </c>
      <c r="BZ14" s="1">
        <f t="shared" si="14"/>
        <v>3690.1632135217451</v>
      </c>
      <c r="CA14" s="1">
        <f t="shared" si="14"/>
        <v>3653.2615813865277</v>
      </c>
      <c r="CB14" s="1">
        <f t="shared" si="14"/>
        <v>3616.7289655726622</v>
      </c>
      <c r="CC14" s="1">
        <f t="shared" ref="CC14:DE14" si="15">CB14*(1+$R$22)</f>
        <v>3580.5616759169357</v>
      </c>
      <c r="CD14" s="1">
        <f t="shared" si="15"/>
        <v>3544.7560591577662</v>
      </c>
      <c r="CE14" s="1">
        <f t="shared" si="15"/>
        <v>3509.3084985661885</v>
      </c>
      <c r="CF14" s="1">
        <f t="shared" si="15"/>
        <v>3474.2154135805267</v>
      </c>
      <c r="CG14" s="1">
        <f t="shared" si="15"/>
        <v>3439.4732594447214</v>
      </c>
      <c r="CH14" s="1">
        <f t="shared" si="15"/>
        <v>3405.0785268502741</v>
      </c>
      <c r="CI14" s="1">
        <f t="shared" si="15"/>
        <v>3371.0277415817714</v>
      </c>
      <c r="CJ14" s="1">
        <f t="shared" si="15"/>
        <v>3337.3174641659534</v>
      </c>
      <c r="CK14" s="1">
        <f t="shared" si="15"/>
        <v>3303.9442895242937</v>
      </c>
      <c r="CL14" s="1">
        <f t="shared" si="15"/>
        <v>3270.9048466290506</v>
      </c>
      <c r="CM14" s="1">
        <f t="shared" si="15"/>
        <v>3238.1957981627602</v>
      </c>
      <c r="CN14" s="1">
        <f t="shared" si="15"/>
        <v>3205.8138401811325</v>
      </c>
      <c r="CO14" s="1">
        <f t="shared" si="15"/>
        <v>3173.755701779321</v>
      </c>
      <c r="CP14" s="1">
        <f t="shared" si="15"/>
        <v>3142.0181447615278</v>
      </c>
      <c r="CQ14" s="1">
        <f t="shared" si="15"/>
        <v>3110.5979633139123</v>
      </c>
      <c r="CR14" s="1">
        <f t="shared" si="15"/>
        <v>3079.491983680773</v>
      </c>
      <c r="CS14" s="1">
        <f t="shared" si="15"/>
        <v>3048.6970638439652</v>
      </c>
      <c r="CT14" s="1">
        <f t="shared" si="15"/>
        <v>3018.2100932055255</v>
      </c>
      <c r="CU14" s="1">
        <f t="shared" si="15"/>
        <v>2988.0279922734703</v>
      </c>
      <c r="CV14" s="1">
        <f t="shared" si="15"/>
        <v>2958.1477123507357</v>
      </c>
      <c r="CW14" s="1">
        <f t="shared" si="15"/>
        <v>2928.5662352272284</v>
      </c>
      <c r="CX14" s="1">
        <f t="shared" si="15"/>
        <v>2899.2805728749563</v>
      </c>
      <c r="CY14" s="1">
        <f t="shared" si="15"/>
        <v>2870.2877671462065</v>
      </c>
      <c r="CZ14" s="1">
        <f t="shared" si="15"/>
        <v>2841.5848894747446</v>
      </c>
      <c r="DA14" s="1">
        <f t="shared" si="15"/>
        <v>2813.1690405799973</v>
      </c>
      <c r="DB14" s="1">
        <f t="shared" si="15"/>
        <v>2785.0373501741974</v>
      </c>
      <c r="DC14" s="1">
        <f t="shared" si="15"/>
        <v>2757.1869766724553</v>
      </c>
      <c r="DD14" s="1">
        <f t="shared" si="15"/>
        <v>2729.615106905731</v>
      </c>
      <c r="DE14" s="1">
        <f t="shared" si="15"/>
        <v>2702.3189558366735</v>
      </c>
    </row>
    <row r="15" spans="2:109" x14ac:dyDescent="0.3">
      <c r="B15" t="s">
        <v>1</v>
      </c>
      <c r="C15">
        <v>1727</v>
      </c>
      <c r="D15">
        <v>1727</v>
      </c>
      <c r="E15">
        <v>1727</v>
      </c>
      <c r="F15" s="11">
        <v>1727</v>
      </c>
      <c r="G15" s="11">
        <v>1727</v>
      </c>
      <c r="H15" s="11">
        <v>1727</v>
      </c>
      <c r="I15" s="11">
        <v>1727</v>
      </c>
      <c r="J15" s="11">
        <v>1727</v>
      </c>
      <c r="K15" s="11">
        <v>1727</v>
      </c>
      <c r="L15" s="11">
        <v>1727</v>
      </c>
      <c r="M15" s="11">
        <v>1727</v>
      </c>
      <c r="N15" s="11">
        <v>1727</v>
      </c>
      <c r="O15" s="11">
        <v>1727</v>
      </c>
    </row>
    <row r="16" spans="2:109" s="1" customFormat="1" x14ac:dyDescent="0.3">
      <c r="B16" s="1" t="s">
        <v>34</v>
      </c>
      <c r="C16" s="10">
        <f>C14/C15</f>
        <v>5.8045672519251461</v>
      </c>
      <c r="D16" s="10">
        <f t="shared" ref="D16:E16" si="16">D14/D15</f>
        <v>3.3441862853142537</v>
      </c>
      <c r="E16" s="10">
        <f t="shared" si="16"/>
        <v>2.4972301607476024</v>
      </c>
      <c r="F16" s="10">
        <f t="shared" ref="F16:O16" si="17">F14/F15</f>
        <v>3.2475339993553747</v>
      </c>
      <c r="G16" s="10">
        <f t="shared" si="17"/>
        <v>3.3655160109137401</v>
      </c>
      <c r="H16" s="10">
        <f t="shared" si="17"/>
        <v>3.4580292214279904</v>
      </c>
      <c r="I16" s="10">
        <f t="shared" si="17"/>
        <v>3.5533896187796539</v>
      </c>
      <c r="J16" s="10">
        <f t="shared" si="17"/>
        <v>3.6517039928368433</v>
      </c>
      <c r="K16" s="10">
        <f t="shared" si="17"/>
        <v>3.7216282531414482</v>
      </c>
      <c r="L16" s="10">
        <f t="shared" si="17"/>
        <v>3.7937905061240755</v>
      </c>
      <c r="M16" s="10">
        <f t="shared" si="17"/>
        <v>3.8682900692152602</v>
      </c>
      <c r="N16" s="10">
        <f t="shared" si="17"/>
        <v>3.9452310998950173</v>
      </c>
      <c r="O16" s="10">
        <f t="shared" si="17"/>
        <v>4.0247228364371201</v>
      </c>
    </row>
    <row r="17" spans="2:18" s="1" customFormat="1" x14ac:dyDescent="0.3">
      <c r="C17"/>
      <c r="D17"/>
      <c r="E17"/>
    </row>
    <row r="18" spans="2:18" s="1" customFormat="1" x14ac:dyDescent="0.3">
      <c r="B18" s="1" t="s">
        <v>35</v>
      </c>
      <c r="C18" s="13">
        <f>C5/C3</f>
        <v>0.21877046152676363</v>
      </c>
      <c r="D18" s="13">
        <f t="shared" ref="D18:E18" si="18">D5/D3</f>
        <v>0.20817847141761922</v>
      </c>
      <c r="E18" s="13">
        <f t="shared" si="18"/>
        <v>0.20623857369585674</v>
      </c>
      <c r="F18" s="13">
        <f t="shared" ref="F18:O18" si="19">F5/F3</f>
        <v>0.21</v>
      </c>
      <c r="G18" s="13">
        <f t="shared" si="19"/>
        <v>0.21</v>
      </c>
      <c r="H18" s="13">
        <f t="shared" si="19"/>
        <v>0.21</v>
      </c>
      <c r="I18" s="13">
        <f t="shared" si="19"/>
        <v>0.21</v>
      </c>
      <c r="J18" s="13">
        <f t="shared" si="19"/>
        <v>0.21</v>
      </c>
      <c r="K18" s="13">
        <f t="shared" si="19"/>
        <v>0.21</v>
      </c>
      <c r="L18" s="13">
        <f t="shared" si="19"/>
        <v>0.21</v>
      </c>
      <c r="M18" s="13">
        <f t="shared" si="19"/>
        <v>0.21</v>
      </c>
      <c r="N18" s="13">
        <f t="shared" si="19"/>
        <v>0.21</v>
      </c>
      <c r="O18" s="13">
        <f t="shared" si="19"/>
        <v>0.21</v>
      </c>
    </row>
    <row r="19" spans="2:18" s="1" customFormat="1" x14ac:dyDescent="0.3">
      <c r="B19" s="1" t="s">
        <v>36</v>
      </c>
      <c r="C19" s="13">
        <f>C8/C3</f>
        <v>5.4264050351451563E-2</v>
      </c>
      <c r="D19" s="13">
        <f t="shared" ref="D19:E19" si="20">D8/D3</f>
        <v>4.5716376699117281E-2</v>
      </c>
      <c r="E19" s="13">
        <f t="shared" si="20"/>
        <v>4.2437654414380195E-2</v>
      </c>
      <c r="F19" s="13">
        <f t="shared" ref="F19:O19" si="21">F8/F3</f>
        <v>4.9999999999999989E-2</v>
      </c>
      <c r="G19" s="13">
        <f t="shared" si="21"/>
        <v>4.9999999999999982E-2</v>
      </c>
      <c r="H19" s="13">
        <f t="shared" si="21"/>
        <v>0.05</v>
      </c>
      <c r="I19" s="13">
        <f t="shared" si="21"/>
        <v>4.9999999999999968E-2</v>
      </c>
      <c r="J19" s="13">
        <f t="shared" si="21"/>
        <v>4.9999999999999989E-2</v>
      </c>
      <c r="K19" s="13">
        <f t="shared" si="21"/>
        <v>0.05</v>
      </c>
      <c r="L19" s="13">
        <f t="shared" si="21"/>
        <v>4.9999999999999982E-2</v>
      </c>
      <c r="M19" s="13">
        <f t="shared" si="21"/>
        <v>0.05</v>
      </c>
      <c r="N19" s="13">
        <f t="shared" si="21"/>
        <v>4.9999999999999982E-2</v>
      </c>
      <c r="O19" s="13">
        <f t="shared" si="21"/>
        <v>4.9999999999999982E-2</v>
      </c>
    </row>
    <row r="20" spans="2:18" s="14" customFormat="1" x14ac:dyDescent="0.3">
      <c r="B20" s="14" t="s">
        <v>37</v>
      </c>
      <c r="C20" s="15">
        <f>C6/$C$3</f>
        <v>0.11556110462070995</v>
      </c>
      <c r="D20" s="15">
        <f t="shared" ref="D20:E20" si="22">D6/$C$3</f>
        <v>0.11551175934399686</v>
      </c>
      <c r="E20" s="15">
        <f t="shared" si="22"/>
        <v>0.106866375724832</v>
      </c>
      <c r="F20" s="15">
        <f t="shared" ref="F20:O20" si="23">F6/$C$3</f>
        <v>0.11226581268741279</v>
      </c>
      <c r="G20" s="15">
        <f t="shared" si="23"/>
        <v>0.11563378706803518</v>
      </c>
      <c r="H20" s="15">
        <f t="shared" si="23"/>
        <v>0.11794646280939587</v>
      </c>
      <c r="I20" s="15">
        <f t="shared" si="23"/>
        <v>0.12030539206558383</v>
      </c>
      <c r="J20" s="15">
        <f t="shared" si="23"/>
        <v>0.12271149990689549</v>
      </c>
      <c r="K20" s="15">
        <f t="shared" si="23"/>
        <v>0.12393861490596444</v>
      </c>
      <c r="L20" s="15">
        <f t="shared" si="23"/>
        <v>0.12517800105502411</v>
      </c>
      <c r="M20" s="15">
        <f t="shared" si="23"/>
        <v>0.12642978106557431</v>
      </c>
      <c r="N20" s="15">
        <f t="shared" si="23"/>
        <v>0.12769407887623005</v>
      </c>
      <c r="O20" s="15">
        <f t="shared" si="23"/>
        <v>0.12897101966499239</v>
      </c>
    </row>
    <row r="21" spans="2:18" s="14" customFormat="1" x14ac:dyDescent="0.3">
      <c r="B21" s="14" t="s">
        <v>38</v>
      </c>
      <c r="C21" s="15">
        <f t="shared" ref="C21:E21" si="24">C7/$C$3</f>
        <v>4.8945306554602115E-2</v>
      </c>
      <c r="D21" s="15">
        <f t="shared" si="24"/>
        <v>5.2528958451407211E-2</v>
      </c>
      <c r="E21" s="15">
        <f t="shared" si="24"/>
        <v>5.2347852171966858E-2</v>
      </c>
      <c r="F21" s="15">
        <f t="shared" ref="F21:O21" si="25">F7/$C$3</f>
        <v>5.1029914857914901E-2</v>
      </c>
      <c r="G21" s="15">
        <f t="shared" si="25"/>
        <v>5.2560812303652359E-2</v>
      </c>
      <c r="H21" s="15">
        <f t="shared" si="25"/>
        <v>5.361202854972541E-2</v>
      </c>
      <c r="I21" s="15">
        <f t="shared" si="25"/>
        <v>5.4684269120719921E-2</v>
      </c>
      <c r="J21" s="15">
        <f t="shared" si="25"/>
        <v>5.5777954503134317E-2</v>
      </c>
      <c r="K21" s="15">
        <f t="shared" si="25"/>
        <v>5.6335734048165664E-2</v>
      </c>
      <c r="L21" s="15">
        <f t="shared" si="25"/>
        <v>5.6899091388647315E-2</v>
      </c>
      <c r="M21" s="15">
        <f t="shared" si="25"/>
        <v>5.7468082302533786E-2</v>
      </c>
      <c r="N21" s="15">
        <f t="shared" si="25"/>
        <v>5.804276312555913E-2</v>
      </c>
      <c r="O21" s="15">
        <f t="shared" si="25"/>
        <v>5.8623190756814721E-2</v>
      </c>
    </row>
    <row r="22" spans="2:18" s="1" customFormat="1" x14ac:dyDescent="0.3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Q22" s="14" t="s">
        <v>40</v>
      </c>
      <c r="R22" s="15">
        <v>-0.01</v>
      </c>
    </row>
    <row r="23" spans="2:18" s="1" customFormat="1" x14ac:dyDescent="0.3">
      <c r="B23" s="1" t="s">
        <v>39</v>
      </c>
      <c r="C23" s="13"/>
      <c r="D23" s="13">
        <f>D3/C3-1</f>
        <v>3.4337997959266842E-2</v>
      </c>
      <c r="E23" s="13">
        <f>E3/D3-1</f>
        <v>-6.0270066299665914E-2</v>
      </c>
      <c r="F23" s="13">
        <f t="shared" ref="F23:O23" si="26">F3/E3-1</f>
        <v>5.0000000000000044E-2</v>
      </c>
      <c r="G23" s="13">
        <f t="shared" si="26"/>
        <v>3.0000000000000027E-2</v>
      </c>
      <c r="H23" s="13">
        <f t="shared" si="26"/>
        <v>2.0000000000000018E-2</v>
      </c>
      <c r="I23" s="13">
        <f t="shared" si="26"/>
        <v>2.0000000000000018E-2</v>
      </c>
      <c r="J23" s="13">
        <f t="shared" si="26"/>
        <v>2.0000000000000018E-2</v>
      </c>
      <c r="K23" s="13">
        <f t="shared" si="26"/>
        <v>1.0000000000000009E-2</v>
      </c>
      <c r="L23" s="13">
        <f t="shared" si="26"/>
        <v>1.0000000000000009E-2</v>
      </c>
      <c r="M23" s="13">
        <f t="shared" si="26"/>
        <v>1.0000000000000009E-2</v>
      </c>
      <c r="N23" s="13">
        <f t="shared" si="26"/>
        <v>1.0000000000000009E-2</v>
      </c>
      <c r="O23" s="13">
        <f t="shared" si="26"/>
        <v>1.0000000000000009E-2</v>
      </c>
      <c r="Q23" s="14" t="s">
        <v>41</v>
      </c>
      <c r="R23" s="15">
        <v>0.06</v>
      </c>
    </row>
    <row r="24" spans="2:18" s="1" customFormat="1" x14ac:dyDescent="0.3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Q24" s="14" t="s">
        <v>42</v>
      </c>
      <c r="R24" s="17">
        <f>NPV(R23,F14:DE14)</f>
        <v>100847.91177794497</v>
      </c>
    </row>
    <row r="25" spans="2:18" s="1" customFormat="1" x14ac:dyDescent="0.3">
      <c r="B25" s="1" t="s">
        <v>31</v>
      </c>
      <c r="C25" s="13">
        <f>C12/C11</f>
        <v>-1.2256799043564299E-2</v>
      </c>
      <c r="D25" s="13">
        <f t="shared" ref="D25:E25" si="27">D12/D11</f>
        <v>0.3094718570516915</v>
      </c>
      <c r="E25" s="13">
        <f t="shared" si="27"/>
        <v>0.35444944918333277</v>
      </c>
      <c r="F25" s="13">
        <f t="shared" ref="F25:O25" si="28">F12/F11</f>
        <v>0.33</v>
      </c>
      <c r="G25" s="13">
        <f t="shared" si="28"/>
        <v>0.33</v>
      </c>
      <c r="H25" s="13">
        <f t="shared" si="28"/>
        <v>0.33</v>
      </c>
      <c r="I25" s="13">
        <f t="shared" si="28"/>
        <v>0.33</v>
      </c>
      <c r="J25" s="13">
        <f t="shared" si="28"/>
        <v>0.33</v>
      </c>
      <c r="K25" s="13">
        <f t="shared" si="28"/>
        <v>0.33</v>
      </c>
      <c r="L25" s="13">
        <f t="shared" si="28"/>
        <v>0.33</v>
      </c>
      <c r="M25" s="13">
        <f t="shared" si="28"/>
        <v>0.33</v>
      </c>
      <c r="N25" s="13">
        <f t="shared" si="28"/>
        <v>0.33</v>
      </c>
      <c r="O25" s="13">
        <f t="shared" si="28"/>
        <v>0.33</v>
      </c>
      <c r="Q25" s="14" t="s">
        <v>43</v>
      </c>
      <c r="R25" s="17">
        <f>Main!D10</f>
        <v>-47632.850505777977</v>
      </c>
    </row>
    <row r="26" spans="2:18" s="1" customFormat="1" x14ac:dyDescent="0.3">
      <c r="C26"/>
      <c r="D26"/>
      <c r="E26"/>
      <c r="Q26" s="14" t="s">
        <v>44</v>
      </c>
      <c r="R26" s="17">
        <f>R24+R25</f>
        <v>53215.061272166997</v>
      </c>
    </row>
    <row r="27" spans="2:18" x14ac:dyDescent="0.3">
      <c r="B27" t="s">
        <v>22</v>
      </c>
      <c r="C27" s="5">
        <v>15361146</v>
      </c>
      <c r="D27" s="5">
        <v>15888617</v>
      </c>
      <c r="E27" s="5">
        <v>14931009</v>
      </c>
      <c r="Q27" s="14" t="s">
        <v>45</v>
      </c>
      <c r="R27" s="17">
        <f>R26/O15</f>
        <v>30.813584986778807</v>
      </c>
    </row>
    <row r="28" spans="2:18" x14ac:dyDescent="0.3">
      <c r="B28" t="s">
        <v>23</v>
      </c>
      <c r="C28" s="5">
        <v>12000581</v>
      </c>
      <c r="D28" s="5">
        <v>12580949</v>
      </c>
      <c r="E28" s="5">
        <v>11851659</v>
      </c>
      <c r="Q28" s="14" t="s">
        <v>46</v>
      </c>
      <c r="R28" s="17">
        <f>Main!D3</f>
        <v>25.53</v>
      </c>
    </row>
    <row r="29" spans="2:18" x14ac:dyDescent="0.3">
      <c r="B29" s="1" t="s">
        <v>24</v>
      </c>
      <c r="C29" s="16">
        <f>C27-C28</f>
        <v>3360565</v>
      </c>
      <c r="D29" s="16">
        <f>D27-D28</f>
        <v>3307668</v>
      </c>
      <c r="E29" s="16">
        <f>E27-E28</f>
        <v>3079350</v>
      </c>
      <c r="Q29" s="1" t="s">
        <v>47</v>
      </c>
      <c r="R29" s="13">
        <f>R27/R28-1</f>
        <v>0.20695593367719556</v>
      </c>
    </row>
    <row r="30" spans="2:18" x14ac:dyDescent="0.3">
      <c r="B30" t="s">
        <v>25</v>
      </c>
      <c r="C30" s="5">
        <v>1775151</v>
      </c>
      <c r="D30" s="5">
        <v>1774393</v>
      </c>
      <c r="E30" s="5">
        <v>1641590</v>
      </c>
      <c r="Q30" s="14" t="s">
        <v>48</v>
      </c>
      <c r="R30" t="s">
        <v>49</v>
      </c>
    </row>
    <row r="31" spans="2:18" x14ac:dyDescent="0.3">
      <c r="B31" t="s">
        <v>26</v>
      </c>
      <c r="C31" s="5">
        <v>751856</v>
      </c>
      <c r="D31" s="5">
        <v>806905</v>
      </c>
      <c r="E31" s="5">
        <v>804123</v>
      </c>
    </row>
    <row r="32" spans="2:18" x14ac:dyDescent="0.3">
      <c r="B32" s="1" t="s">
        <v>27</v>
      </c>
      <c r="C32" s="16">
        <f>C29-C30-C31</f>
        <v>833558</v>
      </c>
      <c r="D32" s="16">
        <f>D29-D30-D31</f>
        <v>726370</v>
      </c>
      <c r="E32" s="16">
        <f>E29-E30-E31</f>
        <v>633637</v>
      </c>
    </row>
    <row r="33" spans="2:5" x14ac:dyDescent="0.3">
      <c r="B33" t="s">
        <v>28</v>
      </c>
      <c r="C33" s="5">
        <v>-247643</v>
      </c>
      <c r="D33" s="5">
        <v>-228827</v>
      </c>
      <c r="E33" s="5">
        <v>-164203</v>
      </c>
    </row>
    <row r="34" spans="2:5" x14ac:dyDescent="0.3">
      <c r="B34" t="s">
        <v>29</v>
      </c>
      <c r="C34" s="5">
        <v>-33772</v>
      </c>
      <c r="D34" s="5">
        <v>-24178</v>
      </c>
      <c r="E34" s="5">
        <v>7922</v>
      </c>
    </row>
    <row r="35" spans="2:5" x14ac:dyDescent="0.3">
      <c r="B35" s="1" t="s">
        <v>30</v>
      </c>
      <c r="C35" s="16">
        <f>C32-C33-C34</f>
        <v>1114973</v>
      </c>
      <c r="D35" s="16">
        <f>D32-D33-D34</f>
        <v>979375</v>
      </c>
      <c r="E35" s="16">
        <f>E32-E33-E34</f>
        <v>789918</v>
      </c>
    </row>
    <row r="36" spans="2:5" x14ac:dyDescent="0.3">
      <c r="B36" t="s">
        <v>31</v>
      </c>
      <c r="C36" s="5">
        <v>-13666</v>
      </c>
      <c r="D36" s="5">
        <v>303089</v>
      </c>
      <c r="E36" s="5">
        <v>279986</v>
      </c>
    </row>
    <row r="37" spans="2:5" x14ac:dyDescent="0.3">
      <c r="B37" t="s">
        <v>32</v>
      </c>
      <c r="C37" s="5">
        <v>69302</v>
      </c>
      <c r="D37" s="5">
        <v>65970</v>
      </c>
      <c r="E37" s="5">
        <v>54186</v>
      </c>
    </row>
    <row r="38" spans="2:5" x14ac:dyDescent="0.3">
      <c r="B38" s="1" t="s">
        <v>33</v>
      </c>
      <c r="C38" s="16">
        <f>C35-C36-C37</f>
        <v>1059337</v>
      </c>
      <c r="D38" s="16">
        <f>D35-D36-D37</f>
        <v>610316</v>
      </c>
      <c r="E38" s="16">
        <f>E35-E36-E37</f>
        <v>455746</v>
      </c>
    </row>
    <row r="39" spans="2:5" x14ac:dyDescent="0.3">
      <c r="B39" t="s">
        <v>1</v>
      </c>
      <c r="C39" s="5">
        <v>1727</v>
      </c>
      <c r="D39" s="5">
        <v>1727</v>
      </c>
      <c r="E39" s="5">
        <v>1727</v>
      </c>
    </row>
    <row r="40" spans="2:5" x14ac:dyDescent="0.3">
      <c r="B40" s="1" t="s">
        <v>34</v>
      </c>
      <c r="C40" s="10">
        <f>C38/C39</f>
        <v>613.39722061378109</v>
      </c>
      <c r="D40" s="10">
        <f>D38/D39</f>
        <v>353.39664157498555</v>
      </c>
      <c r="E40" s="10">
        <f>E38/E39</f>
        <v>263.89461493920095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8AC0-8E34-4223-B25B-85F8A750EC8B}">
  <dimension ref="A1:F2"/>
  <sheetViews>
    <sheetView workbookViewId="0">
      <selection activeCell="C2" sqref="C2"/>
    </sheetView>
  </sheetViews>
  <sheetFormatPr defaultRowHeight="14.4" x14ac:dyDescent="0.3"/>
  <cols>
    <col min="1" max="1" width="16.33203125" bestFit="1" customWidth="1"/>
    <col min="2" max="2" width="7.5546875" bestFit="1" customWidth="1"/>
    <col min="3" max="3" width="11" bestFit="1" customWidth="1"/>
    <col min="4" max="4" width="9" bestFit="1" customWidth="1"/>
    <col min="5" max="5" width="11.5546875" bestFit="1" customWidth="1"/>
    <col min="6" max="6" width="7.77734375" bestFit="1" customWidth="1"/>
  </cols>
  <sheetData>
    <row r="1" spans="1:6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x14ac:dyDescent="0.3">
      <c r="A2" s="6" t="s">
        <v>18</v>
      </c>
      <c r="B2" s="6" t="s">
        <v>19</v>
      </c>
      <c r="C2" s="6">
        <v>105.674927</v>
      </c>
      <c r="D2" s="6">
        <v>9.4629999999999992E-3</v>
      </c>
      <c r="E2" s="6" t="s">
        <v>11</v>
      </c>
      <c r="F2" s="6" t="s">
        <v>20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e 1 7 9 6 4 - 4 e d 4 - 4 4 0 f - b 0 8 8 - 9 f 2 f a 5 6 d 6 5 0 4 "   x m l n s = " h t t p : / / s c h e m a s . m i c r o s o f t . c o m / D a t a M a s h u p " > A A A A A D I E A A B Q S w M E F A A C A A g A W 5 Q v U c E E I b 6 o A A A A + A A A A B I A H A B D b 2 5 m a W c v U G F j a 2 F n Z S 5 4 b W w g o h g A K K A U A A A A A A A A A A A A A A A A A A A A A A A A A A A A h Y + 7 D o I w G E Z f h X S n L e A F y U 9 J d H C R x M T E u D a l Q i M U Q 4 v l 3 R x 8 J F 9 B E q + b 4 3 d y h v P d r z f I h q b 2 L r I z q t U p C j B F n t S i L Z Q u U 9 T b o x + j j M G W i x M v p T f K 2 i S D K V J U W X t O C H H O Y R f h t i t J S G l A D v l m J y r Z c P S R 1 X / Z V 9 p Y r o V E D P b P G B b i O M L T e D H B 8 1 k A 5 I 0 h V / q r h G M x p k B + I K z 6 2 v a d Z F L 7 6 y W Q 9 w T y e s E e U E s D B B Q A A g A I A F u U L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l C 9 R 0 6 w z A i g B A A A o A g A A E w A c A E Z v c m 1 1 b G F z L 1 N l Y 3 R p b 2 4 x L m 0 g o h g A K K A U A A A A A A A A A A A A A A A A A A A A A A A A A A A A f Z E 9 a 8 M w E I Z 3 g / / D o S w 2 C D u B T g 0 Z i j s U C i U k g Q 4 h g 2 x f P k C W w u l c N 4 T 8 9 8 q O 2 7 R J W y 0 S z y s e 3 Z 0 c F r y z B u b n f T Q O g z B w W 0 V Y w k A s V K 4 R h g I m o J H D A P y a 2 5 o K 9 O Q V 8 2 S q N h i 1 h 8 w a R s M u E l v m / X 2 a N k 2 T r L V V T I r R J Y W t 0 q I m Q l M c 0 t q V q Y h j e R Y + K l Z D 7 z u L j 8 P T s i W r P h 2 I K d n K s q / n C V W J 5 N p q u s K S P u l 5 1 I k k L H v 8 o P W 8 U F q R m z D V u I q / j N l W m Y 0 X L g 5 7 v N g W p I x b W 6 o y q + v K t K G L f n l e H o 8 i 6 1 u B F 1 W h k M D + M j C + 8 0 m C T 2 1 5 C 0 f g 2 / 6 k p q 5 y p I 7 v z B + B H + k b E i P d + v 3 / 8 A 9 6 u j T 3 j H u G W d s g 2 D X M b P N t Y B 2 O r g Y g 7 + Q o D o O d + c c w / g B Q S w E C L Q A U A A I A C A B b l C 9 R w Q Q h v q g A A A D 4 A A A A E g A A A A A A A A A A A A A A A A A A A A A A Q 2 9 u Z m l n L 1 B h Y 2 t h Z 2 U u e G 1 s U E s B A i 0 A F A A C A A g A W 5 Q v U Q / K 6 a u k A A A A 6 Q A A A B M A A A A A A A A A A A A A A A A A 9 A A A A F t D b 2 5 0 Z W 5 0 X 1 R 5 c G V z X S 5 4 b W x Q S w E C L Q A U A A I A C A B b l C 9 R 0 6 w z A i g B A A A o A g A A E w A A A A A A A A A A A A A A A A D l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D Q A A A A A A A A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1 c n J l b m N 5 I E 5 h b W U s M H 0 m c X V v d D s s J n F 1 b 3 Q 7 U 2 V j d G l v b j E v V G F i b G U g M C 9 D a G F u Z 2 V k I F R 5 c G U u e 0 N v Z G U s M X 0 m c X V v d D s s J n F 1 b 3 Q 7 U 2 V j d G l v b j E v V G F i b G U g M C 9 D a G F u Z 2 V k I F R 5 c G U u e z E g d X N k L D J 9 J n F 1 b 3 Q 7 L C Z x d W 9 0 O 1 N l Y 3 R p b 2 4 x L 1 R h Y m x l I D A v Q 2 h h b m d l Z C B U e X B l L n t p b i B 1 c 2 Q s M 3 0 m c X V v d D s s J n F 1 b 3 Q 7 U 2 V j d G l v b j E v V G F i b G U g M C 9 D a G F u Z 2 V k I F R 5 c G U u e 0 N v b n Z l c n R l c i w 0 f S Z x d W 9 0 O y w m c X V v d D t T Z W N 0 a W 9 u M S 9 U Y W J s Z S A w L 0 N o Y W 5 n Z W Q g V H l w Z S 5 7 Q 2 h h c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D a G F u Z 2 V k I F R 5 c G U u e 0 N 1 c n J l b m N 5 I E 5 h b W U s M H 0 m c X V v d D s s J n F 1 b 3 Q 7 U 2 V j d G l v b j E v V G F i b G U g M C 9 D a G F u Z 2 V k I F R 5 c G U u e 0 N v Z G U s M X 0 m c X V v d D s s J n F 1 b 3 Q 7 U 2 V j d G l v b j E v V G F i b G U g M C 9 D a G F u Z 2 V k I F R 5 c G U u e z E g d X N k L D J 9 J n F 1 b 3 Q 7 L C Z x d W 9 0 O 1 N l Y 3 R p b 2 4 x L 1 R h Y m x l I D A v Q 2 h h b m d l Z C B U e X B l L n t p b i B 1 c 2 Q s M 3 0 m c X V v d D s s J n F 1 b 3 Q 7 U 2 V j d G l v b j E v V G F i b G U g M C 9 D a G F u Z 2 V k I F R 5 c G U u e 0 N v b n Z l c n R l c i w 0 f S Z x d W 9 0 O y w m c X V v d D t T Z W N 0 a W 9 u M S 9 U Y W J s Z S A w L 0 N o Y W 5 n Z W Q g V H l w Z S 5 7 Q 2 h h c n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n J l b m N 5 I E 5 h b W U m c X V v d D s s J n F 1 b 3 Q 7 Q 2 9 k Z S Z x d W 9 0 O y w m c X V v d D s x I H V z Z C Z x d W 9 0 O y w m c X V v d D t p b i B 1 c 2 Q m c X V v d D s s J n F 1 b 3 Q 7 Q 2 9 u d m V y d G V y J n F 1 b 3 Q 7 L C Z x d W 9 0 O 0 N o Y X J 0 J n F 1 b 3 Q 7 X S I g L z 4 8 R W 5 0 c n k g V H l w Z T 0 i R m l s b E N v b H V t b l R 5 c G V z I i B W Y W x 1 Z T 0 i c 0 J n W U Z C U V l H I i A v P j x F b n R y e S B U e X B l P S J G a W x s T G F z d F V w Z G F 0 Z W Q i I F Z h b H V l P S J k M j A y M C 0 w O S 0 x N V Q x N T o z N D o 1 N S 4 4 N z Q 1 N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M 5 O G E y Y T E 2 L T U w M W E t N D M x Z S 1 i O G Y 0 L W M 0 M j B i O D F m Z W U 1 O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L Z X B 0 J T I w U m F u Z 2 U l M j B v Z i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7 P m j V C E N k i + N K L t Z + u 9 p A A A A A A C A A A A A A A Q Z g A A A A E A A C A A A A D + 9 d E B T x D / v w X n 8 H 4 f T B L A 7 7 r 6 l / / 3 l I h b T 5 y V w H Q / X w A A A A A O g A A A A A I A A C A A A A D Y 0 w W h F I 4 w l C Y h 1 k / v J s d A u z x Z s F 1 M H V w d 3 W f H z Z d 0 E V A A A A D P k b 4 X 7 s U t W A W 6 u 9 m A 8 y V X Y D 0 2 + T j / W N F I Z i C A o + v s I x L Q m t c 1 b v Q t W Q k t Q O U d o C e b I h / B k f B Z O w q y + s u h 0 Y A t U m S d s 4 D E G w K 3 r e v p t b B O F E A A A A D W X z 9 j 5 j 9 B O z z 7 W t t G C p w G e p Y H 1 f S 3 m 1 D R 3 X l i B K P U 5 + l v W + T 0 p f e 8 o d W 7 F n z 2 e U d 2 5 y 9 h r t o l F P V 3 y 0 w e g + 3 C < / D a t a M a s h u p > 
</file>

<file path=customXml/itemProps1.xml><?xml version="1.0" encoding="utf-8"?>
<ds:datastoreItem xmlns:ds="http://schemas.openxmlformats.org/officeDocument/2006/customXml" ds:itemID="{8D67EC95-1364-4BEC-98C3-CA9584EBE5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2020-09-15T15:25:21Z</dcterms:created>
  <dcterms:modified xsi:type="dcterms:W3CDTF">2021-03-01T22:12:34Z</dcterms:modified>
</cp:coreProperties>
</file>