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D1D77A13-878E-468D-933F-FA8A564DF4AD}" xr6:coauthVersionLast="47" xr6:coauthVersionMax="47" xr10:uidLastSave="{00000000-0000-0000-0000-000000000000}"/>
  <bookViews>
    <workbookView xWindow="-108" yWindow="-108" windowWidth="23256" windowHeight="12576" xr2:uid="{9DABBB29-C94C-41BD-A4AD-A53C3313D92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6" i="2" l="1"/>
  <c r="BF6" i="2"/>
  <c r="BG6" i="2"/>
  <c r="BH6" i="2"/>
  <c r="BI6" i="2"/>
  <c r="BJ6" i="2"/>
  <c r="BK6" i="2"/>
  <c r="BL6" i="2"/>
  <c r="BM6" i="2"/>
  <c r="BN6" i="2"/>
  <c r="BE61" i="2"/>
  <c r="BF61" i="2" s="1"/>
  <c r="BG61" i="2" s="1"/>
  <c r="BH61" i="2" s="1"/>
  <c r="BI61" i="2" s="1"/>
  <c r="BJ61" i="2" s="1"/>
  <c r="BK61" i="2" s="1"/>
  <c r="BL61" i="2" s="1"/>
  <c r="BM61" i="2" s="1"/>
  <c r="BN61" i="2" s="1"/>
  <c r="BD61" i="2"/>
  <c r="BE62" i="2"/>
  <c r="BF62" i="2" s="1"/>
  <c r="BG62" i="2" s="1"/>
  <c r="BH62" i="2" s="1"/>
  <c r="BI62" i="2" s="1"/>
  <c r="BJ62" i="2" s="1"/>
  <c r="BK62" i="2" s="1"/>
  <c r="BL62" i="2" s="1"/>
  <c r="BM62" i="2" s="1"/>
  <c r="BN62" i="2" s="1"/>
  <c r="BD62" i="2"/>
  <c r="AJ68" i="2"/>
  <c r="AJ64" i="2"/>
  <c r="AJ71" i="2" s="1"/>
  <c r="AJ73" i="2" s="1"/>
  <c r="AJ60" i="2"/>
  <c r="AK68" i="2"/>
  <c r="AK71" i="2" s="1"/>
  <c r="AK73" i="2" s="1"/>
  <c r="AK64" i="2"/>
  <c r="AK60" i="2"/>
  <c r="AL68" i="2"/>
  <c r="AL71" i="2"/>
  <c r="AL73" i="2" s="1"/>
  <c r="AL60" i="2"/>
  <c r="AJ12" i="2"/>
  <c r="AJ9" i="2"/>
  <c r="AK12" i="2"/>
  <c r="AK9" i="2"/>
  <c r="AL12" i="2"/>
  <c r="AL9" i="2"/>
  <c r="AM70" i="2"/>
  <c r="AM68" i="2"/>
  <c r="AM60" i="2"/>
  <c r="AN70" i="2"/>
  <c r="AN68" i="2"/>
  <c r="AN60" i="2"/>
  <c r="AO70" i="2"/>
  <c r="AO68" i="2"/>
  <c r="AO71" i="2"/>
  <c r="AO73" i="2" s="1"/>
  <c r="AO60" i="2"/>
  <c r="AP32" i="2"/>
  <c r="AO32" i="2"/>
  <c r="AN32" i="2"/>
  <c r="AM32" i="2"/>
  <c r="AP30" i="2"/>
  <c r="AO30" i="2"/>
  <c r="AN30" i="2"/>
  <c r="AM30" i="2"/>
  <c r="AL30" i="2"/>
  <c r="AK30" i="2"/>
  <c r="AP26" i="2"/>
  <c r="AO26" i="2"/>
  <c r="AN26" i="2"/>
  <c r="AM26" i="2"/>
  <c r="AP25" i="2"/>
  <c r="AO25" i="2"/>
  <c r="AN25" i="2"/>
  <c r="AM25" i="2"/>
  <c r="AL25" i="2"/>
  <c r="AK25" i="2"/>
  <c r="AJ25" i="2"/>
  <c r="AP24" i="2"/>
  <c r="AO24" i="2"/>
  <c r="AN24" i="2"/>
  <c r="AM24" i="2"/>
  <c r="AL24" i="2"/>
  <c r="AK24" i="2"/>
  <c r="AP23" i="2"/>
  <c r="AO23" i="2"/>
  <c r="AN23" i="2"/>
  <c r="AM23" i="2"/>
  <c r="AM12" i="2"/>
  <c r="AM9" i="2"/>
  <c r="AN12" i="2"/>
  <c r="AN9" i="2"/>
  <c r="AO12" i="2"/>
  <c r="AO9" i="2"/>
  <c r="AV70" i="2"/>
  <c r="AW70" i="2"/>
  <c r="AP70" i="2"/>
  <c r="AQ30" i="2"/>
  <c r="AQ24" i="2"/>
  <c r="AP12" i="2"/>
  <c r="AP9" i="2"/>
  <c r="AT70" i="2"/>
  <c r="AU70" i="2"/>
  <c r="AQ70" i="2"/>
  <c r="AR70" i="2"/>
  <c r="AS70" i="2"/>
  <c r="AV30" i="2"/>
  <c r="AU30" i="2"/>
  <c r="AT30" i="2"/>
  <c r="AS30" i="2"/>
  <c r="AR30" i="2"/>
  <c r="AV25" i="2"/>
  <c r="AU25" i="2"/>
  <c r="AT25" i="2"/>
  <c r="AS25" i="2"/>
  <c r="AR25" i="2"/>
  <c r="AQ25" i="2"/>
  <c r="AV24" i="2"/>
  <c r="AU24" i="2"/>
  <c r="AT24" i="2"/>
  <c r="AS24" i="2"/>
  <c r="AR24" i="2"/>
  <c r="AQ12" i="2"/>
  <c r="AQ9" i="2"/>
  <c r="AR12" i="2"/>
  <c r="AR9" i="2"/>
  <c r="AR23" i="2" s="1"/>
  <c r="AS12" i="2"/>
  <c r="AS9" i="2"/>
  <c r="AS23" i="2" s="1"/>
  <c r="AT12" i="2"/>
  <c r="AT9" i="2"/>
  <c r="AT23" i="2" s="1"/>
  <c r="AU12" i="2"/>
  <c r="AU9" i="2"/>
  <c r="AU23" i="2" s="1"/>
  <c r="AV12" i="2"/>
  <c r="BQ79" i="2"/>
  <c r="BQ76" i="2"/>
  <c r="AX70" i="2"/>
  <c r="AY70" i="2"/>
  <c r="AZ70" i="2"/>
  <c r="AJ13" i="2" l="1"/>
  <c r="AJ15" i="2" s="1"/>
  <c r="AJ23" i="2"/>
  <c r="AK13" i="2"/>
  <c r="AK15" i="2" s="1"/>
  <c r="AK23" i="2"/>
  <c r="AL13" i="2"/>
  <c r="AL26" i="2"/>
  <c r="AL15" i="2"/>
  <c r="AL23" i="2"/>
  <c r="AM71" i="2"/>
  <c r="AM73" i="2" s="1"/>
  <c r="AN71" i="2"/>
  <c r="AN73" i="2" s="1"/>
  <c r="AM13" i="2"/>
  <c r="AM15" i="2" s="1"/>
  <c r="AM17" i="2" s="1"/>
  <c r="AM19" i="2" s="1"/>
  <c r="AN13" i="2"/>
  <c r="AN15" i="2" s="1"/>
  <c r="AN17" i="2" s="1"/>
  <c r="AN19" i="2" s="1"/>
  <c r="AO13" i="2"/>
  <c r="AO15" i="2" s="1"/>
  <c r="AO17" i="2" s="1"/>
  <c r="AO19" i="2" s="1"/>
  <c r="AQ13" i="2"/>
  <c r="AQ15" i="2" s="1"/>
  <c r="AQ17" i="2" s="1"/>
  <c r="AQ19" i="2" s="1"/>
  <c r="AP13" i="2"/>
  <c r="AQ23" i="2"/>
  <c r="AR13" i="2"/>
  <c r="AS13" i="2"/>
  <c r="AT13" i="2"/>
  <c r="AU13" i="2"/>
  <c r="AV9" i="2"/>
  <c r="BQ32" i="2"/>
  <c r="AH4" i="2"/>
  <c r="AH7" i="2" s="1"/>
  <c r="AH22" i="2" s="1"/>
  <c r="AG4" i="2"/>
  <c r="AG7" i="2" s="1"/>
  <c r="AF4" i="2"/>
  <c r="AF29" i="2" s="1"/>
  <c r="AH3" i="2"/>
  <c r="AH28" i="2" s="1"/>
  <c r="AG3" i="2"/>
  <c r="AG6" i="2" s="1"/>
  <c r="AF3" i="2"/>
  <c r="AF28" i="2" s="1"/>
  <c r="AE5" i="2"/>
  <c r="AE8" i="2"/>
  <c r="D7" i="1"/>
  <c r="D6" i="1"/>
  <c r="BD14" i="2"/>
  <c r="AE29" i="2"/>
  <c r="AE24" i="2"/>
  <c r="AE22" i="2"/>
  <c r="AH10" i="2"/>
  <c r="AH24" i="2" s="1"/>
  <c r="AG10" i="2"/>
  <c r="AG24" i="2" s="1"/>
  <c r="AF10" i="2"/>
  <c r="Z49" i="2"/>
  <c r="Z51" i="2" s="1"/>
  <c r="Z53" i="2" s="1"/>
  <c r="Z37" i="2"/>
  <c r="Z44" i="2" s="1"/>
  <c r="AJ26" i="2" l="1"/>
  <c r="AJ32" i="2"/>
  <c r="AJ17" i="2"/>
  <c r="AJ19" i="2" s="1"/>
  <c r="AK26" i="2"/>
  <c r="AK17" i="2"/>
  <c r="AK19" i="2" s="1"/>
  <c r="AK32" i="2"/>
  <c r="AL17" i="2"/>
  <c r="AL19" i="2" s="1"/>
  <c r="AL32" i="2"/>
  <c r="AQ60" i="2"/>
  <c r="AQ71" i="2" s="1"/>
  <c r="AQ73" i="2" s="1"/>
  <c r="AQ32" i="2"/>
  <c r="AQ26" i="2"/>
  <c r="AP15" i="2"/>
  <c r="AR15" i="2"/>
  <c r="AR26" i="2"/>
  <c r="AV13" i="2"/>
  <c r="AV23" i="2"/>
  <c r="AU15" i="2"/>
  <c r="AU26" i="2"/>
  <c r="AG8" i="2"/>
  <c r="AT15" i="2"/>
  <c r="AT26" i="2"/>
  <c r="AS15" i="2"/>
  <c r="AS26" i="2"/>
  <c r="BD10" i="2"/>
  <c r="AH29" i="2"/>
  <c r="AE9" i="2"/>
  <c r="AF6" i="2"/>
  <c r="AF21" i="2" s="1"/>
  <c r="AH6" i="2"/>
  <c r="AG5" i="2"/>
  <c r="AG29" i="2"/>
  <c r="BD4" i="2"/>
  <c r="BE4" i="2" s="1"/>
  <c r="AF7" i="2"/>
  <c r="AF5" i="2"/>
  <c r="AE12" i="2"/>
  <c r="AE13" i="2" s="1"/>
  <c r="AG21" i="2"/>
  <c r="AG28" i="2"/>
  <c r="AF24" i="2"/>
  <c r="AH5" i="2"/>
  <c r="AG22" i="2"/>
  <c r="AE21" i="2"/>
  <c r="AE28" i="2"/>
  <c r="BD3" i="2"/>
  <c r="AC49" i="2"/>
  <c r="AC51" i="2" s="1"/>
  <c r="AC53" i="2" s="1"/>
  <c r="AC37" i="2"/>
  <c r="AC55" i="2" s="1"/>
  <c r="AA24" i="2"/>
  <c r="AC29" i="2"/>
  <c r="AC24" i="2"/>
  <c r="AB24" i="2"/>
  <c r="AA29" i="2"/>
  <c r="AA28" i="2"/>
  <c r="BB16" i="2"/>
  <c r="BB14" i="2"/>
  <c r="BB11" i="2"/>
  <c r="BB10" i="2"/>
  <c r="BB7" i="2"/>
  <c r="BB6" i="2"/>
  <c r="BB4" i="2"/>
  <c r="BB3" i="2"/>
  <c r="BA3" i="2"/>
  <c r="BB18" i="2"/>
  <c r="BA18" i="2"/>
  <c r="BA16" i="2"/>
  <c r="BA14" i="2"/>
  <c r="BA11" i="2"/>
  <c r="BA10" i="2"/>
  <c r="BA7" i="2"/>
  <c r="BA6" i="2"/>
  <c r="BA4" i="2"/>
  <c r="Q29" i="2"/>
  <c r="Q28" i="2"/>
  <c r="Q24" i="2"/>
  <c r="Q22" i="2"/>
  <c r="Q21" i="2"/>
  <c r="Q12" i="2"/>
  <c r="Q8" i="2"/>
  <c r="Q5" i="2"/>
  <c r="R29" i="2"/>
  <c r="R28" i="2"/>
  <c r="R24" i="2"/>
  <c r="R22" i="2"/>
  <c r="R21" i="2"/>
  <c r="R12" i="2"/>
  <c r="R8" i="2"/>
  <c r="R5" i="2"/>
  <c r="R25" i="2" s="1"/>
  <c r="S29" i="2"/>
  <c r="S28" i="2"/>
  <c r="S24" i="2"/>
  <c r="S22" i="2"/>
  <c r="S21" i="2"/>
  <c r="S12" i="2"/>
  <c r="S8" i="2"/>
  <c r="S5" i="2"/>
  <c r="S25" i="2" s="1"/>
  <c r="W29" i="2"/>
  <c r="W28" i="2"/>
  <c r="W24" i="2"/>
  <c r="W22" i="2"/>
  <c r="W21" i="2"/>
  <c r="W12" i="2"/>
  <c r="W8" i="2"/>
  <c r="W5" i="2"/>
  <c r="X29" i="2"/>
  <c r="X28" i="2"/>
  <c r="X24" i="2"/>
  <c r="X22" i="2"/>
  <c r="X21" i="2"/>
  <c r="T29" i="2"/>
  <c r="T28" i="2"/>
  <c r="T24" i="2"/>
  <c r="T22" i="2"/>
  <c r="T21" i="2"/>
  <c r="T12" i="2"/>
  <c r="T8" i="2"/>
  <c r="T5" i="2"/>
  <c r="T25" i="2" s="1"/>
  <c r="X12" i="2"/>
  <c r="X8" i="2"/>
  <c r="X5" i="2"/>
  <c r="U29" i="2"/>
  <c r="U28" i="2"/>
  <c r="U24" i="2"/>
  <c r="U22" i="2"/>
  <c r="U21" i="2"/>
  <c r="U12" i="2"/>
  <c r="U8" i="2"/>
  <c r="U5" i="2"/>
  <c r="Y29" i="2"/>
  <c r="Y28" i="2"/>
  <c r="Y24" i="2"/>
  <c r="Y22" i="2"/>
  <c r="Y21" i="2"/>
  <c r="Y12" i="2"/>
  <c r="Y8" i="2"/>
  <c r="Y5" i="2"/>
  <c r="V29" i="2"/>
  <c r="V28" i="2"/>
  <c r="V24" i="2"/>
  <c r="V22" i="2"/>
  <c r="V21" i="2"/>
  <c r="V12" i="2"/>
  <c r="V8" i="2"/>
  <c r="V5" i="2"/>
  <c r="V25" i="2" s="1"/>
  <c r="Z24" i="2"/>
  <c r="Z29" i="2"/>
  <c r="Z28" i="2"/>
  <c r="AZ4" i="2"/>
  <c r="BQ35" i="2"/>
  <c r="P29" i="2"/>
  <c r="O29" i="2"/>
  <c r="AP17" i="2" l="1"/>
  <c r="AU17" i="2"/>
  <c r="AU32" i="2"/>
  <c r="AT17" i="2"/>
  <c r="AT32" i="2"/>
  <c r="AV15" i="2"/>
  <c r="AV26" i="2"/>
  <c r="AS17" i="2"/>
  <c r="AS32" i="2"/>
  <c r="AR17" i="2"/>
  <c r="AR32" i="2"/>
  <c r="BD7" i="2"/>
  <c r="BD22" i="2" s="1"/>
  <c r="AF8" i="2"/>
  <c r="AF9" i="2" s="1"/>
  <c r="BE7" i="2"/>
  <c r="BE22" i="2" s="1"/>
  <c r="AF22" i="2"/>
  <c r="AG11" i="2"/>
  <c r="AG25" i="2" s="1"/>
  <c r="AG9" i="2"/>
  <c r="AG23" i="2" s="1"/>
  <c r="AH21" i="2"/>
  <c r="AH8" i="2"/>
  <c r="AH9" i="2" s="1"/>
  <c r="Y30" i="2"/>
  <c r="BD6" i="2"/>
  <c r="AE26" i="2"/>
  <c r="AE15" i="2"/>
  <c r="AH11" i="2"/>
  <c r="AF11" i="2"/>
  <c r="AE23" i="2"/>
  <c r="AE25" i="2"/>
  <c r="AD28" i="2"/>
  <c r="AD21" i="2"/>
  <c r="AC44" i="2"/>
  <c r="AC22" i="2"/>
  <c r="AC5" i="2"/>
  <c r="AC28" i="2"/>
  <c r="BC10" i="2"/>
  <c r="BC14" i="2"/>
  <c r="X30" i="2"/>
  <c r="AC21" i="2"/>
  <c r="AB21" i="2"/>
  <c r="BA29" i="2"/>
  <c r="BC3" i="2"/>
  <c r="BA12" i="2"/>
  <c r="AD24" i="2"/>
  <c r="AB28" i="2"/>
  <c r="AB5" i="2"/>
  <c r="AB30" i="2" s="1"/>
  <c r="AD5" i="2"/>
  <c r="AH30" i="2" s="1"/>
  <c r="AD29" i="2"/>
  <c r="AD22" i="2"/>
  <c r="AB22" i="2"/>
  <c r="BC4" i="2"/>
  <c r="BF4" i="2" s="1"/>
  <c r="AB29" i="2"/>
  <c r="AA22" i="2"/>
  <c r="AA8" i="2"/>
  <c r="AA5" i="2"/>
  <c r="AE30" i="2" s="1"/>
  <c r="AA21" i="2"/>
  <c r="BA8" i="2"/>
  <c r="X25" i="2"/>
  <c r="BB12" i="2"/>
  <c r="U30" i="2"/>
  <c r="Q25" i="2"/>
  <c r="BB8" i="2"/>
  <c r="BB22" i="2"/>
  <c r="BB5" i="2"/>
  <c r="BB25" i="2" s="1"/>
  <c r="BB21" i="2"/>
  <c r="BA21" i="2"/>
  <c r="BA5" i="2"/>
  <c r="BB24" i="2"/>
  <c r="BB28" i="2"/>
  <c r="BB29" i="2"/>
  <c r="BA22" i="2"/>
  <c r="Q9" i="2"/>
  <c r="Q23" i="2" s="1"/>
  <c r="R9" i="2"/>
  <c r="W30" i="2"/>
  <c r="S9" i="2"/>
  <c r="W9" i="2"/>
  <c r="W25" i="2"/>
  <c r="T9" i="2"/>
  <c r="X9" i="2"/>
  <c r="U25" i="2"/>
  <c r="U9" i="2"/>
  <c r="U23" i="2" s="1"/>
  <c r="Y9" i="2"/>
  <c r="Y13" i="2" s="1"/>
  <c r="Y25" i="2"/>
  <c r="V30" i="2"/>
  <c r="V9" i="2"/>
  <c r="Z5" i="2"/>
  <c r="Z22" i="2"/>
  <c r="AZ3" i="2"/>
  <c r="BA28" i="2" s="1"/>
  <c r="AZ10" i="2"/>
  <c r="O28" i="2"/>
  <c r="O21" i="2"/>
  <c r="O24" i="2"/>
  <c r="P8" i="2"/>
  <c r="P24" i="2"/>
  <c r="P5" i="2"/>
  <c r="T30" i="2" s="1"/>
  <c r="P28" i="2"/>
  <c r="P21" i="2"/>
  <c r="O8" i="2"/>
  <c r="O22" i="2"/>
  <c r="O5" i="2"/>
  <c r="S30" i="2" s="1"/>
  <c r="D8" i="1"/>
  <c r="N28" i="2"/>
  <c r="N24" i="2"/>
  <c r="M24" i="2"/>
  <c r="L24" i="2"/>
  <c r="K24" i="2"/>
  <c r="J24" i="2"/>
  <c r="I24" i="2"/>
  <c r="H24" i="2"/>
  <c r="G24" i="2"/>
  <c r="N29" i="2"/>
  <c r="M29" i="2"/>
  <c r="L29" i="2"/>
  <c r="K29" i="2"/>
  <c r="J29" i="2"/>
  <c r="I29" i="2"/>
  <c r="H29" i="2"/>
  <c r="G29" i="2"/>
  <c r="M28" i="2"/>
  <c r="L28" i="2"/>
  <c r="K28" i="2"/>
  <c r="J28" i="2"/>
  <c r="I28" i="2"/>
  <c r="H28" i="2"/>
  <c r="G28" i="2"/>
  <c r="AP19" i="2" l="1"/>
  <c r="AP60" i="2"/>
  <c r="AP71" i="2" s="1"/>
  <c r="AP73" i="2" s="1"/>
  <c r="AS19" i="2"/>
  <c r="AS60" i="2"/>
  <c r="AS71" i="2" s="1"/>
  <c r="AS73" i="2" s="1"/>
  <c r="AT19" i="2"/>
  <c r="AT60" i="2"/>
  <c r="AT71" i="2" s="1"/>
  <c r="AT73" i="2" s="1"/>
  <c r="AV17" i="2"/>
  <c r="AV32" i="2"/>
  <c r="AR19" i="2"/>
  <c r="AR60" i="2"/>
  <c r="AR71" i="2" s="1"/>
  <c r="AR73" i="2" s="1"/>
  <c r="AU19" i="2"/>
  <c r="AU60" i="2"/>
  <c r="AU71" i="2" s="1"/>
  <c r="AU73" i="2" s="1"/>
  <c r="AG12" i="2"/>
  <c r="AG13" i="2" s="1"/>
  <c r="AG26" i="2" s="1"/>
  <c r="BD21" i="2"/>
  <c r="BD8" i="2"/>
  <c r="BG4" i="2"/>
  <c r="BH4" i="2" s="1"/>
  <c r="BF7" i="2"/>
  <c r="BF22" i="2" s="1"/>
  <c r="AH25" i="2"/>
  <c r="AH12" i="2"/>
  <c r="AH13" i="2" s="1"/>
  <c r="AC25" i="2"/>
  <c r="AG30" i="2"/>
  <c r="AH23" i="2"/>
  <c r="AF30" i="2"/>
  <c r="AF23" i="2"/>
  <c r="AE17" i="2"/>
  <c r="AE19" i="2" s="1"/>
  <c r="BD11" i="2"/>
  <c r="AF25" i="2"/>
  <c r="AF12" i="2"/>
  <c r="AF13" i="2" s="1"/>
  <c r="AD8" i="2"/>
  <c r="AD9" i="2" s="1"/>
  <c r="BC24" i="2"/>
  <c r="BE10" i="2"/>
  <c r="BF10" i="2" s="1"/>
  <c r="BG10" i="2" s="1"/>
  <c r="BH10" i="2" s="1"/>
  <c r="BI10" i="2" s="1"/>
  <c r="BJ10" i="2" s="1"/>
  <c r="BK10" i="2" s="1"/>
  <c r="BL10" i="2" s="1"/>
  <c r="BM10" i="2" s="1"/>
  <c r="BC28" i="2"/>
  <c r="BE3" i="2"/>
  <c r="AC8" i="2"/>
  <c r="AC9" i="2" s="1"/>
  <c r="AC23" i="2" s="1"/>
  <c r="AC12" i="2"/>
  <c r="AC30" i="2"/>
  <c r="BA9" i="2"/>
  <c r="BA13" i="2" s="1"/>
  <c r="BA15" i="2" s="1"/>
  <c r="BA17" i="2" s="1"/>
  <c r="BC29" i="2"/>
  <c r="AA12" i="2"/>
  <c r="AB12" i="2"/>
  <c r="BC6" i="2"/>
  <c r="BC21" i="2" s="1"/>
  <c r="AD30" i="2"/>
  <c r="AB8" i="2"/>
  <c r="AB9" i="2" s="1"/>
  <c r="BC7" i="2"/>
  <c r="BC5" i="2"/>
  <c r="AA9" i="2"/>
  <c r="AA23" i="2" s="1"/>
  <c r="AA30" i="2"/>
  <c r="BB9" i="2"/>
  <c r="BB13" i="2" s="1"/>
  <c r="T13" i="2"/>
  <c r="T23" i="2"/>
  <c r="BA24" i="2"/>
  <c r="X13" i="2"/>
  <c r="X23" i="2"/>
  <c r="BB30" i="2"/>
  <c r="BA25" i="2"/>
  <c r="Q13" i="2"/>
  <c r="Q26" i="2" s="1"/>
  <c r="R13" i="2"/>
  <c r="R23" i="2"/>
  <c r="S13" i="2"/>
  <c r="S23" i="2"/>
  <c r="W13" i="2"/>
  <c r="W23" i="2"/>
  <c r="U13" i="2"/>
  <c r="U26" i="2" s="1"/>
  <c r="Y23" i="2"/>
  <c r="Y26" i="2"/>
  <c r="Y15" i="2"/>
  <c r="V13" i="2"/>
  <c r="V23" i="2"/>
  <c r="Z30" i="2"/>
  <c r="Z8" i="2"/>
  <c r="Z9" i="2" s="1"/>
  <c r="Z21" i="2"/>
  <c r="AZ5" i="2"/>
  <c r="BA30" i="2" s="1"/>
  <c r="AZ7" i="2"/>
  <c r="AZ22" i="2" s="1"/>
  <c r="P9" i="2"/>
  <c r="AZ6" i="2"/>
  <c r="P12" i="2"/>
  <c r="O12" i="2"/>
  <c r="P22" i="2"/>
  <c r="O9" i="2"/>
  <c r="O25" i="2"/>
  <c r="AV19" i="2" l="1"/>
  <c r="AV60" i="2"/>
  <c r="AV71" i="2" s="1"/>
  <c r="AV73" i="2" s="1"/>
  <c r="AG15" i="2"/>
  <c r="BA19" i="2"/>
  <c r="BA60" i="2"/>
  <c r="BA71" i="2" s="1"/>
  <c r="BA73" i="2" s="1"/>
  <c r="BF3" i="2"/>
  <c r="BE8" i="2"/>
  <c r="BI4" i="2"/>
  <c r="BH7" i="2"/>
  <c r="BH22" i="2" s="1"/>
  <c r="BG7" i="2"/>
  <c r="BG22" i="2" s="1"/>
  <c r="AH26" i="2"/>
  <c r="AH15" i="2"/>
  <c r="AH16" i="2" s="1"/>
  <c r="AE32" i="2"/>
  <c r="AF26" i="2"/>
  <c r="AF15" i="2"/>
  <c r="AF16" i="2" s="1"/>
  <c r="BM24" i="2"/>
  <c r="BN10" i="2"/>
  <c r="BN24" i="2" s="1"/>
  <c r="AB25" i="2"/>
  <c r="BJ24" i="2"/>
  <c r="BC11" i="2"/>
  <c r="BC25" i="2" s="1"/>
  <c r="AA25" i="2"/>
  <c r="BC8" i="2"/>
  <c r="BC9" i="2" s="1"/>
  <c r="AC13" i="2"/>
  <c r="BL24" i="2"/>
  <c r="BK24" i="2"/>
  <c r="BC30" i="2"/>
  <c r="AD23" i="2"/>
  <c r="BC22" i="2"/>
  <c r="AD25" i="2"/>
  <c r="AD12" i="2"/>
  <c r="AD13" i="2" s="1"/>
  <c r="AB13" i="2"/>
  <c r="AB23" i="2"/>
  <c r="AA13" i="2"/>
  <c r="AA15" i="2" s="1"/>
  <c r="BB23" i="2"/>
  <c r="AZ21" i="2"/>
  <c r="AZ8" i="2"/>
  <c r="X15" i="2"/>
  <c r="X26" i="2"/>
  <c r="T15" i="2"/>
  <c r="T26" i="2"/>
  <c r="BB15" i="2"/>
  <c r="BB26" i="2"/>
  <c r="BA23" i="2"/>
  <c r="Q15" i="2"/>
  <c r="Q32" i="2" s="1"/>
  <c r="R26" i="2"/>
  <c r="R15" i="2"/>
  <c r="S15" i="2"/>
  <c r="S26" i="2"/>
  <c r="W26" i="2"/>
  <c r="W15" i="2"/>
  <c r="U15" i="2"/>
  <c r="U32" i="2" s="1"/>
  <c r="Y32" i="2"/>
  <c r="Y17" i="2"/>
  <c r="Y19" i="2" s="1"/>
  <c r="V26" i="2"/>
  <c r="V15" i="2"/>
  <c r="Z23" i="2"/>
  <c r="Z25" i="2"/>
  <c r="Z12" i="2"/>
  <c r="Z13" i="2" s="1"/>
  <c r="P13" i="2"/>
  <c r="P26" i="2" s="1"/>
  <c r="AZ9" i="2"/>
  <c r="P25" i="2"/>
  <c r="P23" i="2"/>
  <c r="AZ11" i="2"/>
  <c r="O13" i="2"/>
  <c r="O23" i="2"/>
  <c r="N12" i="2"/>
  <c r="AY7" i="2"/>
  <c r="AY3" i="2"/>
  <c r="AZ28" i="2" s="1"/>
  <c r="AY14" i="2"/>
  <c r="AY11" i="2"/>
  <c r="AX16" i="2"/>
  <c r="AX14" i="2"/>
  <c r="AX11" i="2"/>
  <c r="AX10" i="2"/>
  <c r="AX7" i="2"/>
  <c r="AX6" i="2"/>
  <c r="AX4" i="2"/>
  <c r="AX3" i="2"/>
  <c r="AW16" i="2"/>
  <c r="AW14" i="2"/>
  <c r="AW11" i="2"/>
  <c r="AW10" i="2"/>
  <c r="AW24" i="2" s="1"/>
  <c r="AW7" i="2"/>
  <c r="AW6" i="2"/>
  <c r="AW4" i="2"/>
  <c r="AW3" i="2"/>
  <c r="AW2" i="2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C22" i="2"/>
  <c r="C21" i="2"/>
  <c r="C12" i="2"/>
  <c r="C8" i="2"/>
  <c r="C5" i="2"/>
  <c r="C25" i="2" s="1"/>
  <c r="D12" i="2"/>
  <c r="D8" i="2"/>
  <c r="D5" i="2"/>
  <c r="D25" i="2" s="1"/>
  <c r="E12" i="2"/>
  <c r="E8" i="2"/>
  <c r="E5" i="2"/>
  <c r="E25" i="2" s="1"/>
  <c r="F12" i="2"/>
  <c r="F8" i="2"/>
  <c r="F5" i="2"/>
  <c r="F25" i="2" s="1"/>
  <c r="J12" i="2"/>
  <c r="J8" i="2"/>
  <c r="J5" i="2"/>
  <c r="J25" i="2" s="1"/>
  <c r="G12" i="2"/>
  <c r="G8" i="2"/>
  <c r="G5" i="2"/>
  <c r="G25" i="2" s="1"/>
  <c r="K12" i="2"/>
  <c r="K8" i="2"/>
  <c r="K5" i="2"/>
  <c r="H12" i="2"/>
  <c r="H8" i="2"/>
  <c r="H5" i="2"/>
  <c r="H25" i="2" s="1"/>
  <c r="L12" i="2"/>
  <c r="L8" i="2"/>
  <c r="L5" i="2"/>
  <c r="I12" i="2"/>
  <c r="I8" i="2"/>
  <c r="I5" i="2"/>
  <c r="I25" i="2" s="1"/>
  <c r="M12" i="2"/>
  <c r="M8" i="2"/>
  <c r="M5" i="2"/>
  <c r="Q30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D5" i="1"/>
  <c r="F3" i="1"/>
  <c r="AG16" i="2" l="1"/>
  <c r="AG32" i="2" s="1"/>
  <c r="BJ4" i="2"/>
  <c r="BI7" i="2"/>
  <c r="BI22" i="2" s="1"/>
  <c r="BE21" i="2"/>
  <c r="BG3" i="2"/>
  <c r="BF8" i="2"/>
  <c r="AH32" i="2"/>
  <c r="BE11" i="2"/>
  <c r="BF11" i="2" s="1"/>
  <c r="BG11" i="2" s="1"/>
  <c r="BH11" i="2" s="1"/>
  <c r="BI11" i="2" s="1"/>
  <c r="BJ11" i="2" s="1"/>
  <c r="BK11" i="2" s="1"/>
  <c r="BL11" i="2" s="1"/>
  <c r="BM11" i="2" s="1"/>
  <c r="BN11" i="2" s="1"/>
  <c r="BC12" i="2"/>
  <c r="BC13" i="2" s="1"/>
  <c r="BC15" i="2" s="1"/>
  <c r="BC23" i="2"/>
  <c r="AC26" i="2"/>
  <c r="AC15" i="2"/>
  <c r="AD26" i="2"/>
  <c r="AD15" i="2"/>
  <c r="AB26" i="2"/>
  <c r="AB15" i="2"/>
  <c r="AA26" i="2"/>
  <c r="AA17" i="2"/>
  <c r="AA19" i="2" s="1"/>
  <c r="AA32" i="2"/>
  <c r="X17" i="2"/>
  <c r="X19" i="2" s="1"/>
  <c r="X32" i="2"/>
  <c r="T17" i="2"/>
  <c r="T19" i="2" s="1"/>
  <c r="T32" i="2"/>
  <c r="BB17" i="2"/>
  <c r="BB32" i="2"/>
  <c r="BA26" i="2"/>
  <c r="Q17" i="2"/>
  <c r="Q19" i="2" s="1"/>
  <c r="R17" i="2"/>
  <c r="R19" i="2" s="1"/>
  <c r="R32" i="2"/>
  <c r="S17" i="2"/>
  <c r="S19" i="2" s="1"/>
  <c r="S32" i="2"/>
  <c r="W32" i="2"/>
  <c r="W17" i="2"/>
  <c r="W19" i="2" s="1"/>
  <c r="U17" i="2"/>
  <c r="U19" i="2" s="1"/>
  <c r="V17" i="2"/>
  <c r="V19" i="2" s="1"/>
  <c r="V32" i="2"/>
  <c r="Z15" i="2"/>
  <c r="Z26" i="2"/>
  <c r="AX24" i="2"/>
  <c r="L25" i="2"/>
  <c r="P30" i="2"/>
  <c r="M25" i="2"/>
  <c r="K25" i="2"/>
  <c r="O30" i="2"/>
  <c r="AZ12" i="2"/>
  <c r="AZ25" i="2"/>
  <c r="O26" i="2"/>
  <c r="BD29" i="2"/>
  <c r="L30" i="2"/>
  <c r="AX21" i="2"/>
  <c r="AX28" i="2"/>
  <c r="AX29" i="2"/>
  <c r="AY28" i="2"/>
  <c r="K30" i="2"/>
  <c r="H9" i="2"/>
  <c r="H23" i="2" s="1"/>
  <c r="H30" i="2"/>
  <c r="J30" i="2"/>
  <c r="M9" i="2"/>
  <c r="M13" i="2" s="1"/>
  <c r="M15" i="2" s="1"/>
  <c r="M17" i="2" s="1"/>
  <c r="M19" i="2" s="1"/>
  <c r="M30" i="2"/>
  <c r="AW8" i="2"/>
  <c r="AW21" i="2"/>
  <c r="I30" i="2"/>
  <c r="AW22" i="2"/>
  <c r="AX22" i="2"/>
  <c r="C9" i="2"/>
  <c r="C23" i="2" s="1"/>
  <c r="AY6" i="2"/>
  <c r="AY21" i="2" s="1"/>
  <c r="AY4" i="2"/>
  <c r="N5" i="2"/>
  <c r="R30" i="2" s="1"/>
  <c r="G9" i="2"/>
  <c r="AW5" i="2"/>
  <c r="AW30" i="2" s="1"/>
  <c r="G30" i="2"/>
  <c r="D9" i="1"/>
  <c r="AY10" i="2"/>
  <c r="N22" i="2"/>
  <c r="N8" i="2"/>
  <c r="AX12" i="2"/>
  <c r="AX8" i="2"/>
  <c r="AX5" i="2"/>
  <c r="AX25" i="2" s="1"/>
  <c r="AW12" i="2"/>
  <c r="J9" i="2"/>
  <c r="D9" i="2"/>
  <c r="E9" i="2"/>
  <c r="F9" i="2"/>
  <c r="K9" i="2"/>
  <c r="L9" i="2"/>
  <c r="I9" i="2"/>
  <c r="AW25" i="2" l="1"/>
  <c r="AG17" i="2"/>
  <c r="AG19" i="2" s="1"/>
  <c r="BB19" i="2"/>
  <c r="BB60" i="2"/>
  <c r="BB71" i="2" s="1"/>
  <c r="BB73" i="2" s="1"/>
  <c r="BF21" i="2"/>
  <c r="BH3" i="2"/>
  <c r="BG8" i="2"/>
  <c r="BK4" i="2"/>
  <c r="BJ7" i="2"/>
  <c r="BJ22" i="2" s="1"/>
  <c r="BJ29" i="2"/>
  <c r="AH17" i="2"/>
  <c r="AH19" i="2" s="1"/>
  <c r="AF32" i="2"/>
  <c r="BD16" i="2"/>
  <c r="AF17" i="2"/>
  <c r="AF19" i="2" s="1"/>
  <c r="BN12" i="2"/>
  <c r="BM12" i="2"/>
  <c r="AC17" i="2"/>
  <c r="AC19" i="2" s="1"/>
  <c r="BC26" i="2"/>
  <c r="AD32" i="2"/>
  <c r="AB17" i="2"/>
  <c r="AB19" i="2" s="1"/>
  <c r="BA32" i="2"/>
  <c r="BE5" i="2"/>
  <c r="BE9" i="2" s="1"/>
  <c r="BD28" i="2"/>
  <c r="BD5" i="2"/>
  <c r="BD9" i="2" s="1"/>
  <c r="Z32" i="2"/>
  <c r="AZ24" i="2"/>
  <c r="AY24" i="2"/>
  <c r="N30" i="2"/>
  <c r="N25" i="2"/>
  <c r="AY29" i="2"/>
  <c r="AZ29" i="2"/>
  <c r="BE29" i="2"/>
  <c r="M23" i="2"/>
  <c r="M32" i="2"/>
  <c r="C13" i="2"/>
  <c r="C15" i="2" s="1"/>
  <c r="M26" i="2"/>
  <c r="H13" i="2"/>
  <c r="H15" i="2" s="1"/>
  <c r="AY8" i="2"/>
  <c r="AW9" i="2"/>
  <c r="AW23" i="2" s="1"/>
  <c r="AX30" i="2"/>
  <c r="N9" i="2"/>
  <c r="N23" i="2" s="1"/>
  <c r="N21" i="2"/>
  <c r="K13" i="2"/>
  <c r="K23" i="2"/>
  <c r="AX9" i="2"/>
  <c r="E13" i="2"/>
  <c r="E23" i="2"/>
  <c r="D13" i="2"/>
  <c r="D23" i="2"/>
  <c r="AY22" i="2"/>
  <c r="J13" i="2"/>
  <c r="J23" i="2"/>
  <c r="AY5" i="2"/>
  <c r="G13" i="2"/>
  <c r="G23" i="2"/>
  <c r="F13" i="2"/>
  <c r="F23" i="2"/>
  <c r="I13" i="2"/>
  <c r="I23" i="2"/>
  <c r="L13" i="2"/>
  <c r="L23" i="2"/>
  <c r="AY12" i="2"/>
  <c r="BG21" i="2" l="1"/>
  <c r="BL4" i="2"/>
  <c r="BK7" i="2"/>
  <c r="BK22" i="2" s="1"/>
  <c r="BK29" i="2"/>
  <c r="BI3" i="2"/>
  <c r="BH8" i="2"/>
  <c r="AC32" i="2"/>
  <c r="AD17" i="2"/>
  <c r="AD19" i="2" s="1"/>
  <c r="AB32" i="2"/>
  <c r="BC16" i="2"/>
  <c r="BE28" i="2"/>
  <c r="Z17" i="2"/>
  <c r="Z19" i="2" s="1"/>
  <c r="AY30" i="2"/>
  <c r="AY25" i="2"/>
  <c r="BF29" i="2"/>
  <c r="C26" i="2"/>
  <c r="N13" i="2"/>
  <c r="N26" i="2" s="1"/>
  <c r="H26" i="2"/>
  <c r="AY9" i="2"/>
  <c r="AY23" i="2" s="1"/>
  <c r="AW13" i="2"/>
  <c r="C17" i="2"/>
  <c r="C19" i="2" s="1"/>
  <c r="C32" i="2"/>
  <c r="K15" i="2"/>
  <c r="K26" i="2"/>
  <c r="I15" i="2"/>
  <c r="I26" i="2"/>
  <c r="D15" i="2"/>
  <c r="D26" i="2"/>
  <c r="H17" i="2"/>
  <c r="H19" i="2" s="1"/>
  <c r="H32" i="2"/>
  <c r="J15" i="2"/>
  <c r="J26" i="2"/>
  <c r="F15" i="2"/>
  <c r="F26" i="2"/>
  <c r="E15" i="2"/>
  <c r="E26" i="2"/>
  <c r="L15" i="2"/>
  <c r="L26" i="2"/>
  <c r="AX13" i="2"/>
  <c r="AX23" i="2"/>
  <c r="G15" i="2"/>
  <c r="G26" i="2"/>
  <c r="AW15" i="2" l="1"/>
  <c r="AW17" i="2" s="1"/>
  <c r="AW26" i="2"/>
  <c r="BJ3" i="2"/>
  <c r="BI8" i="2"/>
  <c r="BM4" i="2"/>
  <c r="BL7" i="2"/>
  <c r="BL22" i="2" s="1"/>
  <c r="BL29" i="2"/>
  <c r="BH21" i="2"/>
  <c r="BJ12" i="2"/>
  <c r="BC17" i="2"/>
  <c r="BC60" i="2" s="1"/>
  <c r="BC71" i="2" s="1"/>
  <c r="BC73" i="2" s="1"/>
  <c r="BC32" i="2"/>
  <c r="BF28" i="2"/>
  <c r="BF5" i="2"/>
  <c r="BF9" i="2" s="1"/>
  <c r="AY13" i="2"/>
  <c r="AY15" i="2" s="1"/>
  <c r="BG29" i="2"/>
  <c r="N15" i="2"/>
  <c r="N17" i="2" s="1"/>
  <c r="N19" i="2" s="1"/>
  <c r="AZ30" i="2"/>
  <c r="AX15" i="2"/>
  <c r="AX26" i="2"/>
  <c r="D17" i="2"/>
  <c r="D19" i="2" s="1"/>
  <c r="D32" i="2"/>
  <c r="J17" i="2"/>
  <c r="J19" i="2" s="1"/>
  <c r="J32" i="2"/>
  <c r="I17" i="2"/>
  <c r="I19" i="2" s="1"/>
  <c r="I32" i="2"/>
  <c r="F17" i="2"/>
  <c r="F19" i="2" s="1"/>
  <c r="F32" i="2"/>
  <c r="K17" i="2"/>
  <c r="K19" i="2" s="1"/>
  <c r="K32" i="2"/>
  <c r="L17" i="2"/>
  <c r="L19" i="2" s="1"/>
  <c r="L32" i="2"/>
  <c r="G17" i="2"/>
  <c r="G19" i="2" s="1"/>
  <c r="G32" i="2"/>
  <c r="E17" i="2"/>
  <c r="E19" i="2" s="1"/>
  <c r="E32" i="2"/>
  <c r="AZ23" i="2"/>
  <c r="AW32" i="2" l="1"/>
  <c r="AW19" i="2"/>
  <c r="AW60" i="2"/>
  <c r="AW71" i="2" s="1"/>
  <c r="AW73" i="2" s="1"/>
  <c r="BI21" i="2"/>
  <c r="BK3" i="2"/>
  <c r="BJ8" i="2"/>
  <c r="BJ28" i="2"/>
  <c r="BJ5" i="2"/>
  <c r="BM7" i="2"/>
  <c r="BM22" i="2" s="1"/>
  <c r="BN4" i="2"/>
  <c r="BM29" i="2"/>
  <c r="BC19" i="2"/>
  <c r="BK12" i="2"/>
  <c r="BG28" i="2"/>
  <c r="BG5" i="2"/>
  <c r="BG9" i="2" s="1"/>
  <c r="AY26" i="2"/>
  <c r="BD25" i="2"/>
  <c r="BH29" i="2"/>
  <c r="AY16" i="2"/>
  <c r="AY17" i="2" s="1"/>
  <c r="N32" i="2"/>
  <c r="AX17" i="2"/>
  <c r="AX32" i="2"/>
  <c r="AZ13" i="2"/>
  <c r="AY19" i="2" l="1"/>
  <c r="AY60" i="2"/>
  <c r="AY71" i="2" s="1"/>
  <c r="AY73" i="2" s="1"/>
  <c r="AX19" i="2"/>
  <c r="AX60" i="2"/>
  <c r="AX71" i="2" s="1"/>
  <c r="AX73" i="2" s="1"/>
  <c r="BJ21" i="2"/>
  <c r="BJ9" i="2"/>
  <c r="BJ25" i="2"/>
  <c r="BN29" i="2"/>
  <c r="BN7" i="2"/>
  <c r="BN22" i="2" s="1"/>
  <c r="BL3" i="2"/>
  <c r="BK8" i="2"/>
  <c r="BK28" i="2"/>
  <c r="BK5" i="2"/>
  <c r="BL12" i="2"/>
  <c r="BI28" i="2"/>
  <c r="BH28" i="2"/>
  <c r="BH5" i="2"/>
  <c r="BH9" i="2" s="1"/>
  <c r="BE25" i="2"/>
  <c r="BI29" i="2"/>
  <c r="BF25" i="2"/>
  <c r="AY32" i="2"/>
  <c r="AZ26" i="2"/>
  <c r="BM3" i="2" l="1"/>
  <c r="BL8" i="2"/>
  <c r="BL28" i="2"/>
  <c r="BL5" i="2"/>
  <c r="BK30" i="2"/>
  <c r="BK9" i="2"/>
  <c r="BK25" i="2"/>
  <c r="BJ23" i="2"/>
  <c r="BJ13" i="2"/>
  <c r="BJ26" i="2" s="1"/>
  <c r="BK21" i="2"/>
  <c r="BI5" i="2"/>
  <c r="BI9" i="2" s="1"/>
  <c r="BG25" i="2"/>
  <c r="BD24" i="2"/>
  <c r="BD12" i="2"/>
  <c r="BK23" i="2" l="1"/>
  <c r="BK13" i="2"/>
  <c r="BK26" i="2" s="1"/>
  <c r="BL21" i="2"/>
  <c r="BL9" i="2"/>
  <c r="BL30" i="2"/>
  <c r="BL25" i="2"/>
  <c r="BM8" i="2"/>
  <c r="BN3" i="2"/>
  <c r="BM5" i="2"/>
  <c r="BM28" i="2"/>
  <c r="BJ30" i="2"/>
  <c r="BH25" i="2"/>
  <c r="BE24" i="2"/>
  <c r="BD30" i="2"/>
  <c r="BE30" i="2"/>
  <c r="BD23" i="2"/>
  <c r="BE12" i="2"/>
  <c r="BM21" i="2" l="1"/>
  <c r="BN8" i="2"/>
  <c r="BN5" i="2"/>
  <c r="BN28" i="2"/>
  <c r="BL23" i="2"/>
  <c r="BL13" i="2"/>
  <c r="BL26" i="2" s="1"/>
  <c r="BM9" i="2"/>
  <c r="BM25" i="2"/>
  <c r="BM30" i="2"/>
  <c r="BI25" i="2"/>
  <c r="BF24" i="2"/>
  <c r="BE23" i="2"/>
  <c r="BD13" i="2"/>
  <c r="BF12" i="2"/>
  <c r="BM23" i="2" l="1"/>
  <c r="BM13" i="2"/>
  <c r="BM26" i="2" s="1"/>
  <c r="BN9" i="2"/>
  <c r="BN30" i="2"/>
  <c r="BN25" i="2"/>
  <c r="BN21" i="2"/>
  <c r="BG24" i="2"/>
  <c r="BF30" i="2"/>
  <c r="BE13" i="2"/>
  <c r="BE26" i="2" s="1"/>
  <c r="BF23" i="2"/>
  <c r="BD26" i="2"/>
  <c r="BG12" i="2"/>
  <c r="BN13" i="2" l="1"/>
  <c r="BN26" i="2" s="1"/>
  <c r="BN23" i="2"/>
  <c r="BI24" i="2"/>
  <c r="BH24" i="2"/>
  <c r="BG30" i="2"/>
  <c r="BG23" i="2"/>
  <c r="BF13" i="2"/>
  <c r="BH12" i="2"/>
  <c r="BH30" i="2" l="1"/>
  <c r="BF26" i="2"/>
  <c r="BH23" i="2"/>
  <c r="BG13" i="2"/>
  <c r="BI12" i="2"/>
  <c r="BI30" i="2" l="1"/>
  <c r="BG26" i="2"/>
  <c r="BI23" i="2"/>
  <c r="BH13" i="2"/>
  <c r="BH26" i="2" l="1"/>
  <c r="BI13" i="2"/>
  <c r="BI26" i="2" l="1"/>
  <c r="O15" i="2" l="1"/>
  <c r="O32" i="2" l="1"/>
  <c r="O17" i="2"/>
  <c r="O19" i="2" l="1"/>
  <c r="P15" i="2" l="1"/>
  <c r="P17" i="2" s="1"/>
  <c r="P32" i="2" l="1"/>
  <c r="P19" i="2"/>
  <c r="AZ14" i="2" l="1"/>
  <c r="AZ15" i="2" s="1"/>
  <c r="AZ16" i="2"/>
  <c r="AZ32" i="2" l="1"/>
  <c r="AZ17" i="2"/>
  <c r="AZ60" i="2" s="1"/>
  <c r="AZ71" i="2" s="1"/>
  <c r="AZ73" i="2" s="1"/>
  <c r="AZ19" i="2" l="1"/>
  <c r="BD15" i="2" l="1"/>
  <c r="BD32" i="2" l="1"/>
  <c r="BD17" i="2" l="1"/>
  <c r="BE14" i="2" l="1"/>
  <c r="BE15" i="2" s="1"/>
  <c r="BE16" i="2" s="1"/>
  <c r="BE32" i="2" s="1"/>
  <c r="BD60" i="2"/>
  <c r="BD71" i="2" s="1"/>
  <c r="BD73" i="2" s="1"/>
  <c r="BD19" i="2"/>
  <c r="BE17" i="2" l="1"/>
  <c r="BF14" i="2" l="1"/>
  <c r="BF15" i="2" s="1"/>
  <c r="BF16" i="2" s="1"/>
  <c r="BF32" i="2" s="1"/>
  <c r="BE60" i="2"/>
  <c r="BE71" i="2" s="1"/>
  <c r="BE73" i="2" s="1"/>
  <c r="BE19" i="2"/>
  <c r="BF17" i="2" l="1"/>
  <c r="BG14" i="2" l="1"/>
  <c r="BG15" i="2" s="1"/>
  <c r="BG16" i="2" s="1"/>
  <c r="BG32" i="2" s="1"/>
  <c r="BF60" i="2"/>
  <c r="BF71" i="2" s="1"/>
  <c r="BF73" i="2" s="1"/>
  <c r="BF19" i="2"/>
  <c r="BG17" i="2" l="1"/>
  <c r="BH14" i="2" l="1"/>
  <c r="BH15" i="2" s="1"/>
  <c r="BH16" i="2" s="1"/>
  <c r="BH32" i="2" s="1"/>
  <c r="BG60" i="2"/>
  <c r="BG71" i="2" s="1"/>
  <c r="BG73" i="2" s="1"/>
  <c r="BG19" i="2"/>
  <c r="BH17" i="2" l="1"/>
  <c r="BI14" i="2" l="1"/>
  <c r="BI15" i="2" s="1"/>
  <c r="BI16" i="2" s="1"/>
  <c r="BI32" i="2" s="1"/>
  <c r="BH60" i="2"/>
  <c r="BH71" i="2" s="1"/>
  <c r="BH73" i="2" s="1"/>
  <c r="BH19" i="2"/>
  <c r="BI17" i="2" l="1"/>
  <c r="BI60" i="2" s="1"/>
  <c r="BI71" i="2" s="1"/>
  <c r="BI73" i="2" s="1"/>
  <c r="BI19" i="2" l="1"/>
  <c r="BJ14" i="2"/>
  <c r="BJ15" i="2" s="1"/>
  <c r="BJ16" i="2" s="1"/>
  <c r="BJ32" i="2" s="1"/>
  <c r="BJ17" i="2" l="1"/>
  <c r="BK14" i="2" l="1"/>
  <c r="BK15" i="2" s="1"/>
  <c r="BJ60" i="2"/>
  <c r="BJ71" i="2" s="1"/>
  <c r="BJ73" i="2" s="1"/>
  <c r="BJ19" i="2"/>
  <c r="BK16" i="2" l="1"/>
  <c r="BK32" i="2" s="1"/>
  <c r="BK17" i="2" l="1"/>
  <c r="BK60" i="2" s="1"/>
  <c r="BK71" i="2" s="1"/>
  <c r="BK73" i="2" s="1"/>
  <c r="BK19" i="2" l="1"/>
  <c r="BL14" i="2"/>
  <c r="BL15" i="2" s="1"/>
  <c r="BL16" i="2" s="1"/>
  <c r="BL32" i="2" s="1"/>
  <c r="BL17" i="2" l="1"/>
  <c r="BL60" i="2" s="1"/>
  <c r="BL71" i="2" s="1"/>
  <c r="BL73" i="2" s="1"/>
  <c r="BM14" i="2" l="1"/>
  <c r="BM15" i="2" s="1"/>
  <c r="BM16" i="2" s="1"/>
  <c r="BM32" i="2" s="1"/>
  <c r="BL19" i="2"/>
  <c r="BM17" i="2" l="1"/>
  <c r="BN14" i="2" l="1"/>
  <c r="BN15" i="2" s="1"/>
  <c r="BM60" i="2"/>
  <c r="BM71" i="2" s="1"/>
  <c r="BM73" i="2" s="1"/>
  <c r="BM19" i="2"/>
  <c r="BP17" i="2"/>
  <c r="BS17" i="2" s="1"/>
  <c r="BV17" i="2" s="1"/>
  <c r="BY17" i="2" s="1"/>
  <c r="CB17" i="2" s="1"/>
  <c r="CE17" i="2" s="1"/>
  <c r="CH17" i="2" s="1"/>
  <c r="CK17" i="2" s="1"/>
  <c r="CN17" i="2" s="1"/>
  <c r="CQ17" i="2" s="1"/>
  <c r="CT17" i="2" s="1"/>
  <c r="CW17" i="2" s="1"/>
  <c r="CZ17" i="2" s="1"/>
  <c r="DC17" i="2" s="1"/>
  <c r="DF17" i="2" s="1"/>
  <c r="DI17" i="2" s="1"/>
  <c r="DL17" i="2" s="1"/>
  <c r="DO17" i="2" s="1"/>
  <c r="DR17" i="2" s="1"/>
  <c r="DU17" i="2" s="1"/>
  <c r="DX17" i="2" s="1"/>
  <c r="EA17" i="2" s="1"/>
  <c r="ED17" i="2" s="1"/>
  <c r="EG17" i="2" s="1"/>
  <c r="EJ17" i="2" s="1"/>
  <c r="EM17" i="2" s="1"/>
  <c r="EP17" i="2" s="1"/>
  <c r="ES17" i="2" s="1"/>
  <c r="EV17" i="2" s="1"/>
  <c r="EY17" i="2" s="1"/>
  <c r="FB17" i="2" s="1"/>
  <c r="FE17" i="2" s="1"/>
  <c r="FH17" i="2" s="1"/>
  <c r="FK17" i="2" s="1"/>
  <c r="FN17" i="2" s="1"/>
  <c r="FQ17" i="2" s="1"/>
  <c r="FT17" i="2" s="1"/>
  <c r="FW17" i="2" s="1"/>
  <c r="BN16" i="2" l="1"/>
  <c r="BN32" i="2" s="1"/>
  <c r="BN17" i="2" l="1"/>
  <c r="BN60" i="2" s="1"/>
  <c r="BN71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DR73" i="2" s="1"/>
  <c r="DS73" i="2" s="1"/>
  <c r="DT73" i="2" s="1"/>
  <c r="DU73" i="2" s="1"/>
  <c r="DV73" i="2" s="1"/>
  <c r="DW73" i="2" s="1"/>
  <c r="DX73" i="2" s="1"/>
  <c r="DY73" i="2" s="1"/>
  <c r="DZ73" i="2" s="1"/>
  <c r="EA73" i="2" s="1"/>
  <c r="EB73" i="2" s="1"/>
  <c r="EC73" i="2" s="1"/>
  <c r="ED73" i="2" s="1"/>
  <c r="EE73" i="2" s="1"/>
  <c r="EF73" i="2" s="1"/>
  <c r="EG73" i="2" s="1"/>
  <c r="EH73" i="2" s="1"/>
  <c r="EI73" i="2" s="1"/>
  <c r="EJ73" i="2" s="1"/>
  <c r="EK73" i="2" s="1"/>
  <c r="EL73" i="2" s="1"/>
  <c r="EM73" i="2" s="1"/>
  <c r="EN73" i="2" s="1"/>
  <c r="EO73" i="2" s="1"/>
  <c r="EP73" i="2" s="1"/>
  <c r="EQ73" i="2" s="1"/>
  <c r="ER73" i="2" s="1"/>
  <c r="ES73" i="2" s="1"/>
  <c r="ET73" i="2" s="1"/>
  <c r="EU73" i="2" s="1"/>
  <c r="BQ75" i="2" s="1"/>
  <c r="BQ77" i="2" s="1"/>
  <c r="BQ78" i="2" s="1"/>
  <c r="BQ80" i="2" s="1"/>
  <c r="BQ17" i="2" l="1"/>
  <c r="BT17" i="2" s="1"/>
  <c r="BW17" i="2" s="1"/>
  <c r="BZ17" i="2" s="1"/>
  <c r="CC17" i="2" s="1"/>
  <c r="CF17" i="2" s="1"/>
  <c r="CI17" i="2" s="1"/>
  <c r="CL17" i="2" s="1"/>
  <c r="CO17" i="2" s="1"/>
  <c r="CR17" i="2" s="1"/>
  <c r="CU17" i="2" s="1"/>
  <c r="CX17" i="2" s="1"/>
  <c r="DA17" i="2" s="1"/>
  <c r="DD17" i="2" s="1"/>
  <c r="DG17" i="2" s="1"/>
  <c r="DJ17" i="2" s="1"/>
  <c r="DM17" i="2" s="1"/>
  <c r="DP17" i="2" s="1"/>
  <c r="DS17" i="2" s="1"/>
  <c r="DV17" i="2" s="1"/>
  <c r="DY17" i="2" s="1"/>
  <c r="EB17" i="2" s="1"/>
  <c r="EE17" i="2" s="1"/>
  <c r="EH17" i="2" s="1"/>
  <c r="EK17" i="2" s="1"/>
  <c r="EN17" i="2" s="1"/>
  <c r="EQ17" i="2" s="1"/>
  <c r="ET17" i="2" s="1"/>
  <c r="EW17" i="2" s="1"/>
  <c r="EZ17" i="2" s="1"/>
  <c r="FC17" i="2" s="1"/>
  <c r="FF17" i="2" s="1"/>
  <c r="FI17" i="2" s="1"/>
  <c r="FL17" i="2" s="1"/>
  <c r="FO17" i="2" s="1"/>
  <c r="FR17" i="2" s="1"/>
  <c r="FU17" i="2" s="1"/>
  <c r="BO17" i="2"/>
  <c r="BR17" i="2" s="1"/>
  <c r="BU17" i="2" s="1"/>
  <c r="BX17" i="2" s="1"/>
  <c r="CA17" i="2" s="1"/>
  <c r="CD17" i="2" s="1"/>
  <c r="CG17" i="2" s="1"/>
  <c r="CJ17" i="2" s="1"/>
  <c r="CM17" i="2" s="1"/>
  <c r="CP17" i="2" s="1"/>
  <c r="CS17" i="2" s="1"/>
  <c r="CV17" i="2" s="1"/>
  <c r="CY17" i="2" s="1"/>
  <c r="DB17" i="2" s="1"/>
  <c r="DE17" i="2" s="1"/>
  <c r="DH17" i="2" s="1"/>
  <c r="DK17" i="2" s="1"/>
  <c r="DN17" i="2" s="1"/>
  <c r="DQ17" i="2" s="1"/>
  <c r="DT17" i="2" s="1"/>
  <c r="DW17" i="2" s="1"/>
  <c r="DZ17" i="2" s="1"/>
  <c r="EC17" i="2" s="1"/>
  <c r="EF17" i="2" s="1"/>
  <c r="EI17" i="2" s="1"/>
  <c r="EL17" i="2" s="1"/>
  <c r="EO17" i="2" s="1"/>
  <c r="ER17" i="2" s="1"/>
  <c r="EU17" i="2" s="1"/>
  <c r="EX17" i="2" s="1"/>
  <c r="FA17" i="2" s="1"/>
  <c r="FD17" i="2" s="1"/>
  <c r="FG17" i="2" s="1"/>
  <c r="FJ17" i="2" s="1"/>
  <c r="FM17" i="2" s="1"/>
  <c r="FP17" i="2" s="1"/>
  <c r="FS17" i="2" s="1"/>
  <c r="FV17" i="2" s="1"/>
  <c r="BN19" i="2"/>
  <c r="BQ31" i="2" l="1"/>
  <c r="BQ33" i="2" s="1"/>
  <c r="BQ34" i="2" s="1"/>
  <c r="BQ36" i="2" s="1"/>
</calcChain>
</file>

<file path=xl/sharedStrings.xml><?xml version="1.0" encoding="utf-8"?>
<sst xmlns="http://schemas.openxmlformats.org/spreadsheetml/2006/main" count="117" uniqueCount="106">
  <si>
    <t>AAPL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</si>
  <si>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</si>
  <si>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</si>
  <si>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</si>
  <si>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</si>
  <si>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</si>
  <si>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</si>
  <si>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</si>
  <si>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</si>
  <si>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</si>
  <si>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Q220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</si>
  <si>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</si>
  <si>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</si>
  <si>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</si>
  <si>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</si>
  <si>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</si>
  <si>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</si>
  <si>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</si>
  <si>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</si>
  <si>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</si>
  <si>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</si>
  <si>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</si>
  <si>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Product revenue</t>
  </si>
  <si>
    <t>Service revenue</t>
  </si>
  <si>
    <t>Product cost</t>
  </si>
  <si>
    <t>Service cost</t>
  </si>
  <si>
    <t>Gross profit</t>
  </si>
  <si>
    <t>R&amp;D</t>
  </si>
  <si>
    <t>SG&amp;A</t>
  </si>
  <si>
    <t>Total operating expenses</t>
  </si>
  <si>
    <t>Total cost of sales</t>
  </si>
  <si>
    <t>Total revenue</t>
  </si>
  <si>
    <t>Operating profit</t>
  </si>
  <si>
    <t>Other expense</t>
  </si>
  <si>
    <t>Pretax profit</t>
  </si>
  <si>
    <t>Taxes</t>
  </si>
  <si>
    <t>Net profit</t>
  </si>
  <si>
    <t>EPS</t>
  </si>
  <si>
    <t>Gross Product Margin</t>
  </si>
  <si>
    <t>Gross Service Margin</t>
  </si>
  <si>
    <t>Gross Margin</t>
  </si>
  <si>
    <t>Operating Margin</t>
  </si>
  <si>
    <t>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</si>
  <si>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</si>
  <si>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</si>
  <si>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</si>
  <si>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</si>
  <si>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</si>
  <si>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</si>
  <si>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</si>
  <si>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</si>
  <si>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</si>
  <si>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Product Revenue y/y</t>
  </si>
  <si>
    <t>Service Revenue y/y</t>
  </si>
  <si>
    <t>R&amp;D y/y</t>
  </si>
  <si>
    <t>Q121</t>
  </si>
  <si>
    <t>Q221</t>
  </si>
  <si>
    <t>Q321</t>
  </si>
  <si>
    <t>Q421</t>
  </si>
  <si>
    <t>Earnings</t>
  </si>
  <si>
    <t>SG&amp;A Margin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</si>
  <si>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</si>
  <si>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</si>
  <si>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</si>
  <si>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</si>
  <si>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</si>
  <si>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</si>
  <si>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</si>
  <si>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</si>
  <si>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</si>
  <si>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</si>
  <si>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</si>
  <si>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</si>
  <si>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Income Statement</t>
  </si>
  <si>
    <t>Balance Sheet</t>
  </si>
  <si>
    <t>A/R</t>
  </si>
  <si>
    <t>Inventories</t>
  </si>
  <si>
    <t>OCA</t>
  </si>
  <si>
    <t>PPE</t>
  </si>
  <si>
    <t>ONCA</t>
  </si>
  <si>
    <t>Assets</t>
  </si>
  <si>
    <t>A/P</t>
  </si>
  <si>
    <t>OCL</t>
  </si>
  <si>
    <t>D/R</t>
  </si>
  <si>
    <t>ONCL</t>
  </si>
  <si>
    <t>Liabilities</t>
  </si>
  <si>
    <t>S/E</t>
  </si>
  <si>
    <t>L+S/E</t>
  </si>
  <si>
    <t>Cash y/y</t>
  </si>
  <si>
    <t>Q125</t>
  </si>
  <si>
    <t>Q225</t>
  </si>
  <si>
    <t>Q325</t>
  </si>
  <si>
    <t>Q425</t>
  </si>
  <si>
    <t>Cash Flow Statement</t>
  </si>
  <si>
    <t>Net income</t>
  </si>
  <si>
    <t>D&amp;A</t>
  </si>
  <si>
    <t>SBC</t>
  </si>
  <si>
    <t>Other</t>
  </si>
  <si>
    <t>T/R</t>
  </si>
  <si>
    <t>Other assets</t>
  </si>
  <si>
    <t>Other liabilities</t>
  </si>
  <si>
    <t>CFFO</t>
  </si>
  <si>
    <t>PP&amp;E</t>
  </si>
  <si>
    <t>FCF</t>
  </si>
  <si>
    <t>D/T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</si>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</sst>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2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0" fontId="4" fillId="0" borderId="0" xfId="0" applyFont="1"/>
    <xf numFmtId="9" fontId="5" fillId="2" borderId="0" xfId="1" applyNumberFormat="1"/>
    <xf numFmtId="3" fontId="2" fillId="0" borderId="0" xfId="0" applyNumberFormat="1" applyFont="1"/>
    <xf numFmtId="3" fontId="6" fillId="0" borderId="0" xfId="0" applyNumberFormat="1" applyFont="1"/>
    <xf numFmtId="0" fontId="2" fillId="0" borderId="0" xfId="0" applyFont="1"/>
    <xf numFmtId="9" fontId="2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15240</xdr:colOff>
      <xdr:row>0</xdr:row>
      <xdr:rowOff>0</xdr:rowOff>
    </xdr:from>
    <xdr:to>
      <xdr:col>31</xdr:col>
      <xdr:colOff>15240</xdr:colOff>
      <xdr:row>36</xdr:row>
      <xdr:rowOff>129540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7D3D735-9782-4132-9B95-D6BF684071B3}"/>
            </a:ext>
          </a:extLst>
        </xdr:cNvPr>
        <xdr:cNvCxnSpPr/>
      </xdr:nvCxnSpPr>
      <xdr:spPr>
        <a:xfrm>
          <a:off x="23180040" y="0"/>
          <a:ext cx="0" cy="6713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22860</xdr:colOff>
      <xdr:row>0</xdr:row>
      <xdr:rowOff>0</xdr:rowOff>
    </xdr:from>
    <xdr:to>
      <xdr:col>55</xdr:col>
      <xdr:colOff>22860</xdr:colOff>
      <xdr:row>93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F837001-783C-478F-A4DF-9611BA0751D9}"/>
            </a:ext>
          </a:extLst>
        </xdr:cNvPr>
        <xdr:cNvCxnSpPr/>
      </xdr:nvCxnSpPr>
      <xdr:spPr>
        <a:xfrm>
          <a:off x="30236160" y="0"/>
          <a:ext cx="0" cy="17114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006C-3E78-495D-BAC4-58051D871854}">
  <dimension ref="B2:G9"/>
  <sheetViews>
    <sheetView tabSelected="1" workbookViewId="0">
      <selection activeCell="D3" sqref="D3"/>
    </sheetView>
  </sheetViews>
  <sheetFormatPr defaultRowHeight="14.4" x14ac:dyDescent="0.3"/>
  <cols>
    <col min="5" max="5" width="18.44140625" style="1" bestFit="1" customWidth="1"/>
    <col min="6" max="7" width="15.33203125" style="1" customWidth="1"/>
  </cols>
  <sheetData>
    <row r="2" spans="2:7" x14ac:dyDescent="0.3">
      <c r="E2" s="1" t="s">
        <v>8</v>
      </c>
      <c r="F2" s="1" t="s">
        <v>9</v>
      </c>
      <c r="G2" s="1" t="s">
        <v>59</v>
      </c>
    </row>
    <row r="3" spans="2:7" x14ac:dyDescent="0.3">
      <c r="B3" t="s">
        <v>0</v>
      </c>
      <c r="C3" t="s">
        <v>1</v>
      </c>
      <c r="D3" s="12">
        <v>183.75</v>
      </c>
      <c r="E3" s="2">
        <v>45755</v>
      </c>
      <c r="F3" s="2">
        <f ca="1">TODAY()</f>
        <v>45755</v>
      </c>
      <c r="G3" s="2">
        <v>45771</v>
      </c>
    </row>
    <row r="4" spans="2:7" x14ac:dyDescent="0.3">
      <c r="C4" t="s">
        <v>2</v>
      </c>
      <c r="D4" s="3">
        <v>15022.1</v>
      </c>
      <c r="E4" s="1" t="s">
        <v>89</v>
      </c>
    </row>
    <row r="5" spans="2:7" x14ac:dyDescent="0.3">
      <c r="C5" t="s">
        <v>3</v>
      </c>
      <c r="D5" s="3">
        <f>D3*D4</f>
        <v>2760310.875</v>
      </c>
    </row>
    <row r="6" spans="2:7" x14ac:dyDescent="0.3">
      <c r="C6" t="s">
        <v>4</v>
      </c>
      <c r="D6" s="3">
        <f>30299+23476+87593</f>
        <v>141368</v>
      </c>
      <c r="E6" s="1" t="s">
        <v>89</v>
      </c>
    </row>
    <row r="7" spans="2:7" x14ac:dyDescent="0.3">
      <c r="C7" t="s">
        <v>5</v>
      </c>
      <c r="D7" s="3">
        <f>1995+10848+83956</f>
        <v>96799</v>
      </c>
      <c r="E7" s="1" t="s">
        <v>89</v>
      </c>
    </row>
    <row r="8" spans="2:7" x14ac:dyDescent="0.3">
      <c r="C8" t="s">
        <v>6</v>
      </c>
      <c r="D8" s="3">
        <f>D6-D7</f>
        <v>44569</v>
      </c>
    </row>
    <row r="9" spans="2:7" x14ac:dyDescent="0.3">
      <c r="C9" t="s">
        <v>7</v>
      </c>
      <c r="D9" s="3">
        <f>D5-D8</f>
        <v>2715741.875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915C-2D93-4059-BEC0-D1D0B14377E7}">
  <dimension ref="B1:FW80"/>
  <sheetViews>
    <sheetView workbookViewId="0">
      <pane xSplit="2" ySplit="2" topLeftCell="BD11" activePane="bottomRight" state="frozen"/>
      <selection pane="topRight" activeCell="C1" sqref="C1"/>
      <selection pane="bottomLeft" activeCell="A3" sqref="A3"/>
      <selection pane="bottomRight" activeCell="BP37" sqref="BP37"/>
    </sheetView>
  </sheetViews>
  <sheetFormatPr defaultRowHeight="14.4" x14ac:dyDescent="0.3"/>
  <cols>
    <col min="2" max="2" width="21.6640625" bestFit="1" customWidth="1"/>
    <col min="3" max="3" width="10.5546875" bestFit="1" customWidth="1"/>
    <col min="4" max="13" width="10.6640625" customWidth="1"/>
    <col min="14" max="14" width="10.5546875" bestFit="1" customWidth="1"/>
    <col min="15" max="35" width="10.5546875" customWidth="1"/>
    <col min="36" max="56" width="10.5546875" bestFit="1" customWidth="1"/>
    <col min="57" max="57" width="11" bestFit="1" customWidth="1"/>
    <col min="58" max="66" width="12" bestFit="1" customWidth="1"/>
    <col min="67" max="67" width="8.88671875" customWidth="1"/>
    <col min="68" max="68" width="11.88671875" bestFit="1" customWidth="1"/>
    <col min="69" max="69" width="16.21875" bestFit="1" customWidth="1"/>
  </cols>
  <sheetData>
    <row r="1" spans="2:66" x14ac:dyDescent="0.3">
      <c r="C1" s="4">
        <v>43100</v>
      </c>
      <c r="D1" s="4">
        <f>EOMONTH(C1,3)</f>
        <v>43190</v>
      </c>
      <c r="E1" s="4">
        <f t="shared" ref="E1:N1" si="0">EOMONTH(D1,3)</f>
        <v>43281</v>
      </c>
      <c r="F1" s="4">
        <f t="shared" si="0"/>
        <v>43373</v>
      </c>
      <c r="G1" s="4">
        <f t="shared" si="0"/>
        <v>43465</v>
      </c>
      <c r="H1" s="4">
        <f t="shared" si="0"/>
        <v>43555</v>
      </c>
      <c r="I1" s="4">
        <f t="shared" si="0"/>
        <v>43646</v>
      </c>
      <c r="J1" s="4">
        <f t="shared" si="0"/>
        <v>43738</v>
      </c>
      <c r="K1" s="4">
        <f t="shared" si="0"/>
        <v>43830</v>
      </c>
      <c r="L1" s="4">
        <f t="shared" si="0"/>
        <v>43921</v>
      </c>
      <c r="M1" s="4">
        <f t="shared" si="0"/>
        <v>44012</v>
      </c>
      <c r="N1" s="4">
        <f t="shared" si="0"/>
        <v>44104</v>
      </c>
      <c r="O1" s="4">
        <f t="shared" ref="O1" si="1">EOMONTH(N1,3)</f>
        <v>44196</v>
      </c>
      <c r="P1" s="4">
        <f t="shared" ref="P1" si="2">EOMONTH(O1,3)</f>
        <v>44286</v>
      </c>
      <c r="Q1" s="4">
        <f t="shared" ref="Q1" si="3">EOMONTH(P1,3)</f>
        <v>44377</v>
      </c>
      <c r="R1" s="4">
        <f t="shared" ref="R1" si="4">EOMONTH(Q1,3)</f>
        <v>44469</v>
      </c>
      <c r="S1" s="4">
        <f t="shared" ref="S1" si="5">EOMONTH(R1,3)</f>
        <v>44561</v>
      </c>
      <c r="T1" s="4">
        <f t="shared" ref="T1" si="6">EOMONTH(S1,3)</f>
        <v>44651</v>
      </c>
      <c r="U1" s="4">
        <f t="shared" ref="U1" si="7">EOMONTH(T1,3)</f>
        <v>44742</v>
      </c>
      <c r="V1" s="4">
        <f t="shared" ref="V1" si="8">EOMONTH(U1,3)</f>
        <v>44834</v>
      </c>
      <c r="W1" s="4">
        <f t="shared" ref="W1" si="9">EOMONTH(V1,3)</f>
        <v>44926</v>
      </c>
      <c r="X1" s="4">
        <f t="shared" ref="X1" si="10">EOMONTH(W1,3)</f>
        <v>45016</v>
      </c>
      <c r="Y1" s="4">
        <f t="shared" ref="Y1" si="11">EOMONTH(X1,3)</f>
        <v>45107</v>
      </c>
      <c r="Z1" s="4">
        <f t="shared" ref="Z1" si="12">EOMONTH(Y1,3)</f>
        <v>45199</v>
      </c>
      <c r="AA1" s="4">
        <f t="shared" ref="AA1" si="13">EOMONTH(Z1,3)</f>
        <v>45291</v>
      </c>
      <c r="AB1" s="4">
        <f t="shared" ref="AB1" si="14">EOMONTH(AA1,3)</f>
        <v>45382</v>
      </c>
      <c r="AC1" s="4">
        <f t="shared" ref="AC1:AD1" si="15">EOMONTH(AB1,3)</f>
        <v>45473</v>
      </c>
      <c r="AD1" s="4">
        <f t="shared" si="15"/>
        <v>45565</v>
      </c>
      <c r="AE1" s="4">
        <f t="shared" ref="AE1" si="16">EOMONTH(AD1,3)</f>
        <v>45657</v>
      </c>
      <c r="AF1" s="4">
        <f t="shared" ref="AF1" si="17">EOMONTH(AE1,3)</f>
        <v>45747</v>
      </c>
      <c r="AG1" s="4">
        <f t="shared" ref="AG1" si="18">EOMONTH(AF1,3)</f>
        <v>45838</v>
      </c>
      <c r="AH1" s="4">
        <f t="shared" ref="AH1" si="19">EOMONTH(AG1,3)</f>
        <v>45930</v>
      </c>
      <c r="AI1" s="4"/>
      <c r="AJ1" s="4">
        <v>38625</v>
      </c>
      <c r="AK1" s="4">
        <v>38990</v>
      </c>
      <c r="AL1" s="4">
        <v>39355</v>
      </c>
      <c r="AM1" s="4">
        <v>39721</v>
      </c>
      <c r="AN1" s="4">
        <v>40086</v>
      </c>
      <c r="AO1" s="4">
        <v>40451</v>
      </c>
      <c r="AP1" s="4">
        <v>40816</v>
      </c>
      <c r="AQ1" s="4">
        <v>41182</v>
      </c>
      <c r="AR1" s="4">
        <v>41547</v>
      </c>
      <c r="AS1" s="4">
        <v>41912</v>
      </c>
      <c r="AT1" s="4">
        <v>42277</v>
      </c>
      <c r="AU1" s="4">
        <v>42643</v>
      </c>
      <c r="AV1" s="4">
        <v>43008</v>
      </c>
      <c r="AW1" s="4">
        <v>43373</v>
      </c>
      <c r="AX1" s="4">
        <v>43738</v>
      </c>
      <c r="AY1" s="4">
        <v>44104</v>
      </c>
      <c r="AZ1" s="4">
        <v>44469</v>
      </c>
      <c r="BA1" s="4">
        <v>44834</v>
      </c>
      <c r="BB1" s="4">
        <v>45199</v>
      </c>
      <c r="BC1" s="4">
        <v>45565</v>
      </c>
      <c r="BD1" s="4">
        <v>45930</v>
      </c>
      <c r="BE1" s="4">
        <v>46295</v>
      </c>
      <c r="BF1" s="4">
        <v>46660</v>
      </c>
      <c r="BG1" s="4">
        <v>47026</v>
      </c>
      <c r="BH1" s="4">
        <v>47391</v>
      </c>
      <c r="BI1" s="4">
        <v>47756</v>
      </c>
      <c r="BJ1" s="4">
        <v>48121</v>
      </c>
      <c r="BK1" s="4">
        <v>48487</v>
      </c>
      <c r="BL1" s="4">
        <v>48852</v>
      </c>
      <c r="BM1" s="4">
        <v>49217</v>
      </c>
      <c r="BN1" s="4">
        <v>49582</v>
      </c>
    </row>
    <row r="2" spans="2:66" x14ac:dyDescent="0.3">
      <c r="B2" s="13" t="s">
        <v>73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10</v>
      </c>
      <c r="M2" s="5" t="s">
        <v>20</v>
      </c>
      <c r="N2" s="5" t="s">
        <v>21</v>
      </c>
      <c r="O2" s="5" t="s">
        <v>55</v>
      </c>
      <c r="P2" s="5" t="s">
        <v>56</v>
      </c>
      <c r="Q2" s="5" t="s">
        <v>57</v>
      </c>
      <c r="R2" s="5" t="s">
        <v>58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89</v>
      </c>
      <c r="AF2" s="5" t="s">
        <v>90</v>
      </c>
      <c r="AG2" s="5" t="s">
        <v>91</v>
      </c>
      <c r="AH2" s="5" t="s">
        <v>92</v>
      </c>
      <c r="AI2" s="5"/>
      <c r="AJ2" s="5">
        <v>2005</v>
      </c>
      <c r="AK2" s="5">
        <v>2006</v>
      </c>
      <c r="AL2" s="5">
        <v>2007</v>
      </c>
      <c r="AM2" s="5">
        <v>2008</v>
      </c>
      <c r="AN2" s="5">
        <v>2009</v>
      </c>
      <c r="AO2" s="5">
        <v>2010</v>
      </c>
      <c r="AP2" s="5">
        <v>2011</v>
      </c>
      <c r="AQ2" s="5">
        <v>2012</v>
      </c>
      <c r="AR2">
        <v>2013</v>
      </c>
      <c r="AS2">
        <v>2014</v>
      </c>
      <c r="AT2">
        <v>2015</v>
      </c>
      <c r="AU2">
        <v>2016</v>
      </c>
      <c r="AV2">
        <v>2017</v>
      </c>
      <c r="AW2">
        <f>YEAR(365*119)</f>
        <v>2018</v>
      </c>
      <c r="AX2">
        <f>AW2+1</f>
        <v>2019</v>
      </c>
      <c r="AY2">
        <f t="shared" ref="AY2:BL2" si="20">AX2+1</f>
        <v>2020</v>
      </c>
      <c r="AZ2">
        <f t="shared" si="20"/>
        <v>2021</v>
      </c>
      <c r="BA2">
        <f t="shared" si="20"/>
        <v>2022</v>
      </c>
      <c r="BB2">
        <f t="shared" si="20"/>
        <v>2023</v>
      </c>
      <c r="BC2">
        <f t="shared" si="20"/>
        <v>2024</v>
      </c>
      <c r="BD2">
        <f t="shared" si="20"/>
        <v>2025</v>
      </c>
      <c r="BE2">
        <f t="shared" si="20"/>
        <v>2026</v>
      </c>
      <c r="BF2">
        <f t="shared" si="20"/>
        <v>2027</v>
      </c>
      <c r="BG2">
        <f t="shared" si="20"/>
        <v>2028</v>
      </c>
      <c r="BH2">
        <f t="shared" si="20"/>
        <v>2029</v>
      </c>
      <c r="BI2">
        <f t="shared" si="20"/>
        <v>2030</v>
      </c>
      <c r="BJ2">
        <f t="shared" si="20"/>
        <v>2031</v>
      </c>
      <c r="BK2">
        <f t="shared" si="20"/>
        <v>2032</v>
      </c>
      <c r="BL2">
        <f t="shared" si="20"/>
        <v>2033</v>
      </c>
      <c r="BM2">
        <f t="shared" ref="BM2" si="21">BL2+1</f>
        <v>2034</v>
      </c>
      <c r="BN2">
        <f t="shared" ref="BN2" si="22">BM2+1</f>
        <v>2035</v>
      </c>
    </row>
    <row r="3" spans="2:66" x14ac:dyDescent="0.3">
      <c r="B3" t="s">
        <v>22</v>
      </c>
      <c r="C3" s="8">
        <v>79164</v>
      </c>
      <c r="D3" s="8">
        <v>51287</v>
      </c>
      <c r="E3" s="8">
        <v>43095</v>
      </c>
      <c r="F3" s="8">
        <v>52301</v>
      </c>
      <c r="G3" s="8">
        <v>73435</v>
      </c>
      <c r="H3" s="8">
        <v>46565</v>
      </c>
      <c r="I3" s="8">
        <v>42354</v>
      </c>
      <c r="J3" s="8">
        <v>51529</v>
      </c>
      <c r="K3" s="8">
        <v>79104</v>
      </c>
      <c r="L3" s="8">
        <v>44965</v>
      </c>
      <c r="M3" s="8">
        <v>46529</v>
      </c>
      <c r="N3" s="8">
        <v>50149</v>
      </c>
      <c r="O3" s="3">
        <v>95678</v>
      </c>
      <c r="P3" s="3">
        <v>72683</v>
      </c>
      <c r="Q3" s="3">
        <v>63948</v>
      </c>
      <c r="R3" s="3">
        <v>65083</v>
      </c>
      <c r="S3" s="3">
        <v>104429</v>
      </c>
      <c r="T3" s="3">
        <v>77457</v>
      </c>
      <c r="U3" s="3">
        <v>63355</v>
      </c>
      <c r="V3" s="3">
        <v>70958</v>
      </c>
      <c r="W3" s="3">
        <v>96388</v>
      </c>
      <c r="X3" s="3">
        <v>73929</v>
      </c>
      <c r="Y3" s="3">
        <v>60584</v>
      </c>
      <c r="Z3" s="3">
        <v>67184</v>
      </c>
      <c r="AA3" s="3">
        <v>96458</v>
      </c>
      <c r="AB3" s="3">
        <v>66886</v>
      </c>
      <c r="AC3" s="3">
        <v>61564</v>
      </c>
      <c r="AD3" s="3">
        <v>69958</v>
      </c>
      <c r="AE3" s="3">
        <v>97960</v>
      </c>
      <c r="AF3" s="3">
        <f>AB3*1.02</f>
        <v>68223.72</v>
      </c>
      <c r="AG3" s="3">
        <f t="shared" ref="AG3:AH3" si="23">AC3*1.02</f>
        <v>62795.28</v>
      </c>
      <c r="AH3" s="3">
        <f t="shared" si="23"/>
        <v>71357.16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SUM(C3:F3)</f>
        <v>225847</v>
      </c>
      <c r="AX3" s="3">
        <f>SUM(G3:J3)</f>
        <v>213883</v>
      </c>
      <c r="AY3" s="3">
        <f>SUM(K3:N3)</f>
        <v>220747</v>
      </c>
      <c r="AZ3" s="3">
        <f>SUM(O3:R3)</f>
        <v>297392</v>
      </c>
      <c r="BA3" s="3">
        <f>SUM(S3:V3)</f>
        <v>316199</v>
      </c>
      <c r="BB3" s="3">
        <f>SUM(W3:Z3)</f>
        <v>298085</v>
      </c>
      <c r="BC3" s="3">
        <f>SUM(AA3:AD3)</f>
        <v>294866</v>
      </c>
      <c r="BD3" s="3">
        <f>SUM(AE3:AH3)</f>
        <v>300336.16000000003</v>
      </c>
      <c r="BE3" s="3">
        <f t="shared" ref="BE3:BI3" si="24">BD3*1.01</f>
        <v>303339.52160000004</v>
      </c>
      <c r="BF3" s="3">
        <f t="shared" si="24"/>
        <v>306372.91681600001</v>
      </c>
      <c r="BG3" s="3">
        <f t="shared" si="24"/>
        <v>309436.64598416002</v>
      </c>
      <c r="BH3" s="3">
        <f t="shared" si="24"/>
        <v>312531.01244400162</v>
      </c>
      <c r="BI3" s="3">
        <f t="shared" si="24"/>
        <v>315656.32256844162</v>
      </c>
      <c r="BJ3" s="3">
        <f t="shared" ref="BJ3:BL3" si="25">BI3*1.01</f>
        <v>318812.88579412602</v>
      </c>
      <c r="BK3" s="3">
        <f t="shared" si="25"/>
        <v>322001.01465206727</v>
      </c>
      <c r="BL3" s="3">
        <f t="shared" si="25"/>
        <v>325221.02479858795</v>
      </c>
      <c r="BM3" s="3">
        <f t="shared" ref="BM3" si="26">BL3*1.01</f>
        <v>328473.23504657386</v>
      </c>
      <c r="BN3" s="3">
        <f t="shared" ref="BN3" si="27">BM3*1.01</f>
        <v>331757.96739703958</v>
      </c>
    </row>
    <row r="4" spans="2:66" x14ac:dyDescent="0.3">
      <c r="B4" t="s">
        <v>23</v>
      </c>
      <c r="C4" s="8">
        <v>9129</v>
      </c>
      <c r="D4" s="8">
        <v>9850</v>
      </c>
      <c r="E4" s="8">
        <v>10170</v>
      </c>
      <c r="F4" s="8">
        <v>10599</v>
      </c>
      <c r="G4" s="8">
        <v>10875</v>
      </c>
      <c r="H4" s="8">
        <v>11450</v>
      </c>
      <c r="I4" s="8">
        <v>11455</v>
      </c>
      <c r="J4" s="8">
        <v>12511</v>
      </c>
      <c r="K4" s="8">
        <v>12715</v>
      </c>
      <c r="L4" s="8">
        <v>13348</v>
      </c>
      <c r="M4" s="8">
        <v>13156</v>
      </c>
      <c r="N4" s="8">
        <v>14549</v>
      </c>
      <c r="O4" s="3">
        <v>15761</v>
      </c>
      <c r="P4" s="3">
        <v>16901</v>
      </c>
      <c r="Q4" s="3">
        <v>17486</v>
      </c>
      <c r="R4" s="3">
        <v>18277</v>
      </c>
      <c r="S4" s="3">
        <v>19516</v>
      </c>
      <c r="T4" s="3">
        <v>19821</v>
      </c>
      <c r="U4" s="3">
        <v>19604</v>
      </c>
      <c r="V4" s="3">
        <v>19188</v>
      </c>
      <c r="W4" s="3">
        <v>20766</v>
      </c>
      <c r="X4" s="3">
        <v>20907</v>
      </c>
      <c r="Y4" s="3">
        <v>21213</v>
      </c>
      <c r="Z4" s="3">
        <v>22314</v>
      </c>
      <c r="AA4" s="3">
        <v>23117</v>
      </c>
      <c r="AB4" s="3">
        <v>23867</v>
      </c>
      <c r="AC4" s="3">
        <v>24213</v>
      </c>
      <c r="AD4" s="3">
        <v>24972</v>
      </c>
      <c r="AE4" s="3">
        <v>26340</v>
      </c>
      <c r="AF4" s="3">
        <f>AB4*1.12</f>
        <v>26731.040000000001</v>
      </c>
      <c r="AG4" s="3">
        <f>AC4*1.12</f>
        <v>27118.560000000001</v>
      </c>
      <c r="AH4" s="3">
        <f>AD4*1.1</f>
        <v>27469.200000000001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>
        <f>SUM(C4:F4)</f>
        <v>39748</v>
      </c>
      <c r="AX4" s="3">
        <f>SUM(G4:J4)</f>
        <v>46291</v>
      </c>
      <c r="AY4" s="3">
        <f>SUM(K4:N4)</f>
        <v>53768</v>
      </c>
      <c r="AZ4" s="3">
        <f>SUM(O4:R4)</f>
        <v>68425</v>
      </c>
      <c r="BA4" s="3">
        <f>SUM(S4:V4)</f>
        <v>78129</v>
      </c>
      <c r="BB4" s="3">
        <f>SUM(W4:Z4)</f>
        <v>85200</v>
      </c>
      <c r="BC4" s="3">
        <f>SUM(AA4:AD4)</f>
        <v>96169</v>
      </c>
      <c r="BD4" s="3">
        <f>SUM(AE4:AH4)</f>
        <v>107658.8</v>
      </c>
      <c r="BE4" s="3">
        <f>BD4*1.09</f>
        <v>117348.09200000002</v>
      </c>
      <c r="BF4" s="3">
        <f>BE4*1.07</f>
        <v>125562.45844000003</v>
      </c>
      <c r="BG4" s="3">
        <f>BF4*1.06</f>
        <v>133096.20594640003</v>
      </c>
      <c r="BH4" s="3">
        <f t="shared" ref="BH4:BI4" si="28">BG4*1.05</f>
        <v>139751.01624372005</v>
      </c>
      <c r="BI4" s="3">
        <f t="shared" si="28"/>
        <v>146738.56705590605</v>
      </c>
      <c r="BJ4" s="3">
        <f>BI4*1.04</f>
        <v>152608.10973814229</v>
      </c>
      <c r="BK4" s="3">
        <f t="shared" ref="BK4" si="29">BJ4*1.04</f>
        <v>158712.43412766798</v>
      </c>
      <c r="BL4" s="3">
        <f>BK4*1.03</f>
        <v>163473.80715149801</v>
      </c>
      <c r="BM4" s="3">
        <f>BL4*1.02</f>
        <v>166743.28329452797</v>
      </c>
      <c r="BN4" s="3">
        <f>BM4*1.02</f>
        <v>170078.14896041853</v>
      </c>
    </row>
    <row r="5" spans="2:66" s="6" customFormat="1" x14ac:dyDescent="0.3">
      <c r="B5" s="6" t="s">
        <v>31</v>
      </c>
      <c r="C5" s="9">
        <f t="shared" ref="C5:N5" si="30">C3+C4</f>
        <v>88293</v>
      </c>
      <c r="D5" s="9">
        <f t="shared" si="30"/>
        <v>61137</v>
      </c>
      <c r="E5" s="9">
        <f t="shared" si="30"/>
        <v>53265</v>
      </c>
      <c r="F5" s="9">
        <f t="shared" si="30"/>
        <v>62900</v>
      </c>
      <c r="G5" s="9">
        <f t="shared" si="30"/>
        <v>84310</v>
      </c>
      <c r="H5" s="9">
        <f t="shared" si="30"/>
        <v>58015</v>
      </c>
      <c r="I5" s="9">
        <f t="shared" si="30"/>
        <v>53809</v>
      </c>
      <c r="J5" s="9">
        <f t="shared" si="30"/>
        <v>64040</v>
      </c>
      <c r="K5" s="9">
        <f t="shared" si="30"/>
        <v>91819</v>
      </c>
      <c r="L5" s="9">
        <f t="shared" si="30"/>
        <v>58313</v>
      </c>
      <c r="M5" s="9">
        <f t="shared" si="30"/>
        <v>59685</v>
      </c>
      <c r="N5" s="9">
        <f t="shared" si="30"/>
        <v>64698</v>
      </c>
      <c r="O5" s="9">
        <f t="shared" ref="O5:S5" si="31">O3+O4</f>
        <v>111439</v>
      </c>
      <c r="P5" s="9">
        <f t="shared" si="31"/>
        <v>89584</v>
      </c>
      <c r="Q5" s="9">
        <f t="shared" ref="Q5:R5" si="32">Q3+Q4</f>
        <v>81434</v>
      </c>
      <c r="R5" s="9">
        <f t="shared" si="32"/>
        <v>83360</v>
      </c>
      <c r="S5" s="9">
        <f t="shared" si="31"/>
        <v>123945</v>
      </c>
      <c r="T5" s="9">
        <f t="shared" ref="T5" si="33">T3+T4</f>
        <v>97278</v>
      </c>
      <c r="U5" s="9">
        <f t="shared" ref="U5" si="34">U3+U4</f>
        <v>82959</v>
      </c>
      <c r="V5" s="9">
        <f t="shared" ref="V5" si="35">V3+V4</f>
        <v>90146</v>
      </c>
      <c r="W5" s="9">
        <f t="shared" ref="W5:X5" si="36">W3+W4</f>
        <v>117154</v>
      </c>
      <c r="X5" s="9">
        <f t="shared" si="36"/>
        <v>94836</v>
      </c>
      <c r="Y5" s="9">
        <f t="shared" ref="Y5:Z5" si="37">Y3+Y4</f>
        <v>81797</v>
      </c>
      <c r="Z5" s="9">
        <f t="shared" si="37"/>
        <v>89498</v>
      </c>
      <c r="AA5" s="9">
        <f t="shared" ref="AA5:AH5" si="38">AA3+AA4</f>
        <v>119575</v>
      </c>
      <c r="AB5" s="9">
        <f t="shared" si="38"/>
        <v>90753</v>
      </c>
      <c r="AC5" s="9">
        <f t="shared" si="38"/>
        <v>85777</v>
      </c>
      <c r="AD5" s="9">
        <f t="shared" si="38"/>
        <v>94930</v>
      </c>
      <c r="AE5" s="9">
        <f t="shared" si="38"/>
        <v>124300</v>
      </c>
      <c r="AF5" s="9">
        <f t="shared" si="38"/>
        <v>94954.760000000009</v>
      </c>
      <c r="AG5" s="9">
        <f t="shared" si="38"/>
        <v>89913.84</v>
      </c>
      <c r="AH5" s="9">
        <f t="shared" si="38"/>
        <v>98826.36</v>
      </c>
      <c r="AI5" s="9"/>
      <c r="AJ5" s="9">
        <v>13931</v>
      </c>
      <c r="AK5" s="9">
        <v>19315</v>
      </c>
      <c r="AL5" s="9">
        <v>24006</v>
      </c>
      <c r="AM5" s="9">
        <v>37491</v>
      </c>
      <c r="AN5" s="9">
        <v>42905</v>
      </c>
      <c r="AO5" s="9">
        <v>65225</v>
      </c>
      <c r="AP5" s="9">
        <v>108249</v>
      </c>
      <c r="AQ5" s="9">
        <v>156508</v>
      </c>
      <c r="AR5" s="9">
        <v>170910</v>
      </c>
      <c r="AS5" s="9">
        <v>182795</v>
      </c>
      <c r="AT5" s="9">
        <v>233715</v>
      </c>
      <c r="AU5" s="9">
        <v>215639</v>
      </c>
      <c r="AV5" s="9">
        <v>229234</v>
      </c>
      <c r="AW5" s="9">
        <f>AW3+AW4</f>
        <v>265595</v>
      </c>
      <c r="AX5" s="9">
        <f>AX3+AX4</f>
        <v>260174</v>
      </c>
      <c r="AY5" s="9">
        <f>AY3+AY4</f>
        <v>274515</v>
      </c>
      <c r="AZ5" s="9">
        <f t="shared" ref="AZ5:BI5" si="39">AZ3+AZ4</f>
        <v>365817</v>
      </c>
      <c r="BA5" s="9">
        <f t="shared" ref="BA5:BB5" si="40">BA3+BA4</f>
        <v>394328</v>
      </c>
      <c r="BB5" s="9">
        <f t="shared" si="40"/>
        <v>383285</v>
      </c>
      <c r="BC5" s="9">
        <f t="shared" ref="BC5" si="41">BC3+BC4</f>
        <v>391035</v>
      </c>
      <c r="BD5" s="9">
        <f t="shared" si="39"/>
        <v>407994.96</v>
      </c>
      <c r="BE5" s="9">
        <f t="shared" si="39"/>
        <v>420687.61360000004</v>
      </c>
      <c r="BF5" s="9">
        <f t="shared" si="39"/>
        <v>431935.37525600003</v>
      </c>
      <c r="BG5" s="9">
        <f t="shared" si="39"/>
        <v>442532.85193056008</v>
      </c>
      <c r="BH5" s="9">
        <f t="shared" si="39"/>
        <v>452282.0286877217</v>
      </c>
      <c r="BI5" s="9">
        <f t="shared" si="39"/>
        <v>462394.88962434768</v>
      </c>
      <c r="BJ5" s="9">
        <f t="shared" ref="BJ5:BL5" si="42">BJ3+BJ4</f>
        <v>471420.99553226831</v>
      </c>
      <c r="BK5" s="9">
        <f t="shared" si="42"/>
        <v>480713.44877973525</v>
      </c>
      <c r="BL5" s="9">
        <f t="shared" si="42"/>
        <v>488694.83195008594</v>
      </c>
      <c r="BM5" s="9">
        <f t="shared" ref="BM5:BN5" si="43">BM3+BM4</f>
        <v>495216.51834110182</v>
      </c>
      <c r="BN5" s="9">
        <f t="shared" si="43"/>
        <v>501836.11635745812</v>
      </c>
    </row>
    <row r="6" spans="2:66" x14ac:dyDescent="0.3">
      <c r="B6" t="s">
        <v>24</v>
      </c>
      <c r="C6" s="3">
        <v>50575</v>
      </c>
      <c r="D6" s="3">
        <v>33936</v>
      </c>
      <c r="E6" s="3">
        <v>28956</v>
      </c>
      <c r="F6" s="3">
        <v>34697</v>
      </c>
      <c r="G6" s="3">
        <v>48238</v>
      </c>
      <c r="H6" s="3">
        <v>32047</v>
      </c>
      <c r="I6" s="3">
        <v>29473</v>
      </c>
      <c r="J6" s="3">
        <v>35238</v>
      </c>
      <c r="K6" s="3">
        <v>52075</v>
      </c>
      <c r="L6" s="3">
        <v>31321</v>
      </c>
      <c r="M6" s="3">
        <v>32693</v>
      </c>
      <c r="N6" s="3">
        <v>35197</v>
      </c>
      <c r="O6" s="3">
        <v>62130</v>
      </c>
      <c r="P6" s="3">
        <v>46447</v>
      </c>
      <c r="Q6" s="3">
        <v>40899</v>
      </c>
      <c r="R6" s="3">
        <v>42790</v>
      </c>
      <c r="S6" s="3">
        <v>64309</v>
      </c>
      <c r="T6" s="3">
        <v>49290</v>
      </c>
      <c r="U6" s="3">
        <v>41485</v>
      </c>
      <c r="V6" s="3">
        <v>46387</v>
      </c>
      <c r="W6" s="3">
        <v>60765</v>
      </c>
      <c r="X6" s="3">
        <v>46795</v>
      </c>
      <c r="Y6" s="3">
        <v>39136</v>
      </c>
      <c r="Z6" s="3">
        <v>42586</v>
      </c>
      <c r="AA6" s="3">
        <v>58440</v>
      </c>
      <c r="AB6" s="3">
        <v>42424</v>
      </c>
      <c r="AC6" s="3">
        <v>39803</v>
      </c>
      <c r="AD6" s="3">
        <v>44566</v>
      </c>
      <c r="AE6" s="3">
        <v>59447</v>
      </c>
      <c r="AF6" s="3">
        <f>AF3*0.63</f>
        <v>42980.943599999999</v>
      </c>
      <c r="AG6" s="3">
        <f>AG3*0.65</f>
        <v>40816.932000000001</v>
      </c>
      <c r="AH6" s="3">
        <f>AH3*0.64</f>
        <v>45668.582400000007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>
        <f>SUM(C6:F6)</f>
        <v>148164</v>
      </c>
      <c r="AX6" s="3">
        <f>SUM(G6:J6)</f>
        <v>144996</v>
      </c>
      <c r="AY6" s="3">
        <f>SUM(K6:N6)</f>
        <v>151286</v>
      </c>
      <c r="AZ6" s="3">
        <f>SUM(O6:R6)</f>
        <v>192266</v>
      </c>
      <c r="BA6" s="3">
        <f>SUM(S6:V6)</f>
        <v>201471</v>
      </c>
      <c r="BB6" s="3">
        <f>SUM(W6:Z6)</f>
        <v>189282</v>
      </c>
      <c r="BC6" s="3">
        <f>SUM(AA6:AD6)</f>
        <v>185233</v>
      </c>
      <c r="BD6" s="3">
        <f>SUM(AE6:AH6)</f>
        <v>188913.45800000001</v>
      </c>
      <c r="BE6" s="3">
        <f>BE3*0.63</f>
        <v>191103.89860800002</v>
      </c>
      <c r="BF6" s="3">
        <f t="shared" ref="BF6:BN6" si="44">BF3*0.63</f>
        <v>193014.93759407999</v>
      </c>
      <c r="BG6" s="3">
        <f t="shared" si="44"/>
        <v>194945.08697002081</v>
      </c>
      <c r="BH6" s="3">
        <f t="shared" si="44"/>
        <v>196894.53783972102</v>
      </c>
      <c r="BI6" s="3">
        <f t="shared" si="44"/>
        <v>198863.48321811823</v>
      </c>
      <c r="BJ6" s="3">
        <f t="shared" si="44"/>
        <v>200852.11805029938</v>
      </c>
      <c r="BK6" s="3">
        <f t="shared" si="44"/>
        <v>202860.63923080239</v>
      </c>
      <c r="BL6" s="3">
        <f t="shared" si="44"/>
        <v>204889.24562311042</v>
      </c>
      <c r="BM6" s="3">
        <f t="shared" si="44"/>
        <v>206938.13807934153</v>
      </c>
      <c r="BN6" s="3">
        <f t="shared" si="44"/>
        <v>209007.51946013494</v>
      </c>
    </row>
    <row r="7" spans="2:66" x14ac:dyDescent="0.3">
      <c r="B7" t="s">
        <v>25</v>
      </c>
      <c r="C7" s="8">
        <v>3806</v>
      </c>
      <c r="D7" s="8">
        <v>3779</v>
      </c>
      <c r="E7" s="8">
        <v>3888</v>
      </c>
      <c r="F7" s="8">
        <v>4119</v>
      </c>
      <c r="G7" s="8">
        <v>4041</v>
      </c>
      <c r="H7" s="8">
        <v>4147</v>
      </c>
      <c r="I7" s="8">
        <v>4109</v>
      </c>
      <c r="J7" s="8">
        <v>4489</v>
      </c>
      <c r="K7" s="8">
        <v>4527</v>
      </c>
      <c r="L7" s="8">
        <v>4622</v>
      </c>
      <c r="M7" s="8">
        <v>4312</v>
      </c>
      <c r="N7" s="3">
        <v>4812</v>
      </c>
      <c r="O7" s="3">
        <v>4981</v>
      </c>
      <c r="P7" s="3">
        <v>5058</v>
      </c>
      <c r="Q7" s="3">
        <v>5280</v>
      </c>
      <c r="R7" s="3">
        <v>5396</v>
      </c>
      <c r="S7" s="3">
        <v>5393</v>
      </c>
      <c r="T7" s="3">
        <v>5429</v>
      </c>
      <c r="U7" s="3">
        <v>5589</v>
      </c>
      <c r="V7" s="3">
        <v>5664</v>
      </c>
      <c r="W7" s="3">
        <v>6057</v>
      </c>
      <c r="X7" s="3">
        <v>6065</v>
      </c>
      <c r="Y7" s="3">
        <v>6248</v>
      </c>
      <c r="Z7" s="3">
        <v>6485</v>
      </c>
      <c r="AA7" s="3">
        <v>6280</v>
      </c>
      <c r="AB7" s="3">
        <v>6058</v>
      </c>
      <c r="AC7" s="3">
        <v>6296</v>
      </c>
      <c r="AD7" s="3">
        <v>6485</v>
      </c>
      <c r="AE7" s="3">
        <v>6578</v>
      </c>
      <c r="AF7" s="3">
        <f>AF4*0.24</f>
        <v>6415.4495999999999</v>
      </c>
      <c r="AG7" s="3">
        <f>AG4*0.25</f>
        <v>6779.64</v>
      </c>
      <c r="AH7" s="3">
        <f t="shared" ref="AH7" si="45">AH4*0.25</f>
        <v>6867.3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>
        <f>SUM(C7:F7)</f>
        <v>15592</v>
      </c>
      <c r="AX7" s="3">
        <f>SUM(G7:J7)</f>
        <v>16786</v>
      </c>
      <c r="AY7" s="3">
        <f>SUM(K7:N7)</f>
        <v>18273</v>
      </c>
      <c r="AZ7" s="3">
        <f>SUM(O7:R7)</f>
        <v>20715</v>
      </c>
      <c r="BA7" s="3">
        <f>SUM(S7:V7)</f>
        <v>22075</v>
      </c>
      <c r="BB7" s="3">
        <f>SUM(W7:Z7)</f>
        <v>24855</v>
      </c>
      <c r="BC7" s="3">
        <f>SUM(AA7:AD7)</f>
        <v>25119</v>
      </c>
      <c r="BD7" s="3">
        <f>SUM(AE7:AH7)</f>
        <v>26640.389599999999</v>
      </c>
      <c r="BE7" s="3">
        <f>BE4*0.24</f>
        <v>28163.542080000003</v>
      </c>
      <c r="BF7" s="3">
        <f t="shared" ref="BF7:BN7" si="46">BF4*0.24</f>
        <v>30134.990025600007</v>
      </c>
      <c r="BG7" s="3">
        <f t="shared" si="46"/>
        <v>31943.089427136008</v>
      </c>
      <c r="BH7" s="3">
        <f t="shared" si="46"/>
        <v>33540.243898492809</v>
      </c>
      <c r="BI7" s="3">
        <f t="shared" si="46"/>
        <v>35217.256093417454</v>
      </c>
      <c r="BJ7" s="3">
        <f t="shared" si="46"/>
        <v>36625.94633715415</v>
      </c>
      <c r="BK7" s="3">
        <f t="shared" si="46"/>
        <v>38090.984190640316</v>
      </c>
      <c r="BL7" s="3">
        <f t="shared" si="46"/>
        <v>39233.713716359518</v>
      </c>
      <c r="BM7" s="3">
        <f t="shared" si="46"/>
        <v>40018.387990686708</v>
      </c>
      <c r="BN7" s="3">
        <f t="shared" si="46"/>
        <v>40818.755750500444</v>
      </c>
    </row>
    <row r="8" spans="2:66" x14ac:dyDescent="0.3">
      <c r="B8" t="s">
        <v>30</v>
      </c>
      <c r="C8" s="3">
        <f t="shared" ref="C8:N8" si="47">C6+C7</f>
        <v>54381</v>
      </c>
      <c r="D8" s="3">
        <f t="shared" si="47"/>
        <v>37715</v>
      </c>
      <c r="E8" s="3">
        <f t="shared" si="47"/>
        <v>32844</v>
      </c>
      <c r="F8" s="3">
        <f t="shared" si="47"/>
        <v>38816</v>
      </c>
      <c r="G8" s="3">
        <f t="shared" si="47"/>
        <v>52279</v>
      </c>
      <c r="H8" s="3">
        <f t="shared" si="47"/>
        <v>36194</v>
      </c>
      <c r="I8" s="3">
        <f t="shared" si="47"/>
        <v>33582</v>
      </c>
      <c r="J8" s="3">
        <f t="shared" si="47"/>
        <v>39727</v>
      </c>
      <c r="K8" s="3">
        <f t="shared" si="47"/>
        <v>56602</v>
      </c>
      <c r="L8" s="3">
        <f t="shared" si="47"/>
        <v>35943</v>
      </c>
      <c r="M8" s="3">
        <f t="shared" si="47"/>
        <v>37005</v>
      </c>
      <c r="N8" s="3">
        <f t="shared" si="47"/>
        <v>40009</v>
      </c>
      <c r="O8" s="3">
        <f t="shared" ref="O8:S8" si="48">O6+O7</f>
        <v>67111</v>
      </c>
      <c r="P8" s="3">
        <f t="shared" si="48"/>
        <v>51505</v>
      </c>
      <c r="Q8" s="3">
        <f t="shared" ref="Q8:R8" si="49">Q6+Q7</f>
        <v>46179</v>
      </c>
      <c r="R8" s="3">
        <f t="shared" si="49"/>
        <v>48186</v>
      </c>
      <c r="S8" s="3">
        <f t="shared" si="48"/>
        <v>69702</v>
      </c>
      <c r="T8" s="3">
        <f t="shared" ref="T8" si="50">T6+T7</f>
        <v>54719</v>
      </c>
      <c r="U8" s="3">
        <f t="shared" ref="U8" si="51">U6+U7</f>
        <v>47074</v>
      </c>
      <c r="V8" s="3">
        <f t="shared" ref="V8" si="52">V6+V7</f>
        <v>52051</v>
      </c>
      <c r="W8" s="3">
        <f t="shared" ref="W8:X8" si="53">W6+W7</f>
        <v>66822</v>
      </c>
      <c r="X8" s="3">
        <f t="shared" si="53"/>
        <v>52860</v>
      </c>
      <c r="Y8" s="3">
        <f t="shared" ref="Y8:Z8" si="54">Y6+Y7</f>
        <v>45384</v>
      </c>
      <c r="Z8" s="3">
        <f t="shared" si="54"/>
        <v>49071</v>
      </c>
      <c r="AA8" s="3">
        <f t="shared" ref="AA8:AH8" si="55">AA6+AA7</f>
        <v>64720</v>
      </c>
      <c r="AB8" s="3">
        <f t="shared" si="55"/>
        <v>48482</v>
      </c>
      <c r="AC8" s="3">
        <f t="shared" si="55"/>
        <v>46099</v>
      </c>
      <c r="AD8" s="3">
        <f t="shared" si="55"/>
        <v>51051</v>
      </c>
      <c r="AE8" s="3">
        <f t="shared" si="55"/>
        <v>66025</v>
      </c>
      <c r="AF8" s="3">
        <f t="shared" si="55"/>
        <v>49396.393199999999</v>
      </c>
      <c r="AG8" s="3">
        <f t="shared" si="55"/>
        <v>47596.572</v>
      </c>
      <c r="AH8" s="3">
        <f t="shared" si="55"/>
        <v>52535.88240000001</v>
      </c>
      <c r="AI8" s="3"/>
      <c r="AJ8" s="3">
        <v>9889</v>
      </c>
      <c r="AK8" s="3">
        <v>13717</v>
      </c>
      <c r="AL8" s="3">
        <v>15852</v>
      </c>
      <c r="AM8" s="3">
        <v>24294</v>
      </c>
      <c r="AN8" s="3">
        <v>25683</v>
      </c>
      <c r="AO8" s="3">
        <v>39541</v>
      </c>
      <c r="AP8" s="3">
        <v>64431</v>
      </c>
      <c r="AQ8" s="3">
        <v>87846</v>
      </c>
      <c r="AR8" s="3">
        <v>106606</v>
      </c>
      <c r="AS8" s="3">
        <v>112258</v>
      </c>
      <c r="AT8" s="3">
        <v>140089</v>
      </c>
      <c r="AU8" s="3">
        <v>131376</v>
      </c>
      <c r="AV8" s="3">
        <v>141048</v>
      </c>
      <c r="AW8" s="3">
        <f>AW6+AW7</f>
        <v>163756</v>
      </c>
      <c r="AX8" s="3">
        <f>AX6+AX7</f>
        <v>161782</v>
      </c>
      <c r="AY8" s="3">
        <f>AY6+AY7</f>
        <v>169559</v>
      </c>
      <c r="AZ8" s="3">
        <f t="shared" ref="AZ8:BN8" si="56">AZ6+AZ7</f>
        <v>212981</v>
      </c>
      <c r="BA8" s="3">
        <f t="shared" si="56"/>
        <v>223546</v>
      </c>
      <c r="BB8" s="3">
        <f t="shared" si="56"/>
        <v>214137</v>
      </c>
      <c r="BC8" s="3">
        <f t="shared" si="56"/>
        <v>210352</v>
      </c>
      <c r="BD8" s="3">
        <f t="shared" si="56"/>
        <v>215553.84760000001</v>
      </c>
      <c r="BE8" s="3">
        <f t="shared" si="56"/>
        <v>219267.44068800003</v>
      </c>
      <c r="BF8" s="3">
        <f t="shared" si="56"/>
        <v>223149.92761968001</v>
      </c>
      <c r="BG8" s="3">
        <f t="shared" si="56"/>
        <v>226888.17639715681</v>
      </c>
      <c r="BH8" s="3">
        <f t="shared" si="56"/>
        <v>230434.78173821382</v>
      </c>
      <c r="BI8" s="3">
        <f t="shared" si="56"/>
        <v>234080.73931153567</v>
      </c>
      <c r="BJ8" s="3">
        <f t="shared" si="56"/>
        <v>237478.06438745355</v>
      </c>
      <c r="BK8" s="3">
        <f t="shared" si="56"/>
        <v>240951.62342144269</v>
      </c>
      <c r="BL8" s="3">
        <f t="shared" si="56"/>
        <v>244122.95933946993</v>
      </c>
      <c r="BM8" s="3">
        <f t="shared" si="56"/>
        <v>246956.52607002825</v>
      </c>
      <c r="BN8" s="3">
        <f t="shared" si="56"/>
        <v>249826.27521063539</v>
      </c>
    </row>
    <row r="9" spans="2:66" s="6" customFormat="1" x14ac:dyDescent="0.3">
      <c r="B9" s="6" t="s">
        <v>26</v>
      </c>
      <c r="C9" s="9">
        <f t="shared" ref="C9:N9" si="57">C5-C8</f>
        <v>33912</v>
      </c>
      <c r="D9" s="9">
        <f t="shared" si="57"/>
        <v>23422</v>
      </c>
      <c r="E9" s="9">
        <f t="shared" si="57"/>
        <v>20421</v>
      </c>
      <c r="F9" s="9">
        <f t="shared" si="57"/>
        <v>24084</v>
      </c>
      <c r="G9" s="9">
        <f t="shared" si="57"/>
        <v>32031</v>
      </c>
      <c r="H9" s="9">
        <f t="shared" si="57"/>
        <v>21821</v>
      </c>
      <c r="I9" s="9">
        <f t="shared" si="57"/>
        <v>20227</v>
      </c>
      <c r="J9" s="9">
        <f t="shared" si="57"/>
        <v>24313</v>
      </c>
      <c r="K9" s="9">
        <f t="shared" si="57"/>
        <v>35217</v>
      </c>
      <c r="L9" s="9">
        <f t="shared" si="57"/>
        <v>22370</v>
      </c>
      <c r="M9" s="9">
        <f t="shared" si="57"/>
        <v>22680</v>
      </c>
      <c r="N9" s="9">
        <f t="shared" si="57"/>
        <v>24689</v>
      </c>
      <c r="O9" s="9">
        <f t="shared" ref="O9:S9" si="58">O5-O8</f>
        <v>44328</v>
      </c>
      <c r="P9" s="9">
        <f t="shared" si="58"/>
        <v>38079</v>
      </c>
      <c r="Q9" s="9">
        <f t="shared" ref="Q9:R9" si="59">Q5-Q8</f>
        <v>35255</v>
      </c>
      <c r="R9" s="9">
        <f t="shared" si="59"/>
        <v>35174</v>
      </c>
      <c r="S9" s="9">
        <f t="shared" si="58"/>
        <v>54243</v>
      </c>
      <c r="T9" s="9">
        <f t="shared" ref="T9" si="60">T5-T8</f>
        <v>42559</v>
      </c>
      <c r="U9" s="9">
        <f t="shared" ref="U9" si="61">U5-U8</f>
        <v>35885</v>
      </c>
      <c r="V9" s="9">
        <f t="shared" ref="V9" si="62">V5-V8</f>
        <v>38095</v>
      </c>
      <c r="W9" s="9">
        <f t="shared" ref="W9:X9" si="63">W5-W8</f>
        <v>50332</v>
      </c>
      <c r="X9" s="9">
        <f t="shared" si="63"/>
        <v>41976</v>
      </c>
      <c r="Y9" s="9">
        <f t="shared" ref="Y9:Z9" si="64">Y5-Y8</f>
        <v>36413</v>
      </c>
      <c r="Z9" s="9">
        <f t="shared" si="64"/>
        <v>40427</v>
      </c>
      <c r="AA9" s="9">
        <f t="shared" ref="AA9:AH9" si="65">AA5-AA8</f>
        <v>54855</v>
      </c>
      <c r="AB9" s="9">
        <f t="shared" si="65"/>
        <v>42271</v>
      </c>
      <c r="AC9" s="9">
        <f t="shared" si="65"/>
        <v>39678</v>
      </c>
      <c r="AD9" s="9">
        <f t="shared" si="65"/>
        <v>43879</v>
      </c>
      <c r="AE9" s="9">
        <f t="shared" si="65"/>
        <v>58275</v>
      </c>
      <c r="AF9" s="9">
        <f t="shared" si="65"/>
        <v>45558.366800000011</v>
      </c>
      <c r="AG9" s="9">
        <f t="shared" si="65"/>
        <v>42317.267999999996</v>
      </c>
      <c r="AH9" s="9">
        <f t="shared" si="65"/>
        <v>46290.477599999991</v>
      </c>
      <c r="AI9" s="9"/>
      <c r="AJ9" s="9">
        <f t="shared" ref="AJ9" si="66">AJ5-AJ8</f>
        <v>4042</v>
      </c>
      <c r="AK9" s="9">
        <f t="shared" ref="AK9:AL9" si="67">AK5-AK8</f>
        <v>5598</v>
      </c>
      <c r="AL9" s="9">
        <f t="shared" si="67"/>
        <v>8154</v>
      </c>
      <c r="AM9" s="9">
        <f t="shared" ref="AM9:AN9" si="68">AM5-AM8</f>
        <v>13197</v>
      </c>
      <c r="AN9" s="9">
        <f t="shared" si="68"/>
        <v>17222</v>
      </c>
      <c r="AO9" s="9">
        <f t="shared" ref="AO9:AP9" si="69">AO5-AO8</f>
        <v>25684</v>
      </c>
      <c r="AP9" s="9">
        <f t="shared" si="69"/>
        <v>43818</v>
      </c>
      <c r="AQ9" s="9">
        <f t="shared" ref="AQ9:AR9" si="70">AQ5-AQ8</f>
        <v>68662</v>
      </c>
      <c r="AR9" s="9">
        <f t="shared" si="70"/>
        <v>64304</v>
      </c>
      <c r="AS9" s="9">
        <f t="shared" ref="AS9:AT9" si="71">AS5-AS8</f>
        <v>70537</v>
      </c>
      <c r="AT9" s="9">
        <f t="shared" si="71"/>
        <v>93626</v>
      </c>
      <c r="AU9" s="9">
        <f t="shared" ref="AU9:AV9" si="72">AU5-AU8</f>
        <v>84263</v>
      </c>
      <c r="AV9" s="9">
        <f t="shared" si="72"/>
        <v>88186</v>
      </c>
      <c r="AW9" s="9">
        <f t="shared" ref="AW9:BN9" si="73">AW5-AW8</f>
        <v>101839</v>
      </c>
      <c r="AX9" s="9">
        <f t="shared" si="73"/>
        <v>98392</v>
      </c>
      <c r="AY9" s="9">
        <f t="shared" si="73"/>
        <v>104956</v>
      </c>
      <c r="AZ9" s="9">
        <f t="shared" si="73"/>
        <v>152836</v>
      </c>
      <c r="BA9" s="9">
        <f t="shared" si="73"/>
        <v>170782</v>
      </c>
      <c r="BB9" s="9">
        <f t="shared" si="73"/>
        <v>169148</v>
      </c>
      <c r="BC9" s="9">
        <f t="shared" si="73"/>
        <v>180683</v>
      </c>
      <c r="BD9" s="9">
        <f t="shared" si="73"/>
        <v>192441.11240000001</v>
      </c>
      <c r="BE9" s="9">
        <f t="shared" si="73"/>
        <v>201420.17291200001</v>
      </c>
      <c r="BF9" s="9">
        <f t="shared" si="73"/>
        <v>208785.44763632002</v>
      </c>
      <c r="BG9" s="9">
        <f t="shared" si="73"/>
        <v>215644.67553340326</v>
      </c>
      <c r="BH9" s="9">
        <f t="shared" si="73"/>
        <v>221847.24694950788</v>
      </c>
      <c r="BI9" s="9">
        <f t="shared" si="73"/>
        <v>228314.15031281201</v>
      </c>
      <c r="BJ9" s="9">
        <f t="shared" si="73"/>
        <v>233942.93114481476</v>
      </c>
      <c r="BK9" s="9">
        <f t="shared" si="73"/>
        <v>239761.82535829255</v>
      </c>
      <c r="BL9" s="9">
        <f t="shared" si="73"/>
        <v>244571.872610616</v>
      </c>
      <c r="BM9" s="9">
        <f t="shared" si="73"/>
        <v>248259.99227107357</v>
      </c>
      <c r="BN9" s="9">
        <f t="shared" si="73"/>
        <v>252009.84114682273</v>
      </c>
    </row>
    <row r="10" spans="2:66" x14ac:dyDescent="0.3">
      <c r="B10" t="s">
        <v>27</v>
      </c>
      <c r="C10" s="3">
        <v>3407</v>
      </c>
      <c r="D10" s="3">
        <v>3378</v>
      </c>
      <c r="E10" s="3">
        <v>3701</v>
      </c>
      <c r="F10" s="3">
        <v>3750</v>
      </c>
      <c r="G10" s="3">
        <v>3902</v>
      </c>
      <c r="H10" s="3">
        <v>3948</v>
      </c>
      <c r="I10" s="3">
        <v>4257</v>
      </c>
      <c r="J10" s="3">
        <v>4110</v>
      </c>
      <c r="K10" s="3">
        <v>4451</v>
      </c>
      <c r="L10" s="3">
        <v>4565</v>
      </c>
      <c r="M10" s="3">
        <v>4758</v>
      </c>
      <c r="N10" s="3">
        <v>4978</v>
      </c>
      <c r="O10" s="3">
        <v>5163</v>
      </c>
      <c r="P10" s="3">
        <v>5262</v>
      </c>
      <c r="Q10" s="3">
        <v>5717</v>
      </c>
      <c r="R10" s="3">
        <v>5772</v>
      </c>
      <c r="S10" s="3">
        <v>6306</v>
      </c>
      <c r="T10" s="3">
        <v>6387</v>
      </c>
      <c r="U10" s="3">
        <v>6797</v>
      </c>
      <c r="V10" s="3">
        <v>6761</v>
      </c>
      <c r="W10" s="3">
        <v>7709</v>
      </c>
      <c r="X10" s="3">
        <v>7457</v>
      </c>
      <c r="Y10" s="3">
        <v>7442</v>
      </c>
      <c r="Z10" s="3">
        <v>7307</v>
      </c>
      <c r="AA10" s="3">
        <v>7696</v>
      </c>
      <c r="AB10" s="3">
        <v>7903</v>
      </c>
      <c r="AC10" s="3">
        <v>8006</v>
      </c>
      <c r="AD10" s="3">
        <v>7765</v>
      </c>
      <c r="AE10" s="3">
        <v>8268</v>
      </c>
      <c r="AF10" s="3">
        <f>AB10*1.03</f>
        <v>8140.09</v>
      </c>
      <c r="AG10" s="3">
        <f t="shared" ref="AG10:AH10" si="74">AC10*1.03</f>
        <v>8246.18</v>
      </c>
      <c r="AH10" s="3">
        <f t="shared" si="74"/>
        <v>7997.95</v>
      </c>
      <c r="AI10" s="3"/>
      <c r="AJ10" s="3">
        <v>535</v>
      </c>
      <c r="AK10" s="3">
        <v>712</v>
      </c>
      <c r="AL10" s="3">
        <v>782</v>
      </c>
      <c r="AM10" s="3">
        <v>1109</v>
      </c>
      <c r="AN10" s="3">
        <v>1333</v>
      </c>
      <c r="AO10" s="3">
        <v>1782</v>
      </c>
      <c r="AP10" s="3">
        <v>2429</v>
      </c>
      <c r="AQ10" s="3">
        <v>3381</v>
      </c>
      <c r="AR10" s="3">
        <v>4475</v>
      </c>
      <c r="AS10" s="3">
        <v>6041</v>
      </c>
      <c r="AT10" s="3">
        <v>8067</v>
      </c>
      <c r="AU10" s="3">
        <v>10045</v>
      </c>
      <c r="AV10" s="3">
        <v>11581</v>
      </c>
      <c r="AW10" s="3">
        <f>SUM(C10:F10)</f>
        <v>14236</v>
      </c>
      <c r="AX10" s="3">
        <f>SUM(G10:J10)</f>
        <v>16217</v>
      </c>
      <c r="AY10" s="3">
        <f>SUM(K10:N10)</f>
        <v>18752</v>
      </c>
      <c r="AZ10" s="3">
        <f>SUM(O10:R10)</f>
        <v>21914</v>
      </c>
      <c r="BA10" s="3">
        <f>SUM(S10:V10)</f>
        <v>26251</v>
      </c>
      <c r="BB10" s="3">
        <f>SUM(W10:Z10)</f>
        <v>29915</v>
      </c>
      <c r="BC10" s="3">
        <f>SUM(AA10:AD10)</f>
        <v>31370</v>
      </c>
      <c r="BD10" s="3">
        <f>SUM(AE10:AH10)</f>
        <v>32652.22</v>
      </c>
      <c r="BE10" s="3">
        <f>BD10*1.04</f>
        <v>33958.308799999999</v>
      </c>
      <c r="BF10" s="3">
        <f>BE10*1.04</f>
        <v>35316.641151999997</v>
      </c>
      <c r="BG10" s="3">
        <f>BF10*1.03</f>
        <v>36376.14038656</v>
      </c>
      <c r="BH10" s="3">
        <f>BG10*1.03</f>
        <v>37467.424598156802</v>
      </c>
      <c r="BI10" s="3">
        <f>BH10*1.03</f>
        <v>38591.447336101504</v>
      </c>
      <c r="BJ10" s="3">
        <f>BI10*1.02</f>
        <v>39363.276282823535</v>
      </c>
      <c r="BK10" s="3">
        <f>BJ10*1.02</f>
        <v>40150.541808480004</v>
      </c>
      <c r="BL10" s="3">
        <f>BK10*1.02</f>
        <v>40953.552644649608</v>
      </c>
      <c r="BM10" s="3">
        <f t="shared" ref="BM10:BN10" si="75">BL10*1.02</f>
        <v>41772.6236975426</v>
      </c>
      <c r="BN10" s="3">
        <f t="shared" si="75"/>
        <v>42608.076171493456</v>
      </c>
    </row>
    <row r="11" spans="2:66" x14ac:dyDescent="0.3">
      <c r="B11" t="s">
        <v>28</v>
      </c>
      <c r="C11" s="3">
        <v>4231</v>
      </c>
      <c r="D11" s="3">
        <v>4150</v>
      </c>
      <c r="E11" s="3">
        <v>4108</v>
      </c>
      <c r="F11" s="3">
        <v>4216</v>
      </c>
      <c r="G11" s="3">
        <v>4783</v>
      </c>
      <c r="H11" s="3">
        <v>4458</v>
      </c>
      <c r="I11" s="3">
        <v>4426</v>
      </c>
      <c r="J11" s="3">
        <v>4578</v>
      </c>
      <c r="K11" s="3">
        <v>5197</v>
      </c>
      <c r="L11" s="3">
        <v>4952</v>
      </c>
      <c r="M11" s="3">
        <v>4831</v>
      </c>
      <c r="N11" s="3">
        <v>4936</v>
      </c>
      <c r="O11" s="3">
        <v>5631</v>
      </c>
      <c r="P11" s="3">
        <v>5314</v>
      </c>
      <c r="Q11" s="3">
        <v>5412</v>
      </c>
      <c r="R11" s="3">
        <v>5616</v>
      </c>
      <c r="S11" s="3">
        <v>6449</v>
      </c>
      <c r="T11" s="3">
        <v>6193</v>
      </c>
      <c r="U11" s="3">
        <v>6012</v>
      </c>
      <c r="V11" s="3">
        <v>6440</v>
      </c>
      <c r="W11" s="3">
        <v>6607</v>
      </c>
      <c r="X11" s="3">
        <v>6201</v>
      </c>
      <c r="Y11" s="3">
        <v>5973</v>
      </c>
      <c r="Z11" s="3">
        <v>6151</v>
      </c>
      <c r="AA11" s="3">
        <v>6786</v>
      </c>
      <c r="AB11" s="3">
        <v>6468</v>
      </c>
      <c r="AC11" s="3">
        <v>6320</v>
      </c>
      <c r="AD11" s="3">
        <v>6523</v>
      </c>
      <c r="AE11" s="3">
        <v>7175</v>
      </c>
      <c r="AF11" s="3">
        <f t="shared" ref="AF11:AH11" si="76">AF5*0.07</f>
        <v>6646.8332000000009</v>
      </c>
      <c r="AG11" s="3">
        <f t="shared" si="76"/>
        <v>6293.9688000000006</v>
      </c>
      <c r="AH11" s="3">
        <f t="shared" si="76"/>
        <v>6917.8452000000007</v>
      </c>
      <c r="AI11" s="3"/>
      <c r="AJ11" s="3">
        <v>1864</v>
      </c>
      <c r="AK11" s="3">
        <v>2433</v>
      </c>
      <c r="AL11" s="3">
        <v>2963</v>
      </c>
      <c r="AM11" s="3">
        <v>3761</v>
      </c>
      <c r="AN11" s="3">
        <v>4149</v>
      </c>
      <c r="AO11" s="3">
        <v>5517</v>
      </c>
      <c r="AP11" s="3">
        <v>7599</v>
      </c>
      <c r="AQ11" s="3">
        <v>10040</v>
      </c>
      <c r="AR11" s="3">
        <v>10830</v>
      </c>
      <c r="AS11" s="3">
        <v>11993</v>
      </c>
      <c r="AT11" s="3">
        <v>14329</v>
      </c>
      <c r="AU11" s="3">
        <v>14194</v>
      </c>
      <c r="AV11" s="3">
        <v>15261</v>
      </c>
      <c r="AW11" s="3">
        <f>SUM(C11:F11)</f>
        <v>16705</v>
      </c>
      <c r="AX11" s="3">
        <f>SUM(G11:J11)</f>
        <v>18245</v>
      </c>
      <c r="AY11" s="3">
        <f>SUM(K11:N11)</f>
        <v>19916</v>
      </c>
      <c r="AZ11" s="3">
        <f>SUM(O11:R11)</f>
        <v>21973</v>
      </c>
      <c r="BA11" s="3">
        <f>SUM(S11:V11)</f>
        <v>25094</v>
      </c>
      <c r="BB11" s="3">
        <f>SUM(W11:Z11)</f>
        <v>24932</v>
      </c>
      <c r="BC11" s="3">
        <f>SUM(AA11:AD11)</f>
        <v>26097</v>
      </c>
      <c r="BD11" s="3">
        <f>SUM(AE11:AH11)</f>
        <v>27033.647200000003</v>
      </c>
      <c r="BE11" s="3">
        <f>BD11*1.02</f>
        <v>27574.320144000005</v>
      </c>
      <c r="BF11" s="3">
        <f t="shared" ref="BF11:BJ11" si="77">BE11*1.02</f>
        <v>28125.806546880005</v>
      </c>
      <c r="BG11" s="3">
        <f t="shared" si="77"/>
        <v>28688.322677817607</v>
      </c>
      <c r="BH11" s="3">
        <f t="shared" si="77"/>
        <v>29262.089131373959</v>
      </c>
      <c r="BI11" s="3">
        <f t="shared" si="77"/>
        <v>29847.330914001439</v>
      </c>
      <c r="BJ11" s="3">
        <f t="shared" si="77"/>
        <v>30444.277532281467</v>
      </c>
      <c r="BK11" s="3">
        <f>BJ11*1.01</f>
        <v>30748.720307604282</v>
      </c>
      <c r="BL11" s="3">
        <f t="shared" ref="BL11:BN11" si="78">BK11*1.01</f>
        <v>31056.207510680324</v>
      </c>
      <c r="BM11" s="3">
        <f t="shared" si="78"/>
        <v>31366.769585787126</v>
      </c>
      <c r="BN11" s="3">
        <f t="shared" si="78"/>
        <v>31680.437281644998</v>
      </c>
    </row>
    <row r="12" spans="2:66" x14ac:dyDescent="0.3">
      <c r="B12" t="s">
        <v>29</v>
      </c>
      <c r="C12" s="3">
        <f t="shared" ref="C12:S12" si="79">C10+C11</f>
        <v>7638</v>
      </c>
      <c r="D12" s="3">
        <f t="shared" si="79"/>
        <v>7528</v>
      </c>
      <c r="E12" s="3">
        <f t="shared" si="79"/>
        <v>7809</v>
      </c>
      <c r="F12" s="3">
        <f t="shared" si="79"/>
        <v>7966</v>
      </c>
      <c r="G12" s="3">
        <f t="shared" si="79"/>
        <v>8685</v>
      </c>
      <c r="H12" s="3">
        <f t="shared" si="79"/>
        <v>8406</v>
      </c>
      <c r="I12" s="3">
        <f t="shared" si="79"/>
        <v>8683</v>
      </c>
      <c r="J12" s="3">
        <f t="shared" si="79"/>
        <v>8688</v>
      </c>
      <c r="K12" s="3">
        <f t="shared" si="79"/>
        <v>9648</v>
      </c>
      <c r="L12" s="3">
        <f t="shared" si="79"/>
        <v>9517</v>
      </c>
      <c r="M12" s="3">
        <f t="shared" si="79"/>
        <v>9589</v>
      </c>
      <c r="N12" s="3">
        <f t="shared" si="79"/>
        <v>9914</v>
      </c>
      <c r="O12" s="3">
        <f t="shared" si="79"/>
        <v>10794</v>
      </c>
      <c r="P12" s="3">
        <f t="shared" si="79"/>
        <v>10576</v>
      </c>
      <c r="Q12" s="3">
        <f t="shared" ref="Q12:R12" si="80">Q10+Q11</f>
        <v>11129</v>
      </c>
      <c r="R12" s="3">
        <f t="shared" si="80"/>
        <v>11388</v>
      </c>
      <c r="S12" s="3">
        <f t="shared" si="79"/>
        <v>12755</v>
      </c>
      <c r="T12" s="3">
        <f t="shared" ref="T12" si="81">T10+T11</f>
        <v>12580</v>
      </c>
      <c r="U12" s="3">
        <f t="shared" ref="U12" si="82">U10+U11</f>
        <v>12809</v>
      </c>
      <c r="V12" s="3">
        <f t="shared" ref="V12" si="83">V10+V11</f>
        <v>13201</v>
      </c>
      <c r="W12" s="3">
        <f t="shared" ref="W12:X12" si="84">W10+W11</f>
        <v>14316</v>
      </c>
      <c r="X12" s="3">
        <f t="shared" si="84"/>
        <v>13658</v>
      </c>
      <c r="Y12" s="3">
        <f t="shared" ref="Y12:Z12" si="85">Y10+Y11</f>
        <v>13415</v>
      </c>
      <c r="Z12" s="3">
        <f t="shared" si="85"/>
        <v>13458</v>
      </c>
      <c r="AA12" s="3">
        <f t="shared" ref="AA12:AD12" si="86">AA10+AA11</f>
        <v>14482</v>
      </c>
      <c r="AB12" s="3">
        <f t="shared" si="86"/>
        <v>14371</v>
      </c>
      <c r="AC12" s="3">
        <f t="shared" si="86"/>
        <v>14326</v>
      </c>
      <c r="AD12" s="3">
        <f t="shared" si="86"/>
        <v>14288</v>
      </c>
      <c r="AE12" s="3">
        <f t="shared" ref="AE12:AH12" si="87">AE10+AE11</f>
        <v>15443</v>
      </c>
      <c r="AF12" s="3">
        <f t="shared" si="87"/>
        <v>14786.923200000001</v>
      </c>
      <c r="AG12" s="3">
        <f t="shared" si="87"/>
        <v>14540.148800000001</v>
      </c>
      <c r="AH12" s="3">
        <f t="shared" si="87"/>
        <v>14915.7952</v>
      </c>
      <c r="AI12" s="3"/>
      <c r="AJ12" s="3">
        <f t="shared" ref="AJ12" si="88">AJ10+AJ11</f>
        <v>2399</v>
      </c>
      <c r="AK12" s="3">
        <f t="shared" ref="AK12:AL12" si="89">AK10+AK11</f>
        <v>3145</v>
      </c>
      <c r="AL12" s="3">
        <f t="shared" si="89"/>
        <v>3745</v>
      </c>
      <c r="AM12" s="3">
        <f t="shared" ref="AM12:AN12" si="90">AM10+AM11</f>
        <v>4870</v>
      </c>
      <c r="AN12" s="3">
        <f t="shared" si="90"/>
        <v>5482</v>
      </c>
      <c r="AO12" s="3">
        <f t="shared" ref="AO12:AP12" si="91">AO10+AO11</f>
        <v>7299</v>
      </c>
      <c r="AP12" s="3">
        <f t="shared" si="91"/>
        <v>10028</v>
      </c>
      <c r="AQ12" s="3">
        <f t="shared" ref="AQ12:AR12" si="92">AQ10+AQ11</f>
        <v>13421</v>
      </c>
      <c r="AR12" s="3">
        <f t="shared" si="92"/>
        <v>15305</v>
      </c>
      <c r="AS12" s="3">
        <f t="shared" ref="AS12:AT12" si="93">AS10+AS11</f>
        <v>18034</v>
      </c>
      <c r="AT12" s="3">
        <f t="shared" si="93"/>
        <v>22396</v>
      </c>
      <c r="AU12" s="3">
        <f t="shared" ref="AU12:AV12" si="94">AU10+AU11</f>
        <v>24239</v>
      </c>
      <c r="AV12" s="3">
        <f t="shared" si="94"/>
        <v>26842</v>
      </c>
      <c r="AW12" s="3">
        <f t="shared" ref="AW12:BC12" si="95">AW10+AW11</f>
        <v>30941</v>
      </c>
      <c r="AX12" s="3">
        <f t="shared" si="95"/>
        <v>34462</v>
      </c>
      <c r="AY12" s="3">
        <f t="shared" si="95"/>
        <v>38668</v>
      </c>
      <c r="AZ12" s="3">
        <f t="shared" si="95"/>
        <v>43887</v>
      </c>
      <c r="BA12" s="3">
        <f t="shared" si="95"/>
        <v>51345</v>
      </c>
      <c r="BB12" s="3">
        <f t="shared" si="95"/>
        <v>54847</v>
      </c>
      <c r="BC12" s="3">
        <f t="shared" si="95"/>
        <v>57467</v>
      </c>
      <c r="BD12" s="3">
        <f t="shared" ref="BD12:BI12" si="96">BD10+BD11</f>
        <v>59685.867200000008</v>
      </c>
      <c r="BE12" s="3">
        <f t="shared" si="96"/>
        <v>61532.628944000004</v>
      </c>
      <c r="BF12" s="3">
        <f t="shared" si="96"/>
        <v>63442.447698880002</v>
      </c>
      <c r="BG12" s="3">
        <f t="shared" si="96"/>
        <v>65064.463064377604</v>
      </c>
      <c r="BH12" s="3">
        <f t="shared" si="96"/>
        <v>66729.513729530765</v>
      </c>
      <c r="BI12" s="3">
        <f t="shared" si="96"/>
        <v>68438.778250102943</v>
      </c>
      <c r="BJ12" s="3">
        <f t="shared" ref="BJ12:BL12" si="97">BJ10+BJ11</f>
        <v>69807.553815104999</v>
      </c>
      <c r="BK12" s="3">
        <f t="shared" si="97"/>
        <v>70899.262116084283</v>
      </c>
      <c r="BL12" s="3">
        <f t="shared" si="97"/>
        <v>72009.760155329932</v>
      </c>
      <c r="BM12" s="3">
        <f t="shared" ref="BM12:BN12" si="98">BM10+BM11</f>
        <v>73139.393283329729</v>
      </c>
      <c r="BN12" s="3">
        <f t="shared" si="98"/>
        <v>74288.513453138454</v>
      </c>
    </row>
    <row r="13" spans="2:66" s="6" customFormat="1" x14ac:dyDescent="0.3">
      <c r="B13" s="6" t="s">
        <v>32</v>
      </c>
      <c r="C13" s="9">
        <f t="shared" ref="C13:N13" si="99">C9-C12</f>
        <v>26274</v>
      </c>
      <c r="D13" s="9">
        <f t="shared" si="99"/>
        <v>15894</v>
      </c>
      <c r="E13" s="9">
        <f t="shared" si="99"/>
        <v>12612</v>
      </c>
      <c r="F13" s="9">
        <f t="shared" si="99"/>
        <v>16118</v>
      </c>
      <c r="G13" s="9">
        <f t="shared" si="99"/>
        <v>23346</v>
      </c>
      <c r="H13" s="9">
        <f t="shared" si="99"/>
        <v>13415</v>
      </c>
      <c r="I13" s="9">
        <f t="shared" si="99"/>
        <v>11544</v>
      </c>
      <c r="J13" s="9">
        <f t="shared" si="99"/>
        <v>15625</v>
      </c>
      <c r="K13" s="9">
        <f t="shared" si="99"/>
        <v>25569</v>
      </c>
      <c r="L13" s="9">
        <f t="shared" si="99"/>
        <v>12853</v>
      </c>
      <c r="M13" s="9">
        <f t="shared" si="99"/>
        <v>13091</v>
      </c>
      <c r="N13" s="9">
        <f t="shared" si="99"/>
        <v>14775</v>
      </c>
      <c r="O13" s="9">
        <f t="shared" ref="O13:S13" si="100">O9-O12</f>
        <v>33534</v>
      </c>
      <c r="P13" s="9">
        <f t="shared" si="100"/>
        <v>27503</v>
      </c>
      <c r="Q13" s="9">
        <f t="shared" ref="Q13:R13" si="101">Q9-Q12</f>
        <v>24126</v>
      </c>
      <c r="R13" s="9">
        <f t="shared" si="101"/>
        <v>23786</v>
      </c>
      <c r="S13" s="9">
        <f t="shared" si="100"/>
        <v>41488</v>
      </c>
      <c r="T13" s="9">
        <f t="shared" ref="T13" si="102">T9-T12</f>
        <v>29979</v>
      </c>
      <c r="U13" s="9">
        <f t="shared" ref="U13" si="103">U9-U12</f>
        <v>23076</v>
      </c>
      <c r="V13" s="9">
        <f t="shared" ref="V13" si="104">V9-V12</f>
        <v>24894</v>
      </c>
      <c r="W13" s="9">
        <f t="shared" ref="W13:X13" si="105">W9-W12</f>
        <v>36016</v>
      </c>
      <c r="X13" s="9">
        <f t="shared" si="105"/>
        <v>28318</v>
      </c>
      <c r="Y13" s="9">
        <f t="shared" ref="Y13:Z13" si="106">Y9-Y12</f>
        <v>22998</v>
      </c>
      <c r="Z13" s="9">
        <f t="shared" si="106"/>
        <v>26969</v>
      </c>
      <c r="AA13" s="9">
        <f t="shared" ref="AA13:AD13" si="107">AA9-AA12</f>
        <v>40373</v>
      </c>
      <c r="AB13" s="9">
        <f t="shared" si="107"/>
        <v>27900</v>
      </c>
      <c r="AC13" s="9">
        <f t="shared" si="107"/>
        <v>25352</v>
      </c>
      <c r="AD13" s="9">
        <f t="shared" si="107"/>
        <v>29591</v>
      </c>
      <c r="AE13" s="9">
        <f t="shared" ref="AE13:AH13" si="108">AE9-AE12</f>
        <v>42832</v>
      </c>
      <c r="AF13" s="9">
        <f t="shared" si="108"/>
        <v>30771.44360000001</v>
      </c>
      <c r="AG13" s="9">
        <f t="shared" si="108"/>
        <v>27777.119199999994</v>
      </c>
      <c r="AH13" s="9">
        <f t="shared" si="108"/>
        <v>31374.682399999991</v>
      </c>
      <c r="AI13" s="9"/>
      <c r="AJ13" s="9">
        <f t="shared" ref="AJ13" si="109">AJ9-AJ12</f>
        <v>1643</v>
      </c>
      <c r="AK13" s="9">
        <f t="shared" ref="AK13:AL13" si="110">AK9-AK12</f>
        <v>2453</v>
      </c>
      <c r="AL13" s="9">
        <f t="shared" si="110"/>
        <v>4409</v>
      </c>
      <c r="AM13" s="9">
        <f t="shared" ref="AM13:AN13" si="111">AM9-AM12</f>
        <v>8327</v>
      </c>
      <c r="AN13" s="9">
        <f t="shared" si="111"/>
        <v>11740</v>
      </c>
      <c r="AO13" s="9">
        <f t="shared" ref="AO13:AP13" si="112">AO9-AO12</f>
        <v>18385</v>
      </c>
      <c r="AP13" s="9">
        <f t="shared" si="112"/>
        <v>33790</v>
      </c>
      <c r="AQ13" s="9">
        <f t="shared" ref="AQ13:AR13" si="113">AQ9-AQ12</f>
        <v>55241</v>
      </c>
      <c r="AR13" s="9">
        <f t="shared" si="113"/>
        <v>48999</v>
      </c>
      <c r="AS13" s="9">
        <f t="shared" ref="AS13:AT13" si="114">AS9-AS12</f>
        <v>52503</v>
      </c>
      <c r="AT13" s="9">
        <f t="shared" si="114"/>
        <v>71230</v>
      </c>
      <c r="AU13" s="9">
        <f t="shared" ref="AU13:AV13" si="115">AU9-AU12</f>
        <v>60024</v>
      </c>
      <c r="AV13" s="9">
        <f t="shared" si="115"/>
        <v>61344</v>
      </c>
      <c r="AW13" s="9">
        <f t="shared" ref="AW13:BC13" si="116">AW9-AW12</f>
        <v>70898</v>
      </c>
      <c r="AX13" s="9">
        <f t="shared" si="116"/>
        <v>63930</v>
      </c>
      <c r="AY13" s="9">
        <f t="shared" si="116"/>
        <v>66288</v>
      </c>
      <c r="AZ13" s="9">
        <f t="shared" si="116"/>
        <v>108949</v>
      </c>
      <c r="BA13" s="9">
        <f t="shared" si="116"/>
        <v>119437</v>
      </c>
      <c r="BB13" s="9">
        <f t="shared" si="116"/>
        <v>114301</v>
      </c>
      <c r="BC13" s="9">
        <f t="shared" si="116"/>
        <v>123216</v>
      </c>
      <c r="BD13" s="9">
        <f t="shared" ref="BD13:BI13" si="117">BD9-BD12</f>
        <v>132755.2452</v>
      </c>
      <c r="BE13" s="9">
        <f t="shared" si="117"/>
        <v>139887.54396800001</v>
      </c>
      <c r="BF13" s="9">
        <f t="shared" si="117"/>
        <v>145342.99993744004</v>
      </c>
      <c r="BG13" s="9">
        <f t="shared" si="117"/>
        <v>150580.21246902566</v>
      </c>
      <c r="BH13" s="9">
        <f t="shared" si="117"/>
        <v>155117.73321997712</v>
      </c>
      <c r="BI13" s="9">
        <f t="shared" si="117"/>
        <v>159875.37206270907</v>
      </c>
      <c r="BJ13" s="9">
        <f t="shared" ref="BJ13:BL13" si="118">BJ9-BJ12</f>
        <v>164135.37732970977</v>
      </c>
      <c r="BK13" s="9">
        <f t="shared" si="118"/>
        <v>168862.56324220827</v>
      </c>
      <c r="BL13" s="9">
        <f t="shared" si="118"/>
        <v>172562.11245528609</v>
      </c>
      <c r="BM13" s="9">
        <f t="shared" ref="BM13:BN13" si="119">BM9-BM12</f>
        <v>175120.59898774384</v>
      </c>
      <c r="BN13" s="9">
        <f t="shared" si="119"/>
        <v>177721.32769368426</v>
      </c>
    </row>
    <row r="14" spans="2:66" x14ac:dyDescent="0.3">
      <c r="B14" t="s">
        <v>33</v>
      </c>
      <c r="C14" s="3">
        <v>-756</v>
      </c>
      <c r="D14" s="3">
        <v>-274</v>
      </c>
      <c r="E14" s="3">
        <v>-672</v>
      </c>
      <c r="F14" s="3">
        <v>-303</v>
      </c>
      <c r="G14" s="3">
        <v>-560</v>
      </c>
      <c r="H14" s="3">
        <v>-378</v>
      </c>
      <c r="I14" s="3">
        <v>-367</v>
      </c>
      <c r="J14" s="3">
        <v>-502</v>
      </c>
      <c r="K14" s="3">
        <v>-349</v>
      </c>
      <c r="L14" s="3">
        <v>-282</v>
      </c>
      <c r="M14" s="3">
        <v>-46</v>
      </c>
      <c r="N14" s="3">
        <v>-126</v>
      </c>
      <c r="O14" s="3">
        <v>-45</v>
      </c>
      <c r="P14" s="3">
        <v>-508</v>
      </c>
      <c r="Q14" s="3">
        <v>-243</v>
      </c>
      <c r="R14" s="3">
        <v>538</v>
      </c>
      <c r="S14" s="3">
        <v>247</v>
      </c>
      <c r="T14" s="3">
        <v>-160</v>
      </c>
      <c r="U14" s="3">
        <v>10</v>
      </c>
      <c r="V14" s="3">
        <v>237</v>
      </c>
      <c r="W14" s="3">
        <v>393</v>
      </c>
      <c r="X14" s="3">
        <v>-64</v>
      </c>
      <c r="Y14" s="3">
        <v>265</v>
      </c>
      <c r="Z14" s="3">
        <v>-29</v>
      </c>
      <c r="AA14" s="3">
        <v>50</v>
      </c>
      <c r="AB14" s="3">
        <v>-158</v>
      </c>
      <c r="AC14" s="3">
        <v>-142</v>
      </c>
      <c r="AD14" s="3">
        <v>-19</v>
      </c>
      <c r="AE14" s="3">
        <v>248</v>
      </c>
      <c r="AF14" s="3">
        <v>0</v>
      </c>
      <c r="AG14" s="3">
        <v>0</v>
      </c>
      <c r="AH14" s="3">
        <v>0</v>
      </c>
      <c r="AI14" s="3"/>
      <c r="AJ14" s="3">
        <v>-165</v>
      </c>
      <c r="AK14" s="3">
        <v>-365</v>
      </c>
      <c r="AL14" s="3">
        <v>-599</v>
      </c>
      <c r="AM14" s="3">
        <v>-620</v>
      </c>
      <c r="AN14" s="3">
        <v>-326</v>
      </c>
      <c r="AO14" s="3">
        <v>-155</v>
      </c>
      <c r="AP14" s="3">
        <v>-415</v>
      </c>
      <c r="AQ14" s="3">
        <v>-522</v>
      </c>
      <c r="AR14" s="3">
        <v>-1156</v>
      </c>
      <c r="AS14" s="3">
        <v>-980</v>
      </c>
      <c r="AT14" s="3">
        <v>-1285</v>
      </c>
      <c r="AU14" s="3">
        <v>-1348</v>
      </c>
      <c r="AV14" s="3">
        <v>-2745</v>
      </c>
      <c r="AW14" s="3">
        <f>SUM(C14:F14)</f>
        <v>-2005</v>
      </c>
      <c r="AX14" s="3">
        <f>SUM(G14:J14)</f>
        <v>-1807</v>
      </c>
      <c r="AY14" s="3">
        <f>SUM(K14:N14)</f>
        <v>-803</v>
      </c>
      <c r="AZ14" s="3">
        <f>SUM(O14:R14)</f>
        <v>-258</v>
      </c>
      <c r="BA14" s="3">
        <f>SUM(S14:V14)</f>
        <v>334</v>
      </c>
      <c r="BB14" s="3">
        <f>SUM(W14:Z14)</f>
        <v>565</v>
      </c>
      <c r="BC14" s="3">
        <f>SUM(AA14:AD14)</f>
        <v>-269</v>
      </c>
      <c r="BD14" s="3">
        <f>SUM(AE14:AH14)</f>
        <v>248</v>
      </c>
      <c r="BE14" s="3">
        <f>BD17*0.005</f>
        <v>559.32762983999999</v>
      </c>
      <c r="BF14" s="3">
        <f t="shared" ref="BF14:BN14" si="120">BE17*0.005</f>
        <v>585.17850862027205</v>
      </c>
      <c r="BG14" s="3">
        <f t="shared" si="120"/>
        <v>607.98285000104295</v>
      </c>
      <c r="BH14" s="3">
        <f t="shared" si="120"/>
        <v>629.88336439990337</v>
      </c>
      <c r="BI14" s="3">
        <f t="shared" si="120"/>
        <v>648.84896939342434</v>
      </c>
      <c r="BJ14" s="3">
        <f t="shared" si="120"/>
        <v>668.75139699192573</v>
      </c>
      <c r="BK14" s="3">
        <f t="shared" si="120"/>
        <v>686.55982891741496</v>
      </c>
      <c r="BL14" s="3">
        <f t="shared" si="120"/>
        <v>706.33921433582157</v>
      </c>
      <c r="BM14" s="3">
        <f t="shared" si="120"/>
        <v>721.79424761199107</v>
      </c>
      <c r="BN14" s="3">
        <f t="shared" si="120"/>
        <v>732.47497990855379</v>
      </c>
    </row>
    <row r="15" spans="2:66" s="6" customFormat="1" x14ac:dyDescent="0.3">
      <c r="B15" s="6" t="s">
        <v>34</v>
      </c>
      <c r="C15" s="9">
        <f t="shared" ref="C15:N15" si="121">C13-C14</f>
        <v>27030</v>
      </c>
      <c r="D15" s="9">
        <f t="shared" si="121"/>
        <v>16168</v>
      </c>
      <c r="E15" s="9">
        <f t="shared" si="121"/>
        <v>13284</v>
      </c>
      <c r="F15" s="9">
        <f t="shared" si="121"/>
        <v>16421</v>
      </c>
      <c r="G15" s="9">
        <f t="shared" si="121"/>
        <v>23906</v>
      </c>
      <c r="H15" s="9">
        <f t="shared" si="121"/>
        <v>13793</v>
      </c>
      <c r="I15" s="9">
        <f t="shared" si="121"/>
        <v>11911</v>
      </c>
      <c r="J15" s="9">
        <f t="shared" si="121"/>
        <v>16127</v>
      </c>
      <c r="K15" s="9">
        <f t="shared" si="121"/>
        <v>25918</v>
      </c>
      <c r="L15" s="9">
        <f t="shared" si="121"/>
        <v>13135</v>
      </c>
      <c r="M15" s="9">
        <f t="shared" si="121"/>
        <v>13137</v>
      </c>
      <c r="N15" s="9">
        <f t="shared" si="121"/>
        <v>14901</v>
      </c>
      <c r="O15" s="9">
        <f t="shared" ref="O15:S15" si="122">O13-O14</f>
        <v>33579</v>
      </c>
      <c r="P15" s="9">
        <f t="shared" si="122"/>
        <v>28011</v>
      </c>
      <c r="Q15" s="9">
        <f t="shared" ref="Q15:R15" si="123">Q13-Q14</f>
        <v>24369</v>
      </c>
      <c r="R15" s="9">
        <f t="shared" si="123"/>
        <v>23248</v>
      </c>
      <c r="S15" s="9">
        <f t="shared" si="122"/>
        <v>41241</v>
      </c>
      <c r="T15" s="9">
        <f t="shared" ref="T15" si="124">T13-T14</f>
        <v>30139</v>
      </c>
      <c r="U15" s="9">
        <f t="shared" ref="U15" si="125">U13-U14</f>
        <v>23066</v>
      </c>
      <c r="V15" s="9">
        <f t="shared" ref="V15" si="126">V13-V14</f>
        <v>24657</v>
      </c>
      <c r="W15" s="9">
        <f t="shared" ref="W15:X15" si="127">W13-W14</f>
        <v>35623</v>
      </c>
      <c r="X15" s="9">
        <f t="shared" si="127"/>
        <v>28382</v>
      </c>
      <c r="Y15" s="9">
        <f t="shared" ref="Y15:Z15" si="128">Y13-Y14</f>
        <v>22733</v>
      </c>
      <c r="Z15" s="9">
        <f t="shared" si="128"/>
        <v>26998</v>
      </c>
      <c r="AA15" s="9">
        <f t="shared" ref="AA15:AH15" si="129">AA13-AA14</f>
        <v>40323</v>
      </c>
      <c r="AB15" s="9">
        <f t="shared" si="129"/>
        <v>28058</v>
      </c>
      <c r="AC15" s="9">
        <f t="shared" si="129"/>
        <v>25494</v>
      </c>
      <c r="AD15" s="9">
        <f t="shared" si="129"/>
        <v>29610</v>
      </c>
      <c r="AE15" s="9">
        <f t="shared" si="129"/>
        <v>42584</v>
      </c>
      <c r="AF15" s="9">
        <f t="shared" si="129"/>
        <v>30771.44360000001</v>
      </c>
      <c r="AG15" s="9">
        <f t="shared" si="129"/>
        <v>27777.119199999994</v>
      </c>
      <c r="AH15" s="9">
        <f t="shared" si="129"/>
        <v>31374.682399999991</v>
      </c>
      <c r="AI15" s="9"/>
      <c r="AJ15" s="9">
        <f t="shared" ref="AJ15" si="130">AJ13-AJ14</f>
        <v>1808</v>
      </c>
      <c r="AK15" s="9">
        <f t="shared" ref="AK15:AL15" si="131">AK13-AK14</f>
        <v>2818</v>
      </c>
      <c r="AL15" s="9">
        <f t="shared" si="131"/>
        <v>5008</v>
      </c>
      <c r="AM15" s="9">
        <f t="shared" ref="AM15:AN15" si="132">AM13-AM14</f>
        <v>8947</v>
      </c>
      <c r="AN15" s="9">
        <f t="shared" si="132"/>
        <v>12066</v>
      </c>
      <c r="AO15" s="9">
        <f t="shared" ref="AO15:AP15" si="133">AO13-AO14</f>
        <v>18540</v>
      </c>
      <c r="AP15" s="9">
        <f t="shared" si="133"/>
        <v>34205</v>
      </c>
      <c r="AQ15" s="9">
        <f t="shared" ref="AQ15:AR15" si="134">AQ13-AQ14</f>
        <v>55763</v>
      </c>
      <c r="AR15" s="9">
        <f t="shared" si="134"/>
        <v>50155</v>
      </c>
      <c r="AS15" s="9">
        <f t="shared" ref="AS15:AT15" si="135">AS13-AS14</f>
        <v>53483</v>
      </c>
      <c r="AT15" s="9">
        <f t="shared" si="135"/>
        <v>72515</v>
      </c>
      <c r="AU15" s="9">
        <f t="shared" ref="AU15:AV15" si="136">AU13-AU14</f>
        <v>61372</v>
      </c>
      <c r="AV15" s="9">
        <f t="shared" si="136"/>
        <v>64089</v>
      </c>
      <c r="AW15" s="9">
        <f t="shared" ref="AW15:BC15" si="137">AW13-AW14</f>
        <v>72903</v>
      </c>
      <c r="AX15" s="9">
        <f t="shared" si="137"/>
        <v>65737</v>
      </c>
      <c r="AY15" s="9">
        <f t="shared" si="137"/>
        <v>67091</v>
      </c>
      <c r="AZ15" s="9">
        <f t="shared" si="137"/>
        <v>109207</v>
      </c>
      <c r="BA15" s="9">
        <f t="shared" si="137"/>
        <v>119103</v>
      </c>
      <c r="BB15" s="9">
        <f t="shared" si="137"/>
        <v>113736</v>
      </c>
      <c r="BC15" s="9">
        <f t="shared" si="137"/>
        <v>123485</v>
      </c>
      <c r="BD15" s="9">
        <f t="shared" ref="BD15:BI15" si="138">BD13-BD14</f>
        <v>132507.2452</v>
      </c>
      <c r="BE15" s="9">
        <f t="shared" si="138"/>
        <v>139328.21633816001</v>
      </c>
      <c r="BF15" s="9">
        <f t="shared" si="138"/>
        <v>144757.82142881976</v>
      </c>
      <c r="BG15" s="9">
        <f t="shared" si="138"/>
        <v>149972.22961902461</v>
      </c>
      <c r="BH15" s="9">
        <f t="shared" si="138"/>
        <v>154487.84985557722</v>
      </c>
      <c r="BI15" s="9">
        <f t="shared" si="138"/>
        <v>159226.52309331566</v>
      </c>
      <c r="BJ15" s="9">
        <f t="shared" ref="BJ15:BL15" si="139">BJ13-BJ14</f>
        <v>163466.62593271784</v>
      </c>
      <c r="BK15" s="9">
        <f t="shared" si="139"/>
        <v>168176.00341329086</v>
      </c>
      <c r="BL15" s="9">
        <f t="shared" si="139"/>
        <v>171855.77324095025</v>
      </c>
      <c r="BM15" s="9">
        <f t="shared" ref="BM15:BN15" si="140">BM13-BM14</f>
        <v>174398.80474013186</v>
      </c>
      <c r="BN15" s="9">
        <f t="shared" si="140"/>
        <v>176988.8527137757</v>
      </c>
    </row>
    <row r="16" spans="2:66" x14ac:dyDescent="0.3">
      <c r="B16" t="s">
        <v>35</v>
      </c>
      <c r="C16" s="3">
        <v>6965</v>
      </c>
      <c r="D16" s="3">
        <v>2346</v>
      </c>
      <c r="E16" s="3">
        <v>1765</v>
      </c>
      <c r="F16" s="3">
        <v>2296</v>
      </c>
      <c r="G16" s="3">
        <v>3941</v>
      </c>
      <c r="H16" s="3">
        <v>2232</v>
      </c>
      <c r="I16" s="3">
        <v>1867</v>
      </c>
      <c r="J16" s="3">
        <v>2441</v>
      </c>
      <c r="K16" s="3">
        <v>3682</v>
      </c>
      <c r="L16" s="3">
        <v>1886</v>
      </c>
      <c r="M16" s="3">
        <v>1884</v>
      </c>
      <c r="N16" s="3">
        <v>2228</v>
      </c>
      <c r="O16" s="3">
        <v>4824</v>
      </c>
      <c r="P16" s="3">
        <v>4381</v>
      </c>
      <c r="Q16" s="3">
        <v>2625</v>
      </c>
      <c r="R16" s="3">
        <v>2697</v>
      </c>
      <c r="S16" s="3">
        <v>6611</v>
      </c>
      <c r="T16" s="3">
        <v>5129</v>
      </c>
      <c r="U16" s="3">
        <v>3624</v>
      </c>
      <c r="V16" s="3">
        <v>3936</v>
      </c>
      <c r="W16" s="3">
        <v>5625</v>
      </c>
      <c r="X16" s="3">
        <v>4222</v>
      </c>
      <c r="Y16" s="3">
        <v>2852</v>
      </c>
      <c r="Z16" s="3">
        <v>4042</v>
      </c>
      <c r="AA16" s="3">
        <v>6407</v>
      </c>
      <c r="AB16" s="3">
        <v>4422</v>
      </c>
      <c r="AC16" s="3">
        <v>4046</v>
      </c>
      <c r="AD16" s="3">
        <v>14874</v>
      </c>
      <c r="AE16" s="3">
        <v>6254</v>
      </c>
      <c r="AF16" s="3">
        <f>AF15*0.16</f>
        <v>4923.4309760000015</v>
      </c>
      <c r="AG16" s="3">
        <f t="shared" ref="AG16:AH16" si="141">AG15*0.16</f>
        <v>4444.3390719999989</v>
      </c>
      <c r="AH16" s="3">
        <f t="shared" si="141"/>
        <v>5019.9491839999982</v>
      </c>
      <c r="AI16" s="3"/>
      <c r="AJ16" s="3">
        <v>480</v>
      </c>
      <c r="AK16" s="3">
        <v>829</v>
      </c>
      <c r="AL16" s="3">
        <v>1512</v>
      </c>
      <c r="AM16" s="3">
        <v>2828</v>
      </c>
      <c r="AN16" s="3">
        <v>3831</v>
      </c>
      <c r="AO16" s="3">
        <v>4527</v>
      </c>
      <c r="AP16" s="3">
        <v>8283</v>
      </c>
      <c r="AQ16" s="3">
        <v>14030</v>
      </c>
      <c r="AR16" s="3">
        <v>13118</v>
      </c>
      <c r="AS16" s="3">
        <v>13973</v>
      </c>
      <c r="AT16" s="3">
        <v>19121</v>
      </c>
      <c r="AU16" s="3">
        <v>15685</v>
      </c>
      <c r="AV16" s="3">
        <v>15738</v>
      </c>
      <c r="AW16" s="3">
        <f>SUM(C16:F16)</f>
        <v>13372</v>
      </c>
      <c r="AX16" s="3">
        <f>SUM(G16:J16)</f>
        <v>10481</v>
      </c>
      <c r="AY16" s="3">
        <f>SUM(K16:N16)</f>
        <v>9680</v>
      </c>
      <c r="AZ16" s="3">
        <f>SUM(O16:R16)</f>
        <v>14527</v>
      </c>
      <c r="BA16" s="3">
        <f>SUM(S16:V16)</f>
        <v>19300</v>
      </c>
      <c r="BB16" s="3">
        <f>SUM(W16:Z16)</f>
        <v>16741</v>
      </c>
      <c r="BC16" s="3">
        <f>SUM(AA16:AD16)</f>
        <v>29749</v>
      </c>
      <c r="BD16" s="3">
        <f>SUM(AE16:AH16)</f>
        <v>20641.719231999999</v>
      </c>
      <c r="BE16" s="3">
        <f t="shared" ref="BE16:BL16" si="142">BE15*0.16</f>
        <v>22292.514614105603</v>
      </c>
      <c r="BF16" s="3">
        <f t="shared" si="142"/>
        <v>23161.251428611162</v>
      </c>
      <c r="BG16" s="3">
        <f t="shared" si="142"/>
        <v>23995.556739043939</v>
      </c>
      <c r="BH16" s="3">
        <f t="shared" si="142"/>
        <v>24718.055976892356</v>
      </c>
      <c r="BI16" s="3">
        <f t="shared" si="142"/>
        <v>25476.243694930505</v>
      </c>
      <c r="BJ16" s="3">
        <f t="shared" si="142"/>
        <v>26154.660149234856</v>
      </c>
      <c r="BK16" s="3">
        <f t="shared" si="142"/>
        <v>26908.160546126539</v>
      </c>
      <c r="BL16" s="3">
        <f t="shared" si="142"/>
        <v>27496.92371855204</v>
      </c>
      <c r="BM16" s="3">
        <f t="shared" ref="BM16:BN16" si="143">BM15*0.16</f>
        <v>27903.808758421099</v>
      </c>
      <c r="BN16" s="3">
        <f t="shared" si="143"/>
        <v>28318.216434204114</v>
      </c>
    </row>
    <row r="17" spans="2:179" s="6" customFormat="1" x14ac:dyDescent="0.3">
      <c r="B17" s="6" t="s">
        <v>36</v>
      </c>
      <c r="C17" s="9">
        <f t="shared" ref="C17:N17" si="144">C15-C16</f>
        <v>20065</v>
      </c>
      <c r="D17" s="9">
        <f t="shared" si="144"/>
        <v>13822</v>
      </c>
      <c r="E17" s="9">
        <f t="shared" si="144"/>
        <v>11519</v>
      </c>
      <c r="F17" s="9">
        <f t="shared" si="144"/>
        <v>14125</v>
      </c>
      <c r="G17" s="9">
        <f t="shared" si="144"/>
        <v>19965</v>
      </c>
      <c r="H17" s="9">
        <f t="shared" si="144"/>
        <v>11561</v>
      </c>
      <c r="I17" s="9">
        <f t="shared" si="144"/>
        <v>10044</v>
      </c>
      <c r="J17" s="9">
        <f t="shared" si="144"/>
        <v>13686</v>
      </c>
      <c r="K17" s="9">
        <f t="shared" si="144"/>
        <v>22236</v>
      </c>
      <c r="L17" s="9">
        <f t="shared" si="144"/>
        <v>11249</v>
      </c>
      <c r="M17" s="9">
        <f t="shared" si="144"/>
        <v>11253</v>
      </c>
      <c r="N17" s="9">
        <f t="shared" si="144"/>
        <v>12673</v>
      </c>
      <c r="O17" s="9">
        <f t="shared" ref="O17:S17" si="145">O15-O16</f>
        <v>28755</v>
      </c>
      <c r="P17" s="9">
        <f t="shared" si="145"/>
        <v>23630</v>
      </c>
      <c r="Q17" s="9">
        <f t="shared" ref="Q17:R17" si="146">Q15-Q16</f>
        <v>21744</v>
      </c>
      <c r="R17" s="9">
        <f t="shared" si="146"/>
        <v>20551</v>
      </c>
      <c r="S17" s="9">
        <f t="shared" si="145"/>
        <v>34630</v>
      </c>
      <c r="T17" s="9">
        <f t="shared" ref="T17" si="147">T15-T16</f>
        <v>25010</v>
      </c>
      <c r="U17" s="9">
        <f t="shared" ref="U17" si="148">U15-U16</f>
        <v>19442</v>
      </c>
      <c r="V17" s="9">
        <f t="shared" ref="V17" si="149">V15-V16</f>
        <v>20721</v>
      </c>
      <c r="W17" s="9">
        <f t="shared" ref="W17:X17" si="150">W15-W16</f>
        <v>29998</v>
      </c>
      <c r="X17" s="9">
        <f t="shared" si="150"/>
        <v>24160</v>
      </c>
      <c r="Y17" s="9">
        <f t="shared" ref="Y17:Z17" si="151">Y15-Y16</f>
        <v>19881</v>
      </c>
      <c r="Z17" s="9">
        <f t="shared" si="151"/>
        <v>22956</v>
      </c>
      <c r="AA17" s="9">
        <f t="shared" ref="AA17:AD17" si="152">AA15-AA16</f>
        <v>33916</v>
      </c>
      <c r="AB17" s="9">
        <f t="shared" si="152"/>
        <v>23636</v>
      </c>
      <c r="AC17" s="9">
        <f t="shared" si="152"/>
        <v>21448</v>
      </c>
      <c r="AD17" s="9">
        <f t="shared" si="152"/>
        <v>14736</v>
      </c>
      <c r="AE17" s="9">
        <f t="shared" ref="AE17:AH17" si="153">AE15-AE16</f>
        <v>36330</v>
      </c>
      <c r="AF17" s="9">
        <f t="shared" si="153"/>
        <v>25848.01262400001</v>
      </c>
      <c r="AG17" s="9">
        <f t="shared" si="153"/>
        <v>23332.780127999995</v>
      </c>
      <c r="AH17" s="9">
        <f t="shared" si="153"/>
        <v>26354.733215999993</v>
      </c>
      <c r="AI17" s="9"/>
      <c r="AJ17" s="9">
        <f t="shared" ref="AJ17:AY17" si="154">AJ15-AJ16</f>
        <v>1328</v>
      </c>
      <c r="AK17" s="9">
        <f t="shared" si="154"/>
        <v>1989</v>
      </c>
      <c r="AL17" s="9">
        <f t="shared" si="154"/>
        <v>3496</v>
      </c>
      <c r="AM17" s="9">
        <f t="shared" si="154"/>
        <v>6119</v>
      </c>
      <c r="AN17" s="9">
        <f t="shared" si="154"/>
        <v>8235</v>
      </c>
      <c r="AO17" s="9">
        <f t="shared" si="154"/>
        <v>14013</v>
      </c>
      <c r="AP17" s="9">
        <f t="shared" si="154"/>
        <v>25922</v>
      </c>
      <c r="AQ17" s="9">
        <f t="shared" si="154"/>
        <v>41733</v>
      </c>
      <c r="AR17" s="9">
        <f t="shared" si="154"/>
        <v>37037</v>
      </c>
      <c r="AS17" s="9">
        <f t="shared" si="154"/>
        <v>39510</v>
      </c>
      <c r="AT17" s="9">
        <f t="shared" si="154"/>
        <v>53394</v>
      </c>
      <c r="AU17" s="9">
        <f t="shared" si="154"/>
        <v>45687</v>
      </c>
      <c r="AV17" s="9">
        <f t="shared" si="154"/>
        <v>48351</v>
      </c>
      <c r="AW17" s="9">
        <f t="shared" si="154"/>
        <v>59531</v>
      </c>
      <c r="AX17" s="9">
        <f t="shared" si="154"/>
        <v>55256</v>
      </c>
      <c r="AY17" s="9">
        <f t="shared" si="154"/>
        <v>57411</v>
      </c>
      <c r="AZ17" s="9">
        <f t="shared" ref="AZ17:BI17" si="155">AZ15-AZ16</f>
        <v>94680</v>
      </c>
      <c r="BA17" s="9">
        <f t="shared" ref="BA17:BB17" si="156">BA15-BA16</f>
        <v>99803</v>
      </c>
      <c r="BB17" s="9">
        <f t="shared" si="156"/>
        <v>96995</v>
      </c>
      <c r="BC17" s="9">
        <f t="shared" ref="BC17" si="157">BC15-BC16</f>
        <v>93736</v>
      </c>
      <c r="BD17" s="9">
        <f t="shared" si="155"/>
        <v>111865.525968</v>
      </c>
      <c r="BE17" s="9">
        <f t="shared" si="155"/>
        <v>117035.70172405441</v>
      </c>
      <c r="BF17" s="9">
        <f t="shared" si="155"/>
        <v>121596.57000020859</v>
      </c>
      <c r="BG17" s="9">
        <f t="shared" si="155"/>
        <v>125976.67287998067</v>
      </c>
      <c r="BH17" s="9">
        <f t="shared" si="155"/>
        <v>129769.79387868487</v>
      </c>
      <c r="BI17" s="9">
        <f t="shared" si="155"/>
        <v>133750.27939838514</v>
      </c>
      <c r="BJ17" s="9">
        <f t="shared" ref="BJ17:BL17" si="158">BJ15-BJ16</f>
        <v>137311.965783483</v>
      </c>
      <c r="BK17" s="9">
        <f t="shared" si="158"/>
        <v>141267.84286716432</v>
      </c>
      <c r="BL17" s="9">
        <f t="shared" si="158"/>
        <v>144358.8495223982</v>
      </c>
      <c r="BM17" s="9">
        <f t="shared" ref="BM17:BN17" si="159">BM15-BM16</f>
        <v>146494.99598171076</v>
      </c>
      <c r="BN17" s="9">
        <f t="shared" si="159"/>
        <v>148670.6362795716</v>
      </c>
      <c r="BO17" s="6">
        <f>BN17*(1+$BQ$29)</f>
        <v>147183.92991677587</v>
      </c>
      <c r="BP17" s="6">
        <f t="shared" ref="BP17:CT17" si="160">BM17*(1+$BQ$29)</f>
        <v>145030.04602189365</v>
      </c>
      <c r="BQ17" s="6">
        <f t="shared" si="160"/>
        <v>147183.92991677587</v>
      </c>
      <c r="BR17" s="6">
        <f t="shared" si="160"/>
        <v>145712.0906176081</v>
      </c>
      <c r="BS17" s="6">
        <f t="shared" si="160"/>
        <v>143579.7455616747</v>
      </c>
      <c r="BT17" s="6">
        <f t="shared" si="160"/>
        <v>145712.0906176081</v>
      </c>
      <c r="BU17" s="6">
        <f t="shared" si="160"/>
        <v>144254.96971143203</v>
      </c>
      <c r="BV17" s="6">
        <f t="shared" si="160"/>
        <v>142143.94810605794</v>
      </c>
      <c r="BW17" s="6">
        <f t="shared" si="160"/>
        <v>144254.96971143203</v>
      </c>
      <c r="BX17" s="6">
        <f t="shared" si="160"/>
        <v>142812.4200143177</v>
      </c>
      <c r="BY17" s="6">
        <f t="shared" si="160"/>
        <v>140722.50862499737</v>
      </c>
      <c r="BZ17" s="6">
        <f t="shared" si="160"/>
        <v>142812.4200143177</v>
      </c>
      <c r="CA17" s="6">
        <f t="shared" si="160"/>
        <v>141384.29581417452</v>
      </c>
      <c r="CB17" s="6">
        <f t="shared" si="160"/>
        <v>139315.2835387474</v>
      </c>
      <c r="CC17" s="6">
        <f t="shared" si="160"/>
        <v>141384.29581417452</v>
      </c>
      <c r="CD17" s="6">
        <f t="shared" si="160"/>
        <v>139970.45285603276</v>
      </c>
      <c r="CE17" s="6">
        <f t="shared" si="160"/>
        <v>137922.13070335993</v>
      </c>
      <c r="CF17" s="6">
        <f t="shared" si="160"/>
        <v>139970.45285603276</v>
      </c>
      <c r="CG17" s="6">
        <f t="shared" si="160"/>
        <v>138570.74832747242</v>
      </c>
      <c r="CH17" s="6">
        <f t="shared" si="160"/>
        <v>136542.90939632631</v>
      </c>
      <c r="CI17" s="6">
        <f t="shared" si="160"/>
        <v>138570.74832747242</v>
      </c>
      <c r="CJ17" s="6">
        <f t="shared" si="160"/>
        <v>137185.04084419771</v>
      </c>
      <c r="CK17" s="6">
        <f t="shared" si="160"/>
        <v>135177.48030236305</v>
      </c>
      <c r="CL17" s="6">
        <f t="shared" si="160"/>
        <v>137185.04084419771</v>
      </c>
      <c r="CM17" s="6">
        <f t="shared" si="160"/>
        <v>135813.19043575574</v>
      </c>
      <c r="CN17" s="6">
        <f t="shared" si="160"/>
        <v>133825.70549933941</v>
      </c>
      <c r="CO17" s="6">
        <f t="shared" si="160"/>
        <v>135813.19043575574</v>
      </c>
      <c r="CP17" s="6">
        <f t="shared" si="160"/>
        <v>134455.05853139819</v>
      </c>
      <c r="CQ17" s="6">
        <f t="shared" si="160"/>
        <v>132487.44844434602</v>
      </c>
      <c r="CR17" s="6">
        <f t="shared" si="160"/>
        <v>134455.05853139819</v>
      </c>
      <c r="CS17" s="6">
        <f t="shared" si="160"/>
        <v>133110.5079460842</v>
      </c>
      <c r="CT17" s="6">
        <f t="shared" si="160"/>
        <v>131162.57395990257</v>
      </c>
      <c r="CU17" s="6">
        <f t="shared" ref="CU17:DZ17" si="161">CR17*(1+$BQ$29)</f>
        <v>133110.5079460842</v>
      </c>
      <c r="CV17" s="6">
        <f t="shared" si="161"/>
        <v>131779.40286662336</v>
      </c>
      <c r="CW17" s="6">
        <f t="shared" si="161"/>
        <v>129850.94822030354</v>
      </c>
      <c r="CX17" s="6">
        <f t="shared" si="161"/>
        <v>131779.40286662336</v>
      </c>
      <c r="CY17" s="6">
        <f t="shared" si="161"/>
        <v>130461.60883795713</v>
      </c>
      <c r="CZ17" s="6">
        <f t="shared" si="161"/>
        <v>128552.43873810051</v>
      </c>
      <c r="DA17" s="6">
        <f t="shared" si="161"/>
        <v>130461.60883795713</v>
      </c>
      <c r="DB17" s="6">
        <f t="shared" si="161"/>
        <v>129156.99274957756</v>
      </c>
      <c r="DC17" s="6">
        <f t="shared" si="161"/>
        <v>127266.9143507195</v>
      </c>
      <c r="DD17" s="6">
        <f t="shared" si="161"/>
        <v>129156.99274957756</v>
      </c>
      <c r="DE17" s="6">
        <f t="shared" si="161"/>
        <v>127865.42282208179</v>
      </c>
      <c r="DF17" s="6">
        <f t="shared" si="161"/>
        <v>125994.2452072123</v>
      </c>
      <c r="DG17" s="6">
        <f t="shared" si="161"/>
        <v>127865.42282208179</v>
      </c>
      <c r="DH17" s="6">
        <f t="shared" si="161"/>
        <v>126586.76859386096</v>
      </c>
      <c r="DI17" s="6">
        <f t="shared" si="161"/>
        <v>124734.30275514018</v>
      </c>
      <c r="DJ17" s="6">
        <f t="shared" si="161"/>
        <v>126586.76859386096</v>
      </c>
      <c r="DK17" s="6">
        <f t="shared" si="161"/>
        <v>125320.90090792235</v>
      </c>
      <c r="DL17" s="6">
        <f t="shared" si="161"/>
        <v>123486.95972758878</v>
      </c>
      <c r="DM17" s="6">
        <f t="shared" si="161"/>
        <v>125320.90090792235</v>
      </c>
      <c r="DN17" s="6">
        <f t="shared" si="161"/>
        <v>124067.69189884313</v>
      </c>
      <c r="DO17" s="6">
        <f t="shared" si="161"/>
        <v>122252.09013031289</v>
      </c>
      <c r="DP17" s="6">
        <f t="shared" si="161"/>
        <v>124067.69189884313</v>
      </c>
      <c r="DQ17" s="6">
        <f t="shared" si="161"/>
        <v>122827.01497985469</v>
      </c>
      <c r="DR17" s="6">
        <f t="shared" si="161"/>
        <v>121029.56922900976</v>
      </c>
      <c r="DS17" s="6">
        <f t="shared" si="161"/>
        <v>122827.01497985469</v>
      </c>
      <c r="DT17" s="6">
        <f t="shared" si="161"/>
        <v>121598.74483005614</v>
      </c>
      <c r="DU17" s="6">
        <f t="shared" si="161"/>
        <v>119819.27353671967</v>
      </c>
      <c r="DV17" s="6">
        <f t="shared" si="161"/>
        <v>121598.74483005614</v>
      </c>
      <c r="DW17" s="6">
        <f t="shared" si="161"/>
        <v>120382.75738175557</v>
      </c>
      <c r="DX17" s="6">
        <f t="shared" si="161"/>
        <v>118621.08080135248</v>
      </c>
      <c r="DY17" s="6">
        <f t="shared" si="161"/>
        <v>120382.75738175557</v>
      </c>
      <c r="DZ17" s="6">
        <f t="shared" si="161"/>
        <v>119178.92980793801</v>
      </c>
      <c r="EA17" s="6">
        <f t="shared" ref="EA17:FF17" si="162">DX17*(1+$BQ$29)</f>
        <v>117434.86999333896</v>
      </c>
      <c r="EB17" s="6">
        <f t="shared" si="162"/>
        <v>119178.92980793801</v>
      </c>
      <c r="EC17" s="6">
        <f t="shared" si="162"/>
        <v>117987.14050985863</v>
      </c>
      <c r="ED17" s="6">
        <f t="shared" si="162"/>
        <v>116260.52129340557</v>
      </c>
      <c r="EE17" s="6">
        <f t="shared" si="162"/>
        <v>117987.14050985863</v>
      </c>
      <c r="EF17" s="6">
        <f t="shared" si="162"/>
        <v>116807.26910476004</v>
      </c>
      <c r="EG17" s="6">
        <f t="shared" si="162"/>
        <v>115097.91608047152</v>
      </c>
      <c r="EH17" s="6">
        <f t="shared" si="162"/>
        <v>116807.26910476004</v>
      </c>
      <c r="EI17" s="6">
        <f t="shared" si="162"/>
        <v>115639.19641371243</v>
      </c>
      <c r="EJ17" s="6">
        <f t="shared" si="162"/>
        <v>113946.9369196668</v>
      </c>
      <c r="EK17" s="6">
        <f t="shared" si="162"/>
        <v>115639.19641371243</v>
      </c>
      <c r="EL17" s="6">
        <f t="shared" si="162"/>
        <v>114482.8044495753</v>
      </c>
      <c r="EM17" s="6">
        <f t="shared" si="162"/>
        <v>112807.46755047013</v>
      </c>
      <c r="EN17" s="6">
        <f t="shared" si="162"/>
        <v>114482.8044495753</v>
      </c>
      <c r="EO17" s="6">
        <f t="shared" si="162"/>
        <v>113337.97640507955</v>
      </c>
      <c r="EP17" s="6">
        <f t="shared" si="162"/>
        <v>111679.39287496543</v>
      </c>
      <c r="EQ17" s="6">
        <f t="shared" si="162"/>
        <v>113337.97640507955</v>
      </c>
      <c r="ER17" s="6">
        <f t="shared" si="162"/>
        <v>112204.59664102875</v>
      </c>
      <c r="ES17" s="6">
        <f t="shared" si="162"/>
        <v>110562.59894621577</v>
      </c>
      <c r="ET17" s="6">
        <f t="shared" si="162"/>
        <v>112204.59664102875</v>
      </c>
      <c r="EU17" s="6">
        <f t="shared" si="162"/>
        <v>111082.55067461847</v>
      </c>
      <c r="EV17" s="6">
        <f t="shared" si="162"/>
        <v>109456.97295675361</v>
      </c>
      <c r="EW17" s="6">
        <f t="shared" si="162"/>
        <v>111082.55067461847</v>
      </c>
      <c r="EX17" s="6">
        <f t="shared" si="162"/>
        <v>109971.72516787228</v>
      </c>
      <c r="EY17" s="6">
        <f t="shared" si="162"/>
        <v>108362.40322718608</v>
      </c>
      <c r="EZ17" s="6">
        <f t="shared" si="162"/>
        <v>109971.72516787228</v>
      </c>
      <c r="FA17" s="6">
        <f t="shared" si="162"/>
        <v>108872.00791619356</v>
      </c>
      <c r="FB17" s="6">
        <f t="shared" si="162"/>
        <v>107278.77919491421</v>
      </c>
      <c r="FC17" s="6">
        <f t="shared" si="162"/>
        <v>108872.00791619356</v>
      </c>
      <c r="FD17" s="6">
        <f t="shared" si="162"/>
        <v>107783.28783703162</v>
      </c>
      <c r="FE17" s="6">
        <f t="shared" si="162"/>
        <v>106205.99140296507</v>
      </c>
      <c r="FF17" s="6">
        <f t="shared" si="162"/>
        <v>107783.28783703162</v>
      </c>
      <c r="FG17" s="6">
        <f t="shared" ref="FG17:FW17" si="163">FD17*(1+$BQ$29)</f>
        <v>106705.4549586613</v>
      </c>
      <c r="FH17" s="6">
        <f t="shared" si="163"/>
        <v>105143.93148893541</v>
      </c>
      <c r="FI17" s="6">
        <f t="shared" si="163"/>
        <v>106705.4549586613</v>
      </c>
      <c r="FJ17" s="6">
        <f t="shared" si="163"/>
        <v>105638.40040907469</v>
      </c>
      <c r="FK17" s="6">
        <f t="shared" si="163"/>
        <v>104092.49217404606</v>
      </c>
      <c r="FL17" s="6">
        <f t="shared" si="163"/>
        <v>105638.40040907469</v>
      </c>
      <c r="FM17" s="6">
        <f t="shared" si="163"/>
        <v>104582.01640498394</v>
      </c>
      <c r="FN17" s="6">
        <f t="shared" si="163"/>
        <v>103051.5672523056</v>
      </c>
      <c r="FO17" s="6">
        <f t="shared" si="163"/>
        <v>104582.01640498394</v>
      </c>
      <c r="FP17" s="6">
        <f t="shared" si="163"/>
        <v>103536.19624093409</v>
      </c>
      <c r="FQ17" s="6">
        <f t="shared" si="163"/>
        <v>102021.05157978254</v>
      </c>
      <c r="FR17" s="6">
        <f t="shared" si="163"/>
        <v>103536.19624093409</v>
      </c>
      <c r="FS17" s="6">
        <f t="shared" si="163"/>
        <v>102500.83427852475</v>
      </c>
      <c r="FT17" s="6">
        <f t="shared" si="163"/>
        <v>101000.84106398471</v>
      </c>
      <c r="FU17" s="6">
        <f t="shared" si="163"/>
        <v>102500.83427852475</v>
      </c>
      <c r="FV17" s="6">
        <f t="shared" si="163"/>
        <v>101475.8259357395</v>
      </c>
      <c r="FW17" s="6">
        <f t="shared" si="163"/>
        <v>99990.832653344871</v>
      </c>
    </row>
    <row r="18" spans="2:179" x14ac:dyDescent="0.3">
      <c r="B18" t="s">
        <v>2</v>
      </c>
      <c r="C18" s="3">
        <v>17102.536</v>
      </c>
      <c r="D18" s="3">
        <v>17102.536</v>
      </c>
      <c r="E18" s="3">
        <v>17102.536</v>
      </c>
      <c r="F18" s="3">
        <v>17102.536</v>
      </c>
      <c r="G18" s="3">
        <v>17102.536</v>
      </c>
      <c r="H18" s="3">
        <v>17102.536</v>
      </c>
      <c r="I18" s="3">
        <v>17102.536</v>
      </c>
      <c r="J18" s="3">
        <v>17102.536</v>
      </c>
      <c r="K18" s="3">
        <v>17102.536</v>
      </c>
      <c r="L18" s="3">
        <v>17102.536</v>
      </c>
      <c r="M18" s="3">
        <v>17102.536</v>
      </c>
      <c r="N18" s="3">
        <v>17102.536</v>
      </c>
      <c r="O18" s="3">
        <v>17102.536</v>
      </c>
      <c r="P18" s="3">
        <v>16687.599999999999</v>
      </c>
      <c r="Q18" s="3">
        <v>15553</v>
      </c>
      <c r="R18" s="3">
        <v>15553</v>
      </c>
      <c r="S18" s="3">
        <v>15553</v>
      </c>
      <c r="T18" s="3">
        <v>15553</v>
      </c>
      <c r="U18" s="3">
        <v>15553</v>
      </c>
      <c r="V18" s="3">
        <v>15553</v>
      </c>
      <c r="W18" s="3">
        <v>15553</v>
      </c>
      <c r="X18" s="3">
        <v>15553</v>
      </c>
      <c r="Y18" s="3">
        <v>15553</v>
      </c>
      <c r="Z18" s="3">
        <v>15553</v>
      </c>
      <c r="AA18" s="3">
        <v>15553</v>
      </c>
      <c r="AB18" s="3">
        <v>15553</v>
      </c>
      <c r="AC18" s="3">
        <v>15553</v>
      </c>
      <c r="AD18" s="3">
        <v>15172</v>
      </c>
      <c r="AE18" s="3">
        <v>15022.1</v>
      </c>
      <c r="AF18" s="3">
        <v>15022.1</v>
      </c>
      <c r="AG18" s="3">
        <v>15022.1</v>
      </c>
      <c r="AH18" s="3">
        <v>15022.1</v>
      </c>
      <c r="AI18" s="3"/>
      <c r="AJ18" s="3">
        <v>808.4</v>
      </c>
      <c r="AK18" s="3">
        <v>844.1</v>
      </c>
      <c r="AL18" s="3">
        <v>864.6</v>
      </c>
      <c r="AM18" s="3">
        <v>881.6</v>
      </c>
      <c r="AN18" s="3">
        <v>893</v>
      </c>
      <c r="AO18" s="3">
        <v>909.5</v>
      </c>
      <c r="AP18" s="3">
        <v>924.3</v>
      </c>
      <c r="AQ18" s="3">
        <v>6543.7</v>
      </c>
      <c r="AR18" s="3">
        <v>6477.3</v>
      </c>
      <c r="AS18" s="3">
        <v>6085.6</v>
      </c>
      <c r="AT18" s="3">
        <v>17102.536</v>
      </c>
      <c r="AU18" s="3">
        <v>17102.536</v>
      </c>
      <c r="AV18" s="3">
        <v>17102.536</v>
      </c>
      <c r="AW18" s="3">
        <v>17102.536</v>
      </c>
      <c r="AX18" s="3">
        <v>17102.536</v>
      </c>
      <c r="AY18" s="3">
        <v>17102.536</v>
      </c>
      <c r="AZ18" s="3">
        <v>16687.599999999999</v>
      </c>
      <c r="BA18" s="3">
        <f>GEOMEAN(S18:V18)</f>
        <v>15553</v>
      </c>
      <c r="BB18" s="3">
        <f>GEOMEAN(T18:W18)</f>
        <v>15553</v>
      </c>
      <c r="BC18" s="3">
        <v>15172</v>
      </c>
      <c r="BD18" s="3">
        <v>15172</v>
      </c>
      <c r="BE18" s="3">
        <v>15172</v>
      </c>
      <c r="BF18" s="3">
        <v>15172</v>
      </c>
      <c r="BG18" s="3">
        <v>15172</v>
      </c>
      <c r="BH18" s="3">
        <v>15172</v>
      </c>
      <c r="BI18" s="3">
        <v>15172</v>
      </c>
      <c r="BJ18" s="3">
        <v>15172</v>
      </c>
      <c r="BK18" s="3">
        <v>15172</v>
      </c>
      <c r="BL18" s="3">
        <v>15172</v>
      </c>
      <c r="BM18" s="3">
        <v>15172</v>
      </c>
      <c r="BN18" s="3">
        <v>15172</v>
      </c>
    </row>
    <row r="19" spans="2:179" s="6" customFormat="1" x14ac:dyDescent="0.3">
      <c r="B19" s="6" t="s">
        <v>37</v>
      </c>
      <c r="C19" s="7">
        <f t="shared" ref="C19:N19" si="164">C17/C18</f>
        <v>1.1732178198601657</v>
      </c>
      <c r="D19" s="7">
        <f t="shared" si="164"/>
        <v>0.80818423653661653</v>
      </c>
      <c r="E19" s="7">
        <f t="shared" si="164"/>
        <v>0.67352584435431095</v>
      </c>
      <c r="F19" s="7">
        <f t="shared" si="164"/>
        <v>0.82590090732742794</v>
      </c>
      <c r="G19" s="7">
        <f t="shared" si="164"/>
        <v>1.167370733790591</v>
      </c>
      <c r="H19" s="7">
        <f t="shared" si="164"/>
        <v>0.67598162050353239</v>
      </c>
      <c r="I19" s="7">
        <f t="shared" si="164"/>
        <v>0.58728132482808393</v>
      </c>
      <c r="J19" s="7">
        <f t="shared" si="164"/>
        <v>0.80023219948199498</v>
      </c>
      <c r="K19" s="7">
        <f t="shared" si="164"/>
        <v>1.3001580584306327</v>
      </c>
      <c r="L19" s="7">
        <f t="shared" si="164"/>
        <v>0.65773871196645928</v>
      </c>
      <c r="M19" s="7">
        <f t="shared" si="164"/>
        <v>0.65797259540924224</v>
      </c>
      <c r="N19" s="7">
        <f t="shared" si="164"/>
        <v>0.74100121759720317</v>
      </c>
      <c r="O19" s="7">
        <f t="shared" ref="O19:S19" si="165">O17/O18</f>
        <v>1.6813295993062081</v>
      </c>
      <c r="P19" s="7">
        <f t="shared" si="165"/>
        <v>1.4160214770248569</v>
      </c>
      <c r="Q19" s="7">
        <f t="shared" ref="Q19:R19" si="166">Q17/Q18</f>
        <v>1.3980582524271845</v>
      </c>
      <c r="R19" s="7">
        <f t="shared" si="166"/>
        <v>1.3213527936732463</v>
      </c>
      <c r="S19" s="7">
        <f t="shared" si="165"/>
        <v>2.2265800810133092</v>
      </c>
      <c r="T19" s="7">
        <f t="shared" ref="T19" si="167">T17/T18</f>
        <v>1.6080498939111425</v>
      </c>
      <c r="U19" s="7">
        <f t="shared" ref="U19" si="168">U17/U18</f>
        <v>1.2500482222079341</v>
      </c>
      <c r="V19" s="7">
        <f t="shared" ref="V19" si="169">V17/V18</f>
        <v>1.3322831608049894</v>
      </c>
      <c r="W19" s="7">
        <f t="shared" ref="W19:X19" si="170">W17/W18</f>
        <v>1.9287597248119335</v>
      </c>
      <c r="X19" s="7">
        <f t="shared" si="170"/>
        <v>1.5533980582524272</v>
      </c>
      <c r="Y19" s="7">
        <f t="shared" ref="Y19:Z19" si="171">Y17/Y18</f>
        <v>1.2782742879187294</v>
      </c>
      <c r="Z19" s="7">
        <f t="shared" si="171"/>
        <v>1.4759853404487879</v>
      </c>
      <c r="AA19" s="7">
        <f t="shared" ref="AA19:AD19" si="172">AA17/AA18</f>
        <v>2.1806725390599886</v>
      </c>
      <c r="AB19" s="7">
        <f t="shared" si="172"/>
        <v>1.5197068089757604</v>
      </c>
      <c r="AC19" s="7">
        <f t="shared" si="172"/>
        <v>1.3790265543625024</v>
      </c>
      <c r="AD19" s="7">
        <f t="shared" si="172"/>
        <v>0.9712628526232534</v>
      </c>
      <c r="AE19" s="7">
        <f t="shared" ref="AE19:AH19" si="173">AE17/AE18</f>
        <v>2.4184368363943789</v>
      </c>
      <c r="AF19" s="7">
        <f t="shared" si="173"/>
        <v>1.7206657274282564</v>
      </c>
      <c r="AG19" s="7">
        <f t="shared" si="173"/>
        <v>1.5532302492993653</v>
      </c>
      <c r="AH19" s="7">
        <f t="shared" si="173"/>
        <v>1.7543974022273845</v>
      </c>
      <c r="AI19" s="7"/>
      <c r="AJ19" s="7">
        <f t="shared" ref="AJ19:AY19" si="174">AJ17/AJ18</f>
        <v>1.6427511133102426</v>
      </c>
      <c r="AK19" s="7">
        <f t="shared" si="174"/>
        <v>2.3563558820045016</v>
      </c>
      <c r="AL19" s="7">
        <f t="shared" si="174"/>
        <v>4.0434883182974781</v>
      </c>
      <c r="AM19" s="7">
        <f t="shared" si="174"/>
        <v>6.9407894736842106</v>
      </c>
      <c r="AN19" s="7">
        <f t="shared" si="174"/>
        <v>9.2217245240761478</v>
      </c>
      <c r="AO19" s="7">
        <f t="shared" si="174"/>
        <v>15.407366684991754</v>
      </c>
      <c r="AP19" s="7">
        <f t="shared" si="174"/>
        <v>28.045007032348806</v>
      </c>
      <c r="AQ19" s="7">
        <f t="shared" si="174"/>
        <v>6.3775845469688406</v>
      </c>
      <c r="AR19" s="7">
        <f t="shared" si="174"/>
        <v>5.7179689067975854</v>
      </c>
      <c r="AS19" s="7">
        <f t="shared" si="174"/>
        <v>6.4923754436703032</v>
      </c>
      <c r="AT19" s="7">
        <f t="shared" si="174"/>
        <v>3.1219931359887214</v>
      </c>
      <c r="AU19" s="7">
        <f t="shared" si="174"/>
        <v>2.6713582126065982</v>
      </c>
      <c r="AV19" s="7">
        <f t="shared" si="174"/>
        <v>2.8271245855000684</v>
      </c>
      <c r="AW19" s="7">
        <f t="shared" si="174"/>
        <v>3.4808288080785212</v>
      </c>
      <c r="AX19" s="7">
        <f t="shared" si="174"/>
        <v>3.2308658786042024</v>
      </c>
      <c r="AY19" s="7">
        <f t="shared" si="174"/>
        <v>3.3568705834035373</v>
      </c>
      <c r="AZ19" s="7">
        <f t="shared" ref="AZ19:BI19" si="175">AZ17/AZ18</f>
        <v>5.6736738656247754</v>
      </c>
      <c r="BA19" s="7">
        <f t="shared" ref="BA19:BB19" si="176">BA17/BA18</f>
        <v>6.4169613579373754</v>
      </c>
      <c r="BB19" s="7">
        <f t="shared" si="176"/>
        <v>6.2364174114318782</v>
      </c>
      <c r="BC19" s="7">
        <f t="shared" ref="BC19" si="177">BC17/BC18</f>
        <v>6.1782230424466125</v>
      </c>
      <c r="BD19" s="7">
        <f t="shared" si="175"/>
        <v>7.3731562066965468</v>
      </c>
      <c r="BE19" s="7">
        <f t="shared" si="175"/>
        <v>7.7139270843695238</v>
      </c>
      <c r="BF19" s="7">
        <f t="shared" si="175"/>
        <v>8.0145379646855126</v>
      </c>
      <c r="BG19" s="7">
        <f t="shared" si="175"/>
        <v>8.3032344371197393</v>
      </c>
      <c r="BH19" s="7">
        <f t="shared" si="175"/>
        <v>8.5532424122518371</v>
      </c>
      <c r="BI19" s="7">
        <f t="shared" si="175"/>
        <v>8.815599749432188</v>
      </c>
      <c r="BJ19" s="7">
        <f t="shared" ref="BJ19:BL19" si="178">BJ17/BJ18</f>
        <v>9.0503536635567485</v>
      </c>
      <c r="BK19" s="7">
        <f t="shared" si="178"/>
        <v>9.3110890368550177</v>
      </c>
      <c r="BL19" s="7">
        <f t="shared" si="178"/>
        <v>9.5148200317952938</v>
      </c>
      <c r="BM19" s="7">
        <f t="shared" ref="BM19:BN19" si="179">BM17/BM18</f>
        <v>9.6556153428493783</v>
      </c>
      <c r="BN19" s="7">
        <f t="shared" si="179"/>
        <v>9.7990137278916158</v>
      </c>
    </row>
    <row r="21" spans="2:179" x14ac:dyDescent="0.3">
      <c r="B21" t="s">
        <v>38</v>
      </c>
      <c r="C21" s="10">
        <f>(C3-C6)/C3</f>
        <v>0.36113637512000402</v>
      </c>
      <c r="D21" s="10">
        <f t="shared" ref="D21:M21" si="180">(D3-D6)/D3</f>
        <v>0.33831185290619453</v>
      </c>
      <c r="E21" s="10">
        <f t="shared" si="180"/>
        <v>0.32808910546467107</v>
      </c>
      <c r="F21" s="10">
        <f t="shared" si="180"/>
        <v>0.33659012255979809</v>
      </c>
      <c r="G21" s="10">
        <f t="shared" si="180"/>
        <v>0.34311976577926057</v>
      </c>
      <c r="H21" s="10">
        <f t="shared" si="180"/>
        <v>0.3117792333297541</v>
      </c>
      <c r="I21" s="10">
        <f t="shared" si="180"/>
        <v>0.30412711904424611</v>
      </c>
      <c r="J21" s="10">
        <f t="shared" si="180"/>
        <v>0.31615206970831961</v>
      </c>
      <c r="K21" s="10">
        <f t="shared" si="180"/>
        <v>0.3416894215210356</v>
      </c>
      <c r="L21" s="10">
        <f t="shared" si="180"/>
        <v>0.30343600578227509</v>
      </c>
      <c r="M21" s="10">
        <f t="shared" si="180"/>
        <v>0.29736293494379851</v>
      </c>
      <c r="N21" s="10">
        <f t="shared" ref="N21:AY21" si="181">(N3-N6)/N3</f>
        <v>0.2981515085046561</v>
      </c>
      <c r="O21" s="10">
        <f t="shared" ref="O21:S21" si="182">(O3-O6)/O3</f>
        <v>0.35063441961579467</v>
      </c>
      <c r="P21" s="10">
        <f t="shared" si="182"/>
        <v>0.3609647372838215</v>
      </c>
      <c r="Q21" s="10">
        <f t="shared" ref="Q21:R21" si="183">(Q3-Q6)/Q3</f>
        <v>0.36043347720022517</v>
      </c>
      <c r="R21" s="10">
        <f t="shared" si="183"/>
        <v>0.34253184395310604</v>
      </c>
      <c r="S21" s="10">
        <f t="shared" si="182"/>
        <v>0.38418446983117716</v>
      </c>
      <c r="T21" s="10">
        <f t="shared" ref="T21:U21" si="184">(T3-T6)/T3</f>
        <v>0.36364692668190091</v>
      </c>
      <c r="U21" s="10">
        <f t="shared" si="184"/>
        <v>0.34519769552521506</v>
      </c>
      <c r="V21" s="10">
        <f t="shared" ref="V21:V22" si="185">(V3-V6)/V3</f>
        <v>0.34627526142224979</v>
      </c>
      <c r="W21" s="10">
        <f t="shared" ref="W21:X21" si="186">(W3-W6)/W3</f>
        <v>0.36957920073038136</v>
      </c>
      <c r="X21" s="10">
        <f t="shared" si="186"/>
        <v>0.36702782399329087</v>
      </c>
      <c r="Y21" s="10">
        <f t="shared" ref="Y21:Z21" si="187">(Y3-Y6)/Y3</f>
        <v>0.35402086359434837</v>
      </c>
      <c r="Z21" s="10">
        <f t="shared" si="187"/>
        <v>0.36612884020004766</v>
      </c>
      <c r="AA21" s="10">
        <f t="shared" ref="AA21:AD21" si="188">(AA3-AA6)/AA3</f>
        <v>0.39414045491301913</v>
      </c>
      <c r="AB21" s="10">
        <f t="shared" si="188"/>
        <v>0.36572675896301171</v>
      </c>
      <c r="AC21" s="10">
        <f t="shared" si="188"/>
        <v>0.35346956013254499</v>
      </c>
      <c r="AD21" s="10">
        <f t="shared" si="188"/>
        <v>0.36296063352297092</v>
      </c>
      <c r="AE21" s="10">
        <f t="shared" ref="AE21:AH21" si="189">(AE3-AE6)/AE3</f>
        <v>0.39315026541445486</v>
      </c>
      <c r="AF21" s="10">
        <f t="shared" si="189"/>
        <v>0.37000000000000005</v>
      </c>
      <c r="AG21" s="10">
        <f t="shared" si="189"/>
        <v>0.35</v>
      </c>
      <c r="AH21" s="10">
        <f t="shared" si="189"/>
        <v>0.35999999999999993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W21" s="10">
        <f t="shared" si="181"/>
        <v>0.34396294836770025</v>
      </c>
      <c r="AX21" s="10">
        <f t="shared" si="181"/>
        <v>0.32207795851002652</v>
      </c>
      <c r="AY21" s="10">
        <f t="shared" si="181"/>
        <v>0.31466339293399231</v>
      </c>
      <c r="AZ21" s="10">
        <f t="shared" ref="AZ21:BA21" si="190">(AZ3-AZ6)/AZ3</f>
        <v>0.35349303276483562</v>
      </c>
      <c r="BA21" s="10">
        <f t="shared" si="190"/>
        <v>0.36283479707399452</v>
      </c>
      <c r="BB21" s="10">
        <f t="shared" ref="BB21:BC21" si="191">(BB3-BB6)/BB3</f>
        <v>0.36500662562691849</v>
      </c>
      <c r="BC21" s="10">
        <f t="shared" si="191"/>
        <v>0.37180617636485724</v>
      </c>
      <c r="BD21" s="10">
        <f t="shared" ref="BD21:BN21" si="192">(BD3-BD6)/BD3</f>
        <v>0.37099329631170619</v>
      </c>
      <c r="BE21" s="10">
        <f t="shared" si="192"/>
        <v>0.37</v>
      </c>
      <c r="BF21" s="10">
        <f t="shared" si="192"/>
        <v>0.37000000000000005</v>
      </c>
      <c r="BG21" s="10">
        <f t="shared" si="192"/>
        <v>0.37</v>
      </c>
      <c r="BH21" s="10">
        <f t="shared" si="192"/>
        <v>0.37</v>
      </c>
      <c r="BI21" s="10">
        <f t="shared" si="192"/>
        <v>0.37</v>
      </c>
      <c r="BJ21" s="10">
        <f t="shared" si="192"/>
        <v>0.37000000000000005</v>
      </c>
      <c r="BK21" s="10">
        <f t="shared" si="192"/>
        <v>0.36999999999999994</v>
      </c>
      <c r="BL21" s="10">
        <f t="shared" si="192"/>
        <v>0.37</v>
      </c>
      <c r="BM21" s="10">
        <f t="shared" si="192"/>
        <v>0.37</v>
      </c>
      <c r="BN21" s="10">
        <f t="shared" si="192"/>
        <v>0.37</v>
      </c>
    </row>
    <row r="22" spans="2:179" x14ac:dyDescent="0.3">
      <c r="B22" t="s">
        <v>39</v>
      </c>
      <c r="C22" s="10">
        <f>(C4-C7)/C4</f>
        <v>0.58308686603132875</v>
      </c>
      <c r="D22" s="10">
        <f t="shared" ref="D22:M22" si="193">(D4-D7)/D4</f>
        <v>0.61634517766497465</v>
      </c>
      <c r="E22" s="10">
        <f t="shared" si="193"/>
        <v>0.61769911504424779</v>
      </c>
      <c r="F22" s="10">
        <f t="shared" si="193"/>
        <v>0.61137843192754038</v>
      </c>
      <c r="G22" s="10">
        <f t="shared" si="193"/>
        <v>0.62841379310344825</v>
      </c>
      <c r="H22" s="10">
        <f t="shared" si="193"/>
        <v>0.63781659388646283</v>
      </c>
      <c r="I22" s="10">
        <f t="shared" si="193"/>
        <v>0.64129201222173726</v>
      </c>
      <c r="J22" s="10">
        <f t="shared" si="193"/>
        <v>0.64119574774198707</v>
      </c>
      <c r="K22" s="10">
        <f t="shared" si="193"/>
        <v>0.64396382225717652</v>
      </c>
      <c r="L22" s="10">
        <f t="shared" si="193"/>
        <v>0.65373089601438417</v>
      </c>
      <c r="M22" s="10">
        <f t="shared" si="193"/>
        <v>0.67224080267558528</v>
      </c>
      <c r="N22" s="10">
        <f t="shared" ref="N22:AY22" si="194">(N4-N7)/N4</f>
        <v>0.66925561894288266</v>
      </c>
      <c r="O22" s="10">
        <f t="shared" ref="O22:S22" si="195">(O4-O7)/O4</f>
        <v>0.6839667533785927</v>
      </c>
      <c r="P22" s="10">
        <f t="shared" si="195"/>
        <v>0.70072776758771671</v>
      </c>
      <c r="Q22" s="10">
        <f t="shared" ref="Q22:R22" si="196">(Q4-Q7)/Q4</f>
        <v>0.69804414960539862</v>
      </c>
      <c r="R22" s="10">
        <f t="shared" si="196"/>
        <v>0.704765552333534</v>
      </c>
      <c r="S22" s="10">
        <f t="shared" si="195"/>
        <v>0.72366263578602175</v>
      </c>
      <c r="T22" s="10">
        <f t="shared" ref="T22:U22" si="197">(T4-T7)/T4</f>
        <v>0.72609858231168967</v>
      </c>
      <c r="U22" s="10">
        <f t="shared" si="197"/>
        <v>0.71490512140379514</v>
      </c>
      <c r="V22" s="10">
        <f t="shared" si="185"/>
        <v>0.70481550969355844</v>
      </c>
      <c r="W22" s="10">
        <f t="shared" ref="W22:X22" si="198">(W4-W7)/W4</f>
        <v>0.70832129442357705</v>
      </c>
      <c r="X22" s="10">
        <f t="shared" si="198"/>
        <v>0.70990577318601422</v>
      </c>
      <c r="Y22" s="10">
        <f t="shared" ref="Y22:Z22" si="199">(Y4-Y7)/Y4</f>
        <v>0.70546363079243857</v>
      </c>
      <c r="Z22" s="10">
        <f t="shared" si="199"/>
        <v>0.70937528009321504</v>
      </c>
      <c r="AA22" s="10">
        <f t="shared" ref="AA22:AD22" si="200">(AA4-AA7)/AA4</f>
        <v>0.728338452221309</v>
      </c>
      <c r="AB22" s="10">
        <f t="shared" si="200"/>
        <v>0.74617672937528801</v>
      </c>
      <c r="AC22" s="10">
        <f t="shared" si="200"/>
        <v>0.73997439392062114</v>
      </c>
      <c r="AD22" s="10">
        <f t="shared" si="200"/>
        <v>0.74030914624379307</v>
      </c>
      <c r="AE22" s="10">
        <f t="shared" ref="AE22:AH22" si="201">(AE4-AE7)/AE4</f>
        <v>0.75026575550493546</v>
      </c>
      <c r="AF22" s="10">
        <f t="shared" si="201"/>
        <v>0.76</v>
      </c>
      <c r="AG22" s="10">
        <f t="shared" si="201"/>
        <v>0.75</v>
      </c>
      <c r="AH22" s="10">
        <f t="shared" si="201"/>
        <v>0.75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W22" s="10">
        <f t="shared" si="194"/>
        <v>0.60772869075173597</v>
      </c>
      <c r="AX22" s="10">
        <f t="shared" si="194"/>
        <v>0.63738091637683347</v>
      </c>
      <c r="AY22" s="10">
        <f t="shared" si="194"/>
        <v>0.66015101919357233</v>
      </c>
      <c r="AZ22" s="10">
        <f t="shared" ref="AZ22:BA22" si="202">(AZ4-AZ7)/AZ4</f>
        <v>0.69725977347460721</v>
      </c>
      <c r="BA22" s="10">
        <f t="shared" si="202"/>
        <v>0.71745446633132381</v>
      </c>
      <c r="BB22" s="10">
        <f t="shared" ref="BB22:BC22" si="203">(BB4-BB7)/BB4</f>
        <v>0.70827464788732397</v>
      </c>
      <c r="BC22" s="10">
        <f t="shared" si="203"/>
        <v>0.7388035645582256</v>
      </c>
      <c r="BD22" s="10">
        <f t="shared" ref="BD22:BN22" si="204">(BD4-BD7)/BD4</f>
        <v>0.75254796077979702</v>
      </c>
      <c r="BE22" s="10">
        <f t="shared" si="204"/>
        <v>0.76</v>
      </c>
      <c r="BF22" s="10">
        <f t="shared" si="204"/>
        <v>0.76</v>
      </c>
      <c r="BG22" s="10">
        <f t="shared" si="204"/>
        <v>0.76</v>
      </c>
      <c r="BH22" s="10">
        <f t="shared" si="204"/>
        <v>0.76000000000000012</v>
      </c>
      <c r="BI22" s="10">
        <f t="shared" si="204"/>
        <v>0.76</v>
      </c>
      <c r="BJ22" s="10">
        <f t="shared" si="204"/>
        <v>0.76</v>
      </c>
      <c r="BK22" s="10">
        <f t="shared" si="204"/>
        <v>0.76</v>
      </c>
      <c r="BL22" s="10">
        <f t="shared" si="204"/>
        <v>0.76</v>
      </c>
      <c r="BM22" s="10">
        <f t="shared" si="204"/>
        <v>0.76</v>
      </c>
      <c r="BN22" s="10">
        <f t="shared" si="204"/>
        <v>0.76</v>
      </c>
    </row>
    <row r="23" spans="2:179" s="6" customFormat="1" x14ac:dyDescent="0.3">
      <c r="B23" s="6" t="s">
        <v>40</v>
      </c>
      <c r="C23" s="11">
        <f>C9/C5</f>
        <v>0.38408480853521798</v>
      </c>
      <c r="D23" s="11">
        <f t="shared" ref="D23:M23" si="205">D9/D5</f>
        <v>0.38310679294044525</v>
      </c>
      <c r="E23" s="11">
        <f t="shared" si="205"/>
        <v>0.38338496198254013</v>
      </c>
      <c r="F23" s="11">
        <f t="shared" si="205"/>
        <v>0.38289348171701115</v>
      </c>
      <c r="G23" s="11">
        <f t="shared" si="205"/>
        <v>0.37991934527339583</v>
      </c>
      <c r="H23" s="11">
        <f t="shared" si="205"/>
        <v>0.37612686374213566</v>
      </c>
      <c r="I23" s="11">
        <f t="shared" si="205"/>
        <v>0.37590365923916075</v>
      </c>
      <c r="J23" s="11">
        <f t="shared" si="205"/>
        <v>0.37965334166146159</v>
      </c>
      <c r="K23" s="11">
        <f t="shared" si="205"/>
        <v>0.38354806739345887</v>
      </c>
      <c r="L23" s="11">
        <f t="shared" si="205"/>
        <v>0.38361943305952362</v>
      </c>
      <c r="M23" s="11">
        <f t="shared" si="205"/>
        <v>0.37999497361146017</v>
      </c>
      <c r="N23" s="11">
        <f t="shared" ref="N23:BI23" si="206">N9/N5</f>
        <v>0.38160375900336951</v>
      </c>
      <c r="O23" s="11">
        <f t="shared" ref="O23:S23" si="207">O9/O5</f>
        <v>0.39777815665969724</v>
      </c>
      <c r="P23" s="11">
        <f t="shared" si="207"/>
        <v>0.42506474370423292</v>
      </c>
      <c r="Q23" s="11">
        <f t="shared" ref="Q23:R23" si="208">Q9/Q5</f>
        <v>0.43292727853230839</v>
      </c>
      <c r="R23" s="11">
        <f t="shared" si="208"/>
        <v>0.42195297504798462</v>
      </c>
      <c r="S23" s="11">
        <f t="shared" si="207"/>
        <v>0.43763766186615033</v>
      </c>
      <c r="T23" s="11">
        <f t="shared" ref="T23:U23" si="209">T9/T5</f>
        <v>0.43749871502292398</v>
      </c>
      <c r="U23" s="11">
        <f t="shared" si="209"/>
        <v>0.43256307332537758</v>
      </c>
      <c r="V23" s="11">
        <f t="shared" ref="V23" si="210">V9/V5</f>
        <v>0.4225922392563175</v>
      </c>
      <c r="W23" s="11">
        <f t="shared" ref="W23:X23" si="211">W9/W5</f>
        <v>0.42962254809908323</v>
      </c>
      <c r="X23" s="11">
        <f t="shared" si="211"/>
        <v>0.44261672782487665</v>
      </c>
      <c r="Y23" s="11">
        <f t="shared" ref="Y23:Z23" si="212">Y9/Y5</f>
        <v>0.44516302553883397</v>
      </c>
      <c r="Z23" s="11">
        <f t="shared" si="212"/>
        <v>0.45170841806520817</v>
      </c>
      <c r="AA23" s="11">
        <f t="shared" ref="AA23:AD23" si="213">AA9/AA5</f>
        <v>0.45874973865774621</v>
      </c>
      <c r="AB23" s="11">
        <f t="shared" si="213"/>
        <v>0.46578074554009236</v>
      </c>
      <c r="AC23" s="11">
        <f t="shared" si="213"/>
        <v>0.46257155181458898</v>
      </c>
      <c r="AD23" s="11">
        <f t="shared" si="213"/>
        <v>0.4622247972190035</v>
      </c>
      <c r="AE23" s="11">
        <f t="shared" ref="AE23:AH23" si="214">AE9/AE5</f>
        <v>0.46882542236524538</v>
      </c>
      <c r="AF23" s="11">
        <f t="shared" si="214"/>
        <v>0.47979023695073325</v>
      </c>
      <c r="AG23" s="11">
        <f t="shared" si="214"/>
        <v>0.4706424283514084</v>
      </c>
      <c r="AH23" s="11">
        <f t="shared" si="214"/>
        <v>0.46840213076754006</v>
      </c>
      <c r="AI23" s="11"/>
      <c r="AJ23" s="11">
        <f t="shared" ref="AJ23:AP23" si="215">AJ9/AJ5</f>
        <v>0.29014428253535279</v>
      </c>
      <c r="AK23" s="11">
        <f t="shared" si="215"/>
        <v>0.28982655966865128</v>
      </c>
      <c r="AL23" s="11">
        <f t="shared" si="215"/>
        <v>0.33966508372906773</v>
      </c>
      <c r="AM23" s="11">
        <f t="shared" si="215"/>
        <v>0.35200448107545812</v>
      </c>
      <c r="AN23" s="11">
        <f t="shared" si="215"/>
        <v>0.40139843841044165</v>
      </c>
      <c r="AO23" s="11">
        <f t="shared" si="215"/>
        <v>0.39377539287083174</v>
      </c>
      <c r="AP23" s="11">
        <f t="shared" si="215"/>
        <v>0.40478895878945764</v>
      </c>
      <c r="AQ23" s="11">
        <f t="shared" si="206"/>
        <v>0.43871239808827661</v>
      </c>
      <c r="AR23" s="11">
        <f t="shared" si="206"/>
        <v>0.37624480720847231</v>
      </c>
      <c r="AS23" s="11">
        <f t="shared" si="206"/>
        <v>0.38588035777783858</v>
      </c>
      <c r="AT23" s="11">
        <f t="shared" si="206"/>
        <v>0.40059902017414373</v>
      </c>
      <c r="AU23" s="11">
        <f t="shared" si="206"/>
        <v>0.39075955648097049</v>
      </c>
      <c r="AV23" s="11">
        <f t="shared" si="206"/>
        <v>0.38469860491899105</v>
      </c>
      <c r="AW23" s="11">
        <f t="shared" si="206"/>
        <v>0.38343718820007905</v>
      </c>
      <c r="AX23" s="11">
        <f t="shared" si="206"/>
        <v>0.37817768109034722</v>
      </c>
      <c r="AY23" s="11">
        <f t="shared" si="206"/>
        <v>0.38233247727810865</v>
      </c>
      <c r="AZ23" s="11">
        <f t="shared" si="206"/>
        <v>0.41779359625167778</v>
      </c>
      <c r="BA23" s="11">
        <f t="shared" ref="BA23:BB23" si="216">BA9/BA5</f>
        <v>0.43309630561360085</v>
      </c>
      <c r="BB23" s="11">
        <f t="shared" si="216"/>
        <v>0.44131129577207562</v>
      </c>
      <c r="BC23" s="11">
        <f t="shared" ref="BC23" si="217">BC9/BC5</f>
        <v>0.46206349815233932</v>
      </c>
      <c r="BD23" s="11">
        <f t="shared" si="206"/>
        <v>0.47167521971349841</v>
      </c>
      <c r="BE23" s="11">
        <f t="shared" si="206"/>
        <v>0.47878798044079135</v>
      </c>
      <c r="BF23" s="11">
        <f t="shared" si="206"/>
        <v>0.48337195700300489</v>
      </c>
      <c r="BG23" s="11">
        <f t="shared" si="206"/>
        <v>0.48729642238457155</v>
      </c>
      <c r="BH23" s="11">
        <f t="shared" si="206"/>
        <v>0.49050643819120748</v>
      </c>
      <c r="BI23" s="11">
        <f t="shared" si="206"/>
        <v>0.49376443260066255</v>
      </c>
      <c r="BJ23" s="11">
        <f t="shared" ref="BJ23:BL23" si="218">BJ9/BJ5</f>
        <v>0.49625055600393086</v>
      </c>
      <c r="BK23" s="11">
        <f t="shared" si="218"/>
        <v>0.49876246642758759</v>
      </c>
      <c r="BL23" s="11">
        <f t="shared" si="218"/>
        <v>0.50045929815684231</v>
      </c>
      <c r="BM23" s="11">
        <f t="shared" ref="BM23:BN23" si="219">BM9/BM5</f>
        <v>0.50131605686883363</v>
      </c>
      <c r="BN23" s="11">
        <f t="shared" si="219"/>
        <v>0.50217557671221091</v>
      </c>
    </row>
    <row r="24" spans="2:179" x14ac:dyDescent="0.3">
      <c r="B24" t="s">
        <v>54</v>
      </c>
      <c r="C24" s="10"/>
      <c r="D24" s="10"/>
      <c r="E24" s="10"/>
      <c r="F24" s="10"/>
      <c r="G24" s="10">
        <f>G10/C10-1</f>
        <v>0.14528911065453487</v>
      </c>
      <c r="H24" s="10">
        <f t="shared" ref="H24:N24" si="220">H10/D10-1</f>
        <v>0.1687388987566607</v>
      </c>
      <c r="I24" s="10">
        <f t="shared" si="220"/>
        <v>0.15022966765738999</v>
      </c>
      <c r="J24" s="10">
        <f t="shared" si="220"/>
        <v>9.6000000000000085E-2</v>
      </c>
      <c r="K24" s="10">
        <f t="shared" si="220"/>
        <v>0.1406970784213224</v>
      </c>
      <c r="L24" s="10">
        <f t="shared" si="220"/>
        <v>0.15628166160081047</v>
      </c>
      <c r="M24" s="10">
        <f t="shared" si="220"/>
        <v>0.11768851303735017</v>
      </c>
      <c r="N24" s="10">
        <f t="shared" si="220"/>
        <v>0.21119221411192224</v>
      </c>
      <c r="O24" s="10">
        <f t="shared" ref="O24" si="221">O10/K10-1</f>
        <v>0.15996405302179295</v>
      </c>
      <c r="P24" s="10">
        <f t="shared" ref="P24" si="222">P10/L10-1</f>
        <v>0.15268346111719611</v>
      </c>
      <c r="Q24" s="10">
        <f t="shared" ref="Q24:S24" si="223">Q10/M10-1</f>
        <v>0.20155527532576722</v>
      </c>
      <c r="R24" s="10">
        <f t="shared" si="223"/>
        <v>0.15950180795500191</v>
      </c>
      <c r="S24" s="10">
        <f t="shared" si="223"/>
        <v>0.22138291690877399</v>
      </c>
      <c r="T24" s="10">
        <f t="shared" ref="T24:U24" si="224">T10/P10-1</f>
        <v>0.2137970353477765</v>
      </c>
      <c r="U24" s="10">
        <f t="shared" si="224"/>
        <v>0.1889102676228791</v>
      </c>
      <c r="V24" s="10">
        <f t="shared" ref="V24" si="225">V10/R10-1</f>
        <v>0.17134442134442129</v>
      </c>
      <c r="W24" s="10">
        <f t="shared" ref="W24:X24" si="226">W10/S10-1</f>
        <v>0.22248652077386621</v>
      </c>
      <c r="X24" s="10">
        <f t="shared" si="226"/>
        <v>0.1675277908251136</v>
      </c>
      <c r="Y24" s="10">
        <f t="shared" ref="Y24:AA24" si="227">Y10/U10-1</f>
        <v>9.4894806532293652E-2</v>
      </c>
      <c r="Z24" s="10">
        <f t="shared" si="227"/>
        <v>8.0757284425380771E-2</v>
      </c>
      <c r="AA24" s="10">
        <f t="shared" si="227"/>
        <v>-1.6863406408094139E-3</v>
      </c>
      <c r="AB24" s="10">
        <f t="shared" ref="AB24" si="228">AB10/X10-1</f>
        <v>5.980957489607075E-2</v>
      </c>
      <c r="AC24" s="10">
        <f t="shared" ref="AC24" si="229">AC10/Y10-1</f>
        <v>7.5786079011018526E-2</v>
      </c>
      <c r="AD24" s="10">
        <f t="shared" ref="AD24" si="230">AD10/Z10-1</f>
        <v>6.2679622280005454E-2</v>
      </c>
      <c r="AE24" s="10">
        <f t="shared" ref="AE24" si="231">AE10/AA10-1</f>
        <v>7.4324324324324342E-2</v>
      </c>
      <c r="AF24" s="10">
        <f t="shared" ref="AF24" si="232">AF10/AB10-1</f>
        <v>3.0000000000000027E-2</v>
      </c>
      <c r="AG24" s="10">
        <f t="shared" ref="AG24" si="233">AG10/AC10-1</f>
        <v>3.0000000000000027E-2</v>
      </c>
      <c r="AH24" s="10">
        <f t="shared" ref="AH24" si="234">AH10/AD10-1</f>
        <v>3.0000000000000027E-2</v>
      </c>
      <c r="AI24" s="10"/>
      <c r="AJ24" s="10"/>
      <c r="AK24" s="10">
        <f t="shared" ref="AK24:AP24" si="235">AK10/AJ10-1</f>
        <v>0.33084112149532707</v>
      </c>
      <c r="AL24" s="10">
        <f t="shared" si="235"/>
        <v>9.8314606741572996E-2</v>
      </c>
      <c r="AM24" s="10">
        <f t="shared" si="235"/>
        <v>0.41815856777493599</v>
      </c>
      <c r="AN24" s="10">
        <f t="shared" si="235"/>
        <v>0.20198376916140659</v>
      </c>
      <c r="AO24" s="10">
        <f t="shared" si="235"/>
        <v>0.33683420855213808</v>
      </c>
      <c r="AP24" s="10">
        <f t="shared" si="235"/>
        <v>0.3630751964085297</v>
      </c>
      <c r="AQ24" s="10">
        <f t="shared" ref="AQ24:AW24" si="236">AQ10/AP10-1</f>
        <v>0.39193083573487031</v>
      </c>
      <c r="AR24" s="10">
        <f t="shared" si="236"/>
        <v>0.32357290742383915</v>
      </c>
      <c r="AS24" s="10">
        <f t="shared" si="236"/>
        <v>0.34994413407821234</v>
      </c>
      <c r="AT24" s="10">
        <f t="shared" si="236"/>
        <v>0.33537493792418482</v>
      </c>
      <c r="AU24" s="10">
        <f t="shared" si="236"/>
        <v>0.24519647948431889</v>
      </c>
      <c r="AV24" s="10">
        <f t="shared" si="236"/>
        <v>0.15291189646590353</v>
      </c>
      <c r="AW24" s="10">
        <f t="shared" si="236"/>
        <v>0.22925481391935065</v>
      </c>
      <c r="AX24" s="10">
        <f>AX10/AW10-1</f>
        <v>0.13915425681371163</v>
      </c>
      <c r="AY24" s="10">
        <f t="shared" ref="AY24:BL24" si="237">AY10/AX10-1</f>
        <v>0.15631744465684161</v>
      </c>
      <c r="AZ24" s="10">
        <f t="shared" si="237"/>
        <v>0.16862201365187723</v>
      </c>
      <c r="BA24" s="10">
        <f t="shared" si="237"/>
        <v>0.19791001186456136</v>
      </c>
      <c r="BB24" s="10">
        <f t="shared" si="237"/>
        <v>0.1395756352138966</v>
      </c>
      <c r="BC24" s="10">
        <f t="shared" si="237"/>
        <v>4.8637807120173848E-2</v>
      </c>
      <c r="BD24" s="10">
        <f t="shared" si="237"/>
        <v>4.0874083519286009E-2</v>
      </c>
      <c r="BE24" s="10">
        <f t="shared" si="237"/>
        <v>4.0000000000000036E-2</v>
      </c>
      <c r="BF24" s="10">
        <f t="shared" si="237"/>
        <v>4.0000000000000036E-2</v>
      </c>
      <c r="BG24" s="10">
        <f t="shared" si="237"/>
        <v>3.0000000000000027E-2</v>
      </c>
      <c r="BH24" s="10">
        <f t="shared" si="237"/>
        <v>3.0000000000000027E-2</v>
      </c>
      <c r="BI24" s="10">
        <f t="shared" si="237"/>
        <v>3.0000000000000027E-2</v>
      </c>
      <c r="BJ24" s="10">
        <f t="shared" si="237"/>
        <v>2.0000000000000018E-2</v>
      </c>
      <c r="BK24" s="10">
        <f t="shared" si="237"/>
        <v>2.0000000000000018E-2</v>
      </c>
      <c r="BL24" s="10">
        <f t="shared" si="237"/>
        <v>2.0000000000000018E-2</v>
      </c>
      <c r="BM24" s="10">
        <f t="shared" ref="BM24" si="238">BM10/BL10-1</f>
        <v>2.0000000000000018E-2</v>
      </c>
      <c r="BN24" s="10">
        <f t="shared" ref="BN24" si="239">BN10/BM10-1</f>
        <v>2.0000000000000018E-2</v>
      </c>
    </row>
    <row r="25" spans="2:179" x14ac:dyDescent="0.3">
      <c r="B25" t="s">
        <v>60</v>
      </c>
      <c r="C25" s="10">
        <f>C11/C5</f>
        <v>4.7919993657481341E-2</v>
      </c>
      <c r="D25" s="10">
        <f t="shared" ref="D25:N25" si="240">D11/D5</f>
        <v>6.788033433109246E-2</v>
      </c>
      <c r="E25" s="10">
        <f t="shared" si="240"/>
        <v>7.7123814887825021E-2</v>
      </c>
      <c r="F25" s="10">
        <f t="shared" si="240"/>
        <v>6.7027027027027022E-2</v>
      </c>
      <c r="G25" s="10">
        <f t="shared" si="240"/>
        <v>5.6731111374688649E-2</v>
      </c>
      <c r="H25" s="10">
        <f t="shared" si="240"/>
        <v>7.6842195983797296E-2</v>
      </c>
      <c r="I25" s="10">
        <f t="shared" si="240"/>
        <v>8.2253898046795143E-2</v>
      </c>
      <c r="J25" s="10">
        <f t="shared" si="240"/>
        <v>7.1486570893191756E-2</v>
      </c>
      <c r="K25" s="10">
        <f t="shared" si="240"/>
        <v>5.6600485738245894E-2</v>
      </c>
      <c r="L25" s="10">
        <f t="shared" si="240"/>
        <v>8.4921029616037591E-2</v>
      </c>
      <c r="M25" s="10">
        <f t="shared" si="240"/>
        <v>8.0941610119795587E-2</v>
      </c>
      <c r="N25" s="10">
        <f t="shared" si="240"/>
        <v>7.6292930229682532E-2</v>
      </c>
      <c r="O25" s="10">
        <f t="shared" ref="O25:S25" si="241">O11/O5</f>
        <v>5.0529886305512431E-2</v>
      </c>
      <c r="P25" s="10">
        <f t="shared" si="241"/>
        <v>5.9318628326486871E-2</v>
      </c>
      <c r="Q25" s="10">
        <f t="shared" ref="Q25:R25" si="242">Q11/Q5</f>
        <v>6.645872731291598E-2</v>
      </c>
      <c r="R25" s="10">
        <f t="shared" si="242"/>
        <v>6.7370441458733207E-2</v>
      </c>
      <c r="S25" s="10">
        <f t="shared" si="241"/>
        <v>5.2031142845617009E-2</v>
      </c>
      <c r="T25" s="10">
        <f t="shared" ref="T25:U25" si="243">T11/T5</f>
        <v>6.3662904253788108E-2</v>
      </c>
      <c r="U25" s="10">
        <f t="shared" si="243"/>
        <v>7.2469533142877809E-2</v>
      </c>
      <c r="V25" s="10">
        <f t="shared" ref="V25" si="244">V11/V5</f>
        <v>7.1439664544183878E-2</v>
      </c>
      <c r="W25" s="10">
        <f t="shared" ref="W25:X25" si="245">W11/W5</f>
        <v>5.6395855028424126E-2</v>
      </c>
      <c r="X25" s="10">
        <f t="shared" si="245"/>
        <v>6.5386562065038595E-2</v>
      </c>
      <c r="Y25" s="10">
        <f t="shared" ref="Y25:Z25" si="246">Y11/Y5</f>
        <v>7.3022237979387991E-2</v>
      </c>
      <c r="Z25" s="10">
        <f t="shared" si="246"/>
        <v>6.8727792799839107E-2</v>
      </c>
      <c r="AA25" s="10">
        <f t="shared" ref="AA25:AD25" si="247">AA11/AA5</f>
        <v>5.6750993100564501E-2</v>
      </c>
      <c r="AB25" s="10">
        <f t="shared" si="247"/>
        <v>7.1270371227397447E-2</v>
      </c>
      <c r="AC25" s="10">
        <f t="shared" si="247"/>
        <v>7.3679424554367726E-2</v>
      </c>
      <c r="AD25" s="10">
        <f t="shared" si="247"/>
        <v>6.8713789107763615E-2</v>
      </c>
      <c r="AE25" s="10">
        <f t="shared" ref="AE25:AH25" si="248">AE11/AE5</f>
        <v>5.7723250201126307E-2</v>
      </c>
      <c r="AF25" s="10">
        <f t="shared" si="248"/>
        <v>7.0000000000000007E-2</v>
      </c>
      <c r="AG25" s="10">
        <f t="shared" si="248"/>
        <v>7.0000000000000007E-2</v>
      </c>
      <c r="AH25" s="10">
        <f t="shared" si="248"/>
        <v>7.0000000000000007E-2</v>
      </c>
      <c r="AI25" s="10"/>
      <c r="AJ25" s="10">
        <f t="shared" ref="AJ25:AP25" si="249">AJ11/AJ5</f>
        <v>0.13380231139185988</v>
      </c>
      <c r="AK25" s="10">
        <f t="shared" si="249"/>
        <v>0.12596427646906549</v>
      </c>
      <c r="AL25" s="10">
        <f t="shared" si="249"/>
        <v>0.12342747646421728</v>
      </c>
      <c r="AM25" s="10">
        <f t="shared" si="249"/>
        <v>0.10031740951161612</v>
      </c>
      <c r="AN25" s="10">
        <f t="shared" si="249"/>
        <v>9.6702016082041722E-2</v>
      </c>
      <c r="AO25" s="10">
        <f t="shared" si="249"/>
        <v>8.4584131851284022E-2</v>
      </c>
      <c r="AP25" s="10">
        <f t="shared" si="249"/>
        <v>7.0199262810741903E-2</v>
      </c>
      <c r="AQ25" s="10">
        <f t="shared" ref="AQ25:AW25" si="250">AQ11/AQ5</f>
        <v>6.4150075395506934E-2</v>
      </c>
      <c r="AR25" s="10">
        <f t="shared" si="250"/>
        <v>6.3366684219764782E-2</v>
      </c>
      <c r="AS25" s="10">
        <f t="shared" si="250"/>
        <v>6.5609015563883044E-2</v>
      </c>
      <c r="AT25" s="10">
        <f t="shared" si="250"/>
        <v>6.1309714823609952E-2</v>
      </c>
      <c r="AU25" s="10">
        <f t="shared" si="250"/>
        <v>6.5822972653369755E-2</v>
      </c>
      <c r="AV25" s="10">
        <f t="shared" si="250"/>
        <v>6.6573893924984945E-2</v>
      </c>
      <c r="AW25" s="10">
        <f t="shared" si="250"/>
        <v>6.2896515371147807E-2</v>
      </c>
      <c r="AX25" s="10">
        <f t="shared" ref="AX25:BI25" si="251">AX11/AX5</f>
        <v>7.0126146348213125E-2</v>
      </c>
      <c r="AY25" s="10">
        <f t="shared" si="251"/>
        <v>7.2549769593646979E-2</v>
      </c>
      <c r="AZ25" s="10">
        <f t="shared" si="251"/>
        <v>6.006555190163388E-2</v>
      </c>
      <c r="BA25" s="10">
        <f t="shared" ref="BA25:BB25" si="252">BA11/BA5</f>
        <v>6.3637378020328261E-2</v>
      </c>
      <c r="BB25" s="10">
        <f t="shared" si="252"/>
        <v>6.5048201729783317E-2</v>
      </c>
      <c r="BC25" s="10">
        <f t="shared" ref="BC25" si="253">BC11/BC5</f>
        <v>6.6738271510222866E-2</v>
      </c>
      <c r="BD25" s="10">
        <f t="shared" si="251"/>
        <v>6.6259757718575743E-2</v>
      </c>
      <c r="BE25" s="10">
        <f t="shared" si="251"/>
        <v>6.554583318494929E-2</v>
      </c>
      <c r="BF25" s="10">
        <f t="shared" si="251"/>
        <v>6.5115774623021705E-2</v>
      </c>
      <c r="BG25" s="10">
        <f t="shared" si="251"/>
        <v>6.482755472879384E-2</v>
      </c>
      <c r="BH25" s="10">
        <f t="shared" si="251"/>
        <v>6.4698765980768125E-2</v>
      </c>
      <c r="BI25" s="10">
        <f t="shared" si="251"/>
        <v>6.4549439415841264E-2</v>
      </c>
      <c r="BJ25" s="10">
        <f t="shared" ref="BJ25:BL25" si="254">BJ11/BJ5</f>
        <v>6.4579808325905555E-2</v>
      </c>
      <c r="BK25" s="10">
        <f t="shared" si="254"/>
        <v>6.3964759849465883E-2</v>
      </c>
      <c r="BL25" s="10">
        <f t="shared" si="254"/>
        <v>6.35492857306343E-2</v>
      </c>
      <c r="BM25" s="10">
        <f t="shared" ref="BM25:BN25" si="255">BM11/BM5</f>
        <v>6.3339505901097395E-2</v>
      </c>
      <c r="BN25" s="10">
        <f t="shared" si="255"/>
        <v>6.3129050000616152E-2</v>
      </c>
    </row>
    <row r="26" spans="2:179" s="6" customFormat="1" x14ac:dyDescent="0.3">
      <c r="B26" s="6" t="s">
        <v>41</v>
      </c>
      <c r="C26" s="11">
        <f>C13/C5</f>
        <v>0.29757738439060855</v>
      </c>
      <c r="D26" s="11">
        <f t="shared" ref="D26:BI26" si="256">D13/D5</f>
        <v>0.25997350213455028</v>
      </c>
      <c r="E26" s="11">
        <f t="shared" si="256"/>
        <v>0.23677837228949591</v>
      </c>
      <c r="F26" s="11">
        <f t="shared" si="256"/>
        <v>0.25624801271860098</v>
      </c>
      <c r="G26" s="11">
        <f t="shared" si="256"/>
        <v>0.27690665401494485</v>
      </c>
      <c r="H26" s="11">
        <f t="shared" si="256"/>
        <v>0.2312333017323106</v>
      </c>
      <c r="I26" s="11">
        <f t="shared" si="256"/>
        <v>0.2145366016837332</v>
      </c>
      <c r="J26" s="11">
        <f t="shared" si="256"/>
        <v>0.24398813241723921</v>
      </c>
      <c r="K26" s="11">
        <f t="shared" si="256"/>
        <v>0.2784717759940753</v>
      </c>
      <c r="L26" s="11">
        <f t="shared" si="256"/>
        <v>0.22041397287054346</v>
      </c>
      <c r="M26" s="11">
        <f t="shared" si="256"/>
        <v>0.21933484124989527</v>
      </c>
      <c r="N26" s="11">
        <f t="shared" si="256"/>
        <v>0.2283687285542057</v>
      </c>
      <c r="O26" s="11">
        <f t="shared" ref="O26:S26" si="257">O13/O5</f>
        <v>0.30091799100853384</v>
      </c>
      <c r="P26" s="11">
        <f t="shared" si="257"/>
        <v>0.30700794784782998</v>
      </c>
      <c r="Q26" s="11">
        <f t="shared" ref="Q26:R26" si="258">Q13/Q5</f>
        <v>0.29626445956234498</v>
      </c>
      <c r="R26" s="11">
        <f t="shared" si="258"/>
        <v>0.28534069097888676</v>
      </c>
      <c r="S26" s="11">
        <f t="shared" si="257"/>
        <v>0.33472911371979508</v>
      </c>
      <c r="T26" s="11">
        <f t="shared" ref="T26:U26" si="259">T13/T5</f>
        <v>0.30817862209338187</v>
      </c>
      <c r="U26" s="11">
        <f t="shared" si="259"/>
        <v>0.27816150146457891</v>
      </c>
      <c r="V26" s="11">
        <f t="shared" ref="V26" si="260">V13/V5</f>
        <v>0.27615202005635303</v>
      </c>
      <c r="W26" s="11">
        <f t="shared" ref="W26:X26" si="261">W13/W5</f>
        <v>0.30742441572630896</v>
      </c>
      <c r="X26" s="11">
        <f t="shared" si="261"/>
        <v>0.29859968788223878</v>
      </c>
      <c r="Y26" s="11">
        <f t="shared" ref="Y26:Z26" si="262">Y13/Y5</f>
        <v>0.28115945572576012</v>
      </c>
      <c r="Z26" s="11">
        <f t="shared" si="262"/>
        <v>0.30133634271156895</v>
      </c>
      <c r="AA26" s="11">
        <f t="shared" ref="AA26:AD26" si="263">AA13/AA5</f>
        <v>0.33763746602550698</v>
      </c>
      <c r="AB26" s="11">
        <f t="shared" si="263"/>
        <v>0.30742785362467356</v>
      </c>
      <c r="AC26" s="11">
        <f t="shared" si="263"/>
        <v>0.29555708406682446</v>
      </c>
      <c r="AD26" s="11">
        <f t="shared" si="263"/>
        <v>0.31171389444854103</v>
      </c>
      <c r="AE26" s="11">
        <f t="shared" ref="AE26:AH26" si="264">AE13/AE5</f>
        <v>0.34458567980691873</v>
      </c>
      <c r="AF26" s="11">
        <f t="shared" si="264"/>
        <v>0.3240642554412228</v>
      </c>
      <c r="AG26" s="11">
        <f t="shared" si="264"/>
        <v>0.3089304071542267</v>
      </c>
      <c r="AH26" s="11">
        <f t="shared" si="264"/>
        <v>0.31747281190969689</v>
      </c>
      <c r="AI26" s="11"/>
      <c r="AJ26" s="11">
        <f t="shared" ref="AJ26:AP26" si="265">AJ13/AJ5</f>
        <v>0.11793841073864045</v>
      </c>
      <c r="AK26" s="11">
        <f t="shared" si="265"/>
        <v>0.1269997411338338</v>
      </c>
      <c r="AL26" s="11">
        <f t="shared" si="265"/>
        <v>0.1836624177289011</v>
      </c>
      <c r="AM26" s="11">
        <f t="shared" si="265"/>
        <v>0.22210663892667573</v>
      </c>
      <c r="AN26" s="11">
        <f t="shared" si="265"/>
        <v>0.2736277823097541</v>
      </c>
      <c r="AO26" s="11">
        <f t="shared" si="265"/>
        <v>0.28187044844768111</v>
      </c>
      <c r="AP26" s="11">
        <f t="shared" si="265"/>
        <v>0.31215068961376086</v>
      </c>
      <c r="AQ26" s="11">
        <f t="shared" ref="AQ26:AW26" si="266">AQ13/AQ5</f>
        <v>0.35295959311984054</v>
      </c>
      <c r="AR26" s="11">
        <f t="shared" si="266"/>
        <v>0.28669475162366159</v>
      </c>
      <c r="AS26" s="11">
        <f t="shared" si="266"/>
        <v>0.28722339232473537</v>
      </c>
      <c r="AT26" s="11">
        <f t="shared" si="266"/>
        <v>0.30477290717326661</v>
      </c>
      <c r="AU26" s="11">
        <f t="shared" si="266"/>
        <v>0.27835410106706115</v>
      </c>
      <c r="AV26" s="11">
        <f t="shared" si="266"/>
        <v>0.26760428208729942</v>
      </c>
      <c r="AW26" s="11">
        <f t="shared" si="266"/>
        <v>0.26694026619477024</v>
      </c>
      <c r="AX26" s="11">
        <f t="shared" si="256"/>
        <v>0.24572017188496928</v>
      </c>
      <c r="AY26" s="11">
        <f t="shared" si="256"/>
        <v>0.24147314354406862</v>
      </c>
      <c r="AZ26" s="11">
        <f t="shared" si="256"/>
        <v>0.29782377527561593</v>
      </c>
      <c r="BA26" s="11">
        <f t="shared" ref="BA26:BB26" si="267">BA13/BA5</f>
        <v>0.30288744395528594</v>
      </c>
      <c r="BB26" s="11">
        <f t="shared" si="267"/>
        <v>0.29821412265024722</v>
      </c>
      <c r="BC26" s="11">
        <f t="shared" ref="BC26" si="268">BC13/BC5</f>
        <v>0.31510222870075566</v>
      </c>
      <c r="BD26" s="11">
        <f t="shared" si="256"/>
        <v>0.32538452239704135</v>
      </c>
      <c r="BE26" s="11">
        <f t="shared" si="256"/>
        <v>0.33252118542527015</v>
      </c>
      <c r="BF26" s="11">
        <f t="shared" si="256"/>
        <v>0.33649246684483286</v>
      </c>
      <c r="BG26" s="11">
        <f t="shared" si="256"/>
        <v>0.34026900333413873</v>
      </c>
      <c r="BH26" s="11">
        <f t="shared" si="256"/>
        <v>0.34296682906027692</v>
      </c>
      <c r="BI26" s="11">
        <f t="shared" si="256"/>
        <v>0.34575505839303883</v>
      </c>
      <c r="BJ26" s="11">
        <f t="shared" ref="BJ26:BL26" si="269">BJ13/BJ5</f>
        <v>0.34817154705718839</v>
      </c>
      <c r="BK26" s="11">
        <f t="shared" si="269"/>
        <v>0.3512748887530745</v>
      </c>
      <c r="BL26" s="11">
        <f t="shared" si="269"/>
        <v>0.35310811814132537</v>
      </c>
      <c r="BM26" s="11">
        <f t="shared" ref="BM26:BN26" si="270">BM13/BM5</f>
        <v>0.35362430876573053</v>
      </c>
      <c r="BN26" s="11">
        <f t="shared" si="270"/>
        <v>0.35414216295084922</v>
      </c>
    </row>
    <row r="28" spans="2:179" x14ac:dyDescent="0.3">
      <c r="B28" t="s">
        <v>52</v>
      </c>
      <c r="G28" s="11">
        <f t="shared" ref="G28:N28" si="271">G3/C3-1</f>
        <v>-7.2368753473801228E-2</v>
      </c>
      <c r="H28" s="11">
        <f t="shared" si="271"/>
        <v>-9.2070115233879979E-2</v>
      </c>
      <c r="I28" s="11">
        <f t="shared" si="271"/>
        <v>-1.7194570135746656E-2</v>
      </c>
      <c r="J28" s="11">
        <f t="shared" si="271"/>
        <v>-1.4760712032274692E-2</v>
      </c>
      <c r="K28" s="11">
        <f t="shared" si="271"/>
        <v>7.719752161775717E-2</v>
      </c>
      <c r="L28" s="11">
        <f t="shared" si="271"/>
        <v>-3.4360571244496985E-2</v>
      </c>
      <c r="M28" s="11">
        <f t="shared" si="271"/>
        <v>9.8573924540775293E-2</v>
      </c>
      <c r="N28" s="11">
        <f t="shared" si="271"/>
        <v>-2.6781035921519925E-2</v>
      </c>
      <c r="O28" s="11">
        <f t="shared" ref="O28:O30" si="272">O3/K3-1</f>
        <v>0.20952164239482207</v>
      </c>
      <c r="P28" s="11">
        <f t="shared" ref="P28:P30" si="273">P3/L3-1</f>
        <v>0.61643500500389181</v>
      </c>
      <c r="Q28" s="11">
        <f t="shared" ref="Q28:S30" si="274">Q3/M3-1</f>
        <v>0.37436867330052226</v>
      </c>
      <c r="R28" s="11">
        <f t="shared" si="274"/>
        <v>0.2977925781172106</v>
      </c>
      <c r="S28" s="11">
        <f t="shared" si="274"/>
        <v>9.1463032254018639E-2</v>
      </c>
      <c r="T28" s="11">
        <f t="shared" ref="T28:U30" si="275">T3/P3-1</f>
        <v>6.5682484212264303E-2</v>
      </c>
      <c r="U28" s="11">
        <f t="shared" si="275"/>
        <v>-9.2731594420466523E-3</v>
      </c>
      <c r="V28" s="11">
        <f t="shared" ref="V28:V30" si="276">V3/R3-1</f>
        <v>9.0269348370542124E-2</v>
      </c>
      <c r="W28" s="11">
        <f t="shared" ref="W28:X30" si="277">W3/S3-1</f>
        <v>-7.6999683995824908E-2</v>
      </c>
      <c r="X28" s="11">
        <f t="shared" si="277"/>
        <v>-4.5547852356791485E-2</v>
      </c>
      <c r="Y28" s="11">
        <f t="shared" ref="Y28:AA30" si="278">Y3/U3-1</f>
        <v>-4.3737668692289455E-2</v>
      </c>
      <c r="Z28" s="11">
        <f t="shared" si="278"/>
        <v>-5.3186391950167722E-2</v>
      </c>
      <c r="AA28" s="11">
        <f t="shared" si="278"/>
        <v>7.2623148109718372E-4</v>
      </c>
      <c r="AB28" s="14">
        <f t="shared" ref="AB28:AB30" si="279">AB3/X3-1</f>
        <v>-9.5267080577310703E-2</v>
      </c>
      <c r="AC28" s="11">
        <f t="shared" ref="AC28:AC30" si="280">AC3/Y3-1</f>
        <v>1.6175888023240548E-2</v>
      </c>
      <c r="AD28" s="11">
        <f t="shared" ref="AD28:AD30" si="281">AD3/Z3-1</f>
        <v>4.1289592760181071E-2</v>
      </c>
      <c r="AE28" s="11">
        <f t="shared" ref="AE28:AE30" si="282">AE3/AA3-1</f>
        <v>1.5571544091729006E-2</v>
      </c>
      <c r="AF28" s="11">
        <f t="shared" ref="AF28:AF30" si="283">AF3/AB3-1</f>
        <v>2.0000000000000018E-2</v>
      </c>
      <c r="AG28" s="11">
        <f t="shared" ref="AG28:AG30" si="284">AG3/AC3-1</f>
        <v>2.0000000000000018E-2</v>
      </c>
      <c r="AH28" s="11">
        <f t="shared" ref="AH28:AH30" si="285">AH3/AD3-1</f>
        <v>2.0000000000000018E-2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X28" s="11">
        <f t="shared" ref="AX28:AY28" si="286">AX3/AW3-1</f>
        <v>-5.2973915969660834E-2</v>
      </c>
      <c r="AY28" s="11">
        <f t="shared" si="286"/>
        <v>3.2092312151970948E-2</v>
      </c>
      <c r="AZ28" s="11">
        <f t="shared" ref="AZ28:BL28" si="287">AZ3/AY3-1</f>
        <v>0.34720743656765429</v>
      </c>
      <c r="BA28" s="11">
        <f t="shared" si="287"/>
        <v>6.3239764351428418E-2</v>
      </c>
      <c r="BB28" s="11">
        <f t="shared" si="287"/>
        <v>-5.7286708686618226E-2</v>
      </c>
      <c r="BC28" s="11">
        <f t="shared" si="287"/>
        <v>-1.0798933190197424E-2</v>
      </c>
      <c r="BD28" s="11">
        <f t="shared" si="287"/>
        <v>1.855134196550301E-2</v>
      </c>
      <c r="BE28" s="11">
        <f t="shared" si="287"/>
        <v>1.0000000000000009E-2</v>
      </c>
      <c r="BF28" s="11">
        <f t="shared" si="287"/>
        <v>1.0000000000000009E-2</v>
      </c>
      <c r="BG28" s="11">
        <f t="shared" si="287"/>
        <v>1.0000000000000009E-2</v>
      </c>
      <c r="BH28" s="11">
        <f t="shared" si="287"/>
        <v>1.0000000000000009E-2</v>
      </c>
      <c r="BI28" s="11">
        <f t="shared" si="287"/>
        <v>1.0000000000000009E-2</v>
      </c>
      <c r="BJ28" s="11">
        <f t="shared" si="287"/>
        <v>1.0000000000000009E-2</v>
      </c>
      <c r="BK28" s="11">
        <f t="shared" si="287"/>
        <v>1.0000000000000009E-2</v>
      </c>
      <c r="BL28" s="11">
        <f t="shared" si="287"/>
        <v>1.0000000000000009E-2</v>
      </c>
      <c r="BM28" s="11">
        <f t="shared" ref="BM28:BM30" si="288">BM3/BL3-1</f>
        <v>1.0000000000000009E-2</v>
      </c>
      <c r="BN28" s="11">
        <f t="shared" ref="BN28:BN30" si="289">BN3/BM3-1</f>
        <v>1.0000000000000009E-2</v>
      </c>
    </row>
    <row r="29" spans="2:179" x14ac:dyDescent="0.3">
      <c r="B29" t="s">
        <v>53</v>
      </c>
      <c r="G29" s="11">
        <f t="shared" ref="G29:N29" si="290">G4/C4-1</f>
        <v>0.19125862635557023</v>
      </c>
      <c r="H29" s="11">
        <f t="shared" si="290"/>
        <v>0.1624365482233503</v>
      </c>
      <c r="I29" s="11">
        <f t="shared" si="290"/>
        <v>0.12635201573254662</v>
      </c>
      <c r="J29" s="11">
        <f t="shared" si="290"/>
        <v>0.18039437682800274</v>
      </c>
      <c r="K29" s="11">
        <f t="shared" si="290"/>
        <v>0.16919540229885066</v>
      </c>
      <c r="L29" s="11">
        <f t="shared" si="290"/>
        <v>0.16576419213973792</v>
      </c>
      <c r="M29" s="11">
        <f t="shared" si="290"/>
        <v>0.14849410737669144</v>
      </c>
      <c r="N29" s="11">
        <f t="shared" si="290"/>
        <v>0.16289665094716654</v>
      </c>
      <c r="O29" s="11">
        <f t="shared" si="272"/>
        <v>0.23955957530475813</v>
      </c>
      <c r="P29" s="11">
        <f t="shared" si="273"/>
        <v>0.26618219958046141</v>
      </c>
      <c r="Q29" s="11">
        <f t="shared" si="274"/>
        <v>0.32912739434478566</v>
      </c>
      <c r="R29" s="11">
        <f t="shared" si="274"/>
        <v>0.25623754209911342</v>
      </c>
      <c r="S29" s="11">
        <f t="shared" si="274"/>
        <v>0.23824630416851722</v>
      </c>
      <c r="T29" s="11">
        <f t="shared" si="275"/>
        <v>0.17277084196201398</v>
      </c>
      <c r="U29" s="11">
        <f t="shared" si="275"/>
        <v>0.12112547180601618</v>
      </c>
      <c r="V29" s="11">
        <f t="shared" si="276"/>
        <v>4.984406631285232E-2</v>
      </c>
      <c r="W29" s="11">
        <f t="shared" si="277"/>
        <v>6.4050010248001721E-2</v>
      </c>
      <c r="X29" s="11">
        <f t="shared" si="277"/>
        <v>5.4790373845921003E-2</v>
      </c>
      <c r="Y29" s="11">
        <f t="shared" si="278"/>
        <v>8.2075086716996593E-2</v>
      </c>
      <c r="Z29" s="11">
        <f t="shared" si="278"/>
        <v>0.16291432145090678</v>
      </c>
      <c r="AA29" s="11">
        <f t="shared" si="278"/>
        <v>0.11321390734855052</v>
      </c>
      <c r="AB29" s="11">
        <f t="shared" si="279"/>
        <v>0.14157937532883724</v>
      </c>
      <c r="AC29" s="11">
        <f t="shared" si="280"/>
        <v>0.1414227124876255</v>
      </c>
      <c r="AD29" s="11">
        <f t="shared" si="281"/>
        <v>0.11911804248453883</v>
      </c>
      <c r="AE29" s="11">
        <f t="shared" si="282"/>
        <v>0.13942120517368162</v>
      </c>
      <c r="AF29" s="11">
        <f t="shared" si="283"/>
        <v>0.12000000000000011</v>
      </c>
      <c r="AG29" s="11">
        <f t="shared" si="284"/>
        <v>0.12000000000000011</v>
      </c>
      <c r="AH29" s="11">
        <f t="shared" si="285"/>
        <v>0.10000000000000009</v>
      </c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X29" s="11">
        <f t="shared" ref="AX29:AY29" si="291">AX4/AW4-1</f>
        <v>0.16461205595250084</v>
      </c>
      <c r="AY29" s="11">
        <f t="shared" si="291"/>
        <v>0.16152167807997242</v>
      </c>
      <c r="AZ29" s="11">
        <f t="shared" ref="AZ29:BL29" si="292">AZ4/AY4-1</f>
        <v>0.27259708376729663</v>
      </c>
      <c r="BA29" s="11">
        <f t="shared" si="292"/>
        <v>0.14181951041286078</v>
      </c>
      <c r="BB29" s="11">
        <f t="shared" si="292"/>
        <v>9.0504166186691215E-2</v>
      </c>
      <c r="BC29" s="11">
        <f t="shared" si="292"/>
        <v>0.12874413145539898</v>
      </c>
      <c r="BD29" s="11">
        <f t="shared" si="292"/>
        <v>0.11947509072570162</v>
      </c>
      <c r="BE29" s="11">
        <f t="shared" si="292"/>
        <v>9.000000000000008E-2</v>
      </c>
      <c r="BF29" s="11">
        <f t="shared" si="292"/>
        <v>7.0000000000000062E-2</v>
      </c>
      <c r="BG29" s="11">
        <f t="shared" si="292"/>
        <v>6.0000000000000053E-2</v>
      </c>
      <c r="BH29" s="11">
        <f t="shared" si="292"/>
        <v>5.0000000000000044E-2</v>
      </c>
      <c r="BI29" s="11">
        <f t="shared" si="292"/>
        <v>5.0000000000000044E-2</v>
      </c>
      <c r="BJ29" s="11">
        <f t="shared" si="292"/>
        <v>4.0000000000000036E-2</v>
      </c>
      <c r="BK29" s="11">
        <f t="shared" si="292"/>
        <v>4.0000000000000036E-2</v>
      </c>
      <c r="BL29" s="11">
        <f t="shared" si="292"/>
        <v>3.0000000000000027E-2</v>
      </c>
      <c r="BM29" s="11">
        <f t="shared" si="288"/>
        <v>2.0000000000000018E-2</v>
      </c>
      <c r="BN29" s="11">
        <f t="shared" si="289"/>
        <v>2.0000000000000018E-2</v>
      </c>
      <c r="BP29" t="s">
        <v>43</v>
      </c>
      <c r="BQ29" s="10">
        <v>-0.01</v>
      </c>
    </row>
    <row r="30" spans="2:179" s="6" customFormat="1" x14ac:dyDescent="0.3">
      <c r="B30" s="6" t="s">
        <v>42</v>
      </c>
      <c r="G30" s="11">
        <f>G5/C5-1</f>
        <v>-4.5111163965433243E-2</v>
      </c>
      <c r="H30" s="11">
        <f t="shared" ref="H30:N30" si="293">H5/D5-1</f>
        <v>-5.1065639465462831E-2</v>
      </c>
      <c r="I30" s="11">
        <f t="shared" si="293"/>
        <v>1.0213085515817122E-2</v>
      </c>
      <c r="J30" s="11">
        <f t="shared" si="293"/>
        <v>1.8124006359300449E-2</v>
      </c>
      <c r="K30" s="11">
        <f t="shared" si="293"/>
        <v>8.9064167951607098E-2</v>
      </c>
      <c r="L30" s="11">
        <f t="shared" si="293"/>
        <v>5.1366026027750422E-3</v>
      </c>
      <c r="M30" s="11">
        <f t="shared" si="293"/>
        <v>0.10920106301919752</v>
      </c>
      <c r="N30" s="11">
        <f t="shared" si="293"/>
        <v>1.0274828232354816E-2</v>
      </c>
      <c r="O30" s="11">
        <f t="shared" si="272"/>
        <v>0.21368126422635836</v>
      </c>
      <c r="P30" s="11">
        <f t="shared" si="273"/>
        <v>0.53626121105070901</v>
      </c>
      <c r="Q30" s="11">
        <f t="shared" si="274"/>
        <v>0.36439641450950822</v>
      </c>
      <c r="R30" s="11">
        <f t="shared" si="274"/>
        <v>0.28844786546724777</v>
      </c>
      <c r="S30" s="11">
        <f t="shared" si="274"/>
        <v>0.11222283042740866</v>
      </c>
      <c r="T30" s="11">
        <f t="shared" si="275"/>
        <v>8.5885872477228009E-2</v>
      </c>
      <c r="U30" s="11">
        <f t="shared" si="275"/>
        <v>1.8726821720657316E-2</v>
      </c>
      <c r="V30" s="11">
        <f t="shared" si="276"/>
        <v>8.1405950095969182E-2</v>
      </c>
      <c r="W30" s="11">
        <f t="shared" si="277"/>
        <v>-5.4790431239662762E-2</v>
      </c>
      <c r="X30" s="11">
        <f t="shared" si="277"/>
        <v>-2.5103312156911084E-2</v>
      </c>
      <c r="Y30" s="11">
        <f t="shared" si="278"/>
        <v>-1.4006919080509661E-2</v>
      </c>
      <c r="Z30" s="11">
        <f t="shared" si="278"/>
        <v>-7.1883389168682088E-3</v>
      </c>
      <c r="AA30" s="11">
        <f t="shared" si="278"/>
        <v>2.0665107465387411E-2</v>
      </c>
      <c r="AB30" s="11">
        <f t="shared" si="279"/>
        <v>-4.3053270909781061E-2</v>
      </c>
      <c r="AC30" s="11">
        <f t="shared" si="280"/>
        <v>4.8657041211780383E-2</v>
      </c>
      <c r="AD30" s="11">
        <f t="shared" si="281"/>
        <v>6.0694093722764686E-2</v>
      </c>
      <c r="AE30" s="11">
        <f t="shared" si="282"/>
        <v>3.9514948776918191E-2</v>
      </c>
      <c r="AF30" s="11">
        <f t="shared" si="283"/>
        <v>4.6298855134265571E-2</v>
      </c>
      <c r="AG30" s="11">
        <f t="shared" si="284"/>
        <v>4.8227846625552351E-2</v>
      </c>
      <c r="AH30" s="11">
        <f t="shared" si="285"/>
        <v>4.1044559148846416E-2</v>
      </c>
      <c r="AI30" s="11"/>
      <c r="AJ30" s="11"/>
      <c r="AK30" s="11">
        <f t="shared" ref="AK30:AP30" si="294">AK5/AJ5-1</f>
        <v>0.38647620414902017</v>
      </c>
      <c r="AL30" s="11">
        <f t="shared" si="294"/>
        <v>0.24286823712140815</v>
      </c>
      <c r="AM30" s="11">
        <f t="shared" si="294"/>
        <v>0.56173456635841035</v>
      </c>
      <c r="AN30" s="11">
        <f t="shared" si="294"/>
        <v>0.14440799125123371</v>
      </c>
      <c r="AO30" s="11">
        <f t="shared" si="294"/>
        <v>0.52021908868430256</v>
      </c>
      <c r="AP30" s="11">
        <f t="shared" si="294"/>
        <v>0.65962437715599842</v>
      </c>
      <c r="AQ30" s="11">
        <f t="shared" ref="AQ30:AW30" si="295">AQ5/AP5-1</f>
        <v>0.44581474193756976</v>
      </c>
      <c r="AR30" s="11">
        <f t="shared" si="295"/>
        <v>9.2020855163953197E-2</v>
      </c>
      <c r="AS30" s="11">
        <f t="shared" si="295"/>
        <v>6.9539523725937524E-2</v>
      </c>
      <c r="AT30" s="11">
        <f t="shared" si="295"/>
        <v>0.27856341803659834</v>
      </c>
      <c r="AU30" s="11">
        <f t="shared" si="295"/>
        <v>-7.7342061913013738E-2</v>
      </c>
      <c r="AV30" s="11">
        <f t="shared" si="295"/>
        <v>6.304518199398057E-2</v>
      </c>
      <c r="AW30" s="11">
        <f t="shared" si="295"/>
        <v>0.15861957650261305</v>
      </c>
      <c r="AX30" s="11">
        <f>AX5/AW5-1</f>
        <v>-2.04107758052674E-2</v>
      </c>
      <c r="AY30" s="11">
        <f t="shared" ref="AY30:BL30" si="296">AY5/AX5-1</f>
        <v>5.5120803769784787E-2</v>
      </c>
      <c r="AZ30" s="11">
        <f t="shared" si="296"/>
        <v>0.33259384733074704</v>
      </c>
      <c r="BA30" s="11">
        <f t="shared" si="296"/>
        <v>7.7937876041846099E-2</v>
      </c>
      <c r="BB30" s="11">
        <f t="shared" si="296"/>
        <v>-2.800460530319937E-2</v>
      </c>
      <c r="BC30" s="11">
        <f t="shared" si="296"/>
        <v>2.021994077514111E-2</v>
      </c>
      <c r="BD30" s="11">
        <f t="shared" si="296"/>
        <v>4.3371974375695288E-2</v>
      </c>
      <c r="BE30" s="11">
        <f t="shared" si="296"/>
        <v>3.1109829395931765E-2</v>
      </c>
      <c r="BF30" s="11">
        <f t="shared" si="296"/>
        <v>2.6736612375506397E-2</v>
      </c>
      <c r="BG30" s="11">
        <f t="shared" si="296"/>
        <v>2.4534866282436729E-2</v>
      </c>
      <c r="BH30" s="11">
        <f t="shared" si="296"/>
        <v>2.2030402295853513E-2</v>
      </c>
      <c r="BI30" s="11">
        <f t="shared" si="296"/>
        <v>2.2359634686277552E-2</v>
      </c>
      <c r="BJ30" s="11">
        <f t="shared" si="296"/>
        <v>1.952034096928168E-2</v>
      </c>
      <c r="BK30" s="11">
        <f t="shared" si="296"/>
        <v>1.9711581231071529E-2</v>
      </c>
      <c r="BL30" s="11">
        <f t="shared" si="296"/>
        <v>1.6603203406542866E-2</v>
      </c>
      <c r="BM30" s="11">
        <f t="shared" si="288"/>
        <v>1.3345110209149968E-2</v>
      </c>
      <c r="BN30" s="11">
        <f t="shared" si="289"/>
        <v>1.3367078381252062E-2</v>
      </c>
      <c r="BP30" t="s">
        <v>44</v>
      </c>
      <c r="BQ30" s="10">
        <v>0.05</v>
      </c>
    </row>
    <row r="31" spans="2:179" x14ac:dyDescent="0.3">
      <c r="BP31" t="s">
        <v>45</v>
      </c>
      <c r="BQ31" s="3">
        <f>NPV(BQ30,BD17:FW17)</f>
        <v>2692067.9399692281</v>
      </c>
    </row>
    <row r="32" spans="2:179" x14ac:dyDescent="0.3">
      <c r="B32" t="s">
        <v>35</v>
      </c>
      <c r="C32" s="10">
        <f>C16/C15</f>
        <v>0.25767665556788755</v>
      </c>
      <c r="D32" s="10">
        <f t="shared" ref="D32:M32" si="297">D16/D15</f>
        <v>0.14510143493320138</v>
      </c>
      <c r="E32" s="10">
        <f t="shared" si="297"/>
        <v>0.13286660644384221</v>
      </c>
      <c r="F32" s="10">
        <f t="shared" si="297"/>
        <v>0.13982096096461846</v>
      </c>
      <c r="G32" s="10">
        <f t="shared" si="297"/>
        <v>0.16485401154521878</v>
      </c>
      <c r="H32" s="10">
        <f t="shared" si="297"/>
        <v>0.16182121365910243</v>
      </c>
      <c r="I32" s="10">
        <f t="shared" si="297"/>
        <v>0.15674586516665268</v>
      </c>
      <c r="J32" s="10">
        <f t="shared" si="297"/>
        <v>0.15136107149500838</v>
      </c>
      <c r="K32" s="10">
        <f t="shared" si="297"/>
        <v>0.14206343082027933</v>
      </c>
      <c r="L32" s="10">
        <f t="shared" si="297"/>
        <v>0.14358583936048724</v>
      </c>
      <c r="M32" s="10">
        <f t="shared" si="297"/>
        <v>0.14341173783968944</v>
      </c>
      <c r="N32" s="10">
        <f t="shared" ref="N32:BI32" si="298">N16/N15</f>
        <v>0.14952016643178309</v>
      </c>
      <c r="O32" s="10">
        <f t="shared" ref="O32:S32" si="299">O16/O15</f>
        <v>0.14366121683194855</v>
      </c>
      <c r="P32" s="10">
        <f t="shared" si="299"/>
        <v>0.1564028417407447</v>
      </c>
      <c r="Q32" s="10">
        <f t="shared" ref="Q32:R32" si="300">Q16/Q15</f>
        <v>0.10771882309491568</v>
      </c>
      <c r="R32" s="10">
        <f t="shared" si="300"/>
        <v>0.11600997935306263</v>
      </c>
      <c r="S32" s="10">
        <f t="shared" si="299"/>
        <v>0.16030164157028201</v>
      </c>
      <c r="T32" s="10">
        <f t="shared" ref="T32:U32" si="301">T16/T15</f>
        <v>0.17017817445834302</v>
      </c>
      <c r="U32" s="10">
        <f t="shared" si="301"/>
        <v>0.15711436746726784</v>
      </c>
      <c r="V32" s="10">
        <f t="shared" ref="V32" si="302">V16/V15</f>
        <v>0.15963012531938192</v>
      </c>
      <c r="W32" s="10">
        <f t="shared" ref="W32:X32" si="303">W16/W15</f>
        <v>0.15790360160570419</v>
      </c>
      <c r="X32" s="10">
        <f t="shared" si="303"/>
        <v>0.14875625396377987</v>
      </c>
      <c r="Y32" s="10">
        <f t="shared" ref="Y32:Z32" si="304">Y16/Y15</f>
        <v>0.12545638499098227</v>
      </c>
      <c r="Z32" s="10">
        <f t="shared" si="304"/>
        <v>0.14971479368842136</v>
      </c>
      <c r="AA32" s="10">
        <f t="shared" ref="AA32:AD32" si="305">AA16/AA15</f>
        <v>0.15889194752374575</v>
      </c>
      <c r="AB32" s="10">
        <f t="shared" si="305"/>
        <v>0.1576021099151757</v>
      </c>
      <c r="AC32" s="10">
        <f t="shared" si="305"/>
        <v>0.15870400878638111</v>
      </c>
      <c r="AD32" s="10">
        <f t="shared" si="305"/>
        <v>0.50233029381965555</v>
      </c>
      <c r="AE32" s="10">
        <f t="shared" ref="AE32:AH32" si="306">AE16/AE15</f>
        <v>0.14686267142588766</v>
      </c>
      <c r="AF32" s="10">
        <f t="shared" si="306"/>
        <v>0.16</v>
      </c>
      <c r="AG32" s="10">
        <f t="shared" si="306"/>
        <v>0.16</v>
      </c>
      <c r="AH32" s="10">
        <f t="shared" si="306"/>
        <v>0.16</v>
      </c>
      <c r="AI32" s="10"/>
      <c r="AJ32" s="10">
        <f t="shared" ref="AJ32:AP32" si="307">AJ16/AJ15</f>
        <v>0.26548672566371684</v>
      </c>
      <c r="AK32" s="10">
        <f t="shared" si="307"/>
        <v>0.29418026969481903</v>
      </c>
      <c r="AL32" s="10">
        <f t="shared" si="307"/>
        <v>0.30191693290734822</v>
      </c>
      <c r="AM32" s="10">
        <f t="shared" si="307"/>
        <v>0.3160836034424947</v>
      </c>
      <c r="AN32" s="10">
        <f t="shared" si="307"/>
        <v>0.31750372948781702</v>
      </c>
      <c r="AO32" s="10">
        <f t="shared" si="307"/>
        <v>0.24417475728155341</v>
      </c>
      <c r="AP32" s="10">
        <f t="shared" si="307"/>
        <v>0.24215757930127174</v>
      </c>
      <c r="AQ32" s="10">
        <f t="shared" si="298"/>
        <v>0.25160052364471064</v>
      </c>
      <c r="AR32" s="10">
        <f t="shared" si="298"/>
        <v>0.26154919748778788</v>
      </c>
      <c r="AS32" s="10">
        <f t="shared" si="298"/>
        <v>0.26126058747639436</v>
      </c>
      <c r="AT32" s="10">
        <f t="shared" si="298"/>
        <v>0.26368337585327173</v>
      </c>
      <c r="AU32" s="10">
        <f t="shared" si="298"/>
        <v>0.25557257381216192</v>
      </c>
      <c r="AV32" s="10">
        <f t="shared" si="298"/>
        <v>0.24556476150353415</v>
      </c>
      <c r="AW32" s="10">
        <f t="shared" si="298"/>
        <v>0.18342180705869443</v>
      </c>
      <c r="AX32" s="10">
        <f t="shared" si="298"/>
        <v>0.15943836804235059</v>
      </c>
      <c r="AY32" s="10">
        <f t="shared" si="298"/>
        <v>0.14428164731484103</v>
      </c>
      <c r="AZ32" s="10">
        <f t="shared" si="298"/>
        <v>0.13302260844085087</v>
      </c>
      <c r="BA32" s="10">
        <f t="shared" ref="BA32:BB32" si="308">BA16/BA15</f>
        <v>0.16204461684424407</v>
      </c>
      <c r="BB32" s="10">
        <f t="shared" si="308"/>
        <v>0.14719174228036858</v>
      </c>
      <c r="BC32" s="10">
        <f t="shared" ref="BC32" si="309">BC16/BC15</f>
        <v>0.24091185164189982</v>
      </c>
      <c r="BD32" s="10">
        <f t="shared" si="298"/>
        <v>0.15577804218059466</v>
      </c>
      <c r="BE32" s="10">
        <f t="shared" si="298"/>
        <v>0.16</v>
      </c>
      <c r="BF32" s="10">
        <f t="shared" si="298"/>
        <v>0.16</v>
      </c>
      <c r="BG32" s="10">
        <f t="shared" si="298"/>
        <v>0.16</v>
      </c>
      <c r="BH32" s="10">
        <f t="shared" si="298"/>
        <v>0.16</v>
      </c>
      <c r="BI32" s="10">
        <f t="shared" si="298"/>
        <v>0.16</v>
      </c>
      <c r="BJ32" s="10">
        <f t="shared" ref="BJ32:BL32" si="310">BJ16/BJ15</f>
        <v>0.16</v>
      </c>
      <c r="BK32" s="10">
        <f t="shared" si="310"/>
        <v>0.16</v>
      </c>
      <c r="BL32" s="10">
        <f t="shared" si="310"/>
        <v>0.16</v>
      </c>
      <c r="BM32" s="10">
        <f t="shared" ref="BM32:BN32" si="311">BM16/BM15</f>
        <v>0.16</v>
      </c>
      <c r="BN32" s="10">
        <f t="shared" si="311"/>
        <v>0.16</v>
      </c>
      <c r="BP32" t="s">
        <v>46</v>
      </c>
      <c r="BQ32" s="3">
        <f>Main!D8</f>
        <v>44569</v>
      </c>
    </row>
    <row r="33" spans="2:69" x14ac:dyDescent="0.3">
      <c r="BP33" t="s">
        <v>47</v>
      </c>
      <c r="BQ33" s="3">
        <f>BQ31+BQ32</f>
        <v>2736636.9399692281</v>
      </c>
    </row>
    <row r="34" spans="2:69" x14ac:dyDescent="0.3">
      <c r="BP34" t="s">
        <v>48</v>
      </c>
      <c r="BQ34" s="12">
        <f>BQ33/BI18</f>
        <v>180.37417215721251</v>
      </c>
    </row>
    <row r="35" spans="2:69" x14ac:dyDescent="0.3">
      <c r="B35" s="13" t="s">
        <v>74</v>
      </c>
      <c r="BP35" t="s">
        <v>49</v>
      </c>
      <c r="BQ35" s="12">
        <f>Main!D3</f>
        <v>183.75</v>
      </c>
    </row>
    <row r="36" spans="2:69" x14ac:dyDescent="0.3">
      <c r="B36" s="13"/>
      <c r="BP36" s="6" t="s">
        <v>50</v>
      </c>
      <c r="BQ36" s="11">
        <f>BQ34/BQ35-1</f>
        <v>-1.8371852205646189E-2</v>
      </c>
    </row>
    <row r="37" spans="2:69" x14ac:dyDescent="0.3">
      <c r="B37" t="s">
        <v>4</v>
      </c>
      <c r="Z37" s="3">
        <f>23646+24658+120805</f>
        <v>169109</v>
      </c>
      <c r="AC37" s="15">
        <f>29965+31590+100544</f>
        <v>162099</v>
      </c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BP37" t="s">
        <v>51</v>
      </c>
      <c r="BQ37" s="5" t="s">
        <v>105</v>
      </c>
    </row>
    <row r="38" spans="2:69" x14ac:dyDescent="0.3">
      <c r="B38" t="s">
        <v>75</v>
      </c>
      <c r="Z38" s="3">
        <v>28184</v>
      </c>
      <c r="AC38" s="15">
        <v>29508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2:69" x14ac:dyDescent="0.3">
      <c r="B39" t="s">
        <v>98</v>
      </c>
      <c r="Z39" s="3">
        <v>32748</v>
      </c>
      <c r="AC39" s="15">
        <v>31477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2:69" x14ac:dyDescent="0.3">
      <c r="B40" t="s">
        <v>76</v>
      </c>
      <c r="Z40" s="3">
        <v>4946</v>
      </c>
      <c r="AC40" s="15">
        <v>6331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2:69" x14ac:dyDescent="0.3">
      <c r="B41" t="s">
        <v>77</v>
      </c>
      <c r="Z41" s="3">
        <v>21233</v>
      </c>
      <c r="AC41" s="15">
        <v>14695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2:69" x14ac:dyDescent="0.3">
      <c r="B42" t="s">
        <v>78</v>
      </c>
      <c r="Z42" s="3">
        <v>42117</v>
      </c>
      <c r="AC42" s="15">
        <v>43715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2:69" x14ac:dyDescent="0.3">
      <c r="B43" t="s">
        <v>79</v>
      </c>
      <c r="Z43" s="3">
        <v>54428</v>
      </c>
      <c r="AC43" s="15">
        <v>64758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2:69" x14ac:dyDescent="0.3">
      <c r="B44" s="6" t="s">
        <v>80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9">
        <f>SUM(Z37:Z43)</f>
        <v>352765</v>
      </c>
      <c r="AA44" s="6"/>
      <c r="AB44" s="6"/>
      <c r="AC44" s="16">
        <f>SUM(AC37:AC43)</f>
        <v>352583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</row>
    <row r="45" spans="2:69" x14ac:dyDescent="0.3">
      <c r="Z45" s="3"/>
      <c r="AC45" s="15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2:69" x14ac:dyDescent="0.3">
      <c r="B46" t="s">
        <v>81</v>
      </c>
      <c r="Z46" s="3">
        <v>64115</v>
      </c>
      <c r="AC46" s="15">
        <v>62611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2:69" x14ac:dyDescent="0.3">
      <c r="B47" t="s">
        <v>82</v>
      </c>
      <c r="Z47" s="3">
        <v>60845</v>
      </c>
      <c r="AC47" s="15">
        <v>58829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2:69" x14ac:dyDescent="0.3">
      <c r="B48" t="s">
        <v>83</v>
      </c>
      <c r="Z48" s="3">
        <v>7912</v>
      </c>
      <c r="AC48" s="15">
        <v>8061</v>
      </c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2:66" x14ac:dyDescent="0.3">
      <c r="B49" t="s">
        <v>5</v>
      </c>
      <c r="Z49" s="3">
        <f>9982+11128+98959</f>
        <v>120069</v>
      </c>
      <c r="AC49" s="15">
        <f>5985+9822+95281</f>
        <v>111088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2:66" x14ac:dyDescent="0.3">
      <c r="B50" t="s">
        <v>84</v>
      </c>
      <c r="Z50" s="3">
        <v>49142</v>
      </c>
      <c r="AC50" s="15">
        <v>49848</v>
      </c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2:66" x14ac:dyDescent="0.3">
      <c r="B51" s="6" t="s">
        <v>85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9">
        <f>SUM(Z46:Z50)</f>
        <v>302083</v>
      </c>
      <c r="AA51" s="6"/>
      <c r="AB51" s="6"/>
      <c r="AC51" s="16">
        <f>SUM(AC46:AC50)</f>
        <v>290437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2:66" x14ac:dyDescent="0.3">
      <c r="B52" s="6" t="s">
        <v>86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9">
        <v>50672</v>
      </c>
      <c r="AA52" s="6"/>
      <c r="AB52" s="6"/>
      <c r="AC52" s="16">
        <v>62146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</row>
    <row r="53" spans="2:66" x14ac:dyDescent="0.3">
      <c r="B53" s="6" t="s">
        <v>87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9">
        <f>Z51+Z52</f>
        <v>352755</v>
      </c>
      <c r="AA53" s="6"/>
      <c r="AB53" s="6"/>
      <c r="AC53" s="16">
        <f>AC51+AC52</f>
        <v>352583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</row>
    <row r="54" spans="2:66" x14ac:dyDescent="0.3">
      <c r="AC54" s="17"/>
    </row>
    <row r="55" spans="2:66" x14ac:dyDescent="0.3">
      <c r="B55" t="s">
        <v>88</v>
      </c>
      <c r="AC55" s="18">
        <f>(AC37-Z37)/Z37</f>
        <v>-4.1452554269731358E-2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8" spans="2:66" x14ac:dyDescent="0.3">
      <c r="B58" s="13" t="s">
        <v>93</v>
      </c>
    </row>
    <row r="60" spans="2:66" s="6" customFormat="1" x14ac:dyDescent="0.3">
      <c r="B60" s="6" t="s">
        <v>94</v>
      </c>
      <c r="AJ60" s="9">
        <f t="shared" ref="AJ60" si="312">AJ17</f>
        <v>1328</v>
      </c>
      <c r="AK60" s="9">
        <f t="shared" ref="AK60:AL60" si="313">AK17</f>
        <v>1989</v>
      </c>
      <c r="AL60" s="9">
        <f t="shared" si="313"/>
        <v>3496</v>
      </c>
      <c r="AM60" s="9">
        <f t="shared" ref="AM60:AN60" si="314">AM17</f>
        <v>6119</v>
      </c>
      <c r="AN60" s="9">
        <f t="shared" si="314"/>
        <v>8235</v>
      </c>
      <c r="AO60" s="9">
        <f t="shared" ref="AO60:AP60" si="315">AO17</f>
        <v>14013</v>
      </c>
      <c r="AP60" s="9">
        <f t="shared" si="315"/>
        <v>25922</v>
      </c>
      <c r="AQ60" s="9">
        <f t="shared" ref="AQ60:AW60" si="316">AQ17</f>
        <v>41733</v>
      </c>
      <c r="AR60" s="9">
        <f t="shared" si="316"/>
        <v>37037</v>
      </c>
      <c r="AS60" s="9">
        <f t="shared" si="316"/>
        <v>39510</v>
      </c>
      <c r="AT60" s="9">
        <f t="shared" si="316"/>
        <v>53394</v>
      </c>
      <c r="AU60" s="9">
        <f t="shared" si="316"/>
        <v>45687</v>
      </c>
      <c r="AV60" s="9">
        <f t="shared" si="316"/>
        <v>48351</v>
      </c>
      <c r="AW60" s="9">
        <f t="shared" si="316"/>
        <v>59531</v>
      </c>
      <c r="AX60" s="9">
        <f t="shared" ref="AX60:AZ60" si="317">AX17</f>
        <v>55256</v>
      </c>
      <c r="AY60" s="9">
        <f t="shared" si="317"/>
        <v>57411</v>
      </c>
      <c r="AZ60" s="9">
        <f t="shared" si="317"/>
        <v>94680</v>
      </c>
      <c r="BA60" s="9">
        <f>BA17</f>
        <v>99803</v>
      </c>
      <c r="BB60" s="9">
        <f>BB17</f>
        <v>96995</v>
      </c>
      <c r="BC60" s="9">
        <f>BC17</f>
        <v>93736</v>
      </c>
      <c r="BD60" s="9">
        <f t="shared" ref="BD60:BN60" si="318">BD17</f>
        <v>111865.525968</v>
      </c>
      <c r="BE60" s="9">
        <f t="shared" si="318"/>
        <v>117035.70172405441</v>
      </c>
      <c r="BF60" s="9">
        <f t="shared" si="318"/>
        <v>121596.57000020859</v>
      </c>
      <c r="BG60" s="9">
        <f t="shared" si="318"/>
        <v>125976.67287998067</v>
      </c>
      <c r="BH60" s="9">
        <f t="shared" si="318"/>
        <v>129769.79387868487</v>
      </c>
      <c r="BI60" s="9">
        <f t="shared" si="318"/>
        <v>133750.27939838514</v>
      </c>
      <c r="BJ60" s="9">
        <f t="shared" si="318"/>
        <v>137311.965783483</v>
      </c>
      <c r="BK60" s="9">
        <f t="shared" si="318"/>
        <v>141267.84286716432</v>
      </c>
      <c r="BL60" s="9">
        <f t="shared" si="318"/>
        <v>144358.8495223982</v>
      </c>
      <c r="BM60" s="9">
        <f t="shared" si="318"/>
        <v>146494.99598171076</v>
      </c>
      <c r="BN60" s="9">
        <f t="shared" si="318"/>
        <v>148670.6362795716</v>
      </c>
    </row>
    <row r="61" spans="2:66" x14ac:dyDescent="0.3">
      <c r="B61" t="s">
        <v>95</v>
      </c>
      <c r="AJ61" s="3">
        <v>179</v>
      </c>
      <c r="AK61" s="3">
        <v>225</v>
      </c>
      <c r="AL61" s="3">
        <v>317</v>
      </c>
      <c r="AM61" s="3">
        <v>496</v>
      </c>
      <c r="AN61" s="3">
        <v>734</v>
      </c>
      <c r="AO61" s="3">
        <v>1027</v>
      </c>
      <c r="AP61" s="3">
        <v>1814</v>
      </c>
      <c r="AQ61" s="3">
        <v>3277</v>
      </c>
      <c r="AR61" s="3">
        <v>6757</v>
      </c>
      <c r="AS61" s="3">
        <v>7946</v>
      </c>
      <c r="AT61" s="3">
        <v>11257</v>
      </c>
      <c r="AU61" s="3">
        <v>10505</v>
      </c>
      <c r="AV61" s="3">
        <v>10157</v>
      </c>
      <c r="AW61" s="3">
        <v>10903</v>
      </c>
      <c r="AX61" s="3">
        <v>12547</v>
      </c>
      <c r="AY61" s="3">
        <v>11056</v>
      </c>
      <c r="AZ61" s="3">
        <v>11284</v>
      </c>
      <c r="BA61" s="3">
        <v>11104</v>
      </c>
      <c r="BB61" s="3">
        <v>11519</v>
      </c>
      <c r="BC61" s="3">
        <v>11445</v>
      </c>
      <c r="BD61" s="3">
        <f>BC61*1.005</f>
        <v>11502.224999999999</v>
      </c>
      <c r="BE61" s="3">
        <f t="shared" ref="BE61:BN61" si="319">BD61*1.005</f>
        <v>11559.736124999998</v>
      </c>
      <c r="BF61" s="3">
        <f t="shared" si="319"/>
        <v>11617.534805624997</v>
      </c>
      <c r="BG61" s="3">
        <f t="shared" si="319"/>
        <v>11675.622479653121</v>
      </c>
      <c r="BH61" s="3">
        <f t="shared" si="319"/>
        <v>11734.000592051385</v>
      </c>
      <c r="BI61" s="3">
        <f t="shared" si="319"/>
        <v>11792.670595011641</v>
      </c>
      <c r="BJ61" s="3">
        <f t="shared" si="319"/>
        <v>11851.633947986698</v>
      </c>
      <c r="BK61" s="3">
        <f t="shared" si="319"/>
        <v>11910.892117726631</v>
      </c>
      <c r="BL61" s="3">
        <f t="shared" si="319"/>
        <v>11970.446578315263</v>
      </c>
      <c r="BM61" s="3">
        <f t="shared" si="319"/>
        <v>12030.298811206838</v>
      </c>
      <c r="BN61" s="3">
        <f t="shared" si="319"/>
        <v>12090.450305262872</v>
      </c>
    </row>
    <row r="62" spans="2:66" x14ac:dyDescent="0.3">
      <c r="B62" t="s">
        <v>96</v>
      </c>
      <c r="AJ62" s="3">
        <v>49</v>
      </c>
      <c r="AK62" s="3">
        <v>163</v>
      </c>
      <c r="AL62" s="3">
        <v>242</v>
      </c>
      <c r="AM62" s="3">
        <v>516</v>
      </c>
      <c r="AN62" s="3">
        <v>710</v>
      </c>
      <c r="AO62" s="3">
        <v>879</v>
      </c>
      <c r="AP62" s="3">
        <v>1168</v>
      </c>
      <c r="AQ62" s="3">
        <v>1740</v>
      </c>
      <c r="AR62" s="3">
        <v>2253</v>
      </c>
      <c r="AS62" s="3">
        <v>2863</v>
      </c>
      <c r="AT62" s="3">
        <v>3586</v>
      </c>
      <c r="AU62" s="3">
        <v>4210</v>
      </c>
      <c r="AV62" s="3">
        <v>4840</v>
      </c>
      <c r="AW62" s="3">
        <v>5340</v>
      </c>
      <c r="AX62" s="3">
        <v>6068</v>
      </c>
      <c r="AY62" s="3">
        <v>6829</v>
      </c>
      <c r="AZ62" s="3">
        <v>7906</v>
      </c>
      <c r="BA62" s="3">
        <v>9038</v>
      </c>
      <c r="BB62" s="3">
        <v>10833</v>
      </c>
      <c r="BC62" s="3">
        <v>11688</v>
      </c>
      <c r="BD62" s="3">
        <f>BC62*1.01</f>
        <v>11804.88</v>
      </c>
      <c r="BE62" s="3">
        <f t="shared" ref="BE62:BN62" si="320">BD62*1.01</f>
        <v>11922.9288</v>
      </c>
      <c r="BF62" s="3">
        <f t="shared" si="320"/>
        <v>12042.158088</v>
      </c>
      <c r="BG62" s="3">
        <f t="shared" si="320"/>
        <v>12162.57966888</v>
      </c>
      <c r="BH62" s="3">
        <f t="shared" si="320"/>
        <v>12284.205465568801</v>
      </c>
      <c r="BI62" s="3">
        <f t="shared" si="320"/>
        <v>12407.047520224489</v>
      </c>
      <c r="BJ62" s="3">
        <f t="shared" si="320"/>
        <v>12531.117995426734</v>
      </c>
      <c r="BK62" s="3">
        <f t="shared" si="320"/>
        <v>12656.429175381001</v>
      </c>
      <c r="BL62" s="3">
        <f t="shared" si="320"/>
        <v>12782.993467134811</v>
      </c>
      <c r="BM62" s="3">
        <f t="shared" si="320"/>
        <v>12910.823401806159</v>
      </c>
      <c r="BN62" s="3">
        <f t="shared" si="320"/>
        <v>13039.931635824221</v>
      </c>
    </row>
    <row r="63" spans="2:66" x14ac:dyDescent="0.3">
      <c r="B63" t="s">
        <v>104</v>
      </c>
      <c r="AJ63" s="3">
        <v>50</v>
      </c>
      <c r="AK63" s="3">
        <v>53</v>
      </c>
      <c r="AL63" s="3">
        <v>78</v>
      </c>
      <c r="AM63" s="3">
        <v>398</v>
      </c>
      <c r="AN63" s="3">
        <v>1040</v>
      </c>
      <c r="AO63" s="3">
        <v>1440</v>
      </c>
      <c r="AP63" s="3">
        <v>2868</v>
      </c>
      <c r="AQ63" s="3">
        <v>4405</v>
      </c>
      <c r="AR63" s="3">
        <v>1141</v>
      </c>
      <c r="AS63" s="3">
        <v>2347</v>
      </c>
      <c r="AT63" s="3">
        <v>1382</v>
      </c>
      <c r="AU63" s="3">
        <v>4938</v>
      </c>
      <c r="AV63" s="3">
        <v>5966</v>
      </c>
      <c r="AW63" s="3">
        <v>-32590</v>
      </c>
      <c r="AX63" s="3">
        <v>-340</v>
      </c>
      <c r="AY63" s="3">
        <v>-215</v>
      </c>
      <c r="AZ63" s="3">
        <v>-4774</v>
      </c>
      <c r="BA63" s="3"/>
      <c r="BB63" s="3"/>
      <c r="BC63" s="3"/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</row>
    <row r="64" spans="2:66" x14ac:dyDescent="0.3">
      <c r="B64" t="s">
        <v>97</v>
      </c>
      <c r="AJ64" s="3">
        <f>428+9</f>
        <v>437</v>
      </c>
      <c r="AK64" s="3">
        <f>-4+15</f>
        <v>11</v>
      </c>
      <c r="AL64" s="3">
        <v>12</v>
      </c>
      <c r="AM64" s="3">
        <v>22</v>
      </c>
      <c r="AN64" s="3">
        <v>26</v>
      </c>
      <c r="AO64" s="3">
        <v>24</v>
      </c>
      <c r="AP64" s="3"/>
      <c r="AQ64" s="3"/>
      <c r="AR64" s="3"/>
      <c r="AS64" s="3"/>
      <c r="AT64" s="3"/>
      <c r="AU64" s="3"/>
      <c r="AV64" s="3">
        <v>-166</v>
      </c>
      <c r="AW64" s="3">
        <v>-444</v>
      </c>
      <c r="AX64" s="3">
        <v>-652</v>
      </c>
      <c r="AY64" s="3">
        <v>-97</v>
      </c>
      <c r="AZ64" s="3">
        <v>-147</v>
      </c>
      <c r="BA64" s="3">
        <v>1006</v>
      </c>
      <c r="BB64" s="3">
        <v>-2227</v>
      </c>
      <c r="BC64" s="3">
        <v>-2266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</row>
    <row r="65" spans="2:151" x14ac:dyDescent="0.3">
      <c r="B65" t="s">
        <v>75</v>
      </c>
      <c r="AJ65" s="3">
        <v>-121</v>
      </c>
      <c r="AK65" s="3">
        <v>-357</v>
      </c>
      <c r="AL65" s="3">
        <v>-385</v>
      </c>
      <c r="AM65" s="3">
        <v>-785</v>
      </c>
      <c r="AN65" s="3">
        <v>-939</v>
      </c>
      <c r="AO65" s="3">
        <v>-2142</v>
      </c>
      <c r="AP65" s="3">
        <v>143</v>
      </c>
      <c r="AQ65" s="3">
        <v>-5551</v>
      </c>
      <c r="AR65" s="3">
        <v>-2172</v>
      </c>
      <c r="AS65" s="3">
        <v>-4232</v>
      </c>
      <c r="AT65" s="3">
        <v>611</v>
      </c>
      <c r="AU65" s="3">
        <v>1095</v>
      </c>
      <c r="AV65" s="3">
        <v>-2093</v>
      </c>
      <c r="AW65" s="3">
        <v>-5322</v>
      </c>
      <c r="AX65" s="3">
        <v>245</v>
      </c>
      <c r="AY65" s="3">
        <v>6917</v>
      </c>
      <c r="AZ65" s="3">
        <v>-10125</v>
      </c>
      <c r="BA65" s="3">
        <v>-1823</v>
      </c>
      <c r="BB65" s="3">
        <v>-1688</v>
      </c>
      <c r="BC65" s="3">
        <v>-3788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</row>
    <row r="66" spans="2:151" x14ac:dyDescent="0.3">
      <c r="B66" t="s">
        <v>98</v>
      </c>
      <c r="AJ66" s="3"/>
      <c r="AK66" s="3"/>
      <c r="AL66" s="3"/>
      <c r="AM66" s="3">
        <v>110</v>
      </c>
      <c r="AN66" s="3">
        <v>586</v>
      </c>
      <c r="AO66" s="3">
        <v>-2718</v>
      </c>
      <c r="AP66" s="3">
        <v>-1934</v>
      </c>
      <c r="AQ66" s="3">
        <v>-1414</v>
      </c>
      <c r="AR66" s="3">
        <v>223</v>
      </c>
      <c r="AS66" s="3">
        <v>-2220</v>
      </c>
      <c r="AT66" s="3">
        <v>-3735</v>
      </c>
      <c r="AU66" s="3">
        <v>-51</v>
      </c>
      <c r="AV66" s="3">
        <v>-4254</v>
      </c>
      <c r="AW66" s="3">
        <v>-8010</v>
      </c>
      <c r="AX66" s="3">
        <v>2931</v>
      </c>
      <c r="AY66" s="3">
        <v>1553</v>
      </c>
      <c r="AZ66" s="3">
        <v>-3903</v>
      </c>
      <c r="BA66" s="3">
        <v>-7520</v>
      </c>
      <c r="BB66" s="3">
        <v>1271</v>
      </c>
      <c r="BC66" s="3">
        <v>-1356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</row>
    <row r="67" spans="2:151" x14ac:dyDescent="0.3">
      <c r="B67" t="s">
        <v>76</v>
      </c>
      <c r="AJ67" s="3">
        <v>-64</v>
      </c>
      <c r="AK67" s="3">
        <v>-105</v>
      </c>
      <c r="AL67" s="3">
        <v>-76</v>
      </c>
      <c r="AM67" s="3">
        <v>-163</v>
      </c>
      <c r="AN67" s="3">
        <v>54</v>
      </c>
      <c r="AO67" s="3">
        <v>-596</v>
      </c>
      <c r="AP67" s="3">
        <v>275</v>
      </c>
      <c r="AQ67" s="3">
        <v>-15</v>
      </c>
      <c r="AR67" s="3">
        <v>-973</v>
      </c>
      <c r="AS67" s="3">
        <v>-76</v>
      </c>
      <c r="AT67" s="3">
        <v>-238</v>
      </c>
      <c r="AU67" s="3">
        <v>217</v>
      </c>
      <c r="AV67" s="3">
        <v>-2723</v>
      </c>
      <c r="AW67" s="3">
        <v>828</v>
      </c>
      <c r="AX67" s="3">
        <v>-289</v>
      </c>
      <c r="AY67" s="3">
        <v>-127</v>
      </c>
      <c r="AZ67" s="3">
        <v>-2642</v>
      </c>
      <c r="BA67" s="3">
        <v>1484</v>
      </c>
      <c r="BB67" s="3">
        <v>-1618</v>
      </c>
      <c r="BC67" s="3">
        <v>-1046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</row>
    <row r="68" spans="2:151" x14ac:dyDescent="0.3">
      <c r="B68" t="s">
        <v>99</v>
      </c>
      <c r="AJ68" s="3">
        <f>-150-35</f>
        <v>-185</v>
      </c>
      <c r="AK68" s="3">
        <f>-1626-1040</f>
        <v>-2666</v>
      </c>
      <c r="AL68" s="3">
        <f>-1540+81</f>
        <v>-1459</v>
      </c>
      <c r="AM68" s="3">
        <f>-384+289</f>
        <v>-95</v>
      </c>
      <c r="AN68" s="3">
        <f>163-902</f>
        <v>-739</v>
      </c>
      <c r="AO68" s="3">
        <f>-1514-120</f>
        <v>-1634</v>
      </c>
      <c r="AP68" s="3">
        <v>-1391</v>
      </c>
      <c r="AQ68" s="3">
        <v>-3162</v>
      </c>
      <c r="AR68" s="3">
        <v>1080</v>
      </c>
      <c r="AS68" s="3">
        <v>167</v>
      </c>
      <c r="AT68" s="3">
        <v>-179</v>
      </c>
      <c r="AU68" s="3">
        <v>1090</v>
      </c>
      <c r="AV68" s="3">
        <v>-5318</v>
      </c>
      <c r="AW68" s="3">
        <v>-423</v>
      </c>
      <c r="AX68" s="3">
        <v>873</v>
      </c>
      <c r="AY68" s="3">
        <v>-9588</v>
      </c>
      <c r="AZ68" s="3">
        <v>-8042</v>
      </c>
      <c r="BA68" s="3">
        <v>-6499</v>
      </c>
      <c r="BB68" s="3">
        <v>-5684</v>
      </c>
      <c r="BC68" s="3">
        <v>-11731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</row>
    <row r="69" spans="2:151" x14ac:dyDescent="0.3">
      <c r="B69" t="s">
        <v>81</v>
      </c>
      <c r="AJ69" s="3">
        <v>328</v>
      </c>
      <c r="AK69" s="3">
        <v>1611</v>
      </c>
      <c r="AL69" s="3">
        <v>1494</v>
      </c>
      <c r="AM69" s="3">
        <v>596</v>
      </c>
      <c r="AN69" s="3">
        <v>92</v>
      </c>
      <c r="AO69" s="3">
        <v>6307</v>
      </c>
      <c r="AP69" s="3">
        <v>2515</v>
      </c>
      <c r="AQ69" s="3">
        <v>4467</v>
      </c>
      <c r="AR69" s="3">
        <v>2340</v>
      </c>
      <c r="AS69" s="3">
        <v>5938</v>
      </c>
      <c r="AT69" s="3">
        <v>5400</v>
      </c>
      <c r="AU69" s="3">
        <v>1791</v>
      </c>
      <c r="AV69" s="3">
        <v>8966</v>
      </c>
      <c r="AW69" s="3">
        <v>9175</v>
      </c>
      <c r="AX69" s="3">
        <v>-1923</v>
      </c>
      <c r="AY69" s="3">
        <v>-4062</v>
      </c>
      <c r="AZ69" s="3">
        <v>12326</v>
      </c>
      <c r="BA69" s="3">
        <v>9448</v>
      </c>
      <c r="BB69" s="3">
        <v>-1889</v>
      </c>
      <c r="BC69" s="3">
        <v>6020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</row>
    <row r="70" spans="2:151" x14ac:dyDescent="0.3">
      <c r="B70" t="s">
        <v>100</v>
      </c>
      <c r="AJ70" s="3">
        <v>534</v>
      </c>
      <c r="AK70" s="3">
        <v>1296</v>
      </c>
      <c r="AL70" s="3">
        <v>1751</v>
      </c>
      <c r="AM70" s="3">
        <f>718+1664</f>
        <v>2382</v>
      </c>
      <c r="AN70" s="3">
        <f>521-161</f>
        <v>360</v>
      </c>
      <c r="AO70" s="3">
        <f>1217+778</f>
        <v>1995</v>
      </c>
      <c r="AP70" s="3">
        <f>1654+4495</f>
        <v>6149</v>
      </c>
      <c r="AQ70" s="3">
        <f>2824+2552</f>
        <v>5376</v>
      </c>
      <c r="AR70" s="3">
        <f>1459+4521</f>
        <v>5980</v>
      </c>
      <c r="AS70" s="3">
        <f>1460+6010</f>
        <v>7470</v>
      </c>
      <c r="AT70" s="3">
        <f>1042+8746</f>
        <v>9788</v>
      </c>
      <c r="AU70" s="3">
        <f>-1554-2104</f>
        <v>-3658</v>
      </c>
      <c r="AV70" s="3">
        <f>-626+1125</f>
        <v>499</v>
      </c>
      <c r="AW70" s="3">
        <f>-44+38490</f>
        <v>38446</v>
      </c>
      <c r="AX70" s="3">
        <f>-625-4700</f>
        <v>-5325</v>
      </c>
      <c r="AY70" s="3">
        <f>2081+8916</f>
        <v>10997</v>
      </c>
      <c r="AZ70" s="3">
        <f>1676+5799</f>
        <v>7475</v>
      </c>
      <c r="BA70" s="3">
        <v>6110</v>
      </c>
      <c r="BB70" s="3">
        <v>3031</v>
      </c>
      <c r="BC70" s="3">
        <v>15552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</row>
    <row r="71" spans="2:151" s="6" customFormat="1" x14ac:dyDescent="0.3">
      <c r="B71" s="6" t="s">
        <v>101</v>
      </c>
      <c r="AJ71" s="9">
        <f t="shared" ref="AJ71:AQ71" si="321">AJ60+SUM(AJ61:AJ70)</f>
        <v>2535</v>
      </c>
      <c r="AK71" s="9">
        <f t="shared" si="321"/>
        <v>2220</v>
      </c>
      <c r="AL71" s="9">
        <f t="shared" si="321"/>
        <v>5470</v>
      </c>
      <c r="AM71" s="9">
        <f t="shared" si="321"/>
        <v>9596</v>
      </c>
      <c r="AN71" s="9">
        <f t="shared" si="321"/>
        <v>10159</v>
      </c>
      <c r="AO71" s="9">
        <f t="shared" si="321"/>
        <v>18595</v>
      </c>
      <c r="AP71" s="9">
        <f t="shared" si="321"/>
        <v>37529</v>
      </c>
      <c r="AQ71" s="9">
        <f t="shared" si="321"/>
        <v>50856</v>
      </c>
      <c r="AR71" s="9">
        <f t="shared" ref="AR71:AW71" si="322">AR60+SUM(AR61:AR70)</f>
        <v>53666</v>
      </c>
      <c r="AS71" s="9">
        <f t="shared" si="322"/>
        <v>59713</v>
      </c>
      <c r="AT71" s="9">
        <f t="shared" si="322"/>
        <v>81266</v>
      </c>
      <c r="AU71" s="9">
        <f t="shared" si="322"/>
        <v>65824</v>
      </c>
      <c r="AV71" s="9">
        <f t="shared" si="322"/>
        <v>64225</v>
      </c>
      <c r="AW71" s="9">
        <f t="shared" si="322"/>
        <v>77434</v>
      </c>
      <c r="AX71" s="9">
        <f t="shared" ref="AX71:BD71" si="323">AX60+SUM(AX61:AX70)</f>
        <v>69391</v>
      </c>
      <c r="AY71" s="9">
        <f t="shared" si="323"/>
        <v>80674</v>
      </c>
      <c r="AZ71" s="9">
        <f t="shared" si="323"/>
        <v>104038</v>
      </c>
      <c r="BA71" s="9">
        <f t="shared" si="323"/>
        <v>122151</v>
      </c>
      <c r="BB71" s="9">
        <f t="shared" si="323"/>
        <v>110543</v>
      </c>
      <c r="BC71" s="9">
        <f t="shared" si="323"/>
        <v>118254</v>
      </c>
      <c r="BD71" s="9">
        <f t="shared" si="323"/>
        <v>135172.63096799998</v>
      </c>
      <c r="BE71" s="9">
        <f t="shared" ref="BE71:BN71" si="324">BE60+SUM(BE61:BE70)</f>
        <v>140518.3666490544</v>
      </c>
      <c r="BF71" s="9">
        <f t="shared" si="324"/>
        <v>145256.2628938336</v>
      </c>
      <c r="BG71" s="9">
        <f t="shared" si="324"/>
        <v>149814.87502851378</v>
      </c>
      <c r="BH71" s="9">
        <f t="shared" si="324"/>
        <v>153787.99993630504</v>
      </c>
      <c r="BI71" s="9">
        <f t="shared" si="324"/>
        <v>157949.99751362129</v>
      </c>
      <c r="BJ71" s="9">
        <f t="shared" si="324"/>
        <v>161694.71772689643</v>
      </c>
      <c r="BK71" s="9">
        <f t="shared" si="324"/>
        <v>165835.16416027196</v>
      </c>
      <c r="BL71" s="9">
        <f t="shared" si="324"/>
        <v>169112.28956784826</v>
      </c>
      <c r="BM71" s="9">
        <f t="shared" si="324"/>
        <v>171436.11819472376</v>
      </c>
      <c r="BN71" s="9">
        <f t="shared" si="324"/>
        <v>173801.01822065871</v>
      </c>
    </row>
    <row r="72" spans="2:151" x14ac:dyDescent="0.3">
      <c r="B72" t="s">
        <v>102</v>
      </c>
      <c r="AJ72" s="3">
        <v>260</v>
      </c>
      <c r="AK72" s="3">
        <v>657</v>
      </c>
      <c r="AL72" s="3">
        <v>735</v>
      </c>
      <c r="AM72" s="3">
        <v>1091</v>
      </c>
      <c r="AN72" s="3">
        <v>1144</v>
      </c>
      <c r="AO72" s="3">
        <v>2005</v>
      </c>
      <c r="AP72" s="3">
        <v>4260</v>
      </c>
      <c r="AQ72" s="3">
        <v>8295</v>
      </c>
      <c r="AR72" s="3">
        <v>8165</v>
      </c>
      <c r="AS72" s="3">
        <v>9571</v>
      </c>
      <c r="AT72" s="3">
        <v>11247</v>
      </c>
      <c r="AU72" s="3">
        <v>12734</v>
      </c>
      <c r="AV72" s="3">
        <v>12451</v>
      </c>
      <c r="AW72" s="3">
        <v>13313</v>
      </c>
      <c r="AX72" s="3">
        <v>10495</v>
      </c>
      <c r="AY72" s="3">
        <v>7309</v>
      </c>
      <c r="AZ72" s="3">
        <v>11085</v>
      </c>
      <c r="BA72" s="3">
        <v>10708</v>
      </c>
      <c r="BB72" s="3">
        <v>10959</v>
      </c>
      <c r="BC72" s="3">
        <v>9447</v>
      </c>
      <c r="BD72" s="3">
        <v>10000</v>
      </c>
      <c r="BE72" s="3">
        <v>10000</v>
      </c>
      <c r="BF72" s="3">
        <v>10000</v>
      </c>
      <c r="BG72" s="3">
        <v>10000</v>
      </c>
      <c r="BH72" s="3">
        <v>10000</v>
      </c>
      <c r="BI72" s="3">
        <v>10000</v>
      </c>
      <c r="BJ72" s="3">
        <v>10000</v>
      </c>
      <c r="BK72" s="3">
        <v>10000</v>
      </c>
      <c r="BL72" s="3">
        <v>10000</v>
      </c>
      <c r="BM72" s="3">
        <v>10000</v>
      </c>
      <c r="BN72" s="3">
        <v>10000</v>
      </c>
    </row>
    <row r="73" spans="2:151" s="6" customFormat="1" x14ac:dyDescent="0.3">
      <c r="B73" s="6" t="s">
        <v>103</v>
      </c>
      <c r="AJ73" s="9">
        <f t="shared" ref="AJ73:AW73" si="325">AJ71-AJ72</f>
        <v>2275</v>
      </c>
      <c r="AK73" s="9">
        <f t="shared" si="325"/>
        <v>1563</v>
      </c>
      <c r="AL73" s="9">
        <f t="shared" si="325"/>
        <v>4735</v>
      </c>
      <c r="AM73" s="9">
        <f t="shared" si="325"/>
        <v>8505</v>
      </c>
      <c r="AN73" s="9">
        <f t="shared" si="325"/>
        <v>9015</v>
      </c>
      <c r="AO73" s="9">
        <f t="shared" si="325"/>
        <v>16590</v>
      </c>
      <c r="AP73" s="9">
        <f t="shared" si="325"/>
        <v>33269</v>
      </c>
      <c r="AQ73" s="9">
        <f t="shared" si="325"/>
        <v>42561</v>
      </c>
      <c r="AR73" s="9">
        <f t="shared" si="325"/>
        <v>45501</v>
      </c>
      <c r="AS73" s="9">
        <f t="shared" si="325"/>
        <v>50142</v>
      </c>
      <c r="AT73" s="9">
        <f t="shared" si="325"/>
        <v>70019</v>
      </c>
      <c r="AU73" s="9">
        <f t="shared" si="325"/>
        <v>53090</v>
      </c>
      <c r="AV73" s="9">
        <f t="shared" si="325"/>
        <v>51774</v>
      </c>
      <c r="AW73" s="9">
        <f t="shared" si="325"/>
        <v>64121</v>
      </c>
      <c r="AX73" s="9">
        <f t="shared" ref="AX73:BD73" si="326">AX71-AX72</f>
        <v>58896</v>
      </c>
      <c r="AY73" s="9">
        <f t="shared" si="326"/>
        <v>73365</v>
      </c>
      <c r="AZ73" s="9">
        <f t="shared" si="326"/>
        <v>92953</v>
      </c>
      <c r="BA73" s="9">
        <f t="shared" si="326"/>
        <v>111443</v>
      </c>
      <c r="BB73" s="9">
        <f t="shared" si="326"/>
        <v>99584</v>
      </c>
      <c r="BC73" s="9">
        <f t="shared" si="326"/>
        <v>108807</v>
      </c>
      <c r="BD73" s="9">
        <f t="shared" si="326"/>
        <v>125172.63096799998</v>
      </c>
      <c r="BE73" s="9">
        <f t="shared" ref="BE73:BN73" si="327">BE71-BE72</f>
        <v>130518.3666490544</v>
      </c>
      <c r="BF73" s="9">
        <f t="shared" si="327"/>
        <v>135256.2628938336</v>
      </c>
      <c r="BG73" s="9">
        <f t="shared" si="327"/>
        <v>139814.87502851378</v>
      </c>
      <c r="BH73" s="9">
        <f t="shared" si="327"/>
        <v>143787.99993630504</v>
      </c>
      <c r="BI73" s="9">
        <f t="shared" si="327"/>
        <v>147949.99751362129</v>
      </c>
      <c r="BJ73" s="9">
        <f t="shared" si="327"/>
        <v>151694.71772689643</v>
      </c>
      <c r="BK73" s="9">
        <f t="shared" si="327"/>
        <v>155835.16416027196</v>
      </c>
      <c r="BL73" s="9">
        <f t="shared" si="327"/>
        <v>159112.28956784826</v>
      </c>
      <c r="BM73" s="9">
        <f t="shared" si="327"/>
        <v>161436.11819472376</v>
      </c>
      <c r="BN73" s="9">
        <f t="shared" si="327"/>
        <v>163801.01822065871</v>
      </c>
      <c r="BO73" s="6">
        <f>BN73*(1+$BQ$29)</f>
        <v>162163.00803845213</v>
      </c>
      <c r="BP73" s="6">
        <f t="shared" ref="BP73:EA73" si="328">BO73*(1+$BQ$29)</f>
        <v>160541.37795806761</v>
      </c>
      <c r="BQ73" s="6">
        <f t="shared" si="328"/>
        <v>158935.96417848693</v>
      </c>
      <c r="BR73" s="6">
        <f t="shared" si="328"/>
        <v>157346.60453670207</v>
      </c>
      <c r="BS73" s="6">
        <f t="shared" si="328"/>
        <v>155773.13849133506</v>
      </c>
      <c r="BT73" s="6">
        <f t="shared" si="328"/>
        <v>154215.40710642171</v>
      </c>
      <c r="BU73" s="6">
        <f t="shared" si="328"/>
        <v>152673.25303535748</v>
      </c>
      <c r="BV73" s="6">
        <f t="shared" si="328"/>
        <v>151146.52050500392</v>
      </c>
      <c r="BW73" s="6">
        <f t="shared" si="328"/>
        <v>149635.05529995388</v>
      </c>
      <c r="BX73" s="6">
        <f t="shared" si="328"/>
        <v>148138.70474695435</v>
      </c>
      <c r="BY73" s="6">
        <f t="shared" si="328"/>
        <v>146657.31769948479</v>
      </c>
      <c r="BZ73" s="6">
        <f t="shared" si="328"/>
        <v>145190.74452248993</v>
      </c>
      <c r="CA73" s="6">
        <f t="shared" si="328"/>
        <v>143738.83707726502</v>
      </c>
      <c r="CB73" s="6">
        <f t="shared" si="328"/>
        <v>142301.44870649237</v>
      </c>
      <c r="CC73" s="6">
        <f t="shared" si="328"/>
        <v>140878.43421942744</v>
      </c>
      <c r="CD73" s="6">
        <f t="shared" si="328"/>
        <v>139469.64987723317</v>
      </c>
      <c r="CE73" s="6">
        <f t="shared" si="328"/>
        <v>138074.95337846084</v>
      </c>
      <c r="CF73" s="6">
        <f t="shared" si="328"/>
        <v>136694.20384467623</v>
      </c>
      <c r="CG73" s="6">
        <f t="shared" si="328"/>
        <v>135327.26180622948</v>
      </c>
      <c r="CH73" s="6">
        <f t="shared" si="328"/>
        <v>133973.98918816718</v>
      </c>
      <c r="CI73" s="6">
        <f t="shared" si="328"/>
        <v>132634.2492962855</v>
      </c>
      <c r="CJ73" s="6">
        <f t="shared" si="328"/>
        <v>131307.90680332264</v>
      </c>
      <c r="CK73" s="6">
        <f t="shared" si="328"/>
        <v>129994.82773528941</v>
      </c>
      <c r="CL73" s="6">
        <f t="shared" si="328"/>
        <v>128694.87945793651</v>
      </c>
      <c r="CM73" s="6">
        <f t="shared" si="328"/>
        <v>127407.93066335714</v>
      </c>
      <c r="CN73" s="6">
        <f t="shared" si="328"/>
        <v>126133.85135672356</v>
      </c>
      <c r="CO73" s="6">
        <f t="shared" si="328"/>
        <v>124872.51284315632</v>
      </c>
      <c r="CP73" s="6">
        <f t="shared" si="328"/>
        <v>123623.78771472476</v>
      </c>
      <c r="CQ73" s="6">
        <f t="shared" si="328"/>
        <v>122387.54983757752</v>
      </c>
      <c r="CR73" s="6">
        <f t="shared" si="328"/>
        <v>121163.67433920174</v>
      </c>
      <c r="CS73" s="6">
        <f t="shared" si="328"/>
        <v>119952.03759580971</v>
      </c>
      <c r="CT73" s="6">
        <f t="shared" si="328"/>
        <v>118752.51721985161</v>
      </c>
      <c r="CU73" s="6">
        <f t="shared" si="328"/>
        <v>117564.9920476531</v>
      </c>
      <c r="CV73" s="6">
        <f t="shared" si="328"/>
        <v>116389.34212717657</v>
      </c>
      <c r="CW73" s="6">
        <f t="shared" si="328"/>
        <v>115225.4487059048</v>
      </c>
      <c r="CX73" s="6">
        <f t="shared" si="328"/>
        <v>114073.19421884575</v>
      </c>
      <c r="CY73" s="6">
        <f t="shared" si="328"/>
        <v>112932.46227665729</v>
      </c>
      <c r="CZ73" s="6">
        <f t="shared" si="328"/>
        <v>111803.13765389071</v>
      </c>
      <c r="DA73" s="6">
        <f t="shared" si="328"/>
        <v>110685.10627735179</v>
      </c>
      <c r="DB73" s="6">
        <f t="shared" si="328"/>
        <v>109578.25521457827</v>
      </c>
      <c r="DC73" s="6">
        <f t="shared" si="328"/>
        <v>108482.47266243248</v>
      </c>
      <c r="DD73" s="6">
        <f t="shared" si="328"/>
        <v>107397.64793580816</v>
      </c>
      <c r="DE73" s="6">
        <f t="shared" si="328"/>
        <v>106323.67145645007</v>
      </c>
      <c r="DF73" s="6">
        <f t="shared" si="328"/>
        <v>105260.43474188558</v>
      </c>
      <c r="DG73" s="6">
        <f t="shared" si="328"/>
        <v>104207.83039446671</v>
      </c>
      <c r="DH73" s="6">
        <f t="shared" si="328"/>
        <v>103165.75209052204</v>
      </c>
      <c r="DI73" s="6">
        <f t="shared" si="328"/>
        <v>102134.09456961682</v>
      </c>
      <c r="DJ73" s="6">
        <f t="shared" si="328"/>
        <v>101112.75362392065</v>
      </c>
      <c r="DK73" s="6">
        <f t="shared" si="328"/>
        <v>100101.62608768145</v>
      </c>
      <c r="DL73" s="6">
        <f t="shared" si="328"/>
        <v>99100.609826804633</v>
      </c>
      <c r="DM73" s="6">
        <f t="shared" si="328"/>
        <v>98109.603728536589</v>
      </c>
      <c r="DN73" s="6">
        <f t="shared" si="328"/>
        <v>97128.507691251216</v>
      </c>
      <c r="DO73" s="6">
        <f t="shared" si="328"/>
        <v>96157.222614338709</v>
      </c>
      <c r="DP73" s="6">
        <f t="shared" si="328"/>
        <v>95195.650388195325</v>
      </c>
      <c r="DQ73" s="6">
        <f t="shared" si="328"/>
        <v>94243.693884313368</v>
      </c>
      <c r="DR73" s="6">
        <f t="shared" si="328"/>
        <v>93301.256945470232</v>
      </c>
      <c r="DS73" s="6">
        <f t="shared" si="328"/>
        <v>92368.244376015529</v>
      </c>
      <c r="DT73" s="6">
        <f t="shared" si="328"/>
        <v>91444.561932255368</v>
      </c>
      <c r="DU73" s="6">
        <f t="shared" si="328"/>
        <v>90530.11631293282</v>
      </c>
      <c r="DV73" s="6">
        <f t="shared" si="328"/>
        <v>89624.815149803486</v>
      </c>
      <c r="DW73" s="6">
        <f t="shared" si="328"/>
        <v>88728.566998305454</v>
      </c>
      <c r="DX73" s="6">
        <f t="shared" si="328"/>
        <v>87841.281328322395</v>
      </c>
      <c r="DY73" s="6">
        <f t="shared" si="328"/>
        <v>86962.868515039168</v>
      </c>
      <c r="DZ73" s="6">
        <f t="shared" si="328"/>
        <v>86093.239829888771</v>
      </c>
      <c r="EA73" s="6">
        <f t="shared" si="328"/>
        <v>85232.307431589885</v>
      </c>
      <c r="EB73" s="6">
        <f t="shared" ref="EB73:EU73" si="329">EA73*(1+$BQ$29)</f>
        <v>84379.984357273992</v>
      </c>
      <c r="EC73" s="6">
        <f t="shared" si="329"/>
        <v>83536.184513701257</v>
      </c>
      <c r="ED73" s="6">
        <f t="shared" si="329"/>
        <v>82700.822668564244</v>
      </c>
      <c r="EE73" s="6">
        <f t="shared" si="329"/>
        <v>81873.814441878596</v>
      </c>
      <c r="EF73" s="6">
        <f t="shared" si="329"/>
        <v>81055.076297459804</v>
      </c>
      <c r="EG73" s="6">
        <f t="shared" si="329"/>
        <v>80244.525534485205</v>
      </c>
      <c r="EH73" s="6">
        <f t="shared" si="329"/>
        <v>79442.080279140355</v>
      </c>
      <c r="EI73" s="6">
        <f t="shared" si="329"/>
        <v>78647.659476348956</v>
      </c>
      <c r="EJ73" s="6">
        <f t="shared" si="329"/>
        <v>77861.182881585468</v>
      </c>
      <c r="EK73" s="6">
        <f t="shared" si="329"/>
        <v>77082.571052769606</v>
      </c>
      <c r="EL73" s="6">
        <f t="shared" si="329"/>
        <v>76311.745342241906</v>
      </c>
      <c r="EM73" s="6">
        <f t="shared" si="329"/>
        <v>75548.627888819479</v>
      </c>
      <c r="EN73" s="6">
        <f t="shared" si="329"/>
        <v>74793.141609931277</v>
      </c>
      <c r="EO73" s="6">
        <f t="shared" si="329"/>
        <v>74045.210193831968</v>
      </c>
      <c r="EP73" s="6">
        <f t="shared" si="329"/>
        <v>73304.758091893644</v>
      </c>
      <c r="EQ73" s="6">
        <f t="shared" si="329"/>
        <v>72571.710510974706</v>
      </c>
      <c r="ER73" s="6">
        <f t="shared" si="329"/>
        <v>71845.993405864952</v>
      </c>
      <c r="ES73" s="6">
        <f t="shared" si="329"/>
        <v>71127.533471806295</v>
      </c>
      <c r="ET73" s="6">
        <f t="shared" si="329"/>
        <v>70416.258137088225</v>
      </c>
      <c r="EU73" s="6">
        <f t="shared" si="329"/>
        <v>69712.095555717344</v>
      </c>
    </row>
    <row r="75" spans="2:151" x14ac:dyDescent="0.3">
      <c r="BQ75" s="3">
        <f>NPV(BQ30,BD73:EU73)</f>
        <v>2772842.1936373441</v>
      </c>
    </row>
    <row r="76" spans="2:151" x14ac:dyDescent="0.3">
      <c r="BQ76" s="3">
        <f>Main!D8</f>
        <v>44569</v>
      </c>
    </row>
    <row r="77" spans="2:151" x14ac:dyDescent="0.3">
      <c r="BQ77" s="3">
        <f>BQ75+BQ76</f>
        <v>2817411.1936373441</v>
      </c>
    </row>
    <row r="78" spans="2:151" x14ac:dyDescent="0.3">
      <c r="BQ78" s="12">
        <f>BQ77/BN18</f>
        <v>185.69807498268813</v>
      </c>
    </row>
    <row r="79" spans="2:151" x14ac:dyDescent="0.3">
      <c r="BQ79" s="12">
        <f>Main!D3</f>
        <v>183.75</v>
      </c>
    </row>
    <row r="80" spans="2:151" x14ac:dyDescent="0.3">
      <c r="BQ80" s="11">
        <f>BQ78/BQ79-1</f>
        <v>1.0601768613268669E-2</v>
      </c>
    </row>
  </sheetData>
  <phoneticPr fontId="3" type="noConversion"/>
  <pageMargins left="0.7" right="0.7" top="0.75" bottom="0.75" header="0.3" footer="0.3"/>
  <pageSetup paperSize="9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2020-09-19T09:42:18Z</dcterms:created>
  <dcterms:modified xsi:type="dcterms:W3CDTF">2025-04-08T11:23:20Z</dcterms:modified>
</cp:coreProperties>
</file>