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BA523032-FC5C-4A9D-A304-CDFCDB8F3362}" xr6:coauthVersionLast="47" xr6:coauthVersionMax="47" xr10:uidLastSave="{00000000-0000-0000-0000-000000000000}"/>
  <bookViews>
    <workbookView xWindow="-108" yWindow="-108" windowWidth="23256" windowHeight="12576" activeTab="1" xr2:uid="{ECEC0786-6B35-42CA-9422-952B766DA97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2" i="2" l="1"/>
  <c r="AT5" i="2"/>
  <c r="AS5" i="2"/>
  <c r="AR5" i="2"/>
  <c r="AQ5" i="2"/>
  <c r="AP5" i="2"/>
  <c r="AO5" i="2"/>
  <c r="AN5" i="2"/>
  <c r="AM5" i="2"/>
  <c r="AL5" i="2"/>
  <c r="AK5" i="2"/>
  <c r="AJ5" i="2"/>
  <c r="Z3" i="2"/>
  <c r="Z14" i="2" s="1"/>
  <c r="AI14" i="2" s="1"/>
  <c r="AK8" i="2"/>
  <c r="AL8" i="2" s="1"/>
  <c r="AM8" i="2" s="1"/>
  <c r="AN8" i="2" s="1"/>
  <c r="AO8" i="2" s="1"/>
  <c r="AJ8" i="2"/>
  <c r="AI11" i="2"/>
  <c r="AI10" i="2"/>
  <c r="AI8" i="2"/>
  <c r="AI6" i="2"/>
  <c r="Y17" i="2"/>
  <c r="Y15" i="2"/>
  <c r="Y14" i="2"/>
  <c r="Y25" i="2" s="1"/>
  <c r="AE25" i="2"/>
  <c r="AD25" i="2"/>
  <c r="AC25" i="2"/>
  <c r="AB25" i="2"/>
  <c r="W25" i="2"/>
  <c r="O25" i="2"/>
  <c r="Z10" i="2"/>
  <c r="Y10" i="2"/>
  <c r="Z8" i="2"/>
  <c r="Z23" i="2" s="1"/>
  <c r="Y8" i="2"/>
  <c r="Y23" i="2" s="1"/>
  <c r="Y3" i="2"/>
  <c r="Y26" i="2" s="1"/>
  <c r="AH13" i="2"/>
  <c r="AH11" i="2"/>
  <c r="AH10" i="2"/>
  <c r="AH8" i="2"/>
  <c r="AH7" i="2"/>
  <c r="AH4" i="2"/>
  <c r="AH3" i="2"/>
  <c r="AH5" i="2" s="1"/>
  <c r="AG5" i="2"/>
  <c r="AG13" i="2"/>
  <c r="AG11" i="2"/>
  <c r="AG10" i="2"/>
  <c r="AG8" i="2"/>
  <c r="AG7" i="2"/>
  <c r="AG4" i="2"/>
  <c r="AG3" i="2"/>
  <c r="M14" i="2"/>
  <c r="M25" i="2" s="1"/>
  <c r="M6" i="2"/>
  <c r="M5" i="2"/>
  <c r="J14" i="2"/>
  <c r="N14" i="2"/>
  <c r="N25" i="2" s="1"/>
  <c r="N6" i="2"/>
  <c r="N5" i="2"/>
  <c r="K14" i="2"/>
  <c r="O14" i="2"/>
  <c r="O6" i="2"/>
  <c r="O9" i="2"/>
  <c r="O12" i="2" s="1"/>
  <c r="O15" i="2" s="1"/>
  <c r="O17" i="2" s="1"/>
  <c r="O5" i="2"/>
  <c r="L14" i="2"/>
  <c r="L25" i="2" s="1"/>
  <c r="L6" i="2"/>
  <c r="L5" i="2"/>
  <c r="P14" i="2"/>
  <c r="P25" i="2" s="1"/>
  <c r="P6" i="2"/>
  <c r="P5" i="2"/>
  <c r="P20" i="2" s="1"/>
  <c r="Q14" i="2"/>
  <c r="Q25" i="2" s="1"/>
  <c r="Q6" i="2"/>
  <c r="Q5" i="2"/>
  <c r="U14" i="2"/>
  <c r="U25" i="2" s="1"/>
  <c r="U6" i="2"/>
  <c r="U5" i="2"/>
  <c r="U20" i="2" s="1"/>
  <c r="R14" i="2"/>
  <c r="R25" i="2" s="1"/>
  <c r="R6" i="2"/>
  <c r="R22" i="2"/>
  <c r="R5" i="2"/>
  <c r="R20" i="2" s="1"/>
  <c r="V14" i="2"/>
  <c r="V25" i="2" s="1"/>
  <c r="V6" i="2"/>
  <c r="V5" i="2"/>
  <c r="S14" i="2"/>
  <c r="S25" i="2" s="1"/>
  <c r="S6" i="2"/>
  <c r="AH6" i="2" s="1"/>
  <c r="S5" i="2"/>
  <c r="W6" i="2"/>
  <c r="W5" i="2"/>
  <c r="T14" i="2"/>
  <c r="T25" i="2" s="1"/>
  <c r="T6" i="2"/>
  <c r="T5" i="2"/>
  <c r="X14" i="2"/>
  <c r="X25" i="2" s="1"/>
  <c r="X6" i="2"/>
  <c r="D7" i="1"/>
  <c r="D6" i="1"/>
  <c r="X23" i="2"/>
  <c r="W23" i="2"/>
  <c r="V23" i="2"/>
  <c r="U23" i="2"/>
  <c r="T23" i="2"/>
  <c r="S23" i="2"/>
  <c r="O23" i="2"/>
  <c r="X22" i="2"/>
  <c r="W22" i="2"/>
  <c r="V22" i="2"/>
  <c r="U22" i="2"/>
  <c r="T22" i="2"/>
  <c r="S22" i="2"/>
  <c r="Q22" i="2"/>
  <c r="P22" i="2"/>
  <c r="O22" i="2"/>
  <c r="T20" i="2"/>
  <c r="X19" i="2"/>
  <c r="W19" i="2"/>
  <c r="V19" i="2"/>
  <c r="U19" i="2"/>
  <c r="T19" i="2"/>
  <c r="S19" i="2"/>
  <c r="O19" i="2"/>
  <c r="X5" i="2"/>
  <c r="Z5" i="2" l="1"/>
  <c r="Z4" i="2" s="1"/>
  <c r="AI4" i="2" s="1"/>
  <c r="AI3" i="2"/>
  <c r="AI5" i="2" s="1"/>
  <c r="AG6" i="2"/>
  <c r="AG14" i="2"/>
  <c r="AG25" i="2" s="1"/>
  <c r="AH14" i="2"/>
  <c r="AH25" i="2" s="1"/>
  <c r="AF14" i="2"/>
  <c r="Z25" i="2"/>
  <c r="K25" i="2"/>
  <c r="Y7" i="2"/>
  <c r="Y22" i="2" s="1"/>
  <c r="Z7" i="2"/>
  <c r="AI7" i="2" s="1"/>
  <c r="Y5" i="2"/>
  <c r="Z19" i="2"/>
  <c r="Y19" i="2"/>
  <c r="M9" i="2"/>
  <c r="M12" i="2" s="1"/>
  <c r="M15" i="2" s="1"/>
  <c r="M17" i="2" s="1"/>
  <c r="N9" i="2"/>
  <c r="N12" i="2" s="1"/>
  <c r="N15" i="2" s="1"/>
  <c r="N17" i="2" s="1"/>
  <c r="O21" i="2"/>
  <c r="O20" i="2"/>
  <c r="L9" i="2"/>
  <c r="L12" i="2" s="1"/>
  <c r="L15" i="2" s="1"/>
  <c r="L17" i="2" s="1"/>
  <c r="P9" i="2"/>
  <c r="P12" i="2" s="1"/>
  <c r="P15" i="2" s="1"/>
  <c r="P17" i="2" s="1"/>
  <c r="Q9" i="2"/>
  <c r="Q21" i="2" s="1"/>
  <c r="Q20" i="2"/>
  <c r="U9" i="2"/>
  <c r="R9" i="2"/>
  <c r="V9" i="2"/>
  <c r="V21" i="2" s="1"/>
  <c r="V20" i="2"/>
  <c r="S9" i="2"/>
  <c r="S12" i="2" s="1"/>
  <c r="S20" i="2"/>
  <c r="W9" i="2"/>
  <c r="W12" i="2" s="1"/>
  <c r="W20" i="2"/>
  <c r="T9" i="2"/>
  <c r="T12" i="2" s="1"/>
  <c r="X9" i="2"/>
  <c r="X12" i="2" s="1"/>
  <c r="X20" i="2"/>
  <c r="AB22" i="2"/>
  <c r="AC22" i="2"/>
  <c r="AC19" i="2"/>
  <c r="AB8" i="2"/>
  <c r="AB6" i="2"/>
  <c r="AB5" i="2"/>
  <c r="AC8" i="2"/>
  <c r="AC6" i="2"/>
  <c r="P23" i="2"/>
  <c r="AF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D8" i="1"/>
  <c r="AW23" i="2" s="1"/>
  <c r="AD19" i="2"/>
  <c r="AC5" i="2"/>
  <c r="AC20" i="2" s="1"/>
  <c r="K23" i="2"/>
  <c r="K22" i="2"/>
  <c r="K19" i="2"/>
  <c r="K6" i="2"/>
  <c r="AF6" i="2" s="1"/>
  <c r="K5" i="2"/>
  <c r="K20" i="2" s="1"/>
  <c r="J7" i="2"/>
  <c r="J4" i="2"/>
  <c r="J3" i="2"/>
  <c r="R19" i="2" s="1"/>
  <c r="AE8" i="2"/>
  <c r="J8" i="2" s="1"/>
  <c r="R23" i="2" s="1"/>
  <c r="AE6" i="2"/>
  <c r="AD6" i="2"/>
  <c r="AW26" i="2"/>
  <c r="I23" i="2"/>
  <c r="H23" i="2"/>
  <c r="G23" i="2"/>
  <c r="AD22" i="2"/>
  <c r="F13" i="2"/>
  <c r="F11" i="2"/>
  <c r="F10" i="2"/>
  <c r="F7" i="2"/>
  <c r="F4" i="2"/>
  <c r="F3" i="2"/>
  <c r="AD8" i="2"/>
  <c r="F8" i="2" s="1"/>
  <c r="AD5" i="2"/>
  <c r="AD20" i="2" s="1"/>
  <c r="G19" i="2"/>
  <c r="G22" i="2"/>
  <c r="D22" i="2"/>
  <c r="C22" i="2"/>
  <c r="C6" i="2"/>
  <c r="C5" i="2"/>
  <c r="G6" i="2"/>
  <c r="G5" i="2"/>
  <c r="G20" i="2" s="1"/>
  <c r="D6" i="2"/>
  <c r="D5" i="2"/>
  <c r="H22" i="2"/>
  <c r="H19" i="2"/>
  <c r="H6" i="2"/>
  <c r="H5" i="2"/>
  <c r="I22" i="2"/>
  <c r="E22" i="2"/>
  <c r="I19" i="2"/>
  <c r="E6" i="2"/>
  <c r="E5" i="2"/>
  <c r="E20" i="2" s="1"/>
  <c r="I6" i="2"/>
  <c r="I5" i="2"/>
  <c r="I20" i="2" s="1"/>
  <c r="F3" i="1"/>
  <c r="D5" i="1"/>
  <c r="Z20" i="2" l="1"/>
  <c r="Z22" i="2"/>
  <c r="Z9" i="2"/>
  <c r="Z21" i="2" s="1"/>
  <c r="V12" i="2"/>
  <c r="J25" i="2"/>
  <c r="Y4" i="2"/>
  <c r="Y9" i="2"/>
  <c r="Y20" i="2"/>
  <c r="X15" i="2"/>
  <c r="X26" i="2" s="1"/>
  <c r="O24" i="2"/>
  <c r="P21" i="2"/>
  <c r="Q12" i="2"/>
  <c r="Q15" i="2" s="1"/>
  <c r="U12" i="2"/>
  <c r="U21" i="2"/>
  <c r="R12" i="2"/>
  <c r="R21" i="2"/>
  <c r="V15" i="2"/>
  <c r="V24" i="2"/>
  <c r="S21" i="2"/>
  <c r="S24" i="2"/>
  <c r="S15" i="2"/>
  <c r="W24" i="2"/>
  <c r="W15" i="2"/>
  <c r="W17" i="2" s="1"/>
  <c r="W21" i="2"/>
  <c r="T21" i="2"/>
  <c r="T15" i="2"/>
  <c r="T24" i="2"/>
  <c r="M23" i="2"/>
  <c r="Q23" i="2"/>
  <c r="P19" i="2"/>
  <c r="Q19" i="2"/>
  <c r="X24" i="2"/>
  <c r="X21" i="2"/>
  <c r="AC23" i="2"/>
  <c r="AB9" i="2"/>
  <c r="AB12" i="2" s="1"/>
  <c r="AB15" i="2" s="1"/>
  <c r="AB17" i="2" s="1"/>
  <c r="AD23" i="2"/>
  <c r="AB20" i="2"/>
  <c r="N22" i="2"/>
  <c r="N20" i="2"/>
  <c r="M21" i="2"/>
  <c r="AF3" i="2"/>
  <c r="AF25" i="2" s="1"/>
  <c r="L22" i="2"/>
  <c r="J6" i="2"/>
  <c r="AC9" i="2"/>
  <c r="N23" i="2"/>
  <c r="AF8" i="2"/>
  <c r="L23" i="2"/>
  <c r="M19" i="2"/>
  <c r="M20" i="2"/>
  <c r="N19" i="2"/>
  <c r="L19" i="2"/>
  <c r="L20" i="2"/>
  <c r="J5" i="2"/>
  <c r="K9" i="2"/>
  <c r="D9" i="1"/>
  <c r="D9" i="2"/>
  <c r="D12" i="2" s="1"/>
  <c r="D15" i="2" s="1"/>
  <c r="D17" i="2" s="1"/>
  <c r="C9" i="2"/>
  <c r="C12" i="2" s="1"/>
  <c r="C15" i="2" s="1"/>
  <c r="C17" i="2" s="1"/>
  <c r="I9" i="2"/>
  <c r="I21" i="2" s="1"/>
  <c r="J23" i="2"/>
  <c r="AE19" i="2"/>
  <c r="H9" i="2"/>
  <c r="H12" i="2" s="1"/>
  <c r="F5" i="2"/>
  <c r="F20" i="2" s="1"/>
  <c r="F22" i="2"/>
  <c r="C20" i="2"/>
  <c r="D20" i="2"/>
  <c r="F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J19" i="2"/>
  <c r="AD9" i="2"/>
  <c r="H20" i="2"/>
  <c r="E9" i="2"/>
  <c r="G9" i="2"/>
  <c r="Z12" i="2" l="1"/>
  <c r="Y12" i="2"/>
  <c r="Y13" i="2" s="1"/>
  <c r="Y24" i="2" s="1"/>
  <c r="Y21" i="2"/>
  <c r="X17" i="2"/>
  <c r="O26" i="2"/>
  <c r="P24" i="2"/>
  <c r="Q24" i="2"/>
  <c r="Q26" i="2"/>
  <c r="Q17" i="2"/>
  <c r="U15" i="2"/>
  <c r="U24" i="2"/>
  <c r="R24" i="2"/>
  <c r="R15" i="2"/>
  <c r="V17" i="2"/>
  <c r="V26" i="2"/>
  <c r="S26" i="2"/>
  <c r="S17" i="2"/>
  <c r="W26" i="2"/>
  <c r="T17" i="2"/>
  <c r="T26" i="2"/>
  <c r="AB24" i="2"/>
  <c r="AB26" i="2"/>
  <c r="AB21" i="2"/>
  <c r="M22" i="2"/>
  <c r="AC12" i="2"/>
  <c r="AC24" i="2" s="1"/>
  <c r="AC21" i="2"/>
  <c r="AF4" i="2"/>
  <c r="N21" i="2"/>
  <c r="AF7" i="2"/>
  <c r="AF22" i="2" s="1"/>
  <c r="L21" i="2"/>
  <c r="K12" i="2"/>
  <c r="K15" i="2" s="1"/>
  <c r="K21" i="2"/>
  <c r="I12" i="2"/>
  <c r="I15" i="2" s="1"/>
  <c r="C21" i="2"/>
  <c r="D24" i="2"/>
  <c r="D26" i="2"/>
  <c r="D21" i="2"/>
  <c r="C24" i="2"/>
  <c r="C26" i="2"/>
  <c r="F9" i="2"/>
  <c r="F12" i="2" s="1"/>
  <c r="AF19" i="2"/>
  <c r="AF23" i="2"/>
  <c r="AE23" i="2"/>
  <c r="H15" i="2"/>
  <c r="H24" i="2"/>
  <c r="H21" i="2"/>
  <c r="J22" i="2"/>
  <c r="AE22" i="2"/>
  <c r="AD12" i="2"/>
  <c r="AD21" i="2"/>
  <c r="G12" i="2"/>
  <c r="G21" i="2"/>
  <c r="J20" i="2"/>
  <c r="J9" i="2"/>
  <c r="AE5" i="2"/>
  <c r="E12" i="2"/>
  <c r="E21" i="2"/>
  <c r="Z13" i="2" l="1"/>
  <c r="Z15" i="2" s="1"/>
  <c r="P26" i="2"/>
  <c r="U17" i="2"/>
  <c r="U26" i="2"/>
  <c r="R17" i="2"/>
  <c r="R26" i="2"/>
  <c r="AC15" i="2"/>
  <c r="AC26" i="2" s="1"/>
  <c r="I24" i="2"/>
  <c r="K24" i="2"/>
  <c r="AG23" i="2"/>
  <c r="AG22" i="2"/>
  <c r="AG19" i="2"/>
  <c r="F21" i="2"/>
  <c r="AH23" i="2"/>
  <c r="AE20" i="2"/>
  <c r="AE9" i="2"/>
  <c r="J21" i="2"/>
  <c r="J12" i="2"/>
  <c r="J15" i="2" s="1"/>
  <c r="H17" i="2"/>
  <c r="H26" i="2"/>
  <c r="G15" i="2"/>
  <c r="G24" i="2"/>
  <c r="F15" i="2"/>
  <c r="F24" i="2"/>
  <c r="E15" i="2"/>
  <c r="E24" i="2"/>
  <c r="I26" i="2"/>
  <c r="I17" i="2"/>
  <c r="AD15" i="2"/>
  <c r="AD24" i="2"/>
  <c r="Z17" i="2" l="1"/>
  <c r="Z26" i="2"/>
  <c r="Z24" i="2"/>
  <c r="AI13" i="2"/>
  <c r="AC17" i="2"/>
  <c r="K17" i="2"/>
  <c r="K26" i="2"/>
  <c r="AH19" i="2"/>
  <c r="AI25" i="2"/>
  <c r="AH22" i="2"/>
  <c r="AI23" i="2"/>
  <c r="AG20" i="2"/>
  <c r="AG9" i="2"/>
  <c r="AE12" i="2"/>
  <c r="AE21" i="2"/>
  <c r="E17" i="2"/>
  <c r="E26" i="2"/>
  <c r="F17" i="2"/>
  <c r="F26" i="2"/>
  <c r="AD17" i="2"/>
  <c r="AD26" i="2"/>
  <c r="G17" i="2"/>
  <c r="G26" i="2"/>
  <c r="AJ3" i="2" l="1"/>
  <c r="AI22" i="2"/>
  <c r="L24" i="2"/>
  <c r="AG21" i="2"/>
  <c r="AJ23" i="2"/>
  <c r="AI19" i="2"/>
  <c r="AE15" i="2"/>
  <c r="J17" i="2"/>
  <c r="AH9" i="2"/>
  <c r="AH20" i="2"/>
  <c r="J24" i="2"/>
  <c r="AE24" i="2"/>
  <c r="AJ14" i="2" l="1"/>
  <c r="AJ25" i="2" s="1"/>
  <c r="AK3" i="2"/>
  <c r="AK14" i="2" s="1"/>
  <c r="AJ7" i="2"/>
  <c r="AJ22" i="2" s="1"/>
  <c r="L26" i="2"/>
  <c r="AH21" i="2"/>
  <c r="AE17" i="2"/>
  <c r="J26" i="2"/>
  <c r="AE26" i="2"/>
  <c r="AJ4" i="2"/>
  <c r="AJ19" i="2"/>
  <c r="AI20" i="2"/>
  <c r="AI9" i="2"/>
  <c r="AK23" i="2"/>
  <c r="AK7" i="2" l="1"/>
  <c r="AK22" i="2" s="1"/>
  <c r="AK25" i="2"/>
  <c r="AJ9" i="2"/>
  <c r="AI21" i="2"/>
  <c r="AL3" i="2"/>
  <c r="AL14" i="2" s="1"/>
  <c r="AK4" i="2"/>
  <c r="AK19" i="2"/>
  <c r="AL23" i="2"/>
  <c r="AJ20" i="2"/>
  <c r="AL7" i="2" l="1"/>
  <c r="AL25" i="2"/>
  <c r="AJ21" i="2"/>
  <c r="AM3" i="2"/>
  <c r="AM14" i="2" s="1"/>
  <c r="AL22" i="2"/>
  <c r="AL4" i="2"/>
  <c r="AL19" i="2"/>
  <c r="AM23" i="2"/>
  <c r="AK20" i="2"/>
  <c r="AK9" i="2"/>
  <c r="AM7" i="2" l="1"/>
  <c r="AM22" i="2" s="1"/>
  <c r="AM25" i="2"/>
  <c r="M24" i="2"/>
  <c r="AK21" i="2"/>
  <c r="AN23" i="2"/>
  <c r="AL9" i="2"/>
  <c r="AL20" i="2"/>
  <c r="AM4" i="2"/>
  <c r="AN3" i="2"/>
  <c r="AN14" i="2" s="1"/>
  <c r="AM19" i="2"/>
  <c r="AN7" i="2" l="1"/>
  <c r="AN22" i="2" s="1"/>
  <c r="AN25" i="2"/>
  <c r="AO23" i="2"/>
  <c r="AP8" i="2"/>
  <c r="M26" i="2"/>
  <c r="AL21" i="2"/>
  <c r="AO3" i="2"/>
  <c r="AO14" i="2" s="1"/>
  <c r="AN19" i="2"/>
  <c r="AM9" i="2"/>
  <c r="AM20" i="2"/>
  <c r="AP3" i="2" l="1"/>
  <c r="AP19" i="2" s="1"/>
  <c r="AO25" i="2"/>
  <c r="AQ8" i="2"/>
  <c r="AP23" i="2"/>
  <c r="AO7" i="2"/>
  <c r="AO22" i="2" s="1"/>
  <c r="AF10" i="2"/>
  <c r="AM21" i="2"/>
  <c r="AN9" i="2"/>
  <c r="AN20" i="2"/>
  <c r="AN4" i="2"/>
  <c r="AO19" i="2"/>
  <c r="AP4" i="2" l="1"/>
  <c r="AP14" i="2"/>
  <c r="AP25" i="2" s="1"/>
  <c r="AP7" i="2"/>
  <c r="AP22" i="2" s="1"/>
  <c r="AQ3" i="2"/>
  <c r="AR3" i="2" s="1"/>
  <c r="AR8" i="2"/>
  <c r="AQ23" i="2"/>
  <c r="AP9" i="2"/>
  <c r="AP20" i="2"/>
  <c r="AG12" i="2"/>
  <c r="AG15" i="2" s="1"/>
  <c r="AF13" i="2"/>
  <c r="AN21" i="2"/>
  <c r="AQ19" i="2" l="1"/>
  <c r="AQ14" i="2"/>
  <c r="AQ25" i="2" s="1"/>
  <c r="AQ7" i="2"/>
  <c r="AQ22" i="2" s="1"/>
  <c r="AR14" i="2"/>
  <c r="AR25" i="2" s="1"/>
  <c r="AQ4" i="2"/>
  <c r="AS3" i="2"/>
  <c r="AR19" i="2"/>
  <c r="AR7" i="2"/>
  <c r="AR22" i="2" s="1"/>
  <c r="AP21" i="2"/>
  <c r="AS8" i="2"/>
  <c r="AR23" i="2"/>
  <c r="AG24" i="2"/>
  <c r="N24" i="2"/>
  <c r="AH12" i="2"/>
  <c r="AS14" i="2" l="1"/>
  <c r="AS25" i="2" s="1"/>
  <c r="AQ9" i="2"/>
  <c r="AQ21" i="2" s="1"/>
  <c r="AQ20" i="2"/>
  <c r="AH15" i="2"/>
  <c r="AR20" i="2"/>
  <c r="AR9" i="2"/>
  <c r="AR4" i="2"/>
  <c r="AT3" i="2"/>
  <c r="AS19" i="2"/>
  <c r="AS7" i="2"/>
  <c r="AS22" i="2" s="1"/>
  <c r="AT8" i="2"/>
  <c r="AT23" i="2" s="1"/>
  <c r="AS23" i="2"/>
  <c r="AG26" i="2"/>
  <c r="AG17" i="2"/>
  <c r="AJ10" i="2"/>
  <c r="AI12" i="2"/>
  <c r="N26" i="2"/>
  <c r="AT14" i="2" l="1"/>
  <c r="AT25" i="2" s="1"/>
  <c r="AH24" i="2"/>
  <c r="AI15" i="2"/>
  <c r="AS20" i="2"/>
  <c r="AS9" i="2"/>
  <c r="AT19" i="2"/>
  <c r="AT7" i="2"/>
  <c r="AT22" i="2" s="1"/>
  <c r="AT4" i="2"/>
  <c r="AS4" i="2"/>
  <c r="AR21" i="2"/>
  <c r="AH26" i="2"/>
  <c r="AH17" i="2"/>
  <c r="AK10" i="2"/>
  <c r="AJ12" i="2"/>
  <c r="AJ13" i="2" s="1"/>
  <c r="AI24" i="2" l="1"/>
  <c r="AJ15" i="2"/>
  <c r="AT9" i="2"/>
  <c r="AT20" i="2"/>
  <c r="AS21" i="2"/>
  <c r="AI17" i="2"/>
  <c r="AI26" i="2"/>
  <c r="AL10" i="2"/>
  <c r="AK12" i="2"/>
  <c r="AK13" i="2" s="1"/>
  <c r="AJ24" i="2" l="1"/>
  <c r="AK15" i="2"/>
  <c r="AT21" i="2"/>
  <c r="AK24" i="2"/>
  <c r="AJ17" i="2"/>
  <c r="AJ26" i="2"/>
  <c r="AM10" i="2"/>
  <c r="AL12" i="2"/>
  <c r="AL13" i="2" s="1"/>
  <c r="AL24" i="2" l="1"/>
  <c r="AN10" i="2"/>
  <c r="AM12" i="2"/>
  <c r="AM13" i="2" s="1"/>
  <c r="AK17" i="2"/>
  <c r="AK26" i="2"/>
  <c r="AL15" i="2" l="1"/>
  <c r="AL17" i="2" s="1"/>
  <c r="AM24" i="2"/>
  <c r="AO10" i="2"/>
  <c r="AP10" i="2" s="1"/>
  <c r="AN12" i="2"/>
  <c r="AN13" i="2" s="1"/>
  <c r="AL26" i="2" l="1"/>
  <c r="AM15" i="2"/>
  <c r="AN15" i="2"/>
  <c r="AQ10" i="2"/>
  <c r="AP12" i="2"/>
  <c r="AP13" i="2" s="1"/>
  <c r="AN24" i="2"/>
  <c r="AM17" i="2"/>
  <c r="AM26" i="2"/>
  <c r="AP24" i="2" l="1"/>
  <c r="AR10" i="2"/>
  <c r="AQ12" i="2"/>
  <c r="AQ13" i="2" s="1"/>
  <c r="AN17" i="2"/>
  <c r="AN26" i="2"/>
  <c r="AP15" i="2" l="1"/>
  <c r="AP26" i="2" s="1"/>
  <c r="AQ24" i="2"/>
  <c r="AS10" i="2"/>
  <c r="AR12" i="2"/>
  <c r="AR13" i="2" s="1"/>
  <c r="AO9" i="2"/>
  <c r="AO12" i="2" s="1"/>
  <c r="AO13" i="2" s="1"/>
  <c r="AO4" i="2"/>
  <c r="AO20" i="2"/>
  <c r="AQ15" i="2" l="1"/>
  <c r="AQ26" i="2" s="1"/>
  <c r="AO15" i="2"/>
  <c r="AP17" i="2"/>
  <c r="AR24" i="2"/>
  <c r="AT10" i="2"/>
  <c r="AT12" i="2" s="1"/>
  <c r="AT13" i="2" s="1"/>
  <c r="AS12" i="2"/>
  <c r="AS13" i="2" s="1"/>
  <c r="AO21" i="2"/>
  <c r="AO24" i="2" l="1"/>
  <c r="AR15" i="2"/>
  <c r="AR17" i="2" s="1"/>
  <c r="AQ17" i="2"/>
  <c r="AS24" i="2"/>
  <c r="AT24" i="2"/>
  <c r="AO26" i="2"/>
  <c r="AO17" i="2"/>
  <c r="AF5" i="2"/>
  <c r="AF20" i="2" s="1"/>
  <c r="AT15" i="2" l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AS15" i="2"/>
  <c r="AS26" i="2" s="1"/>
  <c r="AR26" i="2"/>
  <c r="AF9" i="2"/>
  <c r="AF21" i="2" s="1"/>
  <c r="AS17" i="2" l="1"/>
  <c r="AT17" i="2"/>
  <c r="AT26" i="2"/>
  <c r="AF12" i="2"/>
  <c r="AF24" i="2" l="1"/>
  <c r="AF15" i="2"/>
  <c r="AF26" i="2"/>
  <c r="AF17" i="2" l="1"/>
  <c r="AW24" i="2" l="1"/>
  <c r="AW25" i="2" s="1"/>
  <c r="AW27" i="2" s="1"/>
</calcChain>
</file>

<file path=xl/sharedStrings.xml><?xml version="1.0" encoding="utf-8"?>
<sst xmlns="http://schemas.openxmlformats.org/spreadsheetml/2006/main" count="71" uniqueCount="65">
  <si>
    <t>ADS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</si>
  <si>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</si>
  <si>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</si>
  <si>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</si>
  <si>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</si>
  <si>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</si>
  <si>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</si>
  <si>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</si>
  <si>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</si>
  <si>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</si>
  <si>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</si>
  <si>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</si>
  <si>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</si>
  <si>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</si>
  <si>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</si>
  <si>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</si>
  <si>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</si>
  <si>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</si>
  <si>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</si>
  <si>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</si>
  <si>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Cost of sales</t>
  </si>
  <si>
    <t>Gross profit</t>
  </si>
  <si>
    <t>Other operating income</t>
  </si>
  <si>
    <t>Marketing expenses</t>
  </si>
  <si>
    <t>Operating overhead expenses</t>
  </si>
  <si>
    <t>Operating profit</t>
  </si>
  <si>
    <t>Financial income</t>
  </si>
  <si>
    <t>Financial expense</t>
  </si>
  <si>
    <t>Pretax profit</t>
  </si>
  <si>
    <t>Taxes</t>
  </si>
  <si>
    <t>Net income</t>
  </si>
  <si>
    <t>EPS</t>
  </si>
  <si>
    <t>Revenue y/y</t>
  </si>
  <si>
    <t>Gross Margin</t>
  </si>
  <si>
    <t>Operating Margin</t>
  </si>
  <si>
    <t>Marketing Margin</t>
  </si>
  <si>
    <t>Net Margin</t>
  </si>
  <si>
    <t>Overheads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</si>
  <si>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</si>
  <si>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</si>
  <si>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</si>
  <si>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</si>
  <si>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</si>
  <si>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</si>
  <si>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</si>
  <si>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</si>
  <si>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</si>
  <si>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</si>
  <si>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</si>
  <si>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</si>
  <si>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</si>
  <si>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</si>
  <si>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</si>
  <si>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</si>
  <si>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</si>
  <si>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</si>
  <si>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</si>
  <si>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</si>
  <si>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</si>
  <si>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</si>
  <si>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</si>
  <si>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</si>
  <si>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</si>
  <si>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MI</t>
  </si>
  <si>
    <t>Heavily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</si>
</sst>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3" fontId="1" fillId="0" borderId="0" xfId="0" applyNumberFormat="1" applyFont="1"/>
    <xf numFmtId="4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38100</xdr:colOff>
      <xdr:row>0</xdr:row>
      <xdr:rowOff>0</xdr:rowOff>
    </xdr:from>
    <xdr:to>
      <xdr:col>24</xdr:col>
      <xdr:colOff>38100</xdr:colOff>
      <xdr:row>36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8402478-F7D7-4E6E-B7A7-6F6882A4A313}"/>
            </a:ext>
          </a:extLst>
        </xdr:cNvPr>
        <xdr:cNvCxnSpPr/>
      </xdr:nvCxnSpPr>
      <xdr:spPr>
        <a:xfrm>
          <a:off x="15803880" y="0"/>
          <a:ext cx="0" cy="647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15240</xdr:colOff>
      <xdr:row>0</xdr:row>
      <xdr:rowOff>0</xdr:rowOff>
    </xdr:from>
    <xdr:to>
      <xdr:col>34</xdr:col>
      <xdr:colOff>15240</xdr:colOff>
      <xdr:row>35</xdr:row>
      <xdr:rowOff>83820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26E6CC8-4E8E-4050-A08A-1820814BAA9A}"/>
            </a:ext>
          </a:extLst>
        </xdr:cNvPr>
        <xdr:cNvCxnSpPr/>
      </xdr:nvCxnSpPr>
      <xdr:spPr>
        <a:xfrm>
          <a:off x="21877020" y="0"/>
          <a:ext cx="0" cy="63017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45F3-9BA2-43DE-907F-4DF64A1E90A5}">
  <dimension ref="B2:G9"/>
  <sheetViews>
    <sheetView workbookViewId="0">
      <selection activeCell="D4" sqref="D4"/>
    </sheetView>
  </sheetViews>
  <sheetFormatPr defaultRowHeight="14.4" x14ac:dyDescent="0.3"/>
  <cols>
    <col min="4" max="4" width="10.44140625" bestFit="1" customWidth="1"/>
    <col min="5" max="7" width="15.77734375" style="5" customWidth="1"/>
  </cols>
  <sheetData>
    <row r="2" spans="2:7" x14ac:dyDescent="0.3">
      <c r="E2" s="5" t="s">
        <v>8</v>
      </c>
      <c r="F2" s="5" t="s">
        <v>9</v>
      </c>
      <c r="G2" s="5" t="s">
        <v>10</v>
      </c>
    </row>
    <row r="3" spans="2:7" x14ac:dyDescent="0.3">
      <c r="B3" s="1" t="s">
        <v>0</v>
      </c>
      <c r="C3" t="s">
        <v>1</v>
      </c>
      <c r="D3" s="2">
        <v>214.6</v>
      </c>
      <c r="E3" s="6">
        <v>45515</v>
      </c>
      <c r="F3" s="6">
        <f ca="1">TODAY()</f>
        <v>45515</v>
      </c>
      <c r="G3" s="6">
        <v>45594</v>
      </c>
    </row>
    <row r="4" spans="2:7" x14ac:dyDescent="0.3">
      <c r="C4" t="s">
        <v>2</v>
      </c>
      <c r="D4" s="3">
        <v>178.5</v>
      </c>
      <c r="E4" s="5" t="s">
        <v>60</v>
      </c>
    </row>
    <row r="5" spans="2:7" x14ac:dyDescent="0.3">
      <c r="C5" t="s">
        <v>3</v>
      </c>
      <c r="D5" s="3">
        <f>D3*D4</f>
        <v>38306.1</v>
      </c>
    </row>
    <row r="6" spans="2:7" x14ac:dyDescent="0.3">
      <c r="C6" t="s">
        <v>4</v>
      </c>
      <c r="D6" s="3">
        <f>1660</f>
        <v>1660</v>
      </c>
      <c r="E6" s="5" t="s">
        <v>60</v>
      </c>
    </row>
    <row r="7" spans="2:7" x14ac:dyDescent="0.3">
      <c r="C7" t="s">
        <v>5</v>
      </c>
      <c r="D7" s="3">
        <f>615+2422</f>
        <v>3037</v>
      </c>
      <c r="E7" s="5" t="s">
        <v>60</v>
      </c>
    </row>
    <row r="8" spans="2:7" x14ac:dyDescent="0.3">
      <c r="C8" t="s">
        <v>6</v>
      </c>
      <c r="D8" s="3">
        <f>D6-D7</f>
        <v>-1377</v>
      </c>
    </row>
    <row r="9" spans="2:7" x14ac:dyDescent="0.3">
      <c r="C9" t="s">
        <v>7</v>
      </c>
      <c r="D9" s="3">
        <f>D5-D8</f>
        <v>39683.1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D37E-15CD-4B75-B185-2D2057DBFD6A}">
  <dimension ref="B1:FG28"/>
  <sheetViews>
    <sheetView tabSelected="1" workbookViewId="0">
      <pane xSplit="2" ySplit="2" topLeftCell="AF3" activePane="bottomRight" state="frozen"/>
      <selection pane="topRight" activeCell="C1" sqref="C1"/>
      <selection pane="bottomLeft" activeCell="A3" sqref="A3"/>
      <selection pane="bottomRight" activeCell="AS14" sqref="AS14"/>
    </sheetView>
  </sheetViews>
  <sheetFormatPr defaultRowHeight="14.4" x14ac:dyDescent="0.3"/>
  <cols>
    <col min="2" max="2" width="25.44140625" bestFit="1" customWidth="1"/>
    <col min="3" max="29" width="8.88671875" customWidth="1"/>
    <col min="41" max="46" width="8.88671875" customWidth="1"/>
    <col min="48" max="48" width="11.88671875" bestFit="1" customWidth="1"/>
    <col min="49" max="49" width="16.21875" bestFit="1" customWidth="1"/>
  </cols>
  <sheetData>
    <row r="1" spans="2:163" x14ac:dyDescent="0.3"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2:163" x14ac:dyDescent="0.3"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47</v>
      </c>
      <c r="L2" s="7" t="s">
        <v>48</v>
      </c>
      <c r="M2" s="7" t="s">
        <v>49</v>
      </c>
      <c r="N2" s="7" t="s">
        <v>50</v>
      </c>
      <c r="O2" s="7" t="s">
        <v>51</v>
      </c>
      <c r="P2" s="7" t="s">
        <v>52</v>
      </c>
      <c r="Q2" s="7" t="s">
        <v>53</v>
      </c>
      <c r="R2" s="7" t="s">
        <v>54</v>
      </c>
      <c r="S2" s="7" t="s">
        <v>55</v>
      </c>
      <c r="T2" s="7" t="s">
        <v>56</v>
      </c>
      <c r="U2" s="7" t="s">
        <v>57</v>
      </c>
      <c r="V2" s="7" t="s">
        <v>58</v>
      </c>
      <c r="W2" s="7" t="s">
        <v>59</v>
      </c>
      <c r="X2" s="7" t="s">
        <v>60</v>
      </c>
      <c r="Y2" s="7" t="s">
        <v>61</v>
      </c>
      <c r="Z2" s="7" t="s">
        <v>62</v>
      </c>
      <c r="AA2" s="7"/>
      <c r="AB2" s="7">
        <v>2017</v>
      </c>
      <c r="AC2" s="7">
        <v>2018</v>
      </c>
      <c r="AD2">
        <v>2019</v>
      </c>
      <c r="AE2">
        <v>2020</v>
      </c>
      <c r="AF2">
        <v>2021</v>
      </c>
      <c r="AG2">
        <v>2022</v>
      </c>
      <c r="AH2">
        <v>2023</v>
      </c>
      <c r="AI2">
        <v>2024</v>
      </c>
      <c r="AJ2">
        <v>2025</v>
      </c>
      <c r="AK2">
        <v>2026</v>
      </c>
      <c r="AL2">
        <v>2027</v>
      </c>
      <c r="AM2">
        <v>2028</v>
      </c>
      <c r="AN2">
        <v>2029</v>
      </c>
      <c r="AO2">
        <v>2030</v>
      </c>
      <c r="AP2">
        <v>2031</v>
      </c>
      <c r="AQ2">
        <v>2032</v>
      </c>
      <c r="AR2">
        <v>2033</v>
      </c>
      <c r="AS2">
        <v>2034</v>
      </c>
      <c r="AT2">
        <v>2035</v>
      </c>
    </row>
    <row r="3" spans="2:163" s="1" customFormat="1" x14ac:dyDescent="0.3">
      <c r="B3" s="1" t="s">
        <v>11</v>
      </c>
      <c r="C3" s="8">
        <v>5883</v>
      </c>
      <c r="D3" s="8">
        <v>5509</v>
      </c>
      <c r="E3" s="8">
        <v>6410</v>
      </c>
      <c r="F3" s="8">
        <f>AD3-E3-D3-C3</f>
        <v>5838</v>
      </c>
      <c r="G3" s="8">
        <v>4753</v>
      </c>
      <c r="H3" s="8">
        <v>3579</v>
      </c>
      <c r="I3" s="8">
        <v>5964</v>
      </c>
      <c r="J3" s="8">
        <f>AE3-I3-H3-G3</f>
        <v>5548</v>
      </c>
      <c r="K3" s="8">
        <v>5268</v>
      </c>
      <c r="L3" s="8">
        <v>5077</v>
      </c>
      <c r="M3" s="8">
        <v>5752</v>
      </c>
      <c r="N3" s="8">
        <v>5137</v>
      </c>
      <c r="O3" s="8">
        <v>5302</v>
      </c>
      <c r="P3" s="8">
        <v>5596</v>
      </c>
      <c r="Q3" s="8">
        <v>6408</v>
      </c>
      <c r="R3" s="8">
        <v>5205</v>
      </c>
      <c r="S3" s="8">
        <v>5274</v>
      </c>
      <c r="T3" s="8">
        <v>5343</v>
      </c>
      <c r="U3" s="8">
        <v>5999</v>
      </c>
      <c r="V3" s="8">
        <v>4812</v>
      </c>
      <c r="W3" s="8">
        <v>5458</v>
      </c>
      <c r="X3" s="8">
        <v>5822</v>
      </c>
      <c r="Y3" s="8">
        <f>U3*1.03</f>
        <v>6178.97</v>
      </c>
      <c r="Z3" s="8">
        <f>V3*1.1</f>
        <v>5293.2000000000007</v>
      </c>
      <c r="AA3" s="8"/>
      <c r="AB3" s="8">
        <v>21218</v>
      </c>
      <c r="AC3" s="8">
        <v>21915</v>
      </c>
      <c r="AD3" s="8">
        <v>23640</v>
      </c>
      <c r="AE3" s="8">
        <v>19844</v>
      </c>
      <c r="AF3" s="8">
        <f>SUM(K3:N3)</f>
        <v>21234</v>
      </c>
      <c r="AG3" s="8">
        <f>SUM(O3:R3)</f>
        <v>22511</v>
      </c>
      <c r="AH3" s="8">
        <f>SUM(S3:V3)</f>
        <v>21428</v>
      </c>
      <c r="AI3" s="8">
        <f>SUM(W3:Z3)</f>
        <v>22752.170000000002</v>
      </c>
      <c r="AJ3" s="8">
        <f>AI3*1.04</f>
        <v>23662.256800000003</v>
      </c>
      <c r="AK3" s="8">
        <f>AJ3*1.03</f>
        <v>24372.124504000003</v>
      </c>
      <c r="AL3" s="8">
        <f t="shared" ref="AL3:AO3" si="0">AK3*1.02</f>
        <v>24859.566994080003</v>
      </c>
      <c r="AM3" s="8">
        <f t="shared" si="0"/>
        <v>25356.758333961603</v>
      </c>
      <c r="AN3" s="8">
        <f t="shared" si="0"/>
        <v>25863.893500640836</v>
      </c>
      <c r="AO3" s="8">
        <f t="shared" si="0"/>
        <v>26381.171370653654</v>
      </c>
      <c r="AP3" s="8">
        <f>AO3*1.01</f>
        <v>26644.983084360192</v>
      </c>
      <c r="AQ3" s="8">
        <f t="shared" ref="AQ3:AT3" si="1">AP3*1.01</f>
        <v>26911.432915203794</v>
      </c>
      <c r="AR3" s="8">
        <f t="shared" si="1"/>
        <v>27180.547244355832</v>
      </c>
      <c r="AS3" s="8">
        <f t="shared" si="1"/>
        <v>27452.352716799389</v>
      </c>
      <c r="AT3" s="8">
        <f t="shared" si="1"/>
        <v>27726.876243967385</v>
      </c>
    </row>
    <row r="4" spans="2:163" x14ac:dyDescent="0.3">
      <c r="B4" t="s">
        <v>20</v>
      </c>
      <c r="C4" s="3">
        <v>2732</v>
      </c>
      <c r="D4" s="3">
        <v>2564</v>
      </c>
      <c r="E4" s="3">
        <v>3071</v>
      </c>
      <c r="F4" s="3">
        <f>AD4-E4-D4-C4</f>
        <v>2980</v>
      </c>
      <c r="G4" s="3">
        <v>2408</v>
      </c>
      <c r="H4" s="3">
        <v>1753</v>
      </c>
      <c r="I4" s="3">
        <v>2981</v>
      </c>
      <c r="J4" s="3">
        <f>AE4-I4-H4-G4</f>
        <v>2848</v>
      </c>
      <c r="K4" s="3">
        <v>2538</v>
      </c>
      <c r="L4" s="3">
        <v>2446</v>
      </c>
      <c r="M4" s="3">
        <v>2868</v>
      </c>
      <c r="N4" s="3">
        <v>2618</v>
      </c>
      <c r="O4" s="3">
        <v>2654</v>
      </c>
      <c r="P4" s="3">
        <v>2781</v>
      </c>
      <c r="Q4" s="3">
        <v>3262</v>
      </c>
      <c r="R4" s="3">
        <v>3170</v>
      </c>
      <c r="S4" s="3">
        <v>2911</v>
      </c>
      <c r="T4" s="3">
        <v>2625</v>
      </c>
      <c r="U4" s="3">
        <v>3044</v>
      </c>
      <c r="V4" s="3">
        <v>2664</v>
      </c>
      <c r="W4" s="3">
        <v>2662</v>
      </c>
      <c r="X4" s="3">
        <v>2863</v>
      </c>
      <c r="Y4" s="3">
        <f>Y3-Y5</f>
        <v>3089.4850000000001</v>
      </c>
      <c r="Z4" s="3">
        <f>Z3-Z5</f>
        <v>2699.5320000000006</v>
      </c>
      <c r="AA4" s="3"/>
      <c r="AB4" s="3">
        <v>10514</v>
      </c>
      <c r="AC4" s="3">
        <v>10552</v>
      </c>
      <c r="AD4" s="3">
        <v>11347</v>
      </c>
      <c r="AE4" s="3">
        <v>9990</v>
      </c>
      <c r="AF4" s="3">
        <f>SUM(K4:N4)</f>
        <v>10470</v>
      </c>
      <c r="AG4" s="3">
        <f>SUM(O4:R4)</f>
        <v>11867</v>
      </c>
      <c r="AH4" s="3">
        <f>SUM(S4:V4)</f>
        <v>11244</v>
      </c>
      <c r="AI4" s="3">
        <f>SUM(W4:Z4)</f>
        <v>11314.017000000002</v>
      </c>
      <c r="AJ4" s="3">
        <f t="shared" ref="AJ4:AO4" si="2">AJ3-AJ5</f>
        <v>11594.505832000001</v>
      </c>
      <c r="AK4" s="3">
        <f t="shared" si="2"/>
        <v>11942.341006960001</v>
      </c>
      <c r="AL4" s="3">
        <f t="shared" si="2"/>
        <v>12181.187827099202</v>
      </c>
      <c r="AM4" s="3">
        <f t="shared" si="2"/>
        <v>12424.811583641185</v>
      </c>
      <c r="AN4" s="3">
        <f t="shared" si="2"/>
        <v>12673.307815314009</v>
      </c>
      <c r="AO4" s="3">
        <f t="shared" si="2"/>
        <v>12926.77397162029</v>
      </c>
      <c r="AP4" s="3">
        <f t="shared" ref="AP4:AT4" si="3">AP3-AP5</f>
        <v>13056.041711336495</v>
      </c>
      <c r="AQ4" s="3">
        <f t="shared" si="3"/>
        <v>13186.602128449858</v>
      </c>
      <c r="AR4" s="3">
        <f t="shared" si="3"/>
        <v>13318.468149734357</v>
      </c>
      <c r="AS4" s="3">
        <f t="shared" si="3"/>
        <v>13451.6528312317</v>
      </c>
      <c r="AT4" s="3">
        <f t="shared" si="3"/>
        <v>13586.169359544017</v>
      </c>
    </row>
    <row r="5" spans="2:163" s="1" customFormat="1" x14ac:dyDescent="0.3">
      <c r="B5" s="1" t="s">
        <v>21</v>
      </c>
      <c r="C5" s="8">
        <f t="shared" ref="C5:J5" si="4">C3-C4</f>
        <v>3151</v>
      </c>
      <c r="D5" s="8">
        <f t="shared" si="4"/>
        <v>2945</v>
      </c>
      <c r="E5" s="8">
        <f t="shared" si="4"/>
        <v>3339</v>
      </c>
      <c r="F5" s="8">
        <f t="shared" si="4"/>
        <v>2858</v>
      </c>
      <c r="G5" s="8">
        <f t="shared" si="4"/>
        <v>2345</v>
      </c>
      <c r="H5" s="8">
        <f t="shared" si="4"/>
        <v>1826</v>
      </c>
      <c r="I5" s="8">
        <f t="shared" si="4"/>
        <v>2983</v>
      </c>
      <c r="J5" s="8">
        <f t="shared" si="4"/>
        <v>2700</v>
      </c>
      <c r="K5" s="8">
        <f t="shared" ref="K5:M5" si="5">K3-K4</f>
        <v>2730</v>
      </c>
      <c r="L5" s="8">
        <f t="shared" si="5"/>
        <v>2631</v>
      </c>
      <c r="M5" s="8">
        <f t="shared" si="5"/>
        <v>2884</v>
      </c>
      <c r="N5" s="8">
        <f t="shared" ref="N5:O5" si="6">N3-N4</f>
        <v>2519</v>
      </c>
      <c r="O5" s="8">
        <f t="shared" si="6"/>
        <v>2648</v>
      </c>
      <c r="P5" s="8">
        <f t="shared" ref="P5" si="7">P3-P4</f>
        <v>2815</v>
      </c>
      <c r="Q5" s="8">
        <f t="shared" ref="Q5" si="8">Q3-Q4</f>
        <v>3146</v>
      </c>
      <c r="R5" s="8">
        <f t="shared" ref="R5" si="9">R3-R4</f>
        <v>2035</v>
      </c>
      <c r="S5" s="8">
        <f t="shared" ref="S5" si="10">S3-S4</f>
        <v>2363</v>
      </c>
      <c r="T5" s="8">
        <f t="shared" ref="T5:U5" si="11">T3-T4</f>
        <v>2718</v>
      </c>
      <c r="U5" s="8">
        <f t="shared" si="11"/>
        <v>2955</v>
      </c>
      <c r="V5" s="8">
        <f t="shared" ref="V5" si="12">V3-V4</f>
        <v>2148</v>
      </c>
      <c r="W5" s="8">
        <f t="shared" ref="W5" si="13">W3-W4</f>
        <v>2796</v>
      </c>
      <c r="X5" s="8">
        <f t="shared" ref="X5" si="14">X3-X4</f>
        <v>2959</v>
      </c>
      <c r="Y5" s="8">
        <f>Y3*0.5</f>
        <v>3089.4850000000001</v>
      </c>
      <c r="Z5" s="8">
        <f>Z3*0.49</f>
        <v>2593.6680000000001</v>
      </c>
      <c r="AA5" s="8"/>
      <c r="AB5" s="8">
        <f t="shared" ref="AB5:AI5" si="15">AB3-AB4</f>
        <v>10704</v>
      </c>
      <c r="AC5" s="8">
        <f t="shared" si="15"/>
        <v>11363</v>
      </c>
      <c r="AD5" s="8">
        <f t="shared" si="15"/>
        <v>12293</v>
      </c>
      <c r="AE5" s="8">
        <f t="shared" si="15"/>
        <v>9854</v>
      </c>
      <c r="AF5" s="8">
        <f t="shared" si="15"/>
        <v>10764</v>
      </c>
      <c r="AG5" s="8">
        <f t="shared" si="15"/>
        <v>10644</v>
      </c>
      <c r="AH5" s="8">
        <f t="shared" si="15"/>
        <v>10184</v>
      </c>
      <c r="AI5" s="8">
        <f t="shared" si="15"/>
        <v>11438.153</v>
      </c>
      <c r="AJ5" s="8">
        <f>AJ3*0.51</f>
        <v>12067.750968000002</v>
      </c>
      <c r="AK5" s="8">
        <f t="shared" ref="AK5:AT5" si="16">AK3*0.51</f>
        <v>12429.783497040002</v>
      </c>
      <c r="AL5" s="8">
        <f t="shared" si="16"/>
        <v>12678.379166980802</v>
      </c>
      <c r="AM5" s="8">
        <f t="shared" si="16"/>
        <v>12931.946750320418</v>
      </c>
      <c r="AN5" s="8">
        <f t="shared" si="16"/>
        <v>13190.585685326827</v>
      </c>
      <c r="AO5" s="8">
        <f t="shared" si="16"/>
        <v>13454.397399033363</v>
      </c>
      <c r="AP5" s="8">
        <f t="shared" si="16"/>
        <v>13588.941373023697</v>
      </c>
      <c r="AQ5" s="8">
        <f t="shared" si="16"/>
        <v>13724.830786753935</v>
      </c>
      <c r="AR5" s="8">
        <f t="shared" si="16"/>
        <v>13862.079094621475</v>
      </c>
      <c r="AS5" s="8">
        <f t="shared" si="16"/>
        <v>14000.699885567688</v>
      </c>
      <c r="AT5" s="8">
        <f t="shared" si="16"/>
        <v>14140.706884423367</v>
      </c>
    </row>
    <row r="6" spans="2:163" x14ac:dyDescent="0.3">
      <c r="B6" t="s">
        <v>22</v>
      </c>
      <c r="C6" s="3">
        <f>-35-6</f>
        <v>-41</v>
      </c>
      <c r="D6" s="3">
        <f>-39-5</f>
        <v>-44</v>
      </c>
      <c r="E6" s="3">
        <f>-37-7</f>
        <v>-44</v>
      </c>
      <c r="F6" s="3">
        <f>AD6-E6-D6-C6</f>
        <v>-81</v>
      </c>
      <c r="G6" s="3">
        <f>-23-2</f>
        <v>-25</v>
      </c>
      <c r="H6" s="3">
        <f>-11-18</f>
        <v>-29</v>
      </c>
      <c r="I6" s="3">
        <f>-24-10</f>
        <v>-34</v>
      </c>
      <c r="J6" s="3">
        <f>AE6-I6-H6-G6</f>
        <v>-37</v>
      </c>
      <c r="K6" s="3">
        <f>-14-7</f>
        <v>-21</v>
      </c>
      <c r="L6" s="3">
        <f>-17-2</f>
        <v>-19</v>
      </c>
      <c r="M6" s="3">
        <f>-22-3</f>
        <v>-25</v>
      </c>
      <c r="N6" s="3">
        <f>-33-15</f>
        <v>-48</v>
      </c>
      <c r="O6" s="3">
        <f>-23-23</f>
        <v>-46</v>
      </c>
      <c r="P6" s="3">
        <f>-27-51</f>
        <v>-78</v>
      </c>
      <c r="Q6" s="3">
        <f>-36-58</f>
        <v>-94</v>
      </c>
      <c r="R6" s="3">
        <f>-26-41</f>
        <v>-67</v>
      </c>
      <c r="S6" s="3">
        <f>-25-39</f>
        <v>-64</v>
      </c>
      <c r="T6" s="3">
        <f>-21-18</f>
        <v>-39</v>
      </c>
      <c r="U6" s="3">
        <f>-20-5</f>
        <v>-25</v>
      </c>
      <c r="V6" s="3">
        <f>-17-10</f>
        <v>-27</v>
      </c>
      <c r="W6" s="3">
        <f>-17-2</f>
        <v>-19</v>
      </c>
      <c r="X6" s="3">
        <f>-19-6</f>
        <v>-25</v>
      </c>
      <c r="Y6" s="3">
        <v>-30</v>
      </c>
      <c r="Z6" s="3">
        <v>-30</v>
      </c>
      <c r="AA6" s="3"/>
      <c r="AB6" s="3">
        <f>-115-17</f>
        <v>-132</v>
      </c>
      <c r="AC6" s="3">
        <f>-129-48</f>
        <v>-177</v>
      </c>
      <c r="AD6" s="3">
        <f>-154-56</f>
        <v>-210</v>
      </c>
      <c r="AE6" s="3">
        <f>-83-42</f>
        <v>-125</v>
      </c>
      <c r="AF6" s="3">
        <f>SUM(K6:N6)</f>
        <v>-113</v>
      </c>
      <c r="AG6" s="3">
        <f>SUM(O6:R6)</f>
        <v>-285</v>
      </c>
      <c r="AH6" s="3">
        <f>SUM(S6:V6)</f>
        <v>-155</v>
      </c>
      <c r="AI6" s="3">
        <f>SUM(W6:Z6)</f>
        <v>-104</v>
      </c>
      <c r="AJ6" s="3">
        <f t="shared" ref="AJ6:AO6" si="17">AI6*1.01</f>
        <v>-105.04</v>
      </c>
      <c r="AK6" s="3">
        <f t="shared" si="17"/>
        <v>-106.0904</v>
      </c>
      <c r="AL6" s="3">
        <f t="shared" si="17"/>
        <v>-107.15130400000001</v>
      </c>
      <c r="AM6" s="3">
        <f t="shared" si="17"/>
        <v>-108.22281704000001</v>
      </c>
      <c r="AN6" s="3">
        <f t="shared" si="17"/>
        <v>-109.30504521040001</v>
      </c>
      <c r="AO6" s="3">
        <f t="shared" si="17"/>
        <v>-110.39809566250401</v>
      </c>
      <c r="AP6" s="3">
        <f t="shared" ref="AP6" si="18">AO6*1.01</f>
        <v>-111.50207661912904</v>
      </c>
      <c r="AQ6" s="3">
        <f t="shared" ref="AQ6" si="19">AP6*1.01</f>
        <v>-112.61709738532033</v>
      </c>
      <c r="AR6" s="3">
        <f t="shared" ref="AR6" si="20">AQ6*1.01</f>
        <v>-113.74326835917354</v>
      </c>
      <c r="AS6" s="3">
        <f t="shared" ref="AS6" si="21">AR6*1.01</f>
        <v>-114.88070104276528</v>
      </c>
      <c r="AT6" s="3">
        <f t="shared" ref="AT6" si="22">AS6*1.01</f>
        <v>-116.02950805319294</v>
      </c>
    </row>
    <row r="7" spans="2:163" x14ac:dyDescent="0.3">
      <c r="B7" t="s">
        <v>23</v>
      </c>
      <c r="C7" s="3">
        <v>703</v>
      </c>
      <c r="D7" s="3">
        <v>744</v>
      </c>
      <c r="E7" s="3">
        <v>753</v>
      </c>
      <c r="F7" s="3">
        <f>AD7-E7-D7-C7</f>
        <v>842</v>
      </c>
      <c r="G7" s="3">
        <v>704</v>
      </c>
      <c r="H7" s="3">
        <v>560</v>
      </c>
      <c r="I7" s="3">
        <v>579</v>
      </c>
      <c r="J7" s="3">
        <f>AE7-I7-H7-G7</f>
        <v>730</v>
      </c>
      <c r="K7" s="3">
        <v>541</v>
      </c>
      <c r="L7" s="3">
        <v>616</v>
      </c>
      <c r="M7" s="3">
        <v>674</v>
      </c>
      <c r="N7" s="3">
        <v>715</v>
      </c>
      <c r="O7" s="3">
        <v>641</v>
      </c>
      <c r="P7" s="3">
        <v>663</v>
      </c>
      <c r="Q7" s="3">
        <v>691</v>
      </c>
      <c r="R7" s="3">
        <v>767</v>
      </c>
      <c r="S7" s="3">
        <v>601</v>
      </c>
      <c r="T7" s="3">
        <v>617</v>
      </c>
      <c r="U7" s="3">
        <v>644</v>
      </c>
      <c r="V7" s="3">
        <v>666</v>
      </c>
      <c r="W7" s="3">
        <v>657</v>
      </c>
      <c r="X7" s="3">
        <v>707</v>
      </c>
      <c r="Y7" s="3">
        <f>Y3*0.12</f>
        <v>741.47640000000001</v>
      </c>
      <c r="Z7" s="3">
        <f>Z3*0.14</f>
        <v>741.04800000000023</v>
      </c>
      <c r="AA7" s="3"/>
      <c r="AB7" s="3">
        <v>2724</v>
      </c>
      <c r="AC7" s="3">
        <v>3001</v>
      </c>
      <c r="AD7" s="3">
        <v>3042</v>
      </c>
      <c r="AE7" s="3">
        <v>2573</v>
      </c>
      <c r="AF7" s="3">
        <f>SUM(K7:N7)</f>
        <v>2546</v>
      </c>
      <c r="AG7" s="3">
        <f>SUM(O7:R7)</f>
        <v>2762</v>
      </c>
      <c r="AH7" s="3">
        <f>SUM(S7:V7)</f>
        <v>2528</v>
      </c>
      <c r="AI7" s="3">
        <f>SUM(W7:Z7)</f>
        <v>2846.5244000000002</v>
      </c>
      <c r="AJ7" s="3">
        <f t="shared" ref="AJ7:AO7" si="23">AJ3*0.12</f>
        <v>2839.470816</v>
      </c>
      <c r="AK7" s="3">
        <f t="shared" si="23"/>
        <v>2924.6549404800003</v>
      </c>
      <c r="AL7" s="3">
        <f t="shared" si="23"/>
        <v>2983.1480392896001</v>
      </c>
      <c r="AM7" s="3">
        <f t="shared" si="23"/>
        <v>3042.8110000753923</v>
      </c>
      <c r="AN7" s="3">
        <f t="shared" si="23"/>
        <v>3103.6672200769003</v>
      </c>
      <c r="AO7" s="3">
        <f t="shared" si="23"/>
        <v>3165.7405644784385</v>
      </c>
      <c r="AP7" s="3">
        <f t="shared" ref="AP7:AT7" si="24">AP3*0.12</f>
        <v>3197.3979701232229</v>
      </c>
      <c r="AQ7" s="3">
        <f t="shared" si="24"/>
        <v>3229.371949824455</v>
      </c>
      <c r="AR7" s="3">
        <f t="shared" si="24"/>
        <v>3261.6656693226996</v>
      </c>
      <c r="AS7" s="3">
        <f t="shared" si="24"/>
        <v>3294.2823260159266</v>
      </c>
      <c r="AT7" s="3">
        <f t="shared" si="24"/>
        <v>3327.2251492760861</v>
      </c>
    </row>
    <row r="8" spans="2:163" x14ac:dyDescent="0.3">
      <c r="B8" t="s">
        <v>24</v>
      </c>
      <c r="C8" s="3">
        <v>1614</v>
      </c>
      <c r="D8" s="3">
        <v>1602</v>
      </c>
      <c r="E8" s="3">
        <v>1733</v>
      </c>
      <c r="F8" s="3">
        <f>AD8-E8-D8-C8</f>
        <v>1852</v>
      </c>
      <c r="G8" s="3">
        <v>1601</v>
      </c>
      <c r="H8" s="3">
        <v>1628</v>
      </c>
      <c r="I8" s="3">
        <v>1644</v>
      </c>
      <c r="J8" s="3">
        <f>AE8-I8-H8-G8</f>
        <v>1783</v>
      </c>
      <c r="K8" s="3">
        <v>1506</v>
      </c>
      <c r="L8" s="3">
        <v>1492</v>
      </c>
      <c r="M8" s="3">
        <v>1562</v>
      </c>
      <c r="N8" s="3">
        <v>1786</v>
      </c>
      <c r="O8" s="3">
        <v>1617</v>
      </c>
      <c r="P8" s="3">
        <v>1838</v>
      </c>
      <c r="Q8" s="3">
        <v>1985</v>
      </c>
      <c r="R8" s="3">
        <v>2058</v>
      </c>
      <c r="S8" s="3">
        <v>1766</v>
      </c>
      <c r="T8" s="3">
        <v>1965</v>
      </c>
      <c r="U8" s="3">
        <v>1926</v>
      </c>
      <c r="V8" s="3">
        <v>1885</v>
      </c>
      <c r="W8" s="3">
        <v>1822</v>
      </c>
      <c r="X8" s="3">
        <v>1930</v>
      </c>
      <c r="Y8" s="3">
        <f>U8*1.02</f>
        <v>1964.52</v>
      </c>
      <c r="Z8" s="3">
        <f>V8*1.05</f>
        <v>1979.25</v>
      </c>
      <c r="AA8" s="3"/>
      <c r="AB8" s="3">
        <f>4307+1568+130+37</f>
        <v>6042</v>
      </c>
      <c r="AC8" s="3">
        <f>4450+1576+105+41</f>
        <v>6172</v>
      </c>
      <c r="AD8" s="3">
        <f>4997+1652+134+18</f>
        <v>6801</v>
      </c>
      <c r="AE8" s="3">
        <f>9229-AE7</f>
        <v>6656</v>
      </c>
      <c r="AF8" s="3">
        <f>SUM(K8:N8)</f>
        <v>6346</v>
      </c>
      <c r="AG8" s="3">
        <f>SUM(O8:R8)</f>
        <v>7498</v>
      </c>
      <c r="AH8" s="3">
        <f>SUM(S8:V8)</f>
        <v>7542</v>
      </c>
      <c r="AI8" s="3">
        <f>SUM(W8:Z8)</f>
        <v>7695.77</v>
      </c>
      <c r="AJ8" s="3">
        <f>AI8*1.02</f>
        <v>7849.6854000000003</v>
      </c>
      <c r="AK8" s="3">
        <f t="shared" ref="AK8:AO8" si="25">AJ8*1.02</f>
        <v>8006.6791080000003</v>
      </c>
      <c r="AL8" s="3">
        <f t="shared" si="25"/>
        <v>8166.8126901600008</v>
      </c>
      <c r="AM8" s="3">
        <f t="shared" si="25"/>
        <v>8330.1489439632005</v>
      </c>
      <c r="AN8" s="3">
        <f t="shared" si="25"/>
        <v>8496.7519228424644</v>
      </c>
      <c r="AO8" s="3">
        <f t="shared" si="25"/>
        <v>8666.6869612993141</v>
      </c>
      <c r="AP8" s="3">
        <f t="shared" ref="AP8" si="26">AO8*1.01</f>
        <v>8753.3538309123069</v>
      </c>
      <c r="AQ8" s="3">
        <f t="shared" ref="AQ8" si="27">AP8*1.01</f>
        <v>8840.8873692214293</v>
      </c>
      <c r="AR8" s="3">
        <f t="shared" ref="AR8" si="28">AQ8*1.01</f>
        <v>8929.2962429136442</v>
      </c>
      <c r="AS8" s="3">
        <f t="shared" ref="AS8" si="29">AR8*1.01</f>
        <v>9018.5892053427815</v>
      </c>
      <c r="AT8" s="3">
        <f t="shared" ref="AT8" si="30">AS8*1.01</f>
        <v>9108.7750973962102</v>
      </c>
    </row>
    <row r="9" spans="2:163" s="1" customFormat="1" x14ac:dyDescent="0.3">
      <c r="B9" s="1" t="s">
        <v>25</v>
      </c>
      <c r="C9" s="8">
        <f t="shared" ref="C9:J9" si="31">C5-C6-C7-C8</f>
        <v>875</v>
      </c>
      <c r="D9" s="8">
        <f t="shared" si="31"/>
        <v>643</v>
      </c>
      <c r="E9" s="8">
        <f t="shared" si="31"/>
        <v>897</v>
      </c>
      <c r="F9" s="8">
        <f t="shared" si="31"/>
        <v>245</v>
      </c>
      <c r="G9" s="8">
        <f t="shared" si="31"/>
        <v>65</v>
      </c>
      <c r="H9" s="8">
        <f t="shared" si="31"/>
        <v>-333</v>
      </c>
      <c r="I9" s="8">
        <f t="shared" si="31"/>
        <v>794</v>
      </c>
      <c r="J9" s="8">
        <f t="shared" si="31"/>
        <v>224</v>
      </c>
      <c r="K9" s="8">
        <f t="shared" ref="K9:M9" si="32">K5-K6-K7-K8</f>
        <v>704</v>
      </c>
      <c r="L9" s="8">
        <f t="shared" si="32"/>
        <v>542</v>
      </c>
      <c r="M9" s="8">
        <f t="shared" si="32"/>
        <v>673</v>
      </c>
      <c r="N9" s="8">
        <f t="shared" ref="N9:O9" si="33">N5-N6-N7-N8</f>
        <v>66</v>
      </c>
      <c r="O9" s="8">
        <f t="shared" si="33"/>
        <v>436</v>
      </c>
      <c r="P9" s="8">
        <f t="shared" ref="P9" si="34">P5-P6-P7-P8</f>
        <v>392</v>
      </c>
      <c r="Q9" s="8">
        <f t="shared" ref="Q9" si="35">Q5-Q6-Q7-Q8</f>
        <v>564</v>
      </c>
      <c r="R9" s="8">
        <f t="shared" ref="R9" si="36">R5-R6-R7-R8</f>
        <v>-723</v>
      </c>
      <c r="S9" s="8">
        <f t="shared" ref="S9" si="37">S5-S6-S7-S8</f>
        <v>60</v>
      </c>
      <c r="T9" s="8">
        <f t="shared" ref="T9:U9" si="38">T5-T6-T7-T8</f>
        <v>175</v>
      </c>
      <c r="U9" s="8">
        <f t="shared" si="38"/>
        <v>410</v>
      </c>
      <c r="V9" s="8">
        <f t="shared" ref="V9" si="39">V5-V6-V7-V8</f>
        <v>-376</v>
      </c>
      <c r="W9" s="8">
        <f t="shared" ref="W9" si="40">W5-W6-W7-W8</f>
        <v>336</v>
      </c>
      <c r="X9" s="8">
        <f t="shared" ref="X9:Z9" si="41">X5-X6-X7-X8</f>
        <v>347</v>
      </c>
      <c r="Y9" s="8">
        <f t="shared" si="41"/>
        <v>413.48860000000013</v>
      </c>
      <c r="Z9" s="8">
        <f t="shared" si="41"/>
        <v>-96.630000000000109</v>
      </c>
      <c r="AA9" s="8"/>
      <c r="AB9" s="8">
        <f>AB5-AB6-AB7-AB8</f>
        <v>2070</v>
      </c>
      <c r="AC9" s="8">
        <f>AC5-AC6-AC7-AC8</f>
        <v>2367</v>
      </c>
      <c r="AD9" s="8">
        <f>AD5-AD6-AD7-AD8</f>
        <v>2660</v>
      </c>
      <c r="AE9" s="8">
        <f>AE5-AE6-AE7-AE8</f>
        <v>750</v>
      </c>
      <c r="AF9" s="8">
        <f t="shared" ref="AF9:AO9" si="42">AF5-AF6-AF7-AF8</f>
        <v>1985</v>
      </c>
      <c r="AG9" s="8">
        <f t="shared" si="42"/>
        <v>669</v>
      </c>
      <c r="AH9" s="8">
        <f t="shared" si="42"/>
        <v>269</v>
      </c>
      <c r="AI9" s="8">
        <f t="shared" si="42"/>
        <v>999.85859999999957</v>
      </c>
      <c r="AJ9" s="8">
        <f t="shared" si="42"/>
        <v>1483.6347520000036</v>
      </c>
      <c r="AK9" s="8">
        <f t="shared" si="42"/>
        <v>1604.5398485599999</v>
      </c>
      <c r="AL9" s="8">
        <f t="shared" si="42"/>
        <v>1635.5697415312025</v>
      </c>
      <c r="AM9" s="8">
        <f t="shared" si="42"/>
        <v>1667.2096233218235</v>
      </c>
      <c r="AN9" s="8">
        <f t="shared" si="42"/>
        <v>1699.4715876178616</v>
      </c>
      <c r="AO9" s="8">
        <f t="shared" si="42"/>
        <v>1732.3679689181154</v>
      </c>
      <c r="AP9" s="8">
        <f t="shared" ref="AP9:AT9" si="43">AP5-AP6-AP7-AP8</f>
        <v>1749.6916486072951</v>
      </c>
      <c r="AQ9" s="8">
        <f t="shared" si="43"/>
        <v>1767.1885650933709</v>
      </c>
      <c r="AR9" s="8">
        <f t="shared" si="43"/>
        <v>1784.8604507443051</v>
      </c>
      <c r="AS9" s="8">
        <f t="shared" si="43"/>
        <v>1802.7090552517438</v>
      </c>
      <c r="AT9" s="8">
        <f t="shared" si="43"/>
        <v>1820.7361458042633</v>
      </c>
    </row>
    <row r="10" spans="2:163" x14ac:dyDescent="0.3">
      <c r="B10" t="s">
        <v>26</v>
      </c>
      <c r="C10" s="3">
        <v>-8</v>
      </c>
      <c r="D10" s="3">
        <v>-18</v>
      </c>
      <c r="E10" s="3">
        <v>-12</v>
      </c>
      <c r="F10" s="3">
        <f>AD10-E10-D10-C10</f>
        <v>-26</v>
      </c>
      <c r="G10" s="3">
        <v>-7</v>
      </c>
      <c r="H10" s="3">
        <v>-13</v>
      </c>
      <c r="I10" s="3">
        <v>-6</v>
      </c>
      <c r="J10" s="3">
        <v>-11</v>
      </c>
      <c r="K10" s="3">
        <v>-3</v>
      </c>
      <c r="L10" s="3">
        <v>-4</v>
      </c>
      <c r="M10" s="3">
        <v>-6</v>
      </c>
      <c r="N10" s="3">
        <v>-17</v>
      </c>
      <c r="O10" s="3">
        <v>-8</v>
      </c>
      <c r="P10" s="3">
        <v>-16</v>
      </c>
      <c r="Q10" s="3">
        <v>-8</v>
      </c>
      <c r="R10" s="3">
        <v>-30</v>
      </c>
      <c r="S10" s="3">
        <v>-13</v>
      </c>
      <c r="T10" s="3">
        <v>-19</v>
      </c>
      <c r="U10" s="3">
        <v>-31</v>
      </c>
      <c r="V10" s="3">
        <v>-25</v>
      </c>
      <c r="W10" s="3">
        <v>-24</v>
      </c>
      <c r="X10" s="3">
        <v>-20</v>
      </c>
      <c r="Y10" s="3">
        <f>U10*1.01</f>
        <v>-31.31</v>
      </c>
      <c r="Z10" s="3">
        <f>V10*1.01</f>
        <v>-25.25</v>
      </c>
      <c r="AA10" s="3"/>
      <c r="AB10" s="3">
        <v>-46</v>
      </c>
      <c r="AC10" s="3">
        <v>-57</v>
      </c>
      <c r="AD10" s="3">
        <v>-64</v>
      </c>
      <c r="AE10" s="3">
        <v>-29</v>
      </c>
      <c r="AF10" s="3">
        <f>SUM(K10:N10)</f>
        <v>-30</v>
      </c>
      <c r="AG10" s="3">
        <f>SUM(O10:R10)</f>
        <v>-62</v>
      </c>
      <c r="AH10" s="3">
        <f>SUM(S10:V10)</f>
        <v>-88</v>
      </c>
      <c r="AI10" s="3">
        <f>SUM(W10:Z10)</f>
        <v>-100.56</v>
      </c>
      <c r="AJ10" s="3">
        <f t="shared" ref="AJ10:AO10" si="44">AI10*1.02</f>
        <v>-102.5712</v>
      </c>
      <c r="AK10" s="3">
        <f t="shared" si="44"/>
        <v>-104.622624</v>
      </c>
      <c r="AL10" s="3">
        <f t="shared" si="44"/>
        <v>-106.71507648000001</v>
      </c>
      <c r="AM10" s="3">
        <f t="shared" si="44"/>
        <v>-108.84937800960002</v>
      </c>
      <c r="AN10" s="3">
        <f t="shared" si="44"/>
        <v>-111.02636556979202</v>
      </c>
      <c r="AO10" s="3">
        <f t="shared" si="44"/>
        <v>-113.24689288118786</v>
      </c>
      <c r="AP10" s="3">
        <f t="shared" ref="AP10" si="45">AO10*1.02</f>
        <v>-115.51183073881162</v>
      </c>
      <c r="AQ10" s="3">
        <f t="shared" ref="AQ10" si="46">AP10*1.02</f>
        <v>-117.82206735358785</v>
      </c>
      <c r="AR10" s="3">
        <f t="shared" ref="AR10" si="47">AQ10*1.02</f>
        <v>-120.17850870065962</v>
      </c>
      <c r="AS10" s="3">
        <f t="shared" ref="AS10" si="48">AR10*1.02</f>
        <v>-122.58207887467282</v>
      </c>
      <c r="AT10" s="3">
        <f t="shared" ref="AT10" si="49">AS10*1.02</f>
        <v>-125.03372045216628</v>
      </c>
    </row>
    <row r="11" spans="2:163" x14ac:dyDescent="0.3">
      <c r="B11" t="s">
        <v>27</v>
      </c>
      <c r="C11" s="3">
        <v>35</v>
      </c>
      <c r="D11" s="3">
        <v>43</v>
      </c>
      <c r="E11" s="3">
        <v>44</v>
      </c>
      <c r="F11" s="3">
        <f>AD11-E11-D11-C11</f>
        <v>44</v>
      </c>
      <c r="G11" s="3">
        <v>45</v>
      </c>
      <c r="H11" s="3">
        <v>44</v>
      </c>
      <c r="I11" s="3">
        <v>44</v>
      </c>
      <c r="J11" s="3">
        <v>76</v>
      </c>
      <c r="K11" s="3">
        <v>38</v>
      </c>
      <c r="L11" s="3">
        <v>37</v>
      </c>
      <c r="M11" s="3">
        <v>49</v>
      </c>
      <c r="N11" s="3">
        <v>39</v>
      </c>
      <c r="O11" s="3">
        <v>34</v>
      </c>
      <c r="P11" s="3">
        <v>107</v>
      </c>
      <c r="Q11" s="3">
        <v>162</v>
      </c>
      <c r="R11" s="3">
        <v>41</v>
      </c>
      <c r="S11" s="3">
        <v>41</v>
      </c>
      <c r="T11" s="3">
        <v>71</v>
      </c>
      <c r="U11" s="3">
        <v>115</v>
      </c>
      <c r="V11" s="3">
        <v>63</v>
      </c>
      <c r="W11" s="3">
        <v>115</v>
      </c>
      <c r="X11" s="3">
        <v>62</v>
      </c>
      <c r="Y11" s="3">
        <v>115</v>
      </c>
      <c r="Z11" s="3">
        <v>64</v>
      </c>
      <c r="AA11" s="3"/>
      <c r="AB11" s="3">
        <v>93</v>
      </c>
      <c r="AC11" s="3">
        <v>47</v>
      </c>
      <c r="AD11" s="3">
        <v>166</v>
      </c>
      <c r="AE11" s="3">
        <v>204</v>
      </c>
      <c r="AF11" s="3">
        <f>SUM(K11:N11)</f>
        <v>163</v>
      </c>
      <c r="AG11" s="3">
        <f>SUM(O11:R11)</f>
        <v>344</v>
      </c>
      <c r="AH11" s="3">
        <f>SUM(S11:V11)</f>
        <v>290</v>
      </c>
      <c r="AI11" s="3">
        <f>SUM(W11:Z11)</f>
        <v>356</v>
      </c>
      <c r="AJ11" s="3">
        <f t="shared" ref="AJ11:AO11" si="50">AI11*0.8</f>
        <v>284.8</v>
      </c>
      <c r="AK11" s="3">
        <f t="shared" si="50"/>
        <v>227.84000000000003</v>
      </c>
      <c r="AL11" s="3">
        <f t="shared" si="50"/>
        <v>182.27200000000005</v>
      </c>
      <c r="AM11" s="3">
        <f t="shared" si="50"/>
        <v>145.81760000000006</v>
      </c>
      <c r="AN11" s="3">
        <f t="shared" si="50"/>
        <v>116.65408000000005</v>
      </c>
      <c r="AO11" s="3">
        <f t="shared" si="50"/>
        <v>93.323264000000052</v>
      </c>
      <c r="AP11" s="3">
        <f t="shared" ref="AP11" si="51">AO11*0.8</f>
        <v>74.658611200000038</v>
      </c>
      <c r="AQ11" s="3">
        <f t="shared" ref="AQ11" si="52">AP11*0.8</f>
        <v>59.726888960000032</v>
      </c>
      <c r="AR11" s="3">
        <f t="shared" ref="AR11" si="53">AQ11*0.8</f>
        <v>47.78151116800003</v>
      </c>
      <c r="AS11" s="3">
        <f t="shared" ref="AS11" si="54">AR11*0.8</f>
        <v>38.225208934400023</v>
      </c>
      <c r="AT11" s="3">
        <f t="shared" ref="AT11" si="55">AS11*0.8</f>
        <v>30.580167147520019</v>
      </c>
    </row>
    <row r="12" spans="2:163" s="1" customFormat="1" x14ac:dyDescent="0.3">
      <c r="B12" s="1" t="s">
        <v>28</v>
      </c>
      <c r="C12" s="8">
        <f t="shared" ref="C12:J12" si="56">C9-C10-C11</f>
        <v>848</v>
      </c>
      <c r="D12" s="8">
        <f t="shared" si="56"/>
        <v>618</v>
      </c>
      <c r="E12" s="8">
        <f t="shared" si="56"/>
        <v>865</v>
      </c>
      <c r="F12" s="8">
        <f t="shared" si="56"/>
        <v>227</v>
      </c>
      <c r="G12" s="8">
        <f t="shared" si="56"/>
        <v>27</v>
      </c>
      <c r="H12" s="8">
        <f t="shared" si="56"/>
        <v>-364</v>
      </c>
      <c r="I12" s="8">
        <f t="shared" si="56"/>
        <v>756</v>
      </c>
      <c r="J12" s="8">
        <f t="shared" si="56"/>
        <v>159</v>
      </c>
      <c r="K12" s="8">
        <f t="shared" ref="K12:M12" si="57">K9-K10-K11</f>
        <v>669</v>
      </c>
      <c r="L12" s="8">
        <f t="shared" si="57"/>
        <v>509</v>
      </c>
      <c r="M12" s="8">
        <f t="shared" si="57"/>
        <v>630</v>
      </c>
      <c r="N12" s="8">
        <f t="shared" ref="N12:O12" si="58">N9-N10-N11</f>
        <v>44</v>
      </c>
      <c r="O12" s="8">
        <f t="shared" si="58"/>
        <v>410</v>
      </c>
      <c r="P12" s="8">
        <f t="shared" ref="P12" si="59">P9-P10-P11</f>
        <v>301</v>
      </c>
      <c r="Q12" s="8">
        <f t="shared" ref="Q12" si="60">Q9-Q10-Q11</f>
        <v>410</v>
      </c>
      <c r="R12" s="8">
        <f t="shared" ref="R12" si="61">R9-R10-R11</f>
        <v>-734</v>
      </c>
      <c r="S12" s="8">
        <f t="shared" ref="S12" si="62">S9-S10-S11</f>
        <v>32</v>
      </c>
      <c r="T12" s="8">
        <f t="shared" ref="T12:U12" si="63">T9-T10-T11</f>
        <v>123</v>
      </c>
      <c r="U12" s="8">
        <f t="shared" si="63"/>
        <v>326</v>
      </c>
      <c r="V12" s="8">
        <f t="shared" ref="V12" si="64">V9-V10-V11</f>
        <v>-414</v>
      </c>
      <c r="W12" s="8">
        <f t="shared" ref="W12" si="65">W9-W10-W11</f>
        <v>245</v>
      </c>
      <c r="X12" s="8">
        <f t="shared" ref="X12:Z12" si="66">X9-X10-X11</f>
        <v>305</v>
      </c>
      <c r="Y12" s="8">
        <f t="shared" si="66"/>
        <v>329.79860000000014</v>
      </c>
      <c r="Z12" s="8">
        <f t="shared" si="66"/>
        <v>-135.38000000000011</v>
      </c>
      <c r="AA12" s="8"/>
      <c r="AB12" s="8">
        <f>AB9-AB10-AB11</f>
        <v>2023</v>
      </c>
      <c r="AC12" s="8">
        <f>AC9-AC10-AC11</f>
        <v>2377</v>
      </c>
      <c r="AD12" s="8">
        <f>AD9-AD10-AD11</f>
        <v>2558</v>
      </c>
      <c r="AE12" s="8">
        <f>AE9-AE10-AE11</f>
        <v>575</v>
      </c>
      <c r="AF12" s="8">
        <f t="shared" ref="AF12:AO12" si="67">AF9-AF10-AF11</f>
        <v>1852</v>
      </c>
      <c r="AG12" s="8">
        <f t="shared" si="67"/>
        <v>387</v>
      </c>
      <c r="AH12" s="8">
        <f t="shared" si="67"/>
        <v>67</v>
      </c>
      <c r="AI12" s="8">
        <f t="shared" si="67"/>
        <v>744.41859999999951</v>
      </c>
      <c r="AJ12" s="8">
        <f t="shared" si="67"/>
        <v>1301.4059520000037</v>
      </c>
      <c r="AK12" s="8">
        <f t="shared" si="67"/>
        <v>1481.3224725599998</v>
      </c>
      <c r="AL12" s="8">
        <f t="shared" si="67"/>
        <v>1560.0128180112024</v>
      </c>
      <c r="AM12" s="8">
        <f t="shared" si="67"/>
        <v>1630.2414013314235</v>
      </c>
      <c r="AN12" s="8">
        <f t="shared" si="67"/>
        <v>1693.8438731876536</v>
      </c>
      <c r="AO12" s="8">
        <f t="shared" si="67"/>
        <v>1752.2915977993032</v>
      </c>
      <c r="AP12" s="8">
        <f t="shared" ref="AP12:AT12" si="68">AP9-AP10-AP11</f>
        <v>1790.5448681461066</v>
      </c>
      <c r="AQ12" s="8">
        <f t="shared" si="68"/>
        <v>1825.2837434869589</v>
      </c>
      <c r="AR12" s="8">
        <f t="shared" si="68"/>
        <v>1857.2574482769649</v>
      </c>
      <c r="AS12" s="8">
        <f t="shared" si="68"/>
        <v>1887.0659251920167</v>
      </c>
      <c r="AT12" s="8">
        <f t="shared" si="68"/>
        <v>1915.1896991089095</v>
      </c>
    </row>
    <row r="13" spans="2:163" x14ac:dyDescent="0.3">
      <c r="B13" t="s">
        <v>29</v>
      </c>
      <c r="C13" s="3">
        <v>217</v>
      </c>
      <c r="D13" s="3">
        <v>157</v>
      </c>
      <c r="E13" s="3">
        <v>220</v>
      </c>
      <c r="F13" s="3">
        <f>AD13-E13-D13-C13</f>
        <v>46</v>
      </c>
      <c r="G13" s="3">
        <v>7</v>
      </c>
      <c r="H13" s="3">
        <v>-58</v>
      </c>
      <c r="I13" s="3">
        <v>177</v>
      </c>
      <c r="J13" s="3">
        <v>17</v>
      </c>
      <c r="K13" s="3">
        <v>166</v>
      </c>
      <c r="L13" s="3">
        <v>123</v>
      </c>
      <c r="M13" s="3">
        <v>150</v>
      </c>
      <c r="N13" s="3">
        <v>-79</v>
      </c>
      <c r="O13" s="3">
        <v>101</v>
      </c>
      <c r="P13" s="3">
        <v>-60</v>
      </c>
      <c r="Q13" s="3">
        <v>345</v>
      </c>
      <c r="R13" s="3">
        <v>-252</v>
      </c>
      <c r="S13" s="3">
        <v>55</v>
      </c>
      <c r="T13" s="3">
        <v>27</v>
      </c>
      <c r="U13" s="3">
        <v>55</v>
      </c>
      <c r="V13" s="3">
        <v>-14</v>
      </c>
      <c r="W13" s="3">
        <v>74</v>
      </c>
      <c r="X13" s="3">
        <v>93</v>
      </c>
      <c r="Y13" s="3">
        <f>Y12*0.25</f>
        <v>82.449650000000034</v>
      </c>
      <c r="Z13" s="3">
        <f>Z12*0.25</f>
        <v>-33.845000000000027</v>
      </c>
      <c r="AA13" s="3"/>
      <c r="AB13" s="3">
        <v>668</v>
      </c>
      <c r="AC13" s="3">
        <v>669</v>
      </c>
      <c r="AD13" s="3">
        <v>640</v>
      </c>
      <c r="AE13" s="3">
        <v>146</v>
      </c>
      <c r="AF13" s="3">
        <f>SUM(K13:N13)</f>
        <v>360</v>
      </c>
      <c r="AG13" s="3">
        <f>SUM(O13:R13)</f>
        <v>134</v>
      </c>
      <c r="AH13" s="3">
        <f>SUM(S13:V13)</f>
        <v>123</v>
      </c>
      <c r="AI13" s="3">
        <f>SUM(W13:Z13)</f>
        <v>215.60464999999999</v>
      </c>
      <c r="AJ13" s="3">
        <f>AJ12*0.29</f>
        <v>377.40772608000105</v>
      </c>
      <c r="AK13" s="3">
        <f t="shared" ref="AK13:AT13" si="69">AK12*0.29</f>
        <v>429.58351704239993</v>
      </c>
      <c r="AL13" s="3">
        <f t="shared" si="69"/>
        <v>452.40371722324869</v>
      </c>
      <c r="AM13" s="3">
        <f t="shared" si="69"/>
        <v>472.77000638611281</v>
      </c>
      <c r="AN13" s="3">
        <f t="shared" si="69"/>
        <v>491.21472322441952</v>
      </c>
      <c r="AO13" s="3">
        <f t="shared" si="69"/>
        <v>508.16456336179789</v>
      </c>
      <c r="AP13" s="3">
        <f t="shared" si="69"/>
        <v>519.25801176237087</v>
      </c>
      <c r="AQ13" s="3">
        <f t="shared" si="69"/>
        <v>529.33228561121803</v>
      </c>
      <c r="AR13" s="3">
        <f t="shared" si="69"/>
        <v>538.60466000031977</v>
      </c>
      <c r="AS13" s="3">
        <f t="shared" si="69"/>
        <v>547.24911830568476</v>
      </c>
      <c r="AT13" s="3">
        <f t="shared" si="69"/>
        <v>555.40501274158373</v>
      </c>
    </row>
    <row r="14" spans="2:163" x14ac:dyDescent="0.3">
      <c r="B14" t="s">
        <v>63</v>
      </c>
      <c r="C14" s="3"/>
      <c r="D14" s="3"/>
      <c r="E14" s="3"/>
      <c r="F14" s="3"/>
      <c r="G14" s="3"/>
      <c r="H14" s="3"/>
      <c r="I14" s="3"/>
      <c r="J14" s="3">
        <f>-14+6</f>
        <v>-8</v>
      </c>
      <c r="K14" s="3">
        <f>-52-4</f>
        <v>-56</v>
      </c>
      <c r="L14" s="3">
        <f>-20+11</f>
        <v>-9</v>
      </c>
      <c r="M14" s="3">
        <f>-504+24</f>
        <v>-480</v>
      </c>
      <c r="N14" s="3">
        <f>-89+11</f>
        <v>-78</v>
      </c>
      <c r="O14" s="3">
        <f>-180+8</f>
        <v>-172</v>
      </c>
      <c r="P14" s="3">
        <f>52+15</f>
        <v>67</v>
      </c>
      <c r="Q14" s="3">
        <f>-286+5</f>
        <v>-281</v>
      </c>
      <c r="R14" s="3">
        <f>31-1</f>
        <v>30</v>
      </c>
      <c r="S14" s="3">
        <f>6+9</f>
        <v>15</v>
      </c>
      <c r="T14" s="3">
        <f>1+11</f>
        <v>12</v>
      </c>
      <c r="U14" s="3">
        <f>-10+21</f>
        <v>11</v>
      </c>
      <c r="V14" s="3">
        <f>-42+20</f>
        <v>-22</v>
      </c>
      <c r="W14" s="3">
        <v>1</v>
      </c>
      <c r="X14" s="3">
        <f>16+6</f>
        <v>22</v>
      </c>
      <c r="Y14" s="3">
        <f>Y3*0.001</f>
        <v>6.1789700000000005</v>
      </c>
      <c r="Z14" s="3">
        <f>Z3*0.001</f>
        <v>5.2932000000000006</v>
      </c>
      <c r="AA14" s="3"/>
      <c r="AB14" s="3"/>
      <c r="AC14" s="3"/>
      <c r="AD14" s="3"/>
      <c r="AE14" s="3"/>
      <c r="AF14" s="3">
        <f>SUM(K14:N14)</f>
        <v>-623</v>
      </c>
      <c r="AG14" s="3">
        <f>SUM(O14:R14)</f>
        <v>-356</v>
      </c>
      <c r="AH14" s="3">
        <f>SUM(S14:V14)</f>
        <v>16</v>
      </c>
      <c r="AI14" s="3">
        <f>SUM(W14:Z14)</f>
        <v>34.472169999999998</v>
      </c>
      <c r="AJ14" s="3">
        <f>AJ3*0.001</f>
        <v>23.662256800000005</v>
      </c>
      <c r="AK14" s="3">
        <f t="shared" ref="AK14:AT14" si="70">AK3*0.001</f>
        <v>24.372124504000002</v>
      </c>
      <c r="AL14" s="3">
        <f t="shared" si="70"/>
        <v>24.859566994080005</v>
      </c>
      <c r="AM14" s="3">
        <f t="shared" si="70"/>
        <v>25.356758333961604</v>
      </c>
      <c r="AN14" s="3">
        <f t="shared" si="70"/>
        <v>25.863893500640835</v>
      </c>
      <c r="AO14" s="3">
        <f t="shared" si="70"/>
        <v>26.381171370653654</v>
      </c>
      <c r="AP14" s="3">
        <f t="shared" si="70"/>
        <v>26.644983084360192</v>
      </c>
      <c r="AQ14" s="3">
        <f t="shared" si="70"/>
        <v>26.911432915203793</v>
      </c>
      <c r="AR14" s="3">
        <f t="shared" si="70"/>
        <v>27.180547244355832</v>
      </c>
      <c r="AS14" s="3">
        <f t="shared" si="70"/>
        <v>27.452352716799389</v>
      </c>
      <c r="AT14" s="3">
        <f t="shared" si="70"/>
        <v>27.726876243967386</v>
      </c>
    </row>
    <row r="15" spans="2:163" s="1" customFormat="1" x14ac:dyDescent="0.3">
      <c r="B15" s="1" t="s">
        <v>30</v>
      </c>
      <c r="C15" s="8">
        <f t="shared" ref="C15:I15" si="71">C12-C13</f>
        <v>631</v>
      </c>
      <c r="D15" s="8">
        <f t="shared" si="71"/>
        <v>461</v>
      </c>
      <c r="E15" s="8">
        <f t="shared" si="71"/>
        <v>645</v>
      </c>
      <c r="F15" s="8">
        <f t="shared" si="71"/>
        <v>181</v>
      </c>
      <c r="G15" s="8">
        <f t="shared" si="71"/>
        <v>20</v>
      </c>
      <c r="H15" s="8">
        <f t="shared" si="71"/>
        <v>-306</v>
      </c>
      <c r="I15" s="8">
        <f t="shared" si="71"/>
        <v>579</v>
      </c>
      <c r="J15" s="8">
        <f t="shared" ref="J15:X15" si="72">J12-J13-J14</f>
        <v>150</v>
      </c>
      <c r="K15" s="8">
        <f t="shared" si="72"/>
        <v>559</v>
      </c>
      <c r="L15" s="8">
        <f t="shared" si="72"/>
        <v>395</v>
      </c>
      <c r="M15" s="8">
        <f t="shared" si="72"/>
        <v>960</v>
      </c>
      <c r="N15" s="8">
        <f t="shared" si="72"/>
        <v>201</v>
      </c>
      <c r="O15" s="8">
        <f t="shared" si="72"/>
        <v>481</v>
      </c>
      <c r="P15" s="8">
        <f t="shared" si="72"/>
        <v>294</v>
      </c>
      <c r="Q15" s="8">
        <f t="shared" si="72"/>
        <v>346</v>
      </c>
      <c r="R15" s="8">
        <f t="shared" si="72"/>
        <v>-512</v>
      </c>
      <c r="S15" s="8">
        <f t="shared" si="72"/>
        <v>-38</v>
      </c>
      <c r="T15" s="8">
        <f t="shared" si="72"/>
        <v>84</v>
      </c>
      <c r="U15" s="8">
        <f t="shared" si="72"/>
        <v>260</v>
      </c>
      <c r="V15" s="8">
        <f t="shared" si="72"/>
        <v>-378</v>
      </c>
      <c r="W15" s="8">
        <f t="shared" si="72"/>
        <v>170</v>
      </c>
      <c r="X15" s="8">
        <f t="shared" si="72"/>
        <v>190</v>
      </c>
      <c r="Y15" s="8">
        <f t="shared" ref="Y15:Z15" si="73">Y12-Y13-Y14</f>
        <v>241.16998000000012</v>
      </c>
      <c r="Z15" s="8">
        <f t="shared" si="73"/>
        <v>-106.82820000000008</v>
      </c>
      <c r="AA15" s="8"/>
      <c r="AB15" s="8">
        <f>AB12-AB13</f>
        <v>1355</v>
      </c>
      <c r="AC15" s="8">
        <f>AC12-AC13</f>
        <v>1708</v>
      </c>
      <c r="AD15" s="8">
        <f>AD12-AD13</f>
        <v>1918</v>
      </c>
      <c r="AE15" s="8">
        <f>AE12-AE13</f>
        <v>429</v>
      </c>
      <c r="AF15" s="8">
        <f>AF12-AF13-AF14</f>
        <v>2115</v>
      </c>
      <c r="AG15" s="8">
        <f t="shared" ref="AG15:AT15" si="74">AG12-AG13-AG14</f>
        <v>609</v>
      </c>
      <c r="AH15" s="8">
        <f t="shared" si="74"/>
        <v>-72</v>
      </c>
      <c r="AI15" s="8">
        <f t="shared" si="74"/>
        <v>494.34177999999952</v>
      </c>
      <c r="AJ15" s="8">
        <f t="shared" si="74"/>
        <v>900.33596912000257</v>
      </c>
      <c r="AK15" s="8">
        <f t="shared" si="74"/>
        <v>1027.3668310135997</v>
      </c>
      <c r="AL15" s="8">
        <f t="shared" si="74"/>
        <v>1082.7495337938735</v>
      </c>
      <c r="AM15" s="8">
        <f t="shared" si="74"/>
        <v>1132.1146366113492</v>
      </c>
      <c r="AN15" s="8">
        <f t="shared" si="74"/>
        <v>1176.7652564625932</v>
      </c>
      <c r="AO15" s="8">
        <f t="shared" si="74"/>
        <v>1217.7458630668516</v>
      </c>
      <c r="AP15" s="8">
        <f t="shared" si="74"/>
        <v>1244.6418732993757</v>
      </c>
      <c r="AQ15" s="8">
        <f t="shared" si="74"/>
        <v>1269.040024960537</v>
      </c>
      <c r="AR15" s="8">
        <f t="shared" si="74"/>
        <v>1291.472241032289</v>
      </c>
      <c r="AS15" s="8">
        <f t="shared" si="74"/>
        <v>1312.3644541695326</v>
      </c>
      <c r="AT15" s="8">
        <f t="shared" si="74"/>
        <v>1332.0578101233584</v>
      </c>
      <c r="AU15" s="1">
        <f t="shared" ref="AU15:BZ15" si="75">AT15*(1+$AW$20)</f>
        <v>1318.7372320221248</v>
      </c>
      <c r="AV15" s="1">
        <f t="shared" si="75"/>
        <v>1305.5498597019034</v>
      </c>
      <c r="AW15" s="1">
        <f t="shared" si="75"/>
        <v>1292.4943611048843</v>
      </c>
      <c r="AX15" s="1">
        <f t="shared" si="75"/>
        <v>1279.5694174938355</v>
      </c>
      <c r="AY15" s="1">
        <f t="shared" si="75"/>
        <v>1266.7737233188973</v>
      </c>
      <c r="AZ15" s="1">
        <f t="shared" si="75"/>
        <v>1254.1059860857083</v>
      </c>
      <c r="BA15" s="1">
        <f t="shared" si="75"/>
        <v>1241.5649262248512</v>
      </c>
      <c r="BB15" s="1">
        <f t="shared" si="75"/>
        <v>1229.1492769626027</v>
      </c>
      <c r="BC15" s="1">
        <f t="shared" si="75"/>
        <v>1216.8577841929766</v>
      </c>
      <c r="BD15" s="1">
        <f t="shared" si="75"/>
        <v>1204.6892063510468</v>
      </c>
      <c r="BE15" s="1">
        <f t="shared" si="75"/>
        <v>1192.6423142875362</v>
      </c>
      <c r="BF15" s="1">
        <f t="shared" si="75"/>
        <v>1180.7158911446609</v>
      </c>
      <c r="BG15" s="1">
        <f t="shared" si="75"/>
        <v>1168.9087322332143</v>
      </c>
      <c r="BH15" s="1">
        <f t="shared" si="75"/>
        <v>1157.2196449108822</v>
      </c>
      <c r="BI15" s="1">
        <f t="shared" si="75"/>
        <v>1145.6474484617734</v>
      </c>
      <c r="BJ15" s="1">
        <f t="shared" si="75"/>
        <v>1134.1909739771556</v>
      </c>
      <c r="BK15" s="1">
        <f t="shared" si="75"/>
        <v>1122.849064237384</v>
      </c>
      <c r="BL15" s="1">
        <f t="shared" si="75"/>
        <v>1111.6205735950102</v>
      </c>
      <c r="BM15" s="1">
        <f t="shared" si="75"/>
        <v>1100.50436785906</v>
      </c>
      <c r="BN15" s="1">
        <f t="shared" si="75"/>
        <v>1089.4993241804693</v>
      </c>
      <c r="BO15" s="1">
        <f t="shared" si="75"/>
        <v>1078.6043309386646</v>
      </c>
      <c r="BP15" s="1">
        <f t="shared" si="75"/>
        <v>1067.8182876292778</v>
      </c>
      <c r="BQ15" s="1">
        <f t="shared" si="75"/>
        <v>1057.1401047529851</v>
      </c>
      <c r="BR15" s="1">
        <f t="shared" si="75"/>
        <v>1046.5687037054552</v>
      </c>
      <c r="BS15" s="1">
        <f t="shared" si="75"/>
        <v>1036.1030166684006</v>
      </c>
      <c r="BT15" s="1">
        <f t="shared" si="75"/>
        <v>1025.7419865017166</v>
      </c>
      <c r="BU15" s="1">
        <f t="shared" si="75"/>
        <v>1015.4845666366995</v>
      </c>
      <c r="BV15" s="1">
        <f t="shared" si="75"/>
        <v>1005.3297209703325</v>
      </c>
      <c r="BW15" s="1">
        <f t="shared" si="75"/>
        <v>995.27642376062909</v>
      </c>
      <c r="BX15" s="1">
        <f t="shared" si="75"/>
        <v>985.3236595230228</v>
      </c>
      <c r="BY15" s="1">
        <f t="shared" si="75"/>
        <v>975.47042292779258</v>
      </c>
      <c r="BZ15" s="1">
        <f t="shared" si="75"/>
        <v>965.71571869851459</v>
      </c>
      <c r="CA15" s="1">
        <f t="shared" ref="CA15:DF15" si="76">BZ15*(1+$AW$20)</f>
        <v>956.05856151152943</v>
      </c>
      <c r="CB15" s="1">
        <f t="shared" si="76"/>
        <v>946.49797589641412</v>
      </c>
      <c r="CC15" s="1">
        <f t="shared" si="76"/>
        <v>937.03299613744991</v>
      </c>
      <c r="CD15" s="1">
        <f t="shared" si="76"/>
        <v>927.66266617607539</v>
      </c>
      <c r="CE15" s="1">
        <f t="shared" si="76"/>
        <v>918.38603951431458</v>
      </c>
      <c r="CF15" s="1">
        <f t="shared" si="76"/>
        <v>909.20217911917143</v>
      </c>
      <c r="CG15" s="1">
        <f t="shared" si="76"/>
        <v>900.11015732797966</v>
      </c>
      <c r="CH15" s="1">
        <f t="shared" si="76"/>
        <v>891.10905575469985</v>
      </c>
      <c r="CI15" s="1">
        <f t="shared" si="76"/>
        <v>882.19796519715283</v>
      </c>
      <c r="CJ15" s="1">
        <f t="shared" si="76"/>
        <v>873.37598554518127</v>
      </c>
      <c r="CK15" s="1">
        <f t="shared" si="76"/>
        <v>864.64222568972946</v>
      </c>
      <c r="CL15" s="1">
        <f t="shared" si="76"/>
        <v>855.99580343283219</v>
      </c>
      <c r="CM15" s="1">
        <f t="shared" si="76"/>
        <v>847.43584539850383</v>
      </c>
      <c r="CN15" s="1">
        <f t="shared" si="76"/>
        <v>838.96148694451881</v>
      </c>
      <c r="CO15" s="1">
        <f t="shared" si="76"/>
        <v>830.57187207507366</v>
      </c>
      <c r="CP15" s="1">
        <f t="shared" si="76"/>
        <v>822.26615335432291</v>
      </c>
      <c r="CQ15" s="1">
        <f t="shared" si="76"/>
        <v>814.04349182077965</v>
      </c>
      <c r="CR15" s="1">
        <f t="shared" si="76"/>
        <v>805.90305690257185</v>
      </c>
      <c r="CS15" s="1">
        <f t="shared" si="76"/>
        <v>797.84402633354614</v>
      </c>
      <c r="CT15" s="1">
        <f t="shared" si="76"/>
        <v>789.86558607021072</v>
      </c>
      <c r="CU15" s="1">
        <f t="shared" si="76"/>
        <v>781.96693020950863</v>
      </c>
      <c r="CV15" s="1">
        <f t="shared" si="76"/>
        <v>774.14726090741351</v>
      </c>
      <c r="CW15" s="1">
        <f t="shared" si="76"/>
        <v>766.40578829833942</v>
      </c>
      <c r="CX15" s="1">
        <f t="shared" si="76"/>
        <v>758.74173041535596</v>
      </c>
      <c r="CY15" s="1">
        <f t="shared" si="76"/>
        <v>751.15431311120244</v>
      </c>
      <c r="CZ15" s="1">
        <f t="shared" si="76"/>
        <v>743.64276998009041</v>
      </c>
      <c r="DA15" s="1">
        <f t="shared" si="76"/>
        <v>736.2063422802895</v>
      </c>
      <c r="DB15" s="1">
        <f t="shared" si="76"/>
        <v>728.84427885748664</v>
      </c>
      <c r="DC15" s="1">
        <f t="shared" si="76"/>
        <v>721.55583606891173</v>
      </c>
      <c r="DD15" s="1">
        <f t="shared" si="76"/>
        <v>714.34027770822263</v>
      </c>
      <c r="DE15" s="1">
        <f t="shared" si="76"/>
        <v>707.19687493114043</v>
      </c>
      <c r="DF15" s="1">
        <f t="shared" si="76"/>
        <v>700.12490618182903</v>
      </c>
      <c r="DG15" s="1">
        <f t="shared" ref="DG15:EL15" si="77">DF15*(1+$AW$20)</f>
        <v>693.12365712001076</v>
      </c>
      <c r="DH15" s="1">
        <f t="shared" si="77"/>
        <v>686.19242054881067</v>
      </c>
      <c r="DI15" s="1">
        <f t="shared" si="77"/>
        <v>679.33049634332258</v>
      </c>
      <c r="DJ15" s="1">
        <f t="shared" si="77"/>
        <v>672.53719137988935</v>
      </c>
      <c r="DK15" s="1">
        <f t="shared" si="77"/>
        <v>665.81181946609047</v>
      </c>
      <c r="DL15" s="1">
        <f t="shared" si="77"/>
        <v>659.15370127142955</v>
      </c>
      <c r="DM15" s="1">
        <f t="shared" si="77"/>
        <v>652.56216425871526</v>
      </c>
      <c r="DN15" s="1">
        <f t="shared" si="77"/>
        <v>646.03654261612814</v>
      </c>
      <c r="DO15" s="1">
        <f t="shared" si="77"/>
        <v>639.57617718996687</v>
      </c>
      <c r="DP15" s="1">
        <f t="shared" si="77"/>
        <v>633.18041541806724</v>
      </c>
      <c r="DQ15" s="1">
        <f t="shared" si="77"/>
        <v>626.8486112638866</v>
      </c>
      <c r="DR15" s="1">
        <f t="shared" si="77"/>
        <v>620.58012515124767</v>
      </c>
      <c r="DS15" s="1">
        <f t="shared" si="77"/>
        <v>614.37432389973515</v>
      </c>
      <c r="DT15" s="1">
        <f t="shared" si="77"/>
        <v>608.23058066073781</v>
      </c>
      <c r="DU15" s="1">
        <f t="shared" si="77"/>
        <v>602.14827485413048</v>
      </c>
      <c r="DV15" s="1">
        <f t="shared" si="77"/>
        <v>596.12679210558917</v>
      </c>
      <c r="DW15" s="1">
        <f t="shared" si="77"/>
        <v>590.1655241845333</v>
      </c>
      <c r="DX15" s="1">
        <f t="shared" si="77"/>
        <v>584.26386894268796</v>
      </c>
      <c r="DY15" s="1">
        <f t="shared" si="77"/>
        <v>578.42123025326111</v>
      </c>
      <c r="DZ15" s="1">
        <f t="shared" si="77"/>
        <v>572.63701795072848</v>
      </c>
      <c r="EA15" s="1">
        <f t="shared" si="77"/>
        <v>566.91064777122119</v>
      </c>
      <c r="EB15" s="1">
        <f t="shared" si="77"/>
        <v>561.24154129350893</v>
      </c>
      <c r="EC15" s="1">
        <f t="shared" si="77"/>
        <v>555.62912588057384</v>
      </c>
      <c r="ED15" s="1">
        <f t="shared" si="77"/>
        <v>550.07283462176804</v>
      </c>
      <c r="EE15" s="1">
        <f t="shared" si="77"/>
        <v>544.57210627555037</v>
      </c>
      <c r="EF15" s="1">
        <f t="shared" si="77"/>
        <v>539.12638521279484</v>
      </c>
      <c r="EG15" s="1">
        <f t="shared" si="77"/>
        <v>533.73512136066688</v>
      </c>
      <c r="EH15" s="1">
        <f t="shared" si="77"/>
        <v>528.39777014706021</v>
      </c>
      <c r="EI15" s="1">
        <f t="shared" si="77"/>
        <v>523.11379244558964</v>
      </c>
      <c r="EJ15" s="1">
        <f t="shared" si="77"/>
        <v>517.88265452113376</v>
      </c>
      <c r="EK15" s="1">
        <f t="shared" si="77"/>
        <v>512.70382797592242</v>
      </c>
      <c r="EL15" s="1">
        <f t="shared" si="77"/>
        <v>507.57678969616319</v>
      </c>
      <c r="EM15" s="1">
        <f t="shared" ref="EM15:FG15" si="78">EL15*(1+$AW$20)</f>
        <v>502.50102179920157</v>
      </c>
      <c r="EN15" s="1">
        <f t="shared" si="78"/>
        <v>497.47601158120955</v>
      </c>
      <c r="EO15" s="1">
        <f t="shared" si="78"/>
        <v>492.50125146539744</v>
      </c>
      <c r="EP15" s="1">
        <f t="shared" si="78"/>
        <v>487.57623895074346</v>
      </c>
      <c r="EQ15" s="1">
        <f t="shared" si="78"/>
        <v>482.70047656123603</v>
      </c>
      <c r="ER15" s="1">
        <f t="shared" si="78"/>
        <v>477.87347179562369</v>
      </c>
      <c r="ES15" s="1">
        <f t="shared" si="78"/>
        <v>473.09473707766745</v>
      </c>
      <c r="ET15" s="1">
        <f t="shared" si="78"/>
        <v>468.36378970689077</v>
      </c>
      <c r="EU15" s="1">
        <f t="shared" si="78"/>
        <v>463.68015180982184</v>
      </c>
      <c r="EV15" s="1">
        <f t="shared" si="78"/>
        <v>459.04335029172364</v>
      </c>
      <c r="EW15" s="1">
        <f t="shared" si="78"/>
        <v>454.45291678880642</v>
      </c>
      <c r="EX15" s="1">
        <f t="shared" si="78"/>
        <v>449.90838762091835</v>
      </c>
      <c r="EY15" s="1">
        <f t="shared" si="78"/>
        <v>445.40930374470918</v>
      </c>
      <c r="EZ15" s="1">
        <f t="shared" si="78"/>
        <v>440.9552107072621</v>
      </c>
      <c r="FA15" s="1">
        <f t="shared" si="78"/>
        <v>436.54565860018948</v>
      </c>
      <c r="FB15" s="1">
        <f t="shared" si="78"/>
        <v>432.18020201418756</v>
      </c>
      <c r="FC15" s="1">
        <f t="shared" si="78"/>
        <v>427.85839999404567</v>
      </c>
      <c r="FD15" s="1">
        <f t="shared" si="78"/>
        <v>423.57981599410522</v>
      </c>
      <c r="FE15" s="1">
        <f t="shared" si="78"/>
        <v>419.34401783416416</v>
      </c>
      <c r="FF15" s="1">
        <f t="shared" si="78"/>
        <v>415.15057765582253</v>
      </c>
      <c r="FG15" s="1">
        <f t="shared" si="78"/>
        <v>410.99907187926431</v>
      </c>
    </row>
    <row r="16" spans="2:163" x14ac:dyDescent="0.3">
      <c r="B16" t="s">
        <v>2</v>
      </c>
      <c r="C16" s="3">
        <v>198</v>
      </c>
      <c r="D16" s="3">
        <v>198</v>
      </c>
      <c r="E16" s="3">
        <v>198</v>
      </c>
      <c r="F16" s="3">
        <v>198</v>
      </c>
      <c r="G16" s="3">
        <v>198</v>
      </c>
      <c r="H16" s="3">
        <v>198</v>
      </c>
      <c r="I16" s="3">
        <v>198</v>
      </c>
      <c r="J16" s="3">
        <v>198</v>
      </c>
      <c r="K16" s="3">
        <v>198</v>
      </c>
      <c r="L16" s="3">
        <v>198</v>
      </c>
      <c r="M16" s="3">
        <v>198</v>
      </c>
      <c r="N16" s="3">
        <v>198</v>
      </c>
      <c r="O16" s="3">
        <v>198</v>
      </c>
      <c r="P16" s="3">
        <v>198</v>
      </c>
      <c r="Q16" s="3">
        <v>198</v>
      </c>
      <c r="R16" s="3">
        <v>198</v>
      </c>
      <c r="S16" s="3">
        <v>198</v>
      </c>
      <c r="T16" s="3">
        <v>198</v>
      </c>
      <c r="U16" s="3">
        <v>198</v>
      </c>
      <c r="V16" s="3">
        <v>198</v>
      </c>
      <c r="W16" s="3">
        <v>198</v>
      </c>
      <c r="X16" s="3">
        <v>178.5</v>
      </c>
      <c r="Y16" s="3">
        <v>178.5</v>
      </c>
      <c r="Z16" s="3">
        <v>178.5</v>
      </c>
      <c r="AA16" s="3"/>
      <c r="AB16" s="3">
        <v>198</v>
      </c>
      <c r="AC16" s="3">
        <v>198</v>
      </c>
      <c r="AD16" s="3">
        <v>198</v>
      </c>
      <c r="AE16" s="3">
        <v>198</v>
      </c>
      <c r="AF16" s="3">
        <v>198</v>
      </c>
      <c r="AG16" s="3">
        <v>198</v>
      </c>
      <c r="AH16" s="3">
        <v>198</v>
      </c>
      <c r="AI16" s="3">
        <v>178.5</v>
      </c>
      <c r="AJ16" s="3">
        <v>178.5</v>
      </c>
      <c r="AK16" s="3">
        <v>178.5</v>
      </c>
      <c r="AL16" s="3">
        <v>178.5</v>
      </c>
      <c r="AM16" s="3">
        <v>178.5</v>
      </c>
      <c r="AN16" s="3">
        <v>178.5</v>
      </c>
      <c r="AO16" s="3">
        <v>178.5</v>
      </c>
      <c r="AP16" s="3">
        <v>178.5</v>
      </c>
      <c r="AQ16" s="3">
        <v>178.5</v>
      </c>
      <c r="AR16" s="3">
        <v>178.5</v>
      </c>
      <c r="AS16" s="3">
        <v>178.5</v>
      </c>
      <c r="AT16" s="3">
        <v>178.5</v>
      </c>
    </row>
    <row r="17" spans="2:49" s="1" customFormat="1" x14ac:dyDescent="0.3">
      <c r="B17" s="1" t="s">
        <v>31</v>
      </c>
      <c r="C17" s="9">
        <f t="shared" ref="C17:J17" si="79">C15/C16</f>
        <v>3.1868686868686869</v>
      </c>
      <c r="D17" s="9">
        <f t="shared" si="79"/>
        <v>2.3282828282828283</v>
      </c>
      <c r="E17" s="9">
        <f t="shared" si="79"/>
        <v>3.2575757575757578</v>
      </c>
      <c r="F17" s="9">
        <f t="shared" si="79"/>
        <v>0.91414141414141414</v>
      </c>
      <c r="G17" s="9">
        <f t="shared" si="79"/>
        <v>0.10101010101010101</v>
      </c>
      <c r="H17" s="9">
        <f t="shared" si="79"/>
        <v>-1.5454545454545454</v>
      </c>
      <c r="I17" s="9">
        <f t="shared" si="79"/>
        <v>2.9242424242424243</v>
      </c>
      <c r="J17" s="9">
        <f t="shared" si="79"/>
        <v>0.75757575757575757</v>
      </c>
      <c r="K17" s="9">
        <f t="shared" ref="K17:M17" si="80">K15/K16</f>
        <v>2.8232323232323231</v>
      </c>
      <c r="L17" s="9">
        <f t="shared" si="80"/>
        <v>1.994949494949495</v>
      </c>
      <c r="M17" s="9">
        <f t="shared" si="80"/>
        <v>4.8484848484848486</v>
      </c>
      <c r="N17" s="9">
        <f t="shared" ref="N17:O17" si="81">N15/N16</f>
        <v>1.0151515151515151</v>
      </c>
      <c r="O17" s="9">
        <f t="shared" si="81"/>
        <v>2.4292929292929295</v>
      </c>
      <c r="P17" s="9">
        <f t="shared" ref="P17" si="82">P15/P16</f>
        <v>1.4848484848484849</v>
      </c>
      <c r="Q17" s="9">
        <f t="shared" ref="Q17" si="83">Q15/Q16</f>
        <v>1.7474747474747474</v>
      </c>
      <c r="R17" s="9">
        <f t="shared" ref="R17" si="84">R15/R16</f>
        <v>-2.5858585858585861</v>
      </c>
      <c r="S17" s="9">
        <f t="shared" ref="S17" si="85">S15/S16</f>
        <v>-0.19191919191919191</v>
      </c>
      <c r="T17" s="9">
        <f t="shared" ref="T17:U17" si="86">T15/T16</f>
        <v>0.42424242424242425</v>
      </c>
      <c r="U17" s="9">
        <f t="shared" si="86"/>
        <v>1.3131313131313131</v>
      </c>
      <c r="V17" s="9">
        <f t="shared" ref="V17" si="87">V15/V16</f>
        <v>-1.9090909090909092</v>
      </c>
      <c r="W17" s="9">
        <f t="shared" ref="W17" si="88">W15/W16</f>
        <v>0.85858585858585856</v>
      </c>
      <c r="X17" s="9">
        <f t="shared" ref="X17:Z17" si="89">X15/X16</f>
        <v>1.0644257703081232</v>
      </c>
      <c r="Y17" s="9">
        <f t="shared" si="89"/>
        <v>1.3510923249299727</v>
      </c>
      <c r="Z17" s="9">
        <f t="shared" si="89"/>
        <v>-0.59847731092437018</v>
      </c>
      <c r="AA17" s="9"/>
      <c r="AB17" s="9">
        <f>AB15/AB16</f>
        <v>6.8434343434343434</v>
      </c>
      <c r="AC17" s="9">
        <f>AC15/AC16</f>
        <v>8.6262626262626263</v>
      </c>
      <c r="AD17" s="9">
        <f>AD15/AD16</f>
        <v>9.6868686868686869</v>
      </c>
      <c r="AE17" s="9">
        <f>AE15/AE16</f>
        <v>2.1666666666666665</v>
      </c>
      <c r="AF17" s="9">
        <f t="shared" ref="AF17:AO17" si="90">AF15/AF16</f>
        <v>10.681818181818182</v>
      </c>
      <c r="AG17" s="9">
        <f t="shared" si="90"/>
        <v>3.0757575757575757</v>
      </c>
      <c r="AH17" s="9">
        <f t="shared" si="90"/>
        <v>-0.36363636363636365</v>
      </c>
      <c r="AI17" s="9">
        <f t="shared" si="90"/>
        <v>2.769421736694675</v>
      </c>
      <c r="AJ17" s="9">
        <f t="shared" si="90"/>
        <v>5.0438989866666812</v>
      </c>
      <c r="AK17" s="9">
        <f t="shared" si="90"/>
        <v>5.7555564762666647</v>
      </c>
      <c r="AL17" s="9">
        <f t="shared" si="90"/>
        <v>6.0658237187331849</v>
      </c>
      <c r="AM17" s="9">
        <f t="shared" si="90"/>
        <v>6.3423789165901914</v>
      </c>
      <c r="AN17" s="9">
        <f t="shared" si="90"/>
        <v>6.5925224451685898</v>
      </c>
      <c r="AO17" s="9">
        <f t="shared" si="90"/>
        <v>6.822105675444547</v>
      </c>
      <c r="AP17" s="9">
        <f t="shared" ref="AP17:AT17" si="91">AP15/AP16</f>
        <v>6.9727836039180708</v>
      </c>
      <c r="AQ17" s="9">
        <f t="shared" si="91"/>
        <v>7.1094679269497876</v>
      </c>
      <c r="AR17" s="9">
        <f t="shared" si="91"/>
        <v>7.2351386052229074</v>
      </c>
      <c r="AS17" s="9">
        <f t="shared" si="91"/>
        <v>7.352181816075813</v>
      </c>
      <c r="AT17" s="9">
        <f t="shared" si="91"/>
        <v>7.4625087401868822</v>
      </c>
    </row>
    <row r="19" spans="2:49" x14ac:dyDescent="0.3">
      <c r="B19" s="1" t="s">
        <v>32</v>
      </c>
      <c r="F19" s="10"/>
      <c r="G19" s="10">
        <f>G3/C3-1</f>
        <v>-0.19207887132415435</v>
      </c>
      <c r="H19" s="10">
        <f>H3/D3-1</f>
        <v>-0.35033581412234527</v>
      </c>
      <c r="I19" s="10">
        <f>I3/E3-1</f>
        <v>-6.957878315132604E-2</v>
      </c>
      <c r="J19" s="10">
        <f>J3/F3-1</f>
        <v>-4.967454607742372E-2</v>
      </c>
      <c r="K19" s="10">
        <f t="shared" ref="K19:N19" si="92">K3/G3-1</f>
        <v>0.10835261939827467</v>
      </c>
      <c r="L19" s="10">
        <f t="shared" si="92"/>
        <v>0.41855266834311267</v>
      </c>
      <c r="M19" s="10">
        <f t="shared" si="92"/>
        <v>-3.5546613011401718E-2</v>
      </c>
      <c r="N19" s="10">
        <f t="shared" si="92"/>
        <v>-7.4080749819754876E-2</v>
      </c>
      <c r="O19" s="10">
        <f t="shared" ref="O19" si="93">O3/K3-1</f>
        <v>6.4540622627182742E-3</v>
      </c>
      <c r="P19" s="10">
        <f t="shared" ref="P19" si="94">P3/L3-1</f>
        <v>0.10222572385266893</v>
      </c>
      <c r="Q19" s="10">
        <f t="shared" ref="Q19" si="95">Q3/M3-1</f>
        <v>0.11404728789986085</v>
      </c>
      <c r="R19" s="10">
        <f t="shared" ref="R19" si="96">R3/N3-1</f>
        <v>1.3237298033871969E-2</v>
      </c>
      <c r="S19" s="10">
        <f t="shared" ref="S19" si="97">S3/O3-1</f>
        <v>-5.2810260279140264E-3</v>
      </c>
      <c r="T19" s="10">
        <f t="shared" ref="T19" si="98">T3/P3-1</f>
        <v>-4.5210864903502457E-2</v>
      </c>
      <c r="U19" s="10">
        <f t="shared" ref="U19" si="99">U3/Q3-1</f>
        <v>-6.3826466916354518E-2</v>
      </c>
      <c r="V19" s="10">
        <f t="shared" ref="V19" si="100">V3/R3-1</f>
        <v>-7.5504322766570597E-2</v>
      </c>
      <c r="W19" s="10">
        <f t="shared" ref="W19" si="101">W3/S3-1</f>
        <v>3.4888130451270483E-2</v>
      </c>
      <c r="X19" s="10">
        <f t="shared" ref="X19" si="102">X3/T3-1</f>
        <v>8.9650009358038574E-2</v>
      </c>
      <c r="Y19" s="10">
        <f t="shared" ref="Y19" si="103">Y3/U3-1</f>
        <v>3.0000000000000027E-2</v>
      </c>
      <c r="Z19" s="10">
        <f t="shared" ref="Z19" si="104">Z3/V3-1</f>
        <v>0.10000000000000009</v>
      </c>
      <c r="AA19" s="10"/>
      <c r="AB19" s="10"/>
      <c r="AC19" s="10">
        <f t="shared" ref="AC19:AO19" si="105">AC3/AB3-1</f>
        <v>3.2849467433311297E-2</v>
      </c>
      <c r="AD19" s="10">
        <f t="shared" si="105"/>
        <v>7.8713210130047839E-2</v>
      </c>
      <c r="AE19" s="10">
        <f t="shared" si="105"/>
        <v>-0.16057529610829102</v>
      </c>
      <c r="AF19" s="10">
        <f t="shared" si="105"/>
        <v>7.004636162064104E-2</v>
      </c>
      <c r="AG19" s="10">
        <f t="shared" si="105"/>
        <v>6.0139399076952094E-2</v>
      </c>
      <c r="AH19" s="10">
        <f t="shared" si="105"/>
        <v>-4.8109812980320688E-2</v>
      </c>
      <c r="AI19" s="10">
        <f t="shared" si="105"/>
        <v>6.179624789994409E-2</v>
      </c>
      <c r="AJ19" s="10">
        <f t="shared" si="105"/>
        <v>4.0000000000000036E-2</v>
      </c>
      <c r="AK19" s="10">
        <f t="shared" si="105"/>
        <v>3.0000000000000027E-2</v>
      </c>
      <c r="AL19" s="10">
        <f t="shared" si="105"/>
        <v>2.0000000000000018E-2</v>
      </c>
      <c r="AM19" s="10">
        <f t="shared" si="105"/>
        <v>2.0000000000000018E-2</v>
      </c>
      <c r="AN19" s="10">
        <f t="shared" si="105"/>
        <v>2.0000000000000018E-2</v>
      </c>
      <c r="AO19" s="10">
        <f t="shared" si="105"/>
        <v>2.0000000000000018E-2</v>
      </c>
      <c r="AP19" s="10">
        <f t="shared" ref="AP19" si="106">AP3/AO3-1</f>
        <v>1.0000000000000009E-2</v>
      </c>
      <c r="AQ19" s="10">
        <f t="shared" ref="AQ19" si="107">AQ3/AP3-1</f>
        <v>1.0000000000000009E-2</v>
      </c>
      <c r="AR19" s="10">
        <f t="shared" ref="AR19" si="108">AR3/AQ3-1</f>
        <v>1.0000000000000009E-2</v>
      </c>
      <c r="AS19" s="10">
        <f t="shared" ref="AS19" si="109">AS3/AR3-1</f>
        <v>1.0000000000000009E-2</v>
      </c>
      <c r="AT19" s="10">
        <f t="shared" ref="AT19" si="110">AT3/AS3-1</f>
        <v>1.0000000000000009E-2</v>
      </c>
    </row>
    <row r="20" spans="2:49" x14ac:dyDescent="0.3">
      <c r="B20" t="s">
        <v>33</v>
      </c>
      <c r="C20" s="10">
        <f t="shared" ref="C20:D20" si="111">C5/C3</f>
        <v>0.53561108278089409</v>
      </c>
      <c r="D20" s="10">
        <f t="shared" si="111"/>
        <v>0.53457977854420036</v>
      </c>
      <c r="E20" s="10">
        <f t="shared" ref="E20:J20" si="112">E5/E3</f>
        <v>0.52090483619344774</v>
      </c>
      <c r="F20" s="10">
        <f t="shared" si="112"/>
        <v>0.4895512161699212</v>
      </c>
      <c r="G20" s="10">
        <f t="shared" si="112"/>
        <v>0.49337260677466865</v>
      </c>
      <c r="H20" s="10">
        <f t="shared" si="112"/>
        <v>0.51019837943559654</v>
      </c>
      <c r="I20" s="10">
        <f t="shared" si="112"/>
        <v>0.50016767270288398</v>
      </c>
      <c r="J20" s="10">
        <f t="shared" si="112"/>
        <v>0.48666186012977647</v>
      </c>
      <c r="K20" s="10">
        <f t="shared" ref="K20:N20" si="113">K5/K3</f>
        <v>0.51822323462414577</v>
      </c>
      <c r="L20" s="10">
        <f t="shared" si="113"/>
        <v>0.51821942091786488</v>
      </c>
      <c r="M20" s="10">
        <f t="shared" si="113"/>
        <v>0.50139082058414464</v>
      </c>
      <c r="N20" s="10">
        <f t="shared" si="113"/>
        <v>0.49036402569593146</v>
      </c>
      <c r="O20" s="10">
        <f t="shared" ref="O20:Z20" si="114">O5/O3</f>
        <v>0.49943417578272348</v>
      </c>
      <c r="P20" s="10">
        <f t="shared" si="114"/>
        <v>0.50303788420300211</v>
      </c>
      <c r="Q20" s="10">
        <f t="shared" si="114"/>
        <v>0.49094881398252183</v>
      </c>
      <c r="R20" s="10">
        <f t="shared" si="114"/>
        <v>0.39097022094140249</v>
      </c>
      <c r="S20" s="10">
        <f t="shared" si="114"/>
        <v>0.44804702313234734</v>
      </c>
      <c r="T20" s="10">
        <f t="shared" si="114"/>
        <v>0.50870297585626056</v>
      </c>
      <c r="U20" s="10">
        <f t="shared" si="114"/>
        <v>0.49258209701616934</v>
      </c>
      <c r="V20" s="10">
        <f t="shared" si="114"/>
        <v>0.44638403990024939</v>
      </c>
      <c r="W20" s="10">
        <f t="shared" si="114"/>
        <v>0.51227555881275189</v>
      </c>
      <c r="X20" s="10">
        <f t="shared" si="114"/>
        <v>0.50824458948814843</v>
      </c>
      <c r="Y20" s="10">
        <f t="shared" si="114"/>
        <v>0.5</v>
      </c>
      <c r="Z20" s="10">
        <f t="shared" si="114"/>
        <v>0.48999999999999994</v>
      </c>
      <c r="AA20" s="10"/>
      <c r="AB20" s="10">
        <f t="shared" ref="AB20:AC20" si="115">AB5/AB3</f>
        <v>0.50447733056838528</v>
      </c>
      <c r="AC20" s="10">
        <f t="shared" si="115"/>
        <v>0.51850330823636781</v>
      </c>
      <c r="AD20" s="10">
        <f t="shared" ref="AD20:AO20" si="116">AD5/AD3</f>
        <v>0.52000846023688663</v>
      </c>
      <c r="AE20" s="10">
        <f t="shared" si="116"/>
        <v>0.49657327151783914</v>
      </c>
      <c r="AF20" s="10">
        <f t="shared" si="116"/>
        <v>0.50692285956484884</v>
      </c>
      <c r="AG20" s="10">
        <f t="shared" si="116"/>
        <v>0.47283550264315222</v>
      </c>
      <c r="AH20" s="10">
        <f t="shared" si="116"/>
        <v>0.47526600709352251</v>
      </c>
      <c r="AI20" s="10">
        <f t="shared" si="116"/>
        <v>0.50272800352669655</v>
      </c>
      <c r="AJ20" s="10">
        <f t="shared" si="116"/>
        <v>0.51</v>
      </c>
      <c r="AK20" s="10">
        <f t="shared" si="116"/>
        <v>0.51</v>
      </c>
      <c r="AL20" s="10">
        <f t="shared" si="116"/>
        <v>0.51</v>
      </c>
      <c r="AM20" s="10">
        <f t="shared" si="116"/>
        <v>0.51</v>
      </c>
      <c r="AN20" s="10">
        <f t="shared" si="116"/>
        <v>0.51</v>
      </c>
      <c r="AO20" s="10">
        <f t="shared" si="116"/>
        <v>0.51</v>
      </c>
      <c r="AP20" s="10">
        <f t="shared" ref="AP20:AT20" si="117">AP5/AP3</f>
        <v>0.51</v>
      </c>
      <c r="AQ20" s="10">
        <f t="shared" si="117"/>
        <v>0.51</v>
      </c>
      <c r="AR20" s="10">
        <f t="shared" si="117"/>
        <v>0.51</v>
      </c>
      <c r="AS20" s="10">
        <f t="shared" si="117"/>
        <v>0.51</v>
      </c>
      <c r="AT20" s="10">
        <f t="shared" si="117"/>
        <v>0.51</v>
      </c>
      <c r="AV20" t="s">
        <v>38</v>
      </c>
      <c r="AW20" s="10">
        <v>-0.01</v>
      </c>
    </row>
    <row r="21" spans="2:49" x14ac:dyDescent="0.3">
      <c r="B21" t="s">
        <v>34</v>
      </c>
      <c r="C21" s="10">
        <f t="shared" ref="C21:D21" si="118">C9/C3</f>
        <v>0.14873363929967703</v>
      </c>
      <c r="D21" s="10">
        <f t="shared" si="118"/>
        <v>0.11671809765837721</v>
      </c>
      <c r="E21" s="10">
        <f t="shared" ref="E21:J21" si="119">E9/E3</f>
        <v>0.13993759750390017</v>
      </c>
      <c r="F21" s="10">
        <f t="shared" si="119"/>
        <v>4.1966426858513192E-2</v>
      </c>
      <c r="G21" s="10">
        <f t="shared" si="119"/>
        <v>1.3675573322112351E-2</v>
      </c>
      <c r="H21" s="10">
        <f t="shared" si="119"/>
        <v>-9.3042749371332778E-2</v>
      </c>
      <c r="I21" s="10">
        <f t="shared" si="119"/>
        <v>0.13313212608987257</v>
      </c>
      <c r="J21" s="10">
        <f t="shared" si="119"/>
        <v>4.0374909877433307E-2</v>
      </c>
      <c r="K21" s="10">
        <f t="shared" ref="K21:N21" si="120">K9/K3</f>
        <v>0.13363705391040243</v>
      </c>
      <c r="L21" s="10">
        <f t="shared" si="120"/>
        <v>0.10675595824305692</v>
      </c>
      <c r="M21" s="10">
        <f t="shared" si="120"/>
        <v>0.11700278164116829</v>
      </c>
      <c r="N21" s="10">
        <f t="shared" si="120"/>
        <v>1.284796573875803E-2</v>
      </c>
      <c r="O21" s="10">
        <f t="shared" ref="O21:Z21" si="121">O9/O3</f>
        <v>8.2233119577517916E-2</v>
      </c>
      <c r="P21" s="10">
        <f t="shared" si="121"/>
        <v>7.0050035739814151E-2</v>
      </c>
      <c r="Q21" s="10">
        <f t="shared" si="121"/>
        <v>8.8014981273408247E-2</v>
      </c>
      <c r="R21" s="10">
        <f t="shared" si="121"/>
        <v>-0.13890489913544668</v>
      </c>
      <c r="S21" s="10">
        <f t="shared" si="121"/>
        <v>1.1376564277588168E-2</v>
      </c>
      <c r="T21" s="10">
        <f t="shared" si="121"/>
        <v>3.2753134942915964E-2</v>
      </c>
      <c r="U21" s="10">
        <f t="shared" si="121"/>
        <v>6.8344724120686776E-2</v>
      </c>
      <c r="V21" s="10">
        <f t="shared" si="121"/>
        <v>-7.813798836242726E-2</v>
      </c>
      <c r="W21" s="10">
        <f t="shared" si="121"/>
        <v>6.1561011359472333E-2</v>
      </c>
      <c r="X21" s="10">
        <f t="shared" si="121"/>
        <v>5.960151150807283E-2</v>
      </c>
      <c r="Y21" s="10">
        <f t="shared" si="121"/>
        <v>6.6918693568669224E-2</v>
      </c>
      <c r="Z21" s="10">
        <f t="shared" si="121"/>
        <v>-1.8255497619587412E-2</v>
      </c>
      <c r="AA21" s="10"/>
      <c r="AB21" s="10">
        <f t="shared" ref="AB21:AC21" si="122">AB9/AB3</f>
        <v>9.7558676595343577E-2</v>
      </c>
      <c r="AC21" s="10">
        <f t="shared" si="122"/>
        <v>0.1080082135523614</v>
      </c>
      <c r="AD21" s="10">
        <f t="shared" ref="AD21:AO21" si="123">AD9/AD3</f>
        <v>0.11252115059221658</v>
      </c>
      <c r="AE21" s="10">
        <f t="shared" si="123"/>
        <v>3.7794799435597659E-2</v>
      </c>
      <c r="AF21" s="10">
        <f t="shared" si="123"/>
        <v>9.3482151266836205E-2</v>
      </c>
      <c r="AG21" s="10">
        <f t="shared" si="123"/>
        <v>2.9718804140198125E-2</v>
      </c>
      <c r="AH21" s="10">
        <f t="shared" si="123"/>
        <v>1.2553668097815942E-2</v>
      </c>
      <c r="AI21" s="10">
        <f t="shared" si="123"/>
        <v>4.3945636833761327E-2</v>
      </c>
      <c r="AJ21" s="10">
        <f t="shared" si="123"/>
        <v>6.2700475467750122E-2</v>
      </c>
      <c r="AK21" s="10">
        <f t="shared" si="123"/>
        <v>6.5835042336857399E-2</v>
      </c>
      <c r="AL21" s="10">
        <f t="shared" si="123"/>
        <v>6.5792366452750078E-2</v>
      </c>
      <c r="AM21" s="10">
        <f t="shared" si="123"/>
        <v>6.5750108959663212E-2</v>
      </c>
      <c r="AN21" s="10">
        <f t="shared" si="123"/>
        <v>6.5708265755724415E-2</v>
      </c>
      <c r="AO21" s="10">
        <f t="shared" si="123"/>
        <v>6.566683277927518E-2</v>
      </c>
      <c r="AP21" s="10">
        <f t="shared" ref="AP21:AT21" si="124">AP9/AP3</f>
        <v>6.5666832779275125E-2</v>
      </c>
      <c r="AQ21" s="10">
        <f t="shared" si="124"/>
        <v>6.5666832779275236E-2</v>
      </c>
      <c r="AR21" s="10">
        <f t="shared" si="124"/>
        <v>6.566683277927525E-2</v>
      </c>
      <c r="AS21" s="10">
        <f t="shared" si="124"/>
        <v>6.5666832779275097E-2</v>
      </c>
      <c r="AT21" s="10">
        <f t="shared" si="124"/>
        <v>6.5666832779275167E-2</v>
      </c>
      <c r="AV21" t="s">
        <v>39</v>
      </c>
      <c r="AW21" s="10">
        <v>0.06</v>
      </c>
    </row>
    <row r="22" spans="2:49" x14ac:dyDescent="0.3">
      <c r="B22" t="s">
        <v>35</v>
      </c>
      <c r="C22" s="10">
        <f t="shared" ref="C22:D22" si="125">C7/C3</f>
        <v>0.11949685534591195</v>
      </c>
      <c r="D22" s="10">
        <f t="shared" si="125"/>
        <v>0.1350517335269559</v>
      </c>
      <c r="E22" s="10">
        <f t="shared" ref="E22:J22" si="126">E7/E3</f>
        <v>0.11747269890795632</v>
      </c>
      <c r="F22" s="10">
        <f t="shared" si="126"/>
        <v>0.14422747516272696</v>
      </c>
      <c r="G22" s="10">
        <f t="shared" si="126"/>
        <v>0.148116978750263</v>
      </c>
      <c r="H22" s="10">
        <f t="shared" si="126"/>
        <v>0.15646828723107012</v>
      </c>
      <c r="I22" s="10">
        <f t="shared" si="126"/>
        <v>9.7082494969818911E-2</v>
      </c>
      <c r="J22" s="10">
        <f t="shared" si="126"/>
        <v>0.13157894736842105</v>
      </c>
      <c r="K22" s="10">
        <f t="shared" ref="K22:N22" si="127">K7/K3</f>
        <v>0.10269552012148823</v>
      </c>
      <c r="L22" s="10">
        <f t="shared" si="127"/>
        <v>0.12133149497734882</v>
      </c>
      <c r="M22" s="10">
        <f t="shared" si="127"/>
        <v>0.11717663421418636</v>
      </c>
      <c r="N22" s="10">
        <f t="shared" si="127"/>
        <v>0.13918629550321199</v>
      </c>
      <c r="O22" s="10">
        <f t="shared" ref="O22:Z22" si="128">O7/O3</f>
        <v>0.12089777442474538</v>
      </c>
      <c r="P22" s="10">
        <f t="shared" si="128"/>
        <v>0.11847748391708363</v>
      </c>
      <c r="Q22" s="10">
        <f t="shared" si="128"/>
        <v>0.10783395755305868</v>
      </c>
      <c r="R22" s="10">
        <f t="shared" si="128"/>
        <v>0.14735830931796351</v>
      </c>
      <c r="S22" s="10">
        <f t="shared" si="128"/>
        <v>0.11395525218050816</v>
      </c>
      <c r="T22" s="10">
        <f t="shared" si="128"/>
        <v>0.11547819577016658</v>
      </c>
      <c r="U22" s="10">
        <f t="shared" si="128"/>
        <v>0.10735122520420071</v>
      </c>
      <c r="V22" s="10">
        <f t="shared" si="128"/>
        <v>0.13840399002493767</v>
      </c>
      <c r="W22" s="10">
        <f t="shared" si="128"/>
        <v>0.12037376328325394</v>
      </c>
      <c r="X22" s="10">
        <f t="shared" si="128"/>
        <v>0.12143593266918584</v>
      </c>
      <c r="Y22" s="10">
        <f t="shared" si="128"/>
        <v>0.12</v>
      </c>
      <c r="Z22" s="10">
        <f t="shared" si="128"/>
        <v>0.14000000000000001</v>
      </c>
      <c r="AA22" s="10"/>
      <c r="AB22" s="10">
        <f t="shared" ref="AB22:AC22" si="129">AB7/AB3</f>
        <v>0.12838156282401733</v>
      </c>
      <c r="AC22" s="10">
        <f t="shared" si="129"/>
        <v>0.13693817020305726</v>
      </c>
      <c r="AD22" s="10">
        <f t="shared" ref="AD22:AO22" si="130">AD7/AD3</f>
        <v>0.12868020304568528</v>
      </c>
      <c r="AE22" s="10">
        <f t="shared" si="130"/>
        <v>0.12966135859705705</v>
      </c>
      <c r="AF22" s="10">
        <f t="shared" si="130"/>
        <v>0.11990204389187152</v>
      </c>
      <c r="AG22" s="10">
        <f t="shared" si="130"/>
        <v>0.1226955710541513</v>
      </c>
      <c r="AH22" s="10">
        <f t="shared" si="130"/>
        <v>0.11797647937278327</v>
      </c>
      <c r="AI22" s="10">
        <f t="shared" si="130"/>
        <v>0.12511001807739658</v>
      </c>
      <c r="AJ22" s="10">
        <f t="shared" si="130"/>
        <v>0.11999999999999998</v>
      </c>
      <c r="AK22" s="10">
        <f t="shared" si="130"/>
        <v>0.12</v>
      </c>
      <c r="AL22" s="10">
        <f t="shared" si="130"/>
        <v>0.11999999999999998</v>
      </c>
      <c r="AM22" s="10">
        <f t="shared" si="130"/>
        <v>0.12</v>
      </c>
      <c r="AN22" s="10">
        <f t="shared" si="130"/>
        <v>0.12</v>
      </c>
      <c r="AO22" s="10">
        <f t="shared" si="130"/>
        <v>0.12</v>
      </c>
      <c r="AP22" s="10">
        <f t="shared" ref="AP22:AT22" si="131">AP7/AP3</f>
        <v>0.12</v>
      </c>
      <c r="AQ22" s="10">
        <f t="shared" si="131"/>
        <v>0.12</v>
      </c>
      <c r="AR22" s="10">
        <f t="shared" si="131"/>
        <v>0.12</v>
      </c>
      <c r="AS22" s="10">
        <f t="shared" si="131"/>
        <v>0.12</v>
      </c>
      <c r="AT22" s="10">
        <f t="shared" si="131"/>
        <v>0.12</v>
      </c>
      <c r="AV22" t="s">
        <v>40</v>
      </c>
      <c r="AW22" s="3">
        <f>NPV(AW21,AI15:FG15)</f>
        <v>18439.140087435106</v>
      </c>
    </row>
    <row r="23" spans="2:49" x14ac:dyDescent="0.3">
      <c r="B23" t="s">
        <v>37</v>
      </c>
      <c r="C23" s="10"/>
      <c r="D23" s="10"/>
      <c r="E23" s="10"/>
      <c r="F23" s="10"/>
      <c r="G23" s="10">
        <f>G8/C8-1</f>
        <v>-8.0545229244114447E-3</v>
      </c>
      <c r="H23" s="10">
        <f t="shared" ref="H23:J23" si="132">H8/D8-1</f>
        <v>1.6229712858926382E-2</v>
      </c>
      <c r="I23" s="10">
        <f t="shared" si="132"/>
        <v>-5.1356030005770381E-2</v>
      </c>
      <c r="J23" s="10">
        <f t="shared" si="132"/>
        <v>-3.7257019438444949E-2</v>
      </c>
      <c r="K23" s="10">
        <f t="shared" ref="K23" si="133">K8/G8-1</f>
        <v>-5.9337913803872544E-2</v>
      </c>
      <c r="L23" s="10">
        <f t="shared" ref="L23" si="134">L8/H8-1</f>
        <v>-8.3538083538083563E-2</v>
      </c>
      <c r="M23" s="10">
        <f t="shared" ref="M23" si="135">M8/I8-1</f>
        <v>-4.987834549878345E-2</v>
      </c>
      <c r="N23" s="10">
        <f t="shared" ref="N23" si="136">N8/J8-1</f>
        <v>1.6825574873808868E-3</v>
      </c>
      <c r="O23" s="10">
        <f t="shared" ref="O23" si="137">O8/K8-1</f>
        <v>7.370517928286846E-2</v>
      </c>
      <c r="P23" s="10">
        <f t="shared" ref="P23" si="138">P8/L8-1</f>
        <v>0.23190348525469173</v>
      </c>
      <c r="Q23" s="10">
        <f t="shared" ref="Q23" si="139">Q8/M8-1</f>
        <v>0.2708066581306019</v>
      </c>
      <c r="R23" s="10">
        <f t="shared" ref="R23" si="140">R8/N8-1</f>
        <v>0.15229563269876811</v>
      </c>
      <c r="S23" s="10">
        <f t="shared" ref="S23" si="141">S8/O8-1</f>
        <v>9.2145949288806372E-2</v>
      </c>
      <c r="T23" s="10">
        <f t="shared" ref="T23" si="142">T8/P8-1</f>
        <v>6.9096844396082657E-2</v>
      </c>
      <c r="U23" s="10">
        <f t="shared" ref="U23" si="143">U8/Q8-1</f>
        <v>-2.9722921914357658E-2</v>
      </c>
      <c r="V23" s="10">
        <f t="shared" ref="V23" si="144">V8/R8-1</f>
        <v>-8.4062196307094217E-2</v>
      </c>
      <c r="W23" s="10">
        <f t="shared" ref="W23" si="145">W8/S8-1</f>
        <v>3.1710079275198089E-2</v>
      </c>
      <c r="X23" s="10">
        <f t="shared" ref="X23" si="146">X8/T8-1</f>
        <v>-1.7811704834605591E-2</v>
      </c>
      <c r="Y23" s="10">
        <f t="shared" ref="Y23" si="147">Y8/U8-1</f>
        <v>2.0000000000000018E-2</v>
      </c>
      <c r="Z23" s="10">
        <f t="shared" ref="Z23" si="148">Z8/V8-1</f>
        <v>5.0000000000000044E-2</v>
      </c>
      <c r="AA23" s="10"/>
      <c r="AB23" s="10"/>
      <c r="AC23" s="10">
        <f t="shared" ref="AC23:AD23" si="149">AC8/AB8-1</f>
        <v>2.1516054286660147E-2</v>
      </c>
      <c r="AD23" s="10">
        <f t="shared" si="149"/>
        <v>0.10191186001296182</v>
      </c>
      <c r="AE23" s="10">
        <f>AE8/AD8-1</f>
        <v>-2.1320394059697101E-2</v>
      </c>
      <c r="AF23" s="10">
        <f t="shared" ref="AF23:AO23" si="150">AF8/AE8-1</f>
        <v>-4.6574519230769273E-2</v>
      </c>
      <c r="AG23" s="10">
        <f t="shared" si="150"/>
        <v>0.18153167349511512</v>
      </c>
      <c r="AH23" s="10">
        <f t="shared" si="150"/>
        <v>5.8682315284075415E-3</v>
      </c>
      <c r="AI23" s="10">
        <f t="shared" si="150"/>
        <v>2.038849111641472E-2</v>
      </c>
      <c r="AJ23" s="10">
        <f t="shared" si="150"/>
        <v>2.0000000000000018E-2</v>
      </c>
      <c r="AK23" s="10">
        <f t="shared" si="150"/>
        <v>2.0000000000000018E-2</v>
      </c>
      <c r="AL23" s="10">
        <f t="shared" si="150"/>
        <v>2.0000000000000018E-2</v>
      </c>
      <c r="AM23" s="10">
        <f t="shared" si="150"/>
        <v>2.0000000000000018E-2</v>
      </c>
      <c r="AN23" s="10">
        <f t="shared" si="150"/>
        <v>2.0000000000000018E-2</v>
      </c>
      <c r="AO23" s="10">
        <f t="shared" si="150"/>
        <v>2.0000000000000018E-2</v>
      </c>
      <c r="AP23" s="10">
        <f t="shared" ref="AP23" si="151">AP8/AO8-1</f>
        <v>1.0000000000000009E-2</v>
      </c>
      <c r="AQ23" s="10">
        <f t="shared" ref="AQ23" si="152">AQ8/AP8-1</f>
        <v>1.0000000000000009E-2</v>
      </c>
      <c r="AR23" s="10">
        <f t="shared" ref="AR23" si="153">AR8/AQ8-1</f>
        <v>1.0000000000000009E-2</v>
      </c>
      <c r="AS23" s="10">
        <f t="shared" ref="AS23" si="154">AS8/AR8-1</f>
        <v>1.0000000000000009E-2</v>
      </c>
      <c r="AT23" s="10">
        <f t="shared" ref="AT23" si="155">AT8/AS8-1</f>
        <v>1.0000000000000009E-2</v>
      </c>
      <c r="AV23" t="s">
        <v>41</v>
      </c>
      <c r="AW23" s="3">
        <f>Main!D8</f>
        <v>-1377</v>
      </c>
    </row>
    <row r="24" spans="2:49" x14ac:dyDescent="0.3">
      <c r="B24" t="s">
        <v>29</v>
      </c>
      <c r="C24" s="10">
        <f t="shared" ref="C24:D24" si="156">C13/C12</f>
        <v>0.25589622641509435</v>
      </c>
      <c r="D24" s="10">
        <f t="shared" si="156"/>
        <v>0.25404530744336568</v>
      </c>
      <c r="E24" s="10">
        <f t="shared" ref="E24:J24" si="157">E13/E12</f>
        <v>0.25433526011560692</v>
      </c>
      <c r="F24" s="10">
        <f t="shared" si="157"/>
        <v>0.20264317180616739</v>
      </c>
      <c r="G24" s="10">
        <f t="shared" si="157"/>
        <v>0.25925925925925924</v>
      </c>
      <c r="H24" s="10">
        <f t="shared" si="157"/>
        <v>0.15934065934065933</v>
      </c>
      <c r="I24" s="10">
        <f t="shared" si="157"/>
        <v>0.23412698412698413</v>
      </c>
      <c r="J24" s="10">
        <f t="shared" si="157"/>
        <v>0.1069182389937107</v>
      </c>
      <c r="K24" s="10">
        <f t="shared" ref="K24:N24" si="158">K13/K12</f>
        <v>0.24813153961136025</v>
      </c>
      <c r="L24" s="10">
        <f t="shared" si="158"/>
        <v>0.24165029469548133</v>
      </c>
      <c r="M24" s="10">
        <f t="shared" si="158"/>
        <v>0.23809523809523808</v>
      </c>
      <c r="N24" s="10">
        <f t="shared" si="158"/>
        <v>-1.7954545454545454</v>
      </c>
      <c r="O24" s="10">
        <f t="shared" ref="O24:Z24" si="159">O13/O12</f>
        <v>0.24634146341463414</v>
      </c>
      <c r="P24" s="10">
        <f t="shared" si="159"/>
        <v>-0.19933554817275748</v>
      </c>
      <c r="Q24" s="10">
        <f t="shared" si="159"/>
        <v>0.84146341463414631</v>
      </c>
      <c r="R24" s="10">
        <f t="shared" si="159"/>
        <v>0.34332425068119893</v>
      </c>
      <c r="S24" s="10">
        <f t="shared" si="159"/>
        <v>1.71875</v>
      </c>
      <c r="T24" s="10">
        <f t="shared" si="159"/>
        <v>0.21951219512195122</v>
      </c>
      <c r="U24" s="10">
        <f t="shared" si="159"/>
        <v>0.16871165644171779</v>
      </c>
      <c r="V24" s="10">
        <f t="shared" si="159"/>
        <v>3.3816425120772944E-2</v>
      </c>
      <c r="W24" s="10">
        <f t="shared" si="159"/>
        <v>0.30204081632653063</v>
      </c>
      <c r="X24" s="10">
        <f t="shared" si="159"/>
        <v>0.30491803278688523</v>
      </c>
      <c r="Y24" s="10">
        <f t="shared" si="159"/>
        <v>0.25</v>
      </c>
      <c r="Z24" s="10">
        <f t="shared" si="159"/>
        <v>0.25</v>
      </c>
      <c r="AA24" s="10"/>
      <c r="AB24" s="10">
        <f>AB13/AB12</f>
        <v>0.33020266930301534</v>
      </c>
      <c r="AC24" s="10">
        <f>AC13/AC12</f>
        <v>0.28144720235591081</v>
      </c>
      <c r="AD24" s="10">
        <f>AD13/AD12</f>
        <v>0.2501954652071931</v>
      </c>
      <c r="AE24" s="10">
        <f>AE13/AE12</f>
        <v>0.25391304347826088</v>
      </c>
      <c r="AF24" s="10">
        <f t="shared" ref="AF24:AO24" si="160">AF13/AF12</f>
        <v>0.19438444924406048</v>
      </c>
      <c r="AG24" s="10">
        <f t="shared" si="160"/>
        <v>0.34625322997416019</v>
      </c>
      <c r="AH24" s="10">
        <f t="shared" si="160"/>
        <v>1.835820895522388</v>
      </c>
      <c r="AI24" s="10">
        <f t="shared" si="160"/>
        <v>0.28962824142223226</v>
      </c>
      <c r="AJ24" s="10">
        <f t="shared" si="160"/>
        <v>0.28999999999999998</v>
      </c>
      <c r="AK24" s="10">
        <f t="shared" si="160"/>
        <v>0.28999999999999998</v>
      </c>
      <c r="AL24" s="10">
        <f t="shared" si="160"/>
        <v>0.28999999999999998</v>
      </c>
      <c r="AM24" s="10">
        <f t="shared" si="160"/>
        <v>0.28999999999999998</v>
      </c>
      <c r="AN24" s="10">
        <f t="shared" si="160"/>
        <v>0.28999999999999998</v>
      </c>
      <c r="AO24" s="10">
        <f t="shared" si="160"/>
        <v>0.28999999999999998</v>
      </c>
      <c r="AP24" s="10">
        <f t="shared" ref="AP24:AT24" si="161">AP13/AP12</f>
        <v>0.28999999999999998</v>
      </c>
      <c r="AQ24" s="10">
        <f t="shared" si="161"/>
        <v>0.28999999999999998</v>
      </c>
      <c r="AR24" s="10">
        <f t="shared" si="161"/>
        <v>0.28999999999999998</v>
      </c>
      <c r="AS24" s="10">
        <f t="shared" si="161"/>
        <v>0.28999999999999998</v>
      </c>
      <c r="AT24" s="10">
        <f t="shared" si="161"/>
        <v>0.28999999999999998</v>
      </c>
      <c r="AV24" t="s">
        <v>42</v>
      </c>
      <c r="AW24" s="3">
        <f>AW22+AW23</f>
        <v>17062.140087435106</v>
      </c>
    </row>
    <row r="25" spans="2:49" x14ac:dyDescent="0.3">
      <c r="B25" t="s">
        <v>63</v>
      </c>
      <c r="C25" s="10"/>
      <c r="D25" s="10"/>
      <c r="E25" s="10"/>
      <c r="F25" s="10"/>
      <c r="G25" s="10"/>
      <c r="H25" s="10"/>
      <c r="I25" s="10"/>
      <c r="J25" s="10">
        <f>J14/J3</f>
        <v>-1.4419610670511895E-3</v>
      </c>
      <c r="K25" s="10">
        <f t="shared" ref="K25:Z25" si="162">K14/K3</f>
        <v>-1.0630220197418374E-2</v>
      </c>
      <c r="L25" s="10">
        <f t="shared" si="162"/>
        <v>-1.7727004136300964E-3</v>
      </c>
      <c r="M25" s="10">
        <f t="shared" si="162"/>
        <v>-8.3449235048678724E-2</v>
      </c>
      <c r="N25" s="10">
        <f t="shared" si="162"/>
        <v>-1.5183959509441309E-2</v>
      </c>
      <c r="O25" s="10">
        <f t="shared" si="162"/>
        <v>-3.2440588457185969E-2</v>
      </c>
      <c r="P25" s="10">
        <f t="shared" si="162"/>
        <v>1.1972837741243745E-2</v>
      </c>
      <c r="Q25" s="10">
        <f t="shared" si="162"/>
        <v>-4.3851435705368293E-2</v>
      </c>
      <c r="R25" s="10">
        <f t="shared" si="162"/>
        <v>5.763688760806916E-3</v>
      </c>
      <c r="S25" s="10">
        <f t="shared" si="162"/>
        <v>2.844141069397042E-3</v>
      </c>
      <c r="T25" s="10">
        <f t="shared" si="162"/>
        <v>2.2459292532285235E-3</v>
      </c>
      <c r="U25" s="10">
        <f t="shared" si="162"/>
        <v>1.8336389398233039E-3</v>
      </c>
      <c r="V25" s="10">
        <f t="shared" si="162"/>
        <v>-4.57190357439734E-3</v>
      </c>
      <c r="W25" s="10">
        <f t="shared" si="162"/>
        <v>1.8321729571271528E-4</v>
      </c>
      <c r="X25" s="10">
        <f t="shared" si="162"/>
        <v>3.7787701820680177E-3</v>
      </c>
      <c r="Y25" s="10">
        <f t="shared" si="162"/>
        <v>1E-3</v>
      </c>
      <c r="Z25" s="10">
        <f t="shared" si="162"/>
        <v>1E-3</v>
      </c>
      <c r="AA25" s="10"/>
      <c r="AB25" s="10">
        <f t="shared" ref="AB25:AT25" si="163">AB14/AB3</f>
        <v>0</v>
      </c>
      <c r="AC25" s="10">
        <f t="shared" si="163"/>
        <v>0</v>
      </c>
      <c r="AD25" s="10">
        <f t="shared" si="163"/>
        <v>0</v>
      </c>
      <c r="AE25" s="10">
        <f t="shared" si="163"/>
        <v>0</v>
      </c>
      <c r="AF25" s="10">
        <f t="shared" si="163"/>
        <v>-2.9339738155787887E-2</v>
      </c>
      <c r="AG25" s="10">
        <f t="shared" si="163"/>
        <v>-1.5814490693438762E-2</v>
      </c>
      <c r="AH25" s="10">
        <f t="shared" si="163"/>
        <v>7.4668657830875493E-4</v>
      </c>
      <c r="AI25" s="10">
        <f t="shared" si="163"/>
        <v>1.5151157010518115E-3</v>
      </c>
      <c r="AJ25" s="10">
        <f t="shared" si="163"/>
        <v>1E-3</v>
      </c>
      <c r="AK25" s="10">
        <f t="shared" si="163"/>
        <v>1E-3</v>
      </c>
      <c r="AL25" s="10">
        <f t="shared" si="163"/>
        <v>1E-3</v>
      </c>
      <c r="AM25" s="10">
        <f t="shared" si="163"/>
        <v>1E-3</v>
      </c>
      <c r="AN25" s="10">
        <f t="shared" si="163"/>
        <v>1E-3</v>
      </c>
      <c r="AO25" s="10">
        <f t="shared" si="163"/>
        <v>1E-3</v>
      </c>
      <c r="AP25" s="10">
        <f t="shared" si="163"/>
        <v>1E-3</v>
      </c>
      <c r="AQ25" s="10">
        <f t="shared" si="163"/>
        <v>1E-3</v>
      </c>
      <c r="AR25" s="10">
        <f t="shared" si="163"/>
        <v>1E-3</v>
      </c>
      <c r="AS25" s="10">
        <f t="shared" si="163"/>
        <v>1E-3</v>
      </c>
      <c r="AT25" s="10">
        <f t="shared" si="163"/>
        <v>1E-3</v>
      </c>
      <c r="AV25" t="s">
        <v>43</v>
      </c>
      <c r="AW25" s="2">
        <f>AW24/AO16</f>
        <v>95.586218977227489</v>
      </c>
    </row>
    <row r="26" spans="2:49" x14ac:dyDescent="0.3">
      <c r="B26" t="s">
        <v>36</v>
      </c>
      <c r="C26" s="10">
        <f t="shared" ref="C26:D26" si="164">C15/C3</f>
        <v>0.10725820159782425</v>
      </c>
      <c r="D26" s="10">
        <f t="shared" si="164"/>
        <v>8.368124886549283E-2</v>
      </c>
      <c r="E26" s="10">
        <f t="shared" ref="E26:J26" si="165">E15/E3</f>
        <v>0.10062402496099844</v>
      </c>
      <c r="F26" s="10">
        <f t="shared" si="165"/>
        <v>3.1003768413840355E-2</v>
      </c>
      <c r="G26" s="10">
        <f t="shared" si="165"/>
        <v>4.2078687144961081E-3</v>
      </c>
      <c r="H26" s="10">
        <f t="shared" si="165"/>
        <v>-8.5498742665549035E-2</v>
      </c>
      <c r="I26" s="10">
        <f t="shared" si="165"/>
        <v>9.7082494969818911E-2</v>
      </c>
      <c r="J26" s="10">
        <f t="shared" si="165"/>
        <v>2.7036770007209804E-2</v>
      </c>
      <c r="K26" s="10">
        <f t="shared" ref="K26:N26" si="166">K15/K3</f>
        <v>0.10611237661351557</v>
      </c>
      <c r="L26" s="10">
        <f t="shared" si="166"/>
        <v>7.7801851487098686E-2</v>
      </c>
      <c r="M26" s="10">
        <f t="shared" si="166"/>
        <v>0.16689847009735745</v>
      </c>
      <c r="N26" s="10">
        <f t="shared" si="166"/>
        <v>3.9127895658944908E-2</v>
      </c>
      <c r="O26" s="10">
        <f t="shared" ref="O26:Z26" si="167">O15/O3</f>
        <v>9.0720482836665409E-2</v>
      </c>
      <c r="P26" s="10">
        <f t="shared" si="167"/>
        <v>5.2537526804860617E-2</v>
      </c>
      <c r="Q26" s="10">
        <f t="shared" si="167"/>
        <v>5.3995006242197253E-2</v>
      </c>
      <c r="R26" s="10">
        <f t="shared" si="167"/>
        <v>-9.8366954851104707E-2</v>
      </c>
      <c r="S26" s="10">
        <f t="shared" si="167"/>
        <v>-7.2051573758058398E-3</v>
      </c>
      <c r="T26" s="10">
        <f t="shared" si="167"/>
        <v>1.5721504772599662E-2</v>
      </c>
      <c r="U26" s="10">
        <f t="shared" si="167"/>
        <v>4.3340556759459907E-2</v>
      </c>
      <c r="V26" s="10">
        <f t="shared" si="167"/>
        <v>-7.8553615960099757E-2</v>
      </c>
      <c r="W26" s="10">
        <f t="shared" si="167"/>
        <v>3.1146940271161598E-2</v>
      </c>
      <c r="X26" s="10">
        <f t="shared" si="167"/>
        <v>3.2634833390587425E-2</v>
      </c>
      <c r="Y26" s="10">
        <f t="shared" si="167"/>
        <v>3.9030773737370489E-2</v>
      </c>
      <c r="Z26" s="10">
        <f t="shared" si="167"/>
        <v>-2.0182158240761746E-2</v>
      </c>
      <c r="AA26" s="10"/>
      <c r="AB26" s="10">
        <f t="shared" ref="AB26:AC26" si="168">AB15/AB3</f>
        <v>6.3860872843811853E-2</v>
      </c>
      <c r="AC26" s="10">
        <f t="shared" si="168"/>
        <v>7.7937485740360482E-2</v>
      </c>
      <c r="AD26" s="10">
        <f t="shared" ref="AD26:AO26" si="169">AD15/AD3</f>
        <v>8.1133671742808805E-2</v>
      </c>
      <c r="AE26" s="10">
        <f t="shared" si="169"/>
        <v>2.1618625277161862E-2</v>
      </c>
      <c r="AF26" s="10">
        <f t="shared" si="169"/>
        <v>9.9604408024865781E-2</v>
      </c>
      <c r="AG26" s="10">
        <f t="shared" si="169"/>
        <v>2.7053440540180357E-2</v>
      </c>
      <c r="AH26" s="10">
        <f t="shared" si="169"/>
        <v>-3.3600896023893972E-3</v>
      </c>
      <c r="AI26" s="10">
        <f t="shared" si="169"/>
        <v>2.1727236566885685E-2</v>
      </c>
      <c r="AJ26" s="10">
        <f t="shared" si="169"/>
        <v>3.8049454738400205E-2</v>
      </c>
      <c r="AK26" s="10">
        <f t="shared" si="169"/>
        <v>4.2153355602831677E-2</v>
      </c>
      <c r="AL26" s="10">
        <f t="shared" si="169"/>
        <v>4.3554641722107101E-2</v>
      </c>
      <c r="AM26" s="10">
        <f t="shared" si="169"/>
        <v>4.4647451448675525E-2</v>
      </c>
      <c r="AN26" s="10">
        <f t="shared" si="169"/>
        <v>4.5498380065377098E-2</v>
      </c>
      <c r="AO26" s="10">
        <f t="shared" si="169"/>
        <v>4.6159658566998621E-2</v>
      </c>
      <c r="AP26" s="10">
        <f t="shared" ref="AP26:AT26" si="170">AP15/AP3</f>
        <v>4.6712053423293154E-2</v>
      </c>
      <c r="AQ26" s="10">
        <f t="shared" si="170"/>
        <v>4.7156167007502019E-2</v>
      </c>
      <c r="AR26" s="10">
        <f t="shared" si="170"/>
        <v>4.7514578327721838E-2</v>
      </c>
      <c r="AS26" s="10">
        <f t="shared" si="170"/>
        <v>4.7805172391160299E-2</v>
      </c>
      <c r="AT26" s="10">
        <f t="shared" si="170"/>
        <v>4.8042116190899001E-2</v>
      </c>
      <c r="AV26" t="s">
        <v>44</v>
      </c>
      <c r="AW26" s="2">
        <f>Main!D3</f>
        <v>214.6</v>
      </c>
    </row>
    <row r="27" spans="2:49" x14ac:dyDescent="0.3">
      <c r="AV27" s="1" t="s">
        <v>45</v>
      </c>
      <c r="AW27" s="11">
        <f>AW25/AW26-1</f>
        <v>-0.55458425453295668</v>
      </c>
    </row>
    <row r="28" spans="2:49" x14ac:dyDescent="0.3">
      <c r="AV28" t="s">
        <v>46</v>
      </c>
      <c r="AW28" s="7" t="s">
        <v>64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2021-02-04T18:02:16Z</dcterms:created>
  <dcterms:modified xsi:type="dcterms:W3CDTF">2024-08-11T12:43:21Z</dcterms:modified>
</cp:coreProperties>
</file>