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8_{C46778F1-D196-467B-BEBA-5117BDB179AA}" xr6:coauthVersionLast="46" xr6:coauthVersionMax="46" xr10:uidLastSave="{00000000-0000-0000-0000-000000000000}"/>
  <bookViews>
    <workbookView xWindow="-108" yWindow="-108" windowWidth="23256" windowHeight="12576" xr2:uid="{2C1C2FF0-E9D7-4062-B9B5-12A9E27DC10D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2" l="1"/>
  <c r="Q17" i="2" s="1"/>
  <c r="R14" i="2"/>
  <c r="S3" i="2"/>
  <c r="R3" i="2"/>
  <c r="R5" i="2" s="1"/>
  <c r="T3" i="2"/>
  <c r="Q3" i="2"/>
  <c r="V6" i="2"/>
  <c r="U6" i="2"/>
  <c r="T6" i="2"/>
  <c r="Q5" i="2"/>
  <c r="Q4" i="2" s="1"/>
  <c r="Z8" i="2"/>
  <c r="Y8" i="2"/>
  <c r="X8" i="2"/>
  <c r="W8" i="2"/>
  <c r="V8" i="2"/>
  <c r="U8" i="2"/>
  <c r="S7" i="2"/>
  <c r="T7" i="2" s="1"/>
  <c r="U7" i="2" s="1"/>
  <c r="V7" i="2" s="1"/>
  <c r="W7" i="2" s="1"/>
  <c r="X7" i="2" s="1"/>
  <c r="Y7" i="2" s="1"/>
  <c r="Z7" i="2" s="1"/>
  <c r="R7" i="2"/>
  <c r="R11" i="2" s="1"/>
  <c r="Q7" i="2"/>
  <c r="T8" i="2"/>
  <c r="S8" i="2"/>
  <c r="R6" i="2"/>
  <c r="S6" i="2"/>
  <c r="AC32" i="2"/>
  <c r="AC29" i="2"/>
  <c r="Z21" i="2"/>
  <c r="Y21" i="2"/>
  <c r="X21" i="2"/>
  <c r="W21" i="2"/>
  <c r="V21" i="2"/>
  <c r="U21" i="2"/>
  <c r="T21" i="2"/>
  <c r="S21" i="2"/>
  <c r="R21" i="2"/>
  <c r="Q21" i="2"/>
  <c r="Q11" i="2"/>
  <c r="S9" i="2"/>
  <c r="T9" i="2" s="1"/>
  <c r="U9" i="2" s="1"/>
  <c r="V9" i="2" s="1"/>
  <c r="W9" i="2" s="1"/>
  <c r="X9" i="2" s="1"/>
  <c r="Y9" i="2" s="1"/>
  <c r="Z9" i="2" s="1"/>
  <c r="R9" i="2"/>
  <c r="Q9" i="2"/>
  <c r="R8" i="2"/>
  <c r="Q8" i="2"/>
  <c r="J19" i="2"/>
  <c r="P19" i="2" s="1"/>
  <c r="J21" i="2"/>
  <c r="J14" i="2"/>
  <c r="J17" i="2" s="1"/>
  <c r="J11" i="2"/>
  <c r="J12" i="2" s="1"/>
  <c r="J8" i="2"/>
  <c r="P8" i="2" s="1"/>
  <c r="J5" i="2"/>
  <c r="J3" i="2"/>
  <c r="O28" i="2"/>
  <c r="N28" i="2"/>
  <c r="M28" i="2"/>
  <c r="P27" i="2"/>
  <c r="O27" i="2"/>
  <c r="N27" i="2"/>
  <c r="O24" i="2"/>
  <c r="N24" i="2"/>
  <c r="O26" i="2"/>
  <c r="N26" i="2"/>
  <c r="M26" i="2"/>
  <c r="O25" i="2"/>
  <c r="N25" i="2"/>
  <c r="M25" i="2"/>
  <c r="F19" i="2"/>
  <c r="F16" i="2"/>
  <c r="F15" i="2"/>
  <c r="F14" i="2"/>
  <c r="F13" i="2"/>
  <c r="F10" i="2"/>
  <c r="F9" i="2"/>
  <c r="F8" i="2"/>
  <c r="F7" i="2"/>
  <c r="F6" i="2"/>
  <c r="F21" i="2"/>
  <c r="F5" i="2"/>
  <c r="F4" i="2"/>
  <c r="F3" i="2"/>
  <c r="H28" i="2"/>
  <c r="G28" i="2"/>
  <c r="E28" i="2"/>
  <c r="D28" i="2"/>
  <c r="C28" i="2"/>
  <c r="H27" i="2"/>
  <c r="G27" i="2"/>
  <c r="H26" i="2"/>
  <c r="G26" i="2"/>
  <c r="E26" i="2"/>
  <c r="D26" i="2"/>
  <c r="C26" i="2"/>
  <c r="H25" i="2"/>
  <c r="G25" i="2"/>
  <c r="E25" i="2"/>
  <c r="D25" i="2"/>
  <c r="C25" i="2"/>
  <c r="H24" i="2"/>
  <c r="G24" i="2"/>
  <c r="P16" i="2"/>
  <c r="P15" i="2"/>
  <c r="P14" i="2"/>
  <c r="P13" i="2"/>
  <c r="P10" i="2"/>
  <c r="P9" i="2"/>
  <c r="P7" i="2"/>
  <c r="P6" i="2"/>
  <c r="P21" i="2"/>
  <c r="C14" i="2"/>
  <c r="C17" i="2" s="1"/>
  <c r="C8" i="2"/>
  <c r="C11" i="2" s="1"/>
  <c r="C4" i="2"/>
  <c r="C5" i="2" s="1"/>
  <c r="C21" i="2"/>
  <c r="G14" i="2"/>
  <c r="G17" i="2" s="1"/>
  <c r="G8" i="2"/>
  <c r="G11" i="2" s="1"/>
  <c r="G4" i="2"/>
  <c r="G5" i="2" s="1"/>
  <c r="G21" i="2"/>
  <c r="D14" i="2"/>
  <c r="D17" i="2" s="1"/>
  <c r="D8" i="2"/>
  <c r="D11" i="2" s="1"/>
  <c r="D4" i="2"/>
  <c r="D5" i="2" s="1"/>
  <c r="D21" i="2"/>
  <c r="H14" i="2"/>
  <c r="H17" i="2" s="1"/>
  <c r="H8" i="2"/>
  <c r="H11" i="2" s="1"/>
  <c r="H4" i="2"/>
  <c r="H5" i="2" s="1"/>
  <c r="H21" i="2"/>
  <c r="S14" i="2" l="1"/>
  <c r="T14" i="2" s="1"/>
  <c r="U14" i="2" s="1"/>
  <c r="V14" i="2" s="1"/>
  <c r="W14" i="2" s="1"/>
  <c r="X14" i="2" s="1"/>
  <c r="Y14" i="2" s="1"/>
  <c r="Z14" i="2" s="1"/>
  <c r="R17" i="2"/>
  <c r="W6" i="2"/>
  <c r="X6" i="2" s="1"/>
  <c r="Y6" i="2" s="1"/>
  <c r="Z6" i="2" s="1"/>
  <c r="S11" i="2"/>
  <c r="U11" i="2"/>
  <c r="T11" i="2"/>
  <c r="Q12" i="2"/>
  <c r="Q18" i="2" s="1"/>
  <c r="T27" i="2"/>
  <c r="S27" i="2"/>
  <c r="R27" i="2"/>
  <c r="Q27" i="2"/>
  <c r="Q25" i="2"/>
  <c r="J18" i="2"/>
  <c r="J20" i="2"/>
  <c r="J22" i="2" s="1"/>
  <c r="J28" i="2"/>
  <c r="J27" i="2"/>
  <c r="J4" i="2"/>
  <c r="P4" i="2" s="1"/>
  <c r="F17" i="2"/>
  <c r="F11" i="2"/>
  <c r="F12" i="2" s="1"/>
  <c r="F25" i="2"/>
  <c r="J24" i="2"/>
  <c r="J26" i="2"/>
  <c r="J25" i="2"/>
  <c r="P17" i="2"/>
  <c r="P11" i="2"/>
  <c r="C12" i="2"/>
  <c r="C18" i="2" s="1"/>
  <c r="C20" i="2" s="1"/>
  <c r="C22" i="2" s="1"/>
  <c r="G12" i="2"/>
  <c r="G18" i="2" s="1"/>
  <c r="G20" i="2" s="1"/>
  <c r="G22" i="2" s="1"/>
  <c r="D12" i="2"/>
  <c r="D18" i="2" s="1"/>
  <c r="D20" i="2" s="1"/>
  <c r="D22" i="2" s="1"/>
  <c r="H12" i="2"/>
  <c r="H18" i="2" s="1"/>
  <c r="H20" i="2" s="1"/>
  <c r="H22" i="2" s="1"/>
  <c r="P3" i="2"/>
  <c r="O14" i="2"/>
  <c r="O8" i="2"/>
  <c r="O11" i="2" s="1"/>
  <c r="O4" i="2"/>
  <c r="O5" i="2" s="1"/>
  <c r="O21" i="2"/>
  <c r="O17" i="2"/>
  <c r="N14" i="2"/>
  <c r="N17" i="2" s="1"/>
  <c r="N8" i="2"/>
  <c r="N11" i="2" s="1"/>
  <c r="N4" i="2"/>
  <c r="N21" i="2"/>
  <c r="N5" i="2"/>
  <c r="M14" i="2"/>
  <c r="M8" i="2"/>
  <c r="M4" i="2"/>
  <c r="M5" i="2"/>
  <c r="M21" i="2"/>
  <c r="M17" i="2"/>
  <c r="M11" i="2"/>
  <c r="I28" i="2"/>
  <c r="I27" i="2"/>
  <c r="I26" i="2"/>
  <c r="I25" i="2"/>
  <c r="I24" i="2"/>
  <c r="E14" i="2"/>
  <c r="E17" i="2"/>
  <c r="E8" i="2"/>
  <c r="E11" i="2" s="1"/>
  <c r="E4" i="2"/>
  <c r="E5" i="2" s="1"/>
  <c r="E21" i="2"/>
  <c r="I22" i="2"/>
  <c r="I21" i="2"/>
  <c r="I20" i="2"/>
  <c r="I18" i="2"/>
  <c r="I17" i="2"/>
  <c r="I14" i="2"/>
  <c r="I12" i="2"/>
  <c r="I11" i="2"/>
  <c r="I8" i="2"/>
  <c r="I4" i="2"/>
  <c r="I5" i="2" s="1"/>
  <c r="D7" i="1"/>
  <c r="D8" i="1"/>
  <c r="D9" i="1" s="1"/>
  <c r="D5" i="1"/>
  <c r="D4" i="1"/>
  <c r="F3" i="1"/>
  <c r="S17" i="2" l="1"/>
  <c r="T24" i="2"/>
  <c r="S5" i="2"/>
  <c r="S25" i="2" s="1"/>
  <c r="R25" i="2"/>
  <c r="R24" i="2"/>
  <c r="S24" i="2"/>
  <c r="Q19" i="2"/>
  <c r="Q28" i="2" s="1"/>
  <c r="Q26" i="2"/>
  <c r="U27" i="2"/>
  <c r="V11" i="2"/>
  <c r="P5" i="2"/>
  <c r="P25" i="2" s="1"/>
  <c r="P24" i="2"/>
  <c r="Q24" i="2"/>
  <c r="F18" i="2"/>
  <c r="F26" i="2"/>
  <c r="O12" i="2"/>
  <c r="O18" i="2" s="1"/>
  <c r="O20" i="2" s="1"/>
  <c r="O22" i="2" s="1"/>
  <c r="N12" i="2"/>
  <c r="N18" i="2"/>
  <c r="N20" i="2" s="1"/>
  <c r="N22" i="2" s="1"/>
  <c r="M12" i="2"/>
  <c r="M18" i="2" s="1"/>
  <c r="M20" i="2" s="1"/>
  <c r="M22" i="2" s="1"/>
  <c r="E12" i="2"/>
  <c r="E18" i="2" s="1"/>
  <c r="E20" i="2" s="1"/>
  <c r="E22" i="2" s="1"/>
  <c r="T17" i="2" l="1"/>
  <c r="U3" i="2"/>
  <c r="U24" i="2" s="1"/>
  <c r="T5" i="2"/>
  <c r="T12" i="2" s="1"/>
  <c r="S12" i="2"/>
  <c r="S18" i="2" s="1"/>
  <c r="S19" i="2" s="1"/>
  <c r="S28" i="2" s="1"/>
  <c r="R12" i="2"/>
  <c r="R26" i="2" s="1"/>
  <c r="S4" i="2"/>
  <c r="R4" i="2"/>
  <c r="Q20" i="2"/>
  <c r="V27" i="2"/>
  <c r="W11" i="2"/>
  <c r="P12" i="2"/>
  <c r="P18" i="2" s="1"/>
  <c r="F28" i="2"/>
  <c r="F20" i="2"/>
  <c r="F22" i="2" s="1"/>
  <c r="T18" i="2" l="1"/>
  <c r="T19" i="2" s="1"/>
  <c r="T20" i="2" s="1"/>
  <c r="T26" i="2"/>
  <c r="T25" i="2"/>
  <c r="T4" i="2"/>
  <c r="Q22" i="2"/>
  <c r="U5" i="2"/>
  <c r="U4" i="2" s="1"/>
  <c r="V3" i="2"/>
  <c r="S20" i="2"/>
  <c r="S22" i="2" s="1"/>
  <c r="R18" i="2"/>
  <c r="R19" i="2" s="1"/>
  <c r="R28" i="2" s="1"/>
  <c r="S26" i="2"/>
  <c r="X11" i="2"/>
  <c r="W27" i="2"/>
  <c r="P26" i="2"/>
  <c r="P20" i="2"/>
  <c r="P22" i="2" s="1"/>
  <c r="P28" i="2"/>
  <c r="U25" i="2" l="1"/>
  <c r="U12" i="2"/>
  <c r="W3" i="2"/>
  <c r="V5" i="2"/>
  <c r="V25" i="2" s="1"/>
  <c r="V24" i="2"/>
  <c r="T22" i="2"/>
  <c r="U16" i="2"/>
  <c r="U17" i="2" s="1"/>
  <c r="R20" i="2"/>
  <c r="T28" i="2"/>
  <c r="U26" i="2"/>
  <c r="W24" i="2"/>
  <c r="Y11" i="2"/>
  <c r="X27" i="2"/>
  <c r="U18" i="2" l="1"/>
  <c r="U19" i="2" s="1"/>
  <c r="U28" i="2" s="1"/>
  <c r="V4" i="2"/>
  <c r="V12" i="2"/>
  <c r="V26" i="2" s="1"/>
  <c r="R22" i="2"/>
  <c r="X3" i="2"/>
  <c r="X24" i="2" s="1"/>
  <c r="W5" i="2"/>
  <c r="W12" i="2" s="1"/>
  <c r="Y27" i="2"/>
  <c r="W4" i="2" l="1"/>
  <c r="Y3" i="2"/>
  <c r="Y5" i="2" s="1"/>
  <c r="X5" i="2"/>
  <c r="X4" i="2" s="1"/>
  <c r="W25" i="2"/>
  <c r="Z27" i="2"/>
  <c r="Z11" i="2"/>
  <c r="W26" i="2"/>
  <c r="U20" i="2"/>
  <c r="X25" i="2" l="1"/>
  <c r="X12" i="2"/>
  <c r="X26" i="2" s="1"/>
  <c r="Y24" i="2"/>
  <c r="Z3" i="2"/>
  <c r="Z5" i="2" s="1"/>
  <c r="Z12" i="2" s="1"/>
  <c r="Y4" i="2"/>
  <c r="U22" i="2"/>
  <c r="V16" i="2"/>
  <c r="V17" i="2" s="1"/>
  <c r="V18" i="2" s="1"/>
  <c r="V19" i="2" s="1"/>
  <c r="V28" i="2" s="1"/>
  <c r="Y12" i="2"/>
  <c r="Y25" i="2"/>
  <c r="Z24" i="2" l="1"/>
  <c r="V20" i="2"/>
  <c r="Z4" i="2"/>
  <c r="Z26" i="2"/>
  <c r="Z25" i="2"/>
  <c r="Y26" i="2"/>
  <c r="V22" i="2" l="1"/>
  <c r="W16" i="2"/>
  <c r="W17" i="2" s="1"/>
  <c r="W18" i="2" s="1"/>
  <c r="W19" i="2" l="1"/>
  <c r="W28" i="2" s="1"/>
  <c r="W20" i="2" l="1"/>
  <c r="W22" i="2" s="1"/>
  <c r="X16" i="2" l="1"/>
  <c r="X17" i="2" s="1"/>
  <c r="X18" i="2" s="1"/>
  <c r="X19" i="2" s="1"/>
  <c r="X28" i="2" s="1"/>
  <c r="X20" i="2" l="1"/>
  <c r="X22" i="2" l="1"/>
  <c r="Y16" i="2"/>
  <c r="Y17" i="2" s="1"/>
  <c r="Y18" i="2" s="1"/>
  <c r="Y19" i="2" l="1"/>
  <c r="Y28" i="2" s="1"/>
  <c r="Y20" i="2" l="1"/>
  <c r="Y22" i="2" l="1"/>
  <c r="Z16" i="2"/>
  <c r="Z17" i="2" s="1"/>
  <c r="Z18" i="2" s="1"/>
  <c r="Z19" i="2" l="1"/>
  <c r="Z28" i="2" s="1"/>
  <c r="Z20" i="2" l="1"/>
  <c r="Z22" i="2" l="1"/>
  <c r="AA20" i="2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EG20" i="2" s="1"/>
  <c r="EH20" i="2" s="1"/>
  <c r="EI20" i="2" s="1"/>
  <c r="EJ20" i="2" s="1"/>
  <c r="EK20" i="2" s="1"/>
  <c r="EL20" i="2" s="1"/>
  <c r="EM20" i="2" s="1"/>
  <c r="EN20" i="2" s="1"/>
  <c r="EO20" i="2" s="1"/>
  <c r="EP20" i="2" s="1"/>
  <c r="EQ20" i="2" s="1"/>
  <c r="AC28" i="2" s="1"/>
  <c r="AC30" i="2" s="1"/>
  <c r="AC31" i="2" s="1"/>
  <c r="AC33" i="2" s="1"/>
</calcChain>
</file>

<file path=xl/sharedStrings.xml><?xml version="1.0" encoding="utf-8"?>
<sst xmlns="http://schemas.openxmlformats.org/spreadsheetml/2006/main" count="57" uniqueCount="52">
  <si>
    <t>AMC</t>
  </si>
  <si>
    <t>Price</t>
  </si>
  <si>
    <t>Shares</t>
  </si>
  <si>
    <t>MC</t>
  </si>
  <si>
    <t>Cash</t>
  </si>
  <si>
    <t>Debt</t>
  </si>
  <si>
    <t>Net Cash</t>
  </si>
  <si>
    <t>EV</t>
  </si>
  <si>
    <t>Time last checked</t>
  </si>
  <si>
    <t>Today</t>
  </si>
  <si>
    <t>Earnings</t>
  </si>
  <si>
    <t>Revenue</t>
  </si>
  <si>
    <t>Cost of sales</t>
  </si>
  <si>
    <t>Gross profit</t>
  </si>
  <si>
    <t>Q320</t>
  </si>
  <si>
    <t>Q119</t>
  </si>
  <si>
    <t>Q219</t>
  </si>
  <si>
    <t>Q319</t>
  </si>
  <si>
    <t>Q419</t>
  </si>
  <si>
    <t>Q120</t>
  </si>
  <si>
    <t>Q220</t>
  </si>
  <si>
    <t>Q420</t>
  </si>
  <si>
    <t>Operating expense</t>
  </si>
  <si>
    <t>Rent expense</t>
  </si>
  <si>
    <t>G&amp;A</t>
  </si>
  <si>
    <t>D&amp;A</t>
  </si>
  <si>
    <t>Impairment</t>
  </si>
  <si>
    <t>Operating profit</t>
  </si>
  <si>
    <t>Other expense</t>
  </si>
  <si>
    <t>Interest expense</t>
  </si>
  <si>
    <t>Share in associates</t>
  </si>
  <si>
    <t>Investment income</t>
  </si>
  <si>
    <t>Net finance expense</t>
  </si>
  <si>
    <t>Net operating expense</t>
  </si>
  <si>
    <t>Pretax profit</t>
  </si>
  <si>
    <t>Taxes</t>
  </si>
  <si>
    <t>Net profit</t>
  </si>
  <si>
    <t>EPS</t>
  </si>
  <si>
    <t>Revenue y/y</t>
  </si>
  <si>
    <t>Gross Margin</t>
  </si>
  <si>
    <t>Operating Margin</t>
  </si>
  <si>
    <t>G&amp;A y/y</t>
  </si>
  <si>
    <t>Maturity</t>
  </si>
  <si>
    <t>Discount rate</t>
  </si>
  <si>
    <t>NPV</t>
  </si>
  <si>
    <t>Net cash</t>
  </si>
  <si>
    <t>Value</t>
  </si>
  <si>
    <t>Per share</t>
  </si>
  <si>
    <t>Current price</t>
  </si>
  <si>
    <t>Variance</t>
  </si>
  <si>
    <t>Consensus</t>
  </si>
  <si>
    <t>Fairly 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</si>
</sst>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0" fontId="0" fillId="0" borderId="0" xfId="0" applyFont="1"/>
    <xf numFmtId="9" fontId="0" fillId="0" borderId="0" xfId="0" applyNumberFormat="1"/>
    <xf numFmtId="3" fontId="0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0</xdr:row>
      <xdr:rowOff>0</xdr:rowOff>
    </xdr:from>
    <xdr:to>
      <xdr:col>9</xdr:col>
      <xdr:colOff>30480</xdr:colOff>
      <xdr:row>33</xdr:row>
      <xdr:rowOff>83820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793CB6-7C15-4A6D-ACEB-E20295B934AB}"/>
            </a:ext>
          </a:extLst>
        </xdr:cNvPr>
        <xdr:cNvCxnSpPr/>
      </xdr:nvCxnSpPr>
      <xdr:spPr>
        <a:xfrm>
          <a:off x="6248400" y="0"/>
          <a:ext cx="0" cy="6118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67C-1118-4F20-8385-D7EB8548D71D}">
  <dimension ref="B2:G9"/>
  <sheetViews>
    <sheetView tabSelected="1" workbookViewId="0">
      <selection activeCell="D4" sqref="D4"/>
    </sheetView>
  </sheetViews>
  <sheetFormatPr defaultRowHeight="14.4" x14ac:dyDescent="0.3"/>
  <cols>
    <col min="5" max="7" width="15.77734375" style="2" customWidth="1"/>
  </cols>
  <sheetData>
    <row r="2" spans="2:7" x14ac:dyDescent="0.3">
      <c r="E2" s="2" t="s">
        <v>8</v>
      </c>
      <c r="F2" s="2" t="s">
        <v>9</v>
      </c>
      <c r="G2" s="2" t="s">
        <v>10</v>
      </c>
    </row>
    <row r="3" spans="2:7" x14ac:dyDescent="0.3">
      <c r="B3" s="1" t="s">
        <v>0</v>
      </c>
      <c r="C3" t="s">
        <v>1</v>
      </c>
      <c r="D3" s="4">
        <v>4.8</v>
      </c>
      <c r="E3" s="3">
        <v>44222</v>
      </c>
      <c r="F3" s="3">
        <f ca="1">TODAY()</f>
        <v>44223</v>
      </c>
      <c r="G3" s="3">
        <v>44259</v>
      </c>
    </row>
    <row r="4" spans="2:7" x14ac:dyDescent="0.3">
      <c r="C4" t="s">
        <v>2</v>
      </c>
      <c r="D4" s="5">
        <f>57.549+51.769</f>
        <v>109.318</v>
      </c>
      <c r="E4" s="2" t="s">
        <v>14</v>
      </c>
    </row>
    <row r="5" spans="2:7" x14ac:dyDescent="0.3">
      <c r="C5" t="s">
        <v>3</v>
      </c>
      <c r="D5" s="5">
        <f>D3*D4</f>
        <v>524.72640000000001</v>
      </c>
    </row>
    <row r="6" spans="2:7" x14ac:dyDescent="0.3">
      <c r="C6" t="s">
        <v>4</v>
      </c>
      <c r="D6" s="5">
        <v>417.9</v>
      </c>
      <c r="E6" s="2" t="s">
        <v>14</v>
      </c>
    </row>
    <row r="7" spans="2:7" x14ac:dyDescent="0.3">
      <c r="C7" t="s">
        <v>5</v>
      </c>
      <c r="D7" s="5">
        <f>20+10+5803.8+84.2</f>
        <v>5918</v>
      </c>
      <c r="E7" s="2" t="s">
        <v>14</v>
      </c>
    </row>
    <row r="8" spans="2:7" x14ac:dyDescent="0.3">
      <c r="C8" t="s">
        <v>6</v>
      </c>
      <c r="D8" s="5">
        <f>D6-D7</f>
        <v>-5500.1</v>
      </c>
    </row>
    <row r="9" spans="2:7" x14ac:dyDescent="0.3">
      <c r="C9" t="s">
        <v>7</v>
      </c>
      <c r="D9" s="5">
        <f>D5-D8</f>
        <v>6024.8263999999999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D940-75E0-47AB-9F9F-CC33E6B62957}">
  <dimension ref="B2:EQ34"/>
  <sheetViews>
    <sheetView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Q14" sqref="Q14"/>
    </sheetView>
  </sheetViews>
  <sheetFormatPr defaultRowHeight="14.4" x14ac:dyDescent="0.3"/>
  <cols>
    <col min="2" max="2" width="19.5546875" bestFit="1" customWidth="1"/>
    <col min="3" max="12" width="8.88671875" customWidth="1"/>
    <col min="28" max="28" width="11.88671875" bestFit="1" customWidth="1"/>
    <col min="29" max="29" width="16.44140625" bestFit="1" customWidth="1"/>
  </cols>
  <sheetData>
    <row r="2" spans="2:26" x14ac:dyDescent="0.3"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14</v>
      </c>
      <c r="J2" s="6" t="s">
        <v>21</v>
      </c>
      <c r="K2" s="6"/>
      <c r="M2">
        <v>2017</v>
      </c>
      <c r="N2">
        <v>2018</v>
      </c>
      <c r="O2">
        <v>2019</v>
      </c>
      <c r="P2">
        <v>2020</v>
      </c>
      <c r="Q2">
        <v>2021</v>
      </c>
      <c r="R2">
        <v>2022</v>
      </c>
      <c r="S2">
        <v>2023</v>
      </c>
      <c r="T2">
        <v>2024</v>
      </c>
      <c r="U2">
        <v>2025</v>
      </c>
      <c r="V2">
        <v>2026</v>
      </c>
      <c r="W2">
        <v>2027</v>
      </c>
      <c r="X2">
        <v>2028</v>
      </c>
      <c r="Y2">
        <v>2029</v>
      </c>
      <c r="Z2">
        <v>2030</v>
      </c>
    </row>
    <row r="3" spans="2:26" s="1" customFormat="1" x14ac:dyDescent="0.3">
      <c r="B3" s="1" t="s">
        <v>11</v>
      </c>
      <c r="C3" s="8">
        <v>1200.4000000000001</v>
      </c>
      <c r="D3" s="8">
        <v>1506.1</v>
      </c>
      <c r="E3" s="8">
        <v>1316.8</v>
      </c>
      <c r="F3" s="8">
        <f>O3-E3-D3-C3</f>
        <v>1447.6999999999998</v>
      </c>
      <c r="G3" s="8">
        <v>941.5</v>
      </c>
      <c r="H3" s="8">
        <v>18.899999999999999</v>
      </c>
      <c r="I3" s="8">
        <v>119.5</v>
      </c>
      <c r="J3" s="8">
        <f>F3*0.2</f>
        <v>289.53999999999996</v>
      </c>
      <c r="M3" s="8">
        <v>5079.2</v>
      </c>
      <c r="N3" s="8">
        <v>5460.8</v>
      </c>
      <c r="O3" s="8">
        <v>5471</v>
      </c>
      <c r="P3" s="8">
        <f>SUM(G3:J3)</f>
        <v>1369.44</v>
      </c>
      <c r="Q3" s="8">
        <f>P3*3</f>
        <v>4108.32</v>
      </c>
      <c r="R3" s="8">
        <f>Q3*1.2</f>
        <v>4929.9839999999995</v>
      </c>
      <c r="S3" s="8">
        <f>R3*1.15</f>
        <v>5669.4815999999992</v>
      </c>
      <c r="T3" s="8">
        <f>S3*1.1</f>
        <v>6236.42976</v>
      </c>
      <c r="U3" s="8">
        <f>T3*1.08</f>
        <v>6735.3441408000008</v>
      </c>
      <c r="V3" s="8">
        <f>U3*1.05</f>
        <v>7072.1113478400011</v>
      </c>
      <c r="W3" s="8">
        <f>V3*1.05</f>
        <v>7425.7169152320012</v>
      </c>
      <c r="X3" s="8">
        <f>W3*1.05</f>
        <v>7797.0027609936014</v>
      </c>
      <c r="Y3" s="8">
        <f>X3*1.03</f>
        <v>8030.9128438234093</v>
      </c>
      <c r="Z3" s="8">
        <f>Y3*1.03</f>
        <v>8271.8402291381117</v>
      </c>
    </row>
    <row r="4" spans="2:26" x14ac:dyDescent="0.3">
      <c r="B4" t="s">
        <v>12</v>
      </c>
      <c r="C4" s="5">
        <f>365.3+61.5</f>
        <v>426.8</v>
      </c>
      <c r="D4" s="5">
        <f>482.5+76.4</f>
        <v>558.9</v>
      </c>
      <c r="E4" s="5">
        <f>416.8+67.2</f>
        <v>484</v>
      </c>
      <c r="F4" s="11">
        <f>O4-E4-D4-C4</f>
        <v>508.09999999999997</v>
      </c>
      <c r="G4" s="5">
        <f>271.7+53.4</f>
        <v>325.09999999999997</v>
      </c>
      <c r="H4" s="5">
        <f>0.2+4.5</f>
        <v>4.7</v>
      </c>
      <c r="I4" s="5">
        <f>26.6+8.8</f>
        <v>35.400000000000006</v>
      </c>
      <c r="J4" s="5">
        <f>J3-J5</f>
        <v>92.652799999999985</v>
      </c>
      <c r="M4" s="5">
        <f>1604.3+252.1</f>
        <v>1856.3999999999999</v>
      </c>
      <c r="N4" s="5">
        <f>1710.2+270.9</f>
        <v>1981.1</v>
      </c>
      <c r="O4" s="5">
        <f>1699.1+278.7</f>
        <v>1977.8</v>
      </c>
      <c r="P4" s="11">
        <f>SUM(G4:J4)</f>
        <v>457.85279999999989</v>
      </c>
      <c r="Q4" s="5">
        <f>Q3-Q5</f>
        <v>1437.9119999999998</v>
      </c>
      <c r="R4" s="5">
        <f t="shared" ref="R4:Z4" si="0">R3-R5</f>
        <v>1774.7942399999997</v>
      </c>
      <c r="S4" s="5">
        <f t="shared" si="0"/>
        <v>1984.3185599999997</v>
      </c>
      <c r="T4" s="5">
        <f t="shared" si="0"/>
        <v>2182.7504159999999</v>
      </c>
      <c r="U4" s="5">
        <f t="shared" si="0"/>
        <v>2357.3704492799998</v>
      </c>
      <c r="V4" s="5">
        <f t="shared" si="0"/>
        <v>2475.2389717440001</v>
      </c>
      <c r="W4" s="5">
        <f t="shared" si="0"/>
        <v>2599.0009203312002</v>
      </c>
      <c r="X4" s="5">
        <f t="shared" si="0"/>
        <v>2728.9509663477602</v>
      </c>
      <c r="Y4" s="5">
        <f t="shared" si="0"/>
        <v>2810.8194953381935</v>
      </c>
      <c r="Z4" s="5">
        <f t="shared" si="0"/>
        <v>2895.144080198339</v>
      </c>
    </row>
    <row r="5" spans="2:26" s="1" customFormat="1" x14ac:dyDescent="0.3">
      <c r="B5" s="1" t="s">
        <v>13</v>
      </c>
      <c r="C5" s="8">
        <f>C3-C4</f>
        <v>773.60000000000014</v>
      </c>
      <c r="D5" s="8">
        <f>D3-D4</f>
        <v>947.19999999999993</v>
      </c>
      <c r="E5" s="8">
        <f>E3-E4</f>
        <v>832.8</v>
      </c>
      <c r="F5" s="8">
        <f>F3-F4</f>
        <v>939.59999999999991</v>
      </c>
      <c r="G5" s="8">
        <f>G3-G4</f>
        <v>616.40000000000009</v>
      </c>
      <c r="H5" s="8">
        <f>H3-H4</f>
        <v>14.2</v>
      </c>
      <c r="I5" s="8">
        <f>I3-I4</f>
        <v>84.1</v>
      </c>
      <c r="J5" s="8">
        <f>J3*0.68</f>
        <v>196.88719999999998</v>
      </c>
      <c r="M5" s="8">
        <f>M3-M4</f>
        <v>3222.8</v>
      </c>
      <c r="N5" s="8">
        <f>N3-N4</f>
        <v>3479.7000000000003</v>
      </c>
      <c r="O5" s="8">
        <f>O3-O4</f>
        <v>3493.2</v>
      </c>
      <c r="P5" s="8">
        <f>P3-P4</f>
        <v>911.58720000000017</v>
      </c>
      <c r="Q5" s="8">
        <f>Q3*0.65</f>
        <v>2670.4079999999999</v>
      </c>
      <c r="R5" s="8">
        <f>R3*0.64</f>
        <v>3155.1897599999998</v>
      </c>
      <c r="S5" s="8">
        <f>S3*0.65</f>
        <v>3685.1630399999995</v>
      </c>
      <c r="T5" s="8">
        <f t="shared" ref="T5:Z5" si="1">T3*0.65</f>
        <v>4053.6793440000001</v>
      </c>
      <c r="U5" s="8">
        <f t="shared" si="1"/>
        <v>4377.973691520001</v>
      </c>
      <c r="V5" s="8">
        <f t="shared" si="1"/>
        <v>4596.8723760960011</v>
      </c>
      <c r="W5" s="8">
        <f t="shared" si="1"/>
        <v>4826.715994900801</v>
      </c>
      <c r="X5" s="8">
        <f t="shared" si="1"/>
        <v>5068.0517946458413</v>
      </c>
      <c r="Y5" s="8">
        <f t="shared" si="1"/>
        <v>5220.0933484852158</v>
      </c>
      <c r="Z5" s="8">
        <f t="shared" si="1"/>
        <v>5376.6961489397727</v>
      </c>
    </row>
    <row r="6" spans="2:26" x14ac:dyDescent="0.3">
      <c r="B6" t="s">
        <v>22</v>
      </c>
      <c r="C6" s="5">
        <v>402.8</v>
      </c>
      <c r="D6" s="5">
        <v>437.4</v>
      </c>
      <c r="E6" s="5">
        <v>419</v>
      </c>
      <c r="F6" s="11">
        <f>O6-E6-D6-C6</f>
        <v>427.39999999999992</v>
      </c>
      <c r="G6" s="5">
        <v>356.9</v>
      </c>
      <c r="H6" s="5">
        <v>114.8</v>
      </c>
      <c r="I6" s="5">
        <v>192.1</v>
      </c>
      <c r="J6" s="5">
        <v>250</v>
      </c>
      <c r="M6" s="5">
        <v>1548</v>
      </c>
      <c r="N6" s="5">
        <v>1654.7</v>
      </c>
      <c r="O6" s="5">
        <v>1686.6</v>
      </c>
      <c r="P6" s="11">
        <f>SUM(G6:J6)</f>
        <v>913.8</v>
      </c>
      <c r="Q6" s="5">
        <v>1200</v>
      </c>
      <c r="R6" s="11">
        <f>Q6*1.2</f>
        <v>1440</v>
      </c>
      <c r="S6" s="11">
        <f>R6*1.1</f>
        <v>1584.0000000000002</v>
      </c>
      <c r="T6" s="11">
        <f>S6*1.08</f>
        <v>1710.7200000000003</v>
      </c>
      <c r="U6" s="11">
        <f>T6*1.08</f>
        <v>1847.5776000000003</v>
      </c>
      <c r="V6" s="11">
        <f>U6*1.08</f>
        <v>1995.3838080000005</v>
      </c>
      <c r="W6" s="11">
        <f>V6*1.08</f>
        <v>2155.0145126400007</v>
      </c>
      <c r="X6" s="11">
        <f>W6*1.06</f>
        <v>2284.3153833984011</v>
      </c>
      <c r="Y6" s="11">
        <f t="shared" ref="Y6:Z6" si="2">X6*1.05</f>
        <v>2398.5311525683214</v>
      </c>
      <c r="Z6" s="11">
        <f t="shared" si="2"/>
        <v>2518.4577101967375</v>
      </c>
    </row>
    <row r="7" spans="2:26" x14ac:dyDescent="0.3">
      <c r="B7" t="s">
        <v>23</v>
      </c>
      <c r="C7" s="5">
        <v>242</v>
      </c>
      <c r="D7" s="5">
        <v>245.9</v>
      </c>
      <c r="E7" s="5">
        <v>238.7</v>
      </c>
      <c r="F7" s="11">
        <f>O7-E7-D7-C7</f>
        <v>241.19999999999993</v>
      </c>
      <c r="G7" s="5">
        <v>237.8</v>
      </c>
      <c r="H7" s="5">
        <v>224.1</v>
      </c>
      <c r="I7" s="5">
        <v>214.3</v>
      </c>
      <c r="J7" s="5">
        <v>224</v>
      </c>
      <c r="M7" s="5">
        <v>794.4</v>
      </c>
      <c r="N7" s="5">
        <v>797.8</v>
      </c>
      <c r="O7" s="5">
        <v>967.8</v>
      </c>
      <c r="P7" s="11">
        <f>SUM(G7:J7)</f>
        <v>900.2</v>
      </c>
      <c r="Q7" s="5">
        <f>P7*1.03</f>
        <v>927.20600000000002</v>
      </c>
      <c r="R7" s="5">
        <f t="shared" ref="R7:Z7" si="3">Q7*1.03</f>
        <v>955.02218000000005</v>
      </c>
      <c r="S7" s="5">
        <f t="shared" si="3"/>
        <v>983.67284540000003</v>
      </c>
      <c r="T7" s="5">
        <f t="shared" si="3"/>
        <v>1013.183030762</v>
      </c>
      <c r="U7" s="5">
        <f t="shared" si="3"/>
        <v>1043.5785216848601</v>
      </c>
      <c r="V7" s="5">
        <f t="shared" si="3"/>
        <v>1074.8858773354059</v>
      </c>
      <c r="W7" s="5">
        <f t="shared" si="3"/>
        <v>1107.132453655468</v>
      </c>
      <c r="X7" s="5">
        <f t="shared" si="3"/>
        <v>1140.346427265132</v>
      </c>
      <c r="Y7" s="5">
        <f t="shared" si="3"/>
        <v>1174.556820083086</v>
      </c>
      <c r="Z7" s="5">
        <f t="shared" si="3"/>
        <v>1209.7935246855786</v>
      </c>
    </row>
    <row r="8" spans="2:26" x14ac:dyDescent="0.3">
      <c r="B8" t="s">
        <v>24</v>
      </c>
      <c r="C8" s="5">
        <f>3.3+46.2</f>
        <v>49.5</v>
      </c>
      <c r="D8" s="5">
        <f>3.2+43.2</f>
        <v>46.400000000000006</v>
      </c>
      <c r="E8" s="5">
        <f>4.7+37.5</f>
        <v>42.2</v>
      </c>
      <c r="F8" s="11">
        <f>O8-E8-D8-C8</f>
        <v>30.399999999999991</v>
      </c>
      <c r="G8" s="5">
        <f>0.2+33.2</f>
        <v>33.400000000000006</v>
      </c>
      <c r="H8" s="5">
        <f>1.8+25.4</f>
        <v>27.2</v>
      </c>
      <c r="I8" s="5">
        <f>1+32.7</f>
        <v>33.700000000000003</v>
      </c>
      <c r="J8" s="5">
        <f>F8*1.2</f>
        <v>36.47999999999999</v>
      </c>
      <c r="M8" s="5">
        <f>63+133</f>
        <v>196</v>
      </c>
      <c r="N8" s="5">
        <f>31.3+179.3</f>
        <v>210.60000000000002</v>
      </c>
      <c r="O8" s="5">
        <f>15.5+153</f>
        <v>168.5</v>
      </c>
      <c r="P8" s="11">
        <f>SUM(G8:J8)</f>
        <v>130.78</v>
      </c>
      <c r="Q8" s="5">
        <f>P8*1.15</f>
        <v>150.39699999999999</v>
      </c>
      <c r="R8" s="5">
        <f>Q8*1.07</f>
        <v>160.92479</v>
      </c>
      <c r="S8" s="5">
        <f>R8*1.05</f>
        <v>168.97102950000001</v>
      </c>
      <c r="T8" s="5">
        <f>S8*1.05</f>
        <v>177.41958097500003</v>
      </c>
      <c r="U8" s="5">
        <f>T8*1.05</f>
        <v>186.29056002375003</v>
      </c>
      <c r="V8" s="5">
        <f>U8*1.05</f>
        <v>195.60508802493754</v>
      </c>
      <c r="W8" s="5">
        <f>V8*1.05</f>
        <v>205.38534242618442</v>
      </c>
      <c r="X8" s="5">
        <f>W8*1.03</f>
        <v>211.54690269896997</v>
      </c>
      <c r="Y8" s="5">
        <f>X8*1.03</f>
        <v>217.89330977993907</v>
      </c>
      <c r="Z8" s="5">
        <f>Y8*1.03</f>
        <v>224.43010907333726</v>
      </c>
    </row>
    <row r="9" spans="2:26" x14ac:dyDescent="0.3">
      <c r="B9" t="s">
        <v>25</v>
      </c>
      <c r="C9" s="5">
        <v>113</v>
      </c>
      <c r="D9" s="5">
        <v>112</v>
      </c>
      <c r="E9" s="5">
        <v>112.1</v>
      </c>
      <c r="F9" s="11">
        <f>O9-E9-D9-C9</f>
        <v>112.89999999999998</v>
      </c>
      <c r="G9" s="5">
        <v>122.5</v>
      </c>
      <c r="H9" s="5">
        <v>119.7</v>
      </c>
      <c r="I9" s="5">
        <v>123.5</v>
      </c>
      <c r="J9" s="5">
        <v>124</v>
      </c>
      <c r="M9" s="5">
        <v>538.6</v>
      </c>
      <c r="N9" s="5">
        <v>537.79999999999995</v>
      </c>
      <c r="O9" s="5">
        <v>450</v>
      </c>
      <c r="P9" s="11">
        <f>SUM(G9:J9)</f>
        <v>489.7</v>
      </c>
      <c r="Q9" s="5">
        <f>P9*0.95</f>
        <v>465.21499999999997</v>
      </c>
      <c r="R9" s="5">
        <f t="shared" ref="R9:Z9" si="4">Q9*0.95</f>
        <v>441.95424999999994</v>
      </c>
      <c r="S9" s="5">
        <f t="shared" si="4"/>
        <v>419.85653749999994</v>
      </c>
      <c r="T9" s="5">
        <f t="shared" si="4"/>
        <v>398.86371062499995</v>
      </c>
      <c r="U9" s="5">
        <f t="shared" si="4"/>
        <v>378.92052509374992</v>
      </c>
      <c r="V9" s="5">
        <f t="shared" si="4"/>
        <v>359.97449883906239</v>
      </c>
      <c r="W9" s="5">
        <f t="shared" si="4"/>
        <v>341.97577389710926</v>
      </c>
      <c r="X9" s="5">
        <f t="shared" si="4"/>
        <v>324.87698520225376</v>
      </c>
      <c r="Y9" s="5">
        <f t="shared" si="4"/>
        <v>308.63313594214105</v>
      </c>
      <c r="Z9" s="5">
        <f t="shared" si="4"/>
        <v>293.201479145034</v>
      </c>
    </row>
    <row r="10" spans="2:26" x14ac:dyDescent="0.3">
      <c r="B10" t="s">
        <v>26</v>
      </c>
      <c r="C10" s="5">
        <v>0</v>
      </c>
      <c r="D10" s="5">
        <v>0</v>
      </c>
      <c r="E10" s="5">
        <v>0</v>
      </c>
      <c r="F10" s="11">
        <f>O10-E10-D10-C10</f>
        <v>84.3</v>
      </c>
      <c r="G10" s="5">
        <v>1851.9</v>
      </c>
      <c r="H10" s="5">
        <v>0</v>
      </c>
      <c r="I10" s="5">
        <v>195.9</v>
      </c>
      <c r="J10" s="5">
        <v>0</v>
      </c>
      <c r="M10" s="5">
        <v>43.6</v>
      </c>
      <c r="N10" s="5">
        <v>13.8</v>
      </c>
      <c r="O10" s="5">
        <v>84.3</v>
      </c>
      <c r="P10" s="11">
        <f>SUM(G10:J10)</f>
        <v>2047.8000000000002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2:26" x14ac:dyDescent="0.3">
      <c r="B11" t="s">
        <v>33</v>
      </c>
      <c r="C11" s="5">
        <f>C6+C7+C8+C9+C10</f>
        <v>807.3</v>
      </c>
      <c r="D11" s="5">
        <f>D6+D7+D8+D9+D10</f>
        <v>841.69999999999993</v>
      </c>
      <c r="E11" s="5">
        <f>E6+E7+E8+E9+E10</f>
        <v>812.00000000000011</v>
      </c>
      <c r="F11" s="5">
        <f>F6+F7+F8+F9+F10</f>
        <v>896.19999999999982</v>
      </c>
      <c r="G11" s="5">
        <f>G6+G7+G8+G9+G10</f>
        <v>2602.5</v>
      </c>
      <c r="H11" s="5">
        <f>H6+H7+H8+H9+H10</f>
        <v>485.79999999999995</v>
      </c>
      <c r="I11" s="5">
        <f>I6+I7+I8+I9+I10</f>
        <v>759.49999999999989</v>
      </c>
      <c r="J11" s="5">
        <f>J6+J7+J8+J9+J10</f>
        <v>634.48</v>
      </c>
      <c r="M11" s="5">
        <f>M6+M7+M8+M9+M10</f>
        <v>3120.6</v>
      </c>
      <c r="N11" s="5">
        <f>N6+N7+N8+N9+N10</f>
        <v>3214.7</v>
      </c>
      <c r="O11" s="5">
        <f>O6+O7+O8+O9+O10</f>
        <v>3357.2</v>
      </c>
      <c r="P11" s="5">
        <f>P6+P7+P8+P9+P10</f>
        <v>4482.2800000000007</v>
      </c>
      <c r="Q11" s="5">
        <f t="shared" ref="Q11:Z11" si="5">Q6+Q7+Q8+Q9+Q10</f>
        <v>2742.8180000000002</v>
      </c>
      <c r="R11" s="5">
        <f t="shared" si="5"/>
        <v>2997.9012199999997</v>
      </c>
      <c r="S11" s="5">
        <f t="shared" si="5"/>
        <v>3156.5004124000002</v>
      </c>
      <c r="T11" s="5">
        <f t="shared" si="5"/>
        <v>3300.1863223620003</v>
      </c>
      <c r="U11" s="5">
        <f t="shared" si="5"/>
        <v>3456.3672068023602</v>
      </c>
      <c r="V11" s="5">
        <f t="shared" si="5"/>
        <v>3625.8492721994066</v>
      </c>
      <c r="W11" s="5">
        <f t="shared" si="5"/>
        <v>3809.5080826187623</v>
      </c>
      <c r="X11" s="5">
        <f t="shared" si="5"/>
        <v>3961.085698564757</v>
      </c>
      <c r="Y11" s="5">
        <f t="shared" si="5"/>
        <v>4099.6144183734878</v>
      </c>
      <c r="Z11" s="5">
        <f t="shared" si="5"/>
        <v>4245.8828231006873</v>
      </c>
    </row>
    <row r="12" spans="2:26" s="1" customFormat="1" x14ac:dyDescent="0.3">
      <c r="B12" s="1" t="s">
        <v>27</v>
      </c>
      <c r="C12" s="8">
        <f>C5-C11</f>
        <v>-33.699999999999818</v>
      </c>
      <c r="D12" s="8">
        <f>D5-D11</f>
        <v>105.5</v>
      </c>
      <c r="E12" s="8">
        <f>E5-E11</f>
        <v>20.799999999999841</v>
      </c>
      <c r="F12" s="8">
        <f>F5-F11</f>
        <v>43.400000000000091</v>
      </c>
      <c r="G12" s="8">
        <f>G5-G11</f>
        <v>-1986.1</v>
      </c>
      <c r="H12" s="8">
        <f>H5-H11</f>
        <v>-471.59999999999997</v>
      </c>
      <c r="I12" s="8">
        <f>I5-I11</f>
        <v>-675.39999999999986</v>
      </c>
      <c r="J12" s="8">
        <f>J5-J11</f>
        <v>-437.59280000000001</v>
      </c>
      <c r="M12" s="8">
        <f>M5-M11</f>
        <v>102.20000000000027</v>
      </c>
      <c r="N12" s="8">
        <f>N5-N11</f>
        <v>265.00000000000045</v>
      </c>
      <c r="O12" s="8">
        <f>O5-O11</f>
        <v>136</v>
      </c>
      <c r="P12" s="8">
        <f>P5-P11</f>
        <v>-3570.6928000000007</v>
      </c>
      <c r="Q12" s="8">
        <f t="shared" ref="Q12:Z12" si="6">Q5-Q11</f>
        <v>-72.410000000000309</v>
      </c>
      <c r="R12" s="8">
        <f t="shared" si="6"/>
        <v>157.28854000000001</v>
      </c>
      <c r="S12" s="8">
        <f t="shared" si="6"/>
        <v>528.66262759999927</v>
      </c>
      <c r="T12" s="8">
        <f t="shared" si="6"/>
        <v>753.49302163799985</v>
      </c>
      <c r="U12" s="8">
        <f t="shared" si="6"/>
        <v>921.6064847176408</v>
      </c>
      <c r="V12" s="8">
        <f t="shared" si="6"/>
        <v>971.02310389659442</v>
      </c>
      <c r="W12" s="8">
        <f t="shared" si="6"/>
        <v>1017.2079122820387</v>
      </c>
      <c r="X12" s="8">
        <f t="shared" si="6"/>
        <v>1106.9660960810843</v>
      </c>
      <c r="Y12" s="8">
        <f t="shared" si="6"/>
        <v>1120.478930111728</v>
      </c>
      <c r="Z12" s="8">
        <f t="shared" si="6"/>
        <v>1130.8133258390853</v>
      </c>
    </row>
    <row r="13" spans="2:26" x14ac:dyDescent="0.3">
      <c r="B13" t="s">
        <v>28</v>
      </c>
      <c r="C13" s="5">
        <v>29.8</v>
      </c>
      <c r="D13" s="5">
        <v>-23.4</v>
      </c>
      <c r="E13" s="5">
        <v>-1.3</v>
      </c>
      <c r="F13" s="11">
        <f>O13-E13-D13-C13</f>
        <v>8.3000000000000007</v>
      </c>
      <c r="G13" s="5">
        <v>26.9</v>
      </c>
      <c r="H13" s="5">
        <v>-6.6</v>
      </c>
      <c r="I13" s="5">
        <v>125</v>
      </c>
      <c r="J13" s="5">
        <v>0</v>
      </c>
      <c r="M13" s="5">
        <v>-1.5</v>
      </c>
      <c r="N13" s="5">
        <v>-108.1</v>
      </c>
      <c r="O13" s="5">
        <v>13.4</v>
      </c>
      <c r="P13" s="11">
        <f>SUM(G13:J13)</f>
        <v>145.30000000000001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2:26" x14ac:dyDescent="0.3">
      <c r="B14" t="s">
        <v>29</v>
      </c>
      <c r="C14" s="5">
        <f>71.3+2.1+10.2</f>
        <v>83.6</v>
      </c>
      <c r="D14" s="5">
        <f>74.2+2.1+10.1</f>
        <v>86.399999999999991</v>
      </c>
      <c r="E14" s="5">
        <f>73.2+1.8+10.1</f>
        <v>85.1</v>
      </c>
      <c r="F14" s="11">
        <f>O14-E14-D14-C14</f>
        <v>85.700000000000017</v>
      </c>
      <c r="G14" s="5">
        <f>71.3+1.6+9.9</f>
        <v>82.8</v>
      </c>
      <c r="H14" s="5">
        <f>79.6+1.5+10.1</f>
        <v>91.199999999999989</v>
      </c>
      <c r="I14" s="5">
        <f>82.8+1.4+10.1</f>
        <v>94.3</v>
      </c>
      <c r="J14" s="5">
        <f>82.8+1.4+10.1</f>
        <v>94.3</v>
      </c>
      <c r="M14" s="5">
        <f>231.6+42.4</f>
        <v>274</v>
      </c>
      <c r="N14" s="5">
        <f>262.3+38.5+41.5</f>
        <v>342.3</v>
      </c>
      <c r="O14" s="5">
        <f>292.8+7.6+40.4</f>
        <v>340.8</v>
      </c>
      <c r="P14" s="11">
        <f>SUM(G14:J14)</f>
        <v>362.6</v>
      </c>
      <c r="Q14" s="5">
        <f>P14*0.9</f>
        <v>326.34000000000003</v>
      </c>
      <c r="R14" s="5">
        <f t="shared" ref="R14:Z14" si="7">Q14*0.9</f>
        <v>293.70600000000002</v>
      </c>
      <c r="S14" s="5">
        <f t="shared" si="7"/>
        <v>264.33540000000005</v>
      </c>
      <c r="T14" s="5">
        <f t="shared" si="7"/>
        <v>237.90186000000006</v>
      </c>
      <c r="U14" s="5">
        <f t="shared" si="7"/>
        <v>214.11167400000005</v>
      </c>
      <c r="V14" s="5">
        <f t="shared" si="7"/>
        <v>192.70050660000004</v>
      </c>
      <c r="W14" s="5">
        <f t="shared" si="7"/>
        <v>173.43045594000003</v>
      </c>
      <c r="X14" s="5">
        <f t="shared" si="7"/>
        <v>156.08741034600004</v>
      </c>
      <c r="Y14" s="5">
        <f t="shared" si="7"/>
        <v>140.47866931140004</v>
      </c>
      <c r="Z14" s="5">
        <f t="shared" si="7"/>
        <v>126.43080238026003</v>
      </c>
    </row>
    <row r="15" spans="2:26" x14ac:dyDescent="0.3">
      <c r="B15" t="s">
        <v>30</v>
      </c>
      <c r="C15" s="5">
        <v>-6.5</v>
      </c>
      <c r="D15" s="5">
        <v>-10.199999999999999</v>
      </c>
      <c r="E15" s="5">
        <v>-7.5</v>
      </c>
      <c r="F15" s="11">
        <f>O15-E15-D15-C15</f>
        <v>-6.4000000000000021</v>
      </c>
      <c r="G15" s="5">
        <v>2.9</v>
      </c>
      <c r="H15" s="5">
        <v>12.4</v>
      </c>
      <c r="I15" s="5">
        <v>10.6</v>
      </c>
      <c r="J15" s="5">
        <v>10.6</v>
      </c>
      <c r="M15" s="5">
        <v>185.2</v>
      </c>
      <c r="N15" s="5">
        <v>-86.7</v>
      </c>
      <c r="O15" s="5">
        <v>-30.6</v>
      </c>
      <c r="P15" s="11">
        <f>SUM(G15:J15)</f>
        <v>36.5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2:26" x14ac:dyDescent="0.3">
      <c r="B16" t="s">
        <v>31</v>
      </c>
      <c r="C16" s="5">
        <v>-16.100000000000001</v>
      </c>
      <c r="D16" s="5">
        <v>-2.1</v>
      </c>
      <c r="E16" s="5">
        <v>-0.5</v>
      </c>
      <c r="F16" s="11">
        <f>O16-E16-D16-C16</f>
        <v>2.7000000000000011</v>
      </c>
      <c r="G16" s="5">
        <v>9.4</v>
      </c>
      <c r="H16" s="5">
        <v>-1.3</v>
      </c>
      <c r="I16" s="5">
        <v>-4.0999999999999996</v>
      </c>
      <c r="J16" s="5">
        <v>-4.0999999999999996</v>
      </c>
      <c r="M16" s="5">
        <v>-22.6</v>
      </c>
      <c r="N16" s="5">
        <v>-6.2</v>
      </c>
      <c r="O16" s="5">
        <v>-16</v>
      </c>
      <c r="P16" s="11">
        <f>SUM(G16:J16)</f>
        <v>-9.9999999999999645E-2</v>
      </c>
      <c r="Q16" s="5">
        <v>0</v>
      </c>
      <c r="R16" s="5">
        <v>0</v>
      </c>
      <c r="S16" s="5">
        <v>0</v>
      </c>
      <c r="T16" s="5">
        <v>0</v>
      </c>
      <c r="U16" s="5">
        <f>-T20*0.02</f>
        <v>-8.7650497478459961</v>
      </c>
      <c r="V16" s="5">
        <f t="shared" ref="V16:Z16" si="8">-U20*0.02</f>
        <v>-12.176417627913274</v>
      </c>
      <c r="W16" s="5">
        <f t="shared" si="8"/>
        <v>-13.438483253716631</v>
      </c>
      <c r="X16" s="5">
        <f t="shared" si="8"/>
        <v>-14.57267097312784</v>
      </c>
      <c r="Y16" s="5">
        <f t="shared" si="8"/>
        <v>-16.412673064039605</v>
      </c>
      <c r="Z16" s="5">
        <f t="shared" si="8"/>
        <v>-16.93901987569425</v>
      </c>
    </row>
    <row r="17" spans="2:147" x14ac:dyDescent="0.3">
      <c r="B17" t="s">
        <v>32</v>
      </c>
      <c r="C17" s="5">
        <f>C13+C14+C15+C16</f>
        <v>90.799999999999983</v>
      </c>
      <c r="D17" s="5">
        <f>D13+D14+D15+D16</f>
        <v>50.699999999999996</v>
      </c>
      <c r="E17" s="5">
        <f>E13+E14+E15+E16</f>
        <v>75.8</v>
      </c>
      <c r="F17" s="5">
        <f>F13+F14+F15+F16</f>
        <v>90.300000000000011</v>
      </c>
      <c r="G17" s="5">
        <f>G13+G14+G15+G16</f>
        <v>122</v>
      </c>
      <c r="H17" s="5">
        <f>H13+H14+H15+H16</f>
        <v>95.7</v>
      </c>
      <c r="I17" s="5">
        <f>I13+I14+I15+I16</f>
        <v>225.8</v>
      </c>
      <c r="J17" s="5">
        <f>J13+J14+J15+J16</f>
        <v>100.8</v>
      </c>
      <c r="M17" s="5">
        <f>M13+M14+M15+M16</f>
        <v>435.09999999999997</v>
      </c>
      <c r="N17" s="5">
        <f>N13+N14+N15+N16</f>
        <v>141.30000000000001</v>
      </c>
      <c r="O17" s="5">
        <f>O13+O14+O15+O16</f>
        <v>307.59999999999997</v>
      </c>
      <c r="P17" s="5">
        <f>P13+P14+P15+P16</f>
        <v>544.30000000000007</v>
      </c>
      <c r="Q17" s="5">
        <f t="shared" ref="Q17:Z17" si="9">Q13+Q14+Q15+Q16</f>
        <v>326.34000000000003</v>
      </c>
      <c r="R17" s="5">
        <f t="shared" si="9"/>
        <v>293.70600000000002</v>
      </c>
      <c r="S17" s="5">
        <f t="shared" si="9"/>
        <v>264.33540000000005</v>
      </c>
      <c r="T17" s="5">
        <f t="shared" si="9"/>
        <v>237.90186000000006</v>
      </c>
      <c r="U17" s="5">
        <f t="shared" si="9"/>
        <v>205.34662425215404</v>
      </c>
      <c r="V17" s="5">
        <f t="shared" si="9"/>
        <v>180.52408897208676</v>
      </c>
      <c r="W17" s="5">
        <f t="shared" si="9"/>
        <v>159.99197268628339</v>
      </c>
      <c r="X17" s="5">
        <f t="shared" si="9"/>
        <v>141.51473937287221</v>
      </c>
      <c r="Y17" s="5">
        <f t="shared" si="9"/>
        <v>124.06599624736043</v>
      </c>
      <c r="Z17" s="5">
        <f t="shared" si="9"/>
        <v>109.49178250456578</v>
      </c>
    </row>
    <row r="18" spans="2:147" s="1" customFormat="1" x14ac:dyDescent="0.3">
      <c r="B18" s="1" t="s">
        <v>34</v>
      </c>
      <c r="C18" s="8">
        <f>C12-C17</f>
        <v>-124.4999999999998</v>
      </c>
      <c r="D18" s="8">
        <f>D12-D17</f>
        <v>54.800000000000004</v>
      </c>
      <c r="E18" s="8">
        <f>E12-E17</f>
        <v>-55.000000000000156</v>
      </c>
      <c r="F18" s="8">
        <f>F12-F17</f>
        <v>-46.89999999999992</v>
      </c>
      <c r="G18" s="8">
        <f>G12-G17</f>
        <v>-2108.1</v>
      </c>
      <c r="H18" s="8">
        <f>H12-H17</f>
        <v>-567.29999999999995</v>
      </c>
      <c r="I18" s="8">
        <f>I12-I17</f>
        <v>-901.19999999999982</v>
      </c>
      <c r="J18" s="8">
        <f>J12-J17</f>
        <v>-538.39279999999997</v>
      </c>
      <c r="M18" s="8">
        <f>M12-M17</f>
        <v>-332.89999999999969</v>
      </c>
      <c r="N18" s="8">
        <f>N12-N17</f>
        <v>123.70000000000044</v>
      </c>
      <c r="O18" s="8">
        <f>O12-O17</f>
        <v>-171.59999999999997</v>
      </c>
      <c r="P18" s="8">
        <f>P12-P17</f>
        <v>-4114.9928000000009</v>
      </c>
      <c r="Q18" s="8">
        <f t="shared" ref="Q18:Z18" si="10">Q12-Q17</f>
        <v>-398.75000000000034</v>
      </c>
      <c r="R18" s="8">
        <f t="shared" si="10"/>
        <v>-136.41746000000001</v>
      </c>
      <c r="S18" s="8">
        <f t="shared" si="10"/>
        <v>264.32722759999922</v>
      </c>
      <c r="T18" s="8">
        <f t="shared" si="10"/>
        <v>515.59116163799979</v>
      </c>
      <c r="U18" s="8">
        <f t="shared" si="10"/>
        <v>716.25986046548678</v>
      </c>
      <c r="V18" s="8">
        <f t="shared" si="10"/>
        <v>790.49901492450772</v>
      </c>
      <c r="W18" s="8">
        <f t="shared" si="10"/>
        <v>857.21593959575534</v>
      </c>
      <c r="X18" s="8">
        <f t="shared" si="10"/>
        <v>965.45135670821207</v>
      </c>
      <c r="Y18" s="8">
        <f t="shared" si="10"/>
        <v>996.41293386436757</v>
      </c>
      <c r="Z18" s="8">
        <f t="shared" si="10"/>
        <v>1021.3215433345196</v>
      </c>
    </row>
    <row r="19" spans="2:147" x14ac:dyDescent="0.3">
      <c r="B19" t="s">
        <v>35</v>
      </c>
      <c r="C19" s="5">
        <v>5.7</v>
      </c>
      <c r="D19" s="5">
        <v>5.4</v>
      </c>
      <c r="E19" s="5">
        <v>-0.2</v>
      </c>
      <c r="F19" s="11">
        <f>O19-E19-D19-C19</f>
        <v>-33.400000000000006</v>
      </c>
      <c r="G19" s="5">
        <v>68.2</v>
      </c>
      <c r="H19" s="5">
        <v>-6.1</v>
      </c>
      <c r="I19" s="5">
        <v>4.5999999999999996</v>
      </c>
      <c r="J19" s="5">
        <f>J18*0.01</f>
        <v>-5.383928</v>
      </c>
      <c r="M19" s="5">
        <v>154.1</v>
      </c>
      <c r="N19" s="5">
        <v>13.6</v>
      </c>
      <c r="O19" s="5">
        <v>-22.5</v>
      </c>
      <c r="P19" s="11">
        <f>SUM(G19:J19)</f>
        <v>61.316072000000005</v>
      </c>
      <c r="Q19" s="5">
        <f>Q18*0.15</f>
        <v>-59.81250000000005</v>
      </c>
      <c r="R19" s="5">
        <f t="shared" ref="R19:Z19" si="11">R18*0.15</f>
        <v>-20.462619</v>
      </c>
      <c r="S19" s="5">
        <f t="shared" si="11"/>
        <v>39.649084139999879</v>
      </c>
      <c r="T19" s="5">
        <f t="shared" si="11"/>
        <v>77.338674245699963</v>
      </c>
      <c r="U19" s="5">
        <f t="shared" si="11"/>
        <v>107.43897906982302</v>
      </c>
      <c r="V19" s="5">
        <f t="shared" si="11"/>
        <v>118.57485223867616</v>
      </c>
      <c r="W19" s="5">
        <f t="shared" si="11"/>
        <v>128.58239093936331</v>
      </c>
      <c r="X19" s="5">
        <f t="shared" si="11"/>
        <v>144.81770350623179</v>
      </c>
      <c r="Y19" s="5">
        <f t="shared" si="11"/>
        <v>149.46194007965514</v>
      </c>
      <c r="Z19" s="5">
        <f t="shared" si="11"/>
        <v>153.19823150017794</v>
      </c>
    </row>
    <row r="20" spans="2:147" s="1" customFormat="1" x14ac:dyDescent="0.3">
      <c r="B20" s="1" t="s">
        <v>36</v>
      </c>
      <c r="C20" s="8">
        <f>C18-C19</f>
        <v>-130.19999999999979</v>
      </c>
      <c r="D20" s="8">
        <f>D18-D19</f>
        <v>49.400000000000006</v>
      </c>
      <c r="E20" s="8">
        <f>E18-E19</f>
        <v>-54.800000000000153</v>
      </c>
      <c r="F20" s="8">
        <f>F18-F19</f>
        <v>-13.499999999999915</v>
      </c>
      <c r="G20" s="8">
        <f>G18-G19</f>
        <v>-2176.2999999999997</v>
      </c>
      <c r="H20" s="8">
        <f>H18-H19</f>
        <v>-561.19999999999993</v>
      </c>
      <c r="I20" s="8">
        <f>I18-I19</f>
        <v>-905.79999999999984</v>
      </c>
      <c r="J20" s="8">
        <f>J18-J19</f>
        <v>-533.008872</v>
      </c>
      <c r="M20" s="8">
        <f>M18-M19</f>
        <v>-486.99999999999966</v>
      </c>
      <c r="N20" s="8">
        <f>N18-N19</f>
        <v>110.10000000000045</v>
      </c>
      <c r="O20" s="8">
        <f>O18-O19</f>
        <v>-149.09999999999997</v>
      </c>
      <c r="P20" s="8">
        <f>P18-P19</f>
        <v>-4176.3088720000005</v>
      </c>
      <c r="Q20" s="8">
        <f t="shared" ref="Q20:Z20" si="12">Q18-Q19</f>
        <v>-338.93750000000028</v>
      </c>
      <c r="R20" s="8">
        <f t="shared" si="12"/>
        <v>-115.954841</v>
      </c>
      <c r="S20" s="8">
        <f t="shared" si="12"/>
        <v>224.67814345999935</v>
      </c>
      <c r="T20" s="8">
        <f t="shared" si="12"/>
        <v>438.25248739229983</v>
      </c>
      <c r="U20" s="8">
        <f t="shared" si="12"/>
        <v>608.82088139566372</v>
      </c>
      <c r="V20" s="8">
        <f t="shared" si="12"/>
        <v>671.92416268583156</v>
      </c>
      <c r="W20" s="8">
        <f t="shared" si="12"/>
        <v>728.63354865639201</v>
      </c>
      <c r="X20" s="8">
        <f t="shared" si="12"/>
        <v>820.63365320198022</v>
      </c>
      <c r="Y20" s="8">
        <f t="shared" si="12"/>
        <v>846.95099378471241</v>
      </c>
      <c r="Z20" s="8">
        <f t="shared" si="12"/>
        <v>868.12331183434162</v>
      </c>
      <c r="AA20" s="1">
        <f>Z20*(1+$AC$26)</f>
        <v>859.44207871599815</v>
      </c>
      <c r="AB20" s="1">
        <f t="shared" ref="AB20:CM20" si="13">AA20*(1+$AC$26)</f>
        <v>850.8476579288382</v>
      </c>
      <c r="AC20" s="1">
        <f t="shared" si="13"/>
        <v>842.33918134954979</v>
      </c>
      <c r="AD20" s="1">
        <f t="shared" si="13"/>
        <v>833.91578953605426</v>
      </c>
      <c r="AE20" s="1">
        <f t="shared" si="13"/>
        <v>825.57663164069368</v>
      </c>
      <c r="AF20" s="1">
        <f t="shared" si="13"/>
        <v>817.32086532428673</v>
      </c>
      <c r="AG20" s="1">
        <f t="shared" si="13"/>
        <v>809.14765667104382</v>
      </c>
      <c r="AH20" s="1">
        <f t="shared" si="13"/>
        <v>801.05618010433341</v>
      </c>
      <c r="AI20" s="1">
        <f t="shared" si="13"/>
        <v>793.0456183032901</v>
      </c>
      <c r="AJ20" s="1">
        <f t="shared" si="13"/>
        <v>785.1151621202572</v>
      </c>
      <c r="AK20" s="1">
        <f t="shared" si="13"/>
        <v>777.26401049905462</v>
      </c>
      <c r="AL20" s="1">
        <f t="shared" si="13"/>
        <v>769.49137039406412</v>
      </c>
      <c r="AM20" s="1">
        <f t="shared" si="13"/>
        <v>761.79645669012348</v>
      </c>
      <c r="AN20" s="1">
        <f t="shared" si="13"/>
        <v>754.17849212322221</v>
      </c>
      <c r="AO20" s="1">
        <f t="shared" si="13"/>
        <v>746.63670720199002</v>
      </c>
      <c r="AP20" s="1">
        <f t="shared" si="13"/>
        <v>739.1703401299701</v>
      </c>
      <c r="AQ20" s="1">
        <f t="shared" si="13"/>
        <v>731.77863672867045</v>
      </c>
      <c r="AR20" s="1">
        <f t="shared" si="13"/>
        <v>724.46085036138379</v>
      </c>
      <c r="AS20" s="1">
        <f t="shared" si="13"/>
        <v>717.21624185777</v>
      </c>
      <c r="AT20" s="1">
        <f t="shared" si="13"/>
        <v>710.04407943919227</v>
      </c>
      <c r="AU20" s="1">
        <f t="shared" si="13"/>
        <v>702.94363864480033</v>
      </c>
      <c r="AV20" s="1">
        <f t="shared" si="13"/>
        <v>695.91420225835236</v>
      </c>
      <c r="AW20" s="1">
        <f t="shared" si="13"/>
        <v>688.95506023576888</v>
      </c>
      <c r="AX20" s="1">
        <f t="shared" si="13"/>
        <v>682.06550963341124</v>
      </c>
      <c r="AY20" s="1">
        <f t="shared" si="13"/>
        <v>675.24485453707712</v>
      </c>
      <c r="AZ20" s="1">
        <f t="shared" si="13"/>
        <v>668.49240599170639</v>
      </c>
      <c r="BA20" s="1">
        <f t="shared" si="13"/>
        <v>661.80748193178931</v>
      </c>
      <c r="BB20" s="1">
        <f t="shared" si="13"/>
        <v>655.18940711247137</v>
      </c>
      <c r="BC20" s="1">
        <f t="shared" si="13"/>
        <v>648.63751304134666</v>
      </c>
      <c r="BD20" s="1">
        <f t="shared" si="13"/>
        <v>642.15113791093324</v>
      </c>
      <c r="BE20" s="1">
        <f t="shared" si="13"/>
        <v>635.7296265318239</v>
      </c>
      <c r="BF20" s="1">
        <f t="shared" si="13"/>
        <v>629.37233026650563</v>
      </c>
      <c r="BG20" s="1">
        <f t="shared" si="13"/>
        <v>623.07860696384057</v>
      </c>
      <c r="BH20" s="1">
        <f t="shared" si="13"/>
        <v>616.84782089420219</v>
      </c>
      <c r="BI20" s="1">
        <f t="shared" si="13"/>
        <v>610.67934268526017</v>
      </c>
      <c r="BJ20" s="1">
        <f t="shared" si="13"/>
        <v>604.57254925840755</v>
      </c>
      <c r="BK20" s="1">
        <f t="shared" si="13"/>
        <v>598.52682376582345</v>
      </c>
      <c r="BL20" s="1">
        <f t="shared" si="13"/>
        <v>592.54155552816519</v>
      </c>
      <c r="BM20" s="1">
        <f t="shared" si="13"/>
        <v>586.6161399728835</v>
      </c>
      <c r="BN20" s="1">
        <f t="shared" si="13"/>
        <v>580.74997857315464</v>
      </c>
      <c r="BO20" s="1">
        <f t="shared" si="13"/>
        <v>574.94247878742306</v>
      </c>
      <c r="BP20" s="1">
        <f t="shared" si="13"/>
        <v>569.19305399954885</v>
      </c>
      <c r="BQ20" s="1">
        <f t="shared" si="13"/>
        <v>563.50112345955336</v>
      </c>
      <c r="BR20" s="1">
        <f t="shared" si="13"/>
        <v>557.86611222495776</v>
      </c>
      <c r="BS20" s="1">
        <f t="shared" si="13"/>
        <v>552.28745110270813</v>
      </c>
      <c r="BT20" s="1">
        <f t="shared" si="13"/>
        <v>546.76457659168102</v>
      </c>
      <c r="BU20" s="1">
        <f t="shared" si="13"/>
        <v>541.29693082576421</v>
      </c>
      <c r="BV20" s="1">
        <f t="shared" si="13"/>
        <v>535.88396151750658</v>
      </c>
      <c r="BW20" s="1">
        <f t="shared" si="13"/>
        <v>530.52512190233153</v>
      </c>
      <c r="BX20" s="1">
        <f t="shared" si="13"/>
        <v>525.21987068330816</v>
      </c>
      <c r="BY20" s="1">
        <f t="shared" si="13"/>
        <v>519.96767197647512</v>
      </c>
      <c r="BZ20" s="1">
        <f t="shared" si="13"/>
        <v>514.76799525671038</v>
      </c>
      <c r="CA20" s="1">
        <f t="shared" si="13"/>
        <v>509.62031530414328</v>
      </c>
      <c r="CB20" s="1">
        <f t="shared" si="13"/>
        <v>504.52411215110186</v>
      </c>
      <c r="CC20" s="1">
        <f t="shared" si="13"/>
        <v>499.47887102959083</v>
      </c>
      <c r="CD20" s="1">
        <f t="shared" si="13"/>
        <v>494.48408231929494</v>
      </c>
      <c r="CE20" s="1">
        <f t="shared" si="13"/>
        <v>489.53924149610197</v>
      </c>
      <c r="CF20" s="1">
        <f t="shared" si="13"/>
        <v>484.64384908114096</v>
      </c>
      <c r="CG20" s="1">
        <f t="shared" si="13"/>
        <v>479.79741059032955</v>
      </c>
      <c r="CH20" s="1">
        <f t="shared" si="13"/>
        <v>474.99943648442627</v>
      </c>
      <c r="CI20" s="1">
        <f t="shared" si="13"/>
        <v>470.249442119582</v>
      </c>
      <c r="CJ20" s="1">
        <f t="shared" si="13"/>
        <v>465.54694769838619</v>
      </c>
      <c r="CK20" s="1">
        <f t="shared" si="13"/>
        <v>460.89147822140234</v>
      </c>
      <c r="CL20" s="1">
        <f t="shared" si="13"/>
        <v>456.28256343918832</v>
      </c>
      <c r="CM20" s="1">
        <f t="shared" si="13"/>
        <v>451.71973780479641</v>
      </c>
      <c r="CN20" s="1">
        <f t="shared" ref="CN20:EQ20" si="14">CM20*(1+$AC$26)</f>
        <v>447.20254042674844</v>
      </c>
      <c r="CO20" s="1">
        <f t="shared" si="14"/>
        <v>442.73051502248097</v>
      </c>
      <c r="CP20" s="1">
        <f t="shared" si="14"/>
        <v>438.30320987225616</v>
      </c>
      <c r="CQ20" s="1">
        <f t="shared" si="14"/>
        <v>433.92017777353362</v>
      </c>
      <c r="CR20" s="1">
        <f t="shared" si="14"/>
        <v>429.58097599579827</v>
      </c>
      <c r="CS20" s="1">
        <f t="shared" si="14"/>
        <v>425.28516623584028</v>
      </c>
      <c r="CT20" s="1">
        <f t="shared" si="14"/>
        <v>421.03231457348187</v>
      </c>
      <c r="CU20" s="1">
        <f t="shared" si="14"/>
        <v>416.82199142774704</v>
      </c>
      <c r="CV20" s="1">
        <f t="shared" si="14"/>
        <v>412.65377151346956</v>
      </c>
      <c r="CW20" s="1">
        <f t="shared" si="14"/>
        <v>408.52723379833486</v>
      </c>
      <c r="CX20" s="1">
        <f t="shared" si="14"/>
        <v>404.44196146035154</v>
      </c>
      <c r="CY20" s="1">
        <f t="shared" si="14"/>
        <v>400.39754184574804</v>
      </c>
      <c r="CZ20" s="1">
        <f t="shared" si="14"/>
        <v>396.39356642729058</v>
      </c>
      <c r="DA20" s="1">
        <f t="shared" si="14"/>
        <v>392.42963076301766</v>
      </c>
      <c r="DB20" s="1">
        <f t="shared" si="14"/>
        <v>388.50533445538747</v>
      </c>
      <c r="DC20" s="1">
        <f t="shared" si="14"/>
        <v>384.62028111083362</v>
      </c>
      <c r="DD20" s="1">
        <f t="shared" si="14"/>
        <v>380.77407829972526</v>
      </c>
      <c r="DE20" s="1">
        <f t="shared" si="14"/>
        <v>376.966337516728</v>
      </c>
      <c r="DF20" s="1">
        <f t="shared" si="14"/>
        <v>373.19667414156072</v>
      </c>
      <c r="DG20" s="1">
        <f t="shared" si="14"/>
        <v>369.46470740014513</v>
      </c>
      <c r="DH20" s="1">
        <f t="shared" si="14"/>
        <v>365.77006032614366</v>
      </c>
      <c r="DI20" s="1">
        <f t="shared" si="14"/>
        <v>362.11235972288222</v>
      </c>
      <c r="DJ20" s="1">
        <f t="shared" si="14"/>
        <v>358.49123612565342</v>
      </c>
      <c r="DK20" s="1">
        <f t="shared" si="14"/>
        <v>354.90632376439686</v>
      </c>
      <c r="DL20" s="1">
        <f t="shared" si="14"/>
        <v>351.3572605267529</v>
      </c>
      <c r="DM20" s="1">
        <f t="shared" si="14"/>
        <v>347.84368792148535</v>
      </c>
      <c r="DN20" s="1">
        <f t="shared" si="14"/>
        <v>344.36525104227047</v>
      </c>
      <c r="DO20" s="1">
        <f t="shared" si="14"/>
        <v>340.92159853184779</v>
      </c>
      <c r="DP20" s="1">
        <f t="shared" si="14"/>
        <v>337.5123825465293</v>
      </c>
      <c r="DQ20" s="1">
        <f t="shared" si="14"/>
        <v>334.13725872106397</v>
      </c>
      <c r="DR20" s="1">
        <f t="shared" si="14"/>
        <v>330.79588613385334</v>
      </c>
      <c r="DS20" s="1">
        <f t="shared" si="14"/>
        <v>327.48792727251481</v>
      </c>
      <c r="DT20" s="1">
        <f t="shared" si="14"/>
        <v>324.21304799978964</v>
      </c>
      <c r="DU20" s="1">
        <f t="shared" si="14"/>
        <v>320.97091751979173</v>
      </c>
      <c r="DV20" s="1">
        <f t="shared" si="14"/>
        <v>317.7612083445938</v>
      </c>
      <c r="DW20" s="1">
        <f t="shared" si="14"/>
        <v>314.58359626114787</v>
      </c>
      <c r="DX20" s="1">
        <f t="shared" si="14"/>
        <v>311.43776029853638</v>
      </c>
      <c r="DY20" s="1">
        <f t="shared" si="14"/>
        <v>308.323382695551</v>
      </c>
      <c r="DZ20" s="1">
        <f t="shared" si="14"/>
        <v>305.2401488685955</v>
      </c>
      <c r="EA20" s="1">
        <f t="shared" si="14"/>
        <v>302.18774737990952</v>
      </c>
      <c r="EB20" s="1">
        <f t="shared" si="14"/>
        <v>299.1658699061104</v>
      </c>
      <c r="EC20" s="1">
        <f t="shared" si="14"/>
        <v>296.17421120704927</v>
      </c>
      <c r="ED20" s="1">
        <f t="shared" si="14"/>
        <v>293.21246909497876</v>
      </c>
      <c r="EE20" s="1">
        <f t="shared" si="14"/>
        <v>290.28034440402899</v>
      </c>
      <c r="EF20" s="1">
        <f t="shared" si="14"/>
        <v>287.37754095998872</v>
      </c>
      <c r="EG20" s="1">
        <f t="shared" si="14"/>
        <v>284.50376555038883</v>
      </c>
      <c r="EH20" s="1">
        <f t="shared" si="14"/>
        <v>281.65872789488492</v>
      </c>
      <c r="EI20" s="1">
        <f t="shared" si="14"/>
        <v>278.84214061593605</v>
      </c>
      <c r="EJ20" s="1">
        <f t="shared" si="14"/>
        <v>276.05371920977666</v>
      </c>
      <c r="EK20" s="1">
        <f t="shared" si="14"/>
        <v>273.29318201767887</v>
      </c>
      <c r="EL20" s="1">
        <f t="shared" si="14"/>
        <v>270.56025019750206</v>
      </c>
      <c r="EM20" s="1">
        <f t="shared" si="14"/>
        <v>267.85464769552704</v>
      </c>
      <c r="EN20" s="1">
        <f t="shared" si="14"/>
        <v>265.17610121857177</v>
      </c>
      <c r="EO20" s="1">
        <f t="shared" si="14"/>
        <v>262.52434020638606</v>
      </c>
      <c r="EP20" s="1">
        <f t="shared" si="14"/>
        <v>259.8990968043222</v>
      </c>
      <c r="EQ20" s="1">
        <f t="shared" si="14"/>
        <v>257.30010583627899</v>
      </c>
    </row>
    <row r="21" spans="2:147" x14ac:dyDescent="0.3">
      <c r="B21" t="s">
        <v>2</v>
      </c>
      <c r="C21" s="5">
        <f>57.549+51.769</f>
        <v>109.318</v>
      </c>
      <c r="D21" s="5">
        <f>57.549+51.769</f>
        <v>109.318</v>
      </c>
      <c r="E21" s="5">
        <f>57.549+51.769</f>
        <v>109.318</v>
      </c>
      <c r="F21" s="5">
        <f>57.549+51.769</f>
        <v>109.318</v>
      </c>
      <c r="G21" s="5">
        <f>57.549+51.769</f>
        <v>109.318</v>
      </c>
      <c r="H21" s="5">
        <f>57.549+51.769</f>
        <v>109.318</v>
      </c>
      <c r="I21" s="5">
        <f>57.549+51.769</f>
        <v>109.318</v>
      </c>
      <c r="J21" s="5">
        <f>57.549+51.769</f>
        <v>109.318</v>
      </c>
      <c r="M21" s="5">
        <f>57.549+51.769</f>
        <v>109.318</v>
      </c>
      <c r="N21" s="5">
        <f>57.549+51.769</f>
        <v>109.318</v>
      </c>
      <c r="O21" s="5">
        <f>57.549+51.769</f>
        <v>109.318</v>
      </c>
      <c r="P21" s="5">
        <f>57.549+51.769</f>
        <v>109.318</v>
      </c>
      <c r="Q21" s="5">
        <f t="shared" ref="Q21:Z21" si="15">57.549+51.769</f>
        <v>109.318</v>
      </c>
      <c r="R21" s="5">
        <f t="shared" si="15"/>
        <v>109.318</v>
      </c>
      <c r="S21" s="5">
        <f t="shared" si="15"/>
        <v>109.318</v>
      </c>
      <c r="T21" s="5">
        <f t="shared" si="15"/>
        <v>109.318</v>
      </c>
      <c r="U21" s="5">
        <f t="shared" si="15"/>
        <v>109.318</v>
      </c>
      <c r="V21" s="5">
        <f t="shared" si="15"/>
        <v>109.318</v>
      </c>
      <c r="W21" s="5">
        <f t="shared" si="15"/>
        <v>109.318</v>
      </c>
      <c r="X21" s="5">
        <f t="shared" si="15"/>
        <v>109.318</v>
      </c>
      <c r="Y21" s="5">
        <f t="shared" si="15"/>
        <v>109.318</v>
      </c>
      <c r="Z21" s="5">
        <f t="shared" si="15"/>
        <v>109.318</v>
      </c>
    </row>
    <row r="22" spans="2:147" s="1" customFormat="1" x14ac:dyDescent="0.3">
      <c r="B22" s="1" t="s">
        <v>37</v>
      </c>
      <c r="C22" s="7">
        <f>C20/C21</f>
        <v>-1.1910206919263049</v>
      </c>
      <c r="D22" s="7">
        <f>D20/D21</f>
        <v>0.45189264348048819</v>
      </c>
      <c r="E22" s="7">
        <f>E20/E21</f>
        <v>-0.50128981503503678</v>
      </c>
      <c r="F22" s="7">
        <f>F20/F21</f>
        <v>-0.12349292888636743</v>
      </c>
      <c r="G22" s="7">
        <f>G20/G21</f>
        <v>-19.907974898918749</v>
      </c>
      <c r="H22" s="7">
        <f>H20/H21</f>
        <v>-5.1336467919281361</v>
      </c>
      <c r="I22" s="7">
        <f>I20/I21</f>
        <v>-8.2859181470572079</v>
      </c>
      <c r="J22" s="7">
        <f>J20/J21</f>
        <v>-4.8757649426443956</v>
      </c>
      <c r="M22" s="7">
        <f>M20/M21</f>
        <v>-4.4548930642712055</v>
      </c>
      <c r="N22" s="7">
        <f>N20/N21</f>
        <v>1.0071534422510515</v>
      </c>
      <c r="O22" s="7">
        <f>O20/O21</f>
        <v>-1.363910792367222</v>
      </c>
      <c r="P22" s="7">
        <f>P20/P21</f>
        <v>-38.2033047805485</v>
      </c>
      <c r="Q22" s="7">
        <f t="shared" ref="Q22:Z22" si="16">Q20/Q21</f>
        <v>-3.1004729321795157</v>
      </c>
      <c r="R22" s="7">
        <f t="shared" si="16"/>
        <v>-1.0607113284180099</v>
      </c>
      <c r="S22" s="7">
        <f t="shared" si="16"/>
        <v>2.0552712587131063</v>
      </c>
      <c r="T22" s="7">
        <f t="shared" si="16"/>
        <v>4.0089691303563901</v>
      </c>
      <c r="U22" s="7">
        <f t="shared" si="16"/>
        <v>5.5692647267207933</v>
      </c>
      <c r="V22" s="7">
        <f t="shared" si="16"/>
        <v>6.1465098399699185</v>
      </c>
      <c r="W22" s="7">
        <f t="shared" si="16"/>
        <v>6.6652660006256248</v>
      </c>
      <c r="X22" s="7">
        <f t="shared" si="16"/>
        <v>7.5068483982690886</v>
      </c>
      <c r="Y22" s="7">
        <f t="shared" si="16"/>
        <v>7.7475895441255096</v>
      </c>
      <c r="Z22" s="7">
        <f t="shared" si="16"/>
        <v>7.941265956515319</v>
      </c>
    </row>
    <row r="24" spans="2:147" x14ac:dyDescent="0.3">
      <c r="B24" s="1" t="s">
        <v>38</v>
      </c>
      <c r="G24" s="10">
        <f t="shared" ref="G24:H24" si="17">G3/C3-1</f>
        <v>-0.21567810729756753</v>
      </c>
      <c r="H24" s="10">
        <f t="shared" si="17"/>
        <v>-0.98745103246796362</v>
      </c>
      <c r="I24" s="10">
        <f>I3/E3-1</f>
        <v>-0.90924969623329277</v>
      </c>
      <c r="J24" s="10">
        <f>J3/F3-1</f>
        <v>-0.8</v>
      </c>
      <c r="N24" s="10">
        <f>N3/M3-1</f>
        <v>7.5129941723106164E-2</v>
      </c>
      <c r="O24" s="10">
        <f t="shared" ref="O24:Z24" si="18">O3/N3-1</f>
        <v>1.8678581892763724E-3</v>
      </c>
      <c r="P24" s="10">
        <f t="shared" si="18"/>
        <v>-0.74969109851946625</v>
      </c>
      <c r="Q24" s="10">
        <f t="shared" si="18"/>
        <v>1.9999999999999996</v>
      </c>
      <c r="R24" s="10">
        <f t="shared" si="18"/>
        <v>0.19999999999999996</v>
      </c>
      <c r="S24" s="10">
        <f t="shared" si="18"/>
        <v>0.14999999999999991</v>
      </c>
      <c r="T24" s="10">
        <f t="shared" si="18"/>
        <v>0.10000000000000009</v>
      </c>
      <c r="U24" s="10">
        <f t="shared" si="18"/>
        <v>8.0000000000000071E-2</v>
      </c>
      <c r="V24" s="10">
        <f t="shared" si="18"/>
        <v>5.0000000000000044E-2</v>
      </c>
      <c r="W24" s="10">
        <f t="shared" si="18"/>
        <v>5.0000000000000044E-2</v>
      </c>
      <c r="X24" s="10">
        <f t="shared" si="18"/>
        <v>5.0000000000000044E-2</v>
      </c>
      <c r="Y24" s="10">
        <f t="shared" si="18"/>
        <v>3.0000000000000027E-2</v>
      </c>
      <c r="Z24" s="10">
        <f t="shared" si="18"/>
        <v>3.0000000000000027E-2</v>
      </c>
    </row>
    <row r="25" spans="2:147" x14ac:dyDescent="0.3">
      <c r="B25" s="1" t="s">
        <v>39</v>
      </c>
      <c r="C25" s="10">
        <f t="shared" ref="C25:J25" si="19">C5/C3</f>
        <v>0.64445184938353883</v>
      </c>
      <c r="D25" s="10">
        <f t="shared" si="19"/>
        <v>0.62890910298120972</v>
      </c>
      <c r="E25" s="10">
        <f t="shared" si="19"/>
        <v>0.63244228432563787</v>
      </c>
      <c r="F25" s="10">
        <f t="shared" si="19"/>
        <v>0.6490294950611315</v>
      </c>
      <c r="G25" s="10">
        <f t="shared" si="19"/>
        <v>0.6546999468932555</v>
      </c>
      <c r="H25" s="10">
        <f t="shared" si="19"/>
        <v>0.75132275132275139</v>
      </c>
      <c r="I25" s="10">
        <f>I5/I3</f>
        <v>0.703765690376569</v>
      </c>
      <c r="J25" s="10">
        <f t="shared" ref="J25" si="20">J5/J3</f>
        <v>0.68</v>
      </c>
      <c r="M25" s="10">
        <f t="shared" ref="M24:Z25" si="21">M5/M3</f>
        <v>0.63450937155457554</v>
      </c>
      <c r="N25" s="10">
        <f t="shared" si="21"/>
        <v>0.6372143275710519</v>
      </c>
      <c r="O25" s="10">
        <f t="shared" si="21"/>
        <v>0.63849387680497161</v>
      </c>
      <c r="P25" s="10">
        <f t="shared" si="21"/>
        <v>0.66566421310900814</v>
      </c>
      <c r="Q25" s="10">
        <f t="shared" si="21"/>
        <v>0.65</v>
      </c>
      <c r="R25" s="10">
        <f t="shared" si="21"/>
        <v>0.64</v>
      </c>
      <c r="S25" s="10">
        <f t="shared" si="21"/>
        <v>0.65</v>
      </c>
      <c r="T25" s="10">
        <f t="shared" si="21"/>
        <v>0.65</v>
      </c>
      <c r="U25" s="10">
        <f t="shared" si="21"/>
        <v>0.65</v>
      </c>
      <c r="V25" s="10">
        <f t="shared" si="21"/>
        <v>0.65</v>
      </c>
      <c r="W25" s="10">
        <f t="shared" si="21"/>
        <v>0.65</v>
      </c>
      <c r="X25" s="10">
        <f t="shared" si="21"/>
        <v>0.65</v>
      </c>
      <c r="Y25" s="10">
        <f t="shared" si="21"/>
        <v>0.64999999999999991</v>
      </c>
      <c r="Z25" s="10">
        <f t="shared" si="21"/>
        <v>0.65</v>
      </c>
    </row>
    <row r="26" spans="2:147" x14ac:dyDescent="0.3">
      <c r="B26" s="9" t="s">
        <v>40</v>
      </c>
      <c r="C26" s="10">
        <f t="shared" ref="C26:J26" si="22">C12/C3</f>
        <v>-2.8073975341552662E-2</v>
      </c>
      <c r="D26" s="10">
        <f t="shared" si="22"/>
        <v>7.0048469557134327E-2</v>
      </c>
      <c r="E26" s="10">
        <f t="shared" si="22"/>
        <v>1.5795868772782384E-2</v>
      </c>
      <c r="F26" s="10">
        <f t="shared" si="22"/>
        <v>2.9978586723768803E-2</v>
      </c>
      <c r="G26" s="10">
        <f t="shared" si="22"/>
        <v>-2.109506107275624</v>
      </c>
      <c r="H26" s="10">
        <f t="shared" si="22"/>
        <v>-24.952380952380953</v>
      </c>
      <c r="I26" s="10">
        <f>I12/I3</f>
        <v>-5.6518828451882834</v>
      </c>
      <c r="J26" s="10">
        <f t="shared" ref="J26" si="23">J12/J3</f>
        <v>-1.5113379843890311</v>
      </c>
      <c r="M26" s="10">
        <f t="shared" ref="M26:Z26" si="24">M12/M3</f>
        <v>2.0121278941565655E-2</v>
      </c>
      <c r="N26" s="10">
        <f t="shared" si="24"/>
        <v>4.8527688250805827E-2</v>
      </c>
      <c r="O26" s="10">
        <f t="shared" si="24"/>
        <v>2.4858343995613232E-2</v>
      </c>
      <c r="P26" s="10">
        <f t="shared" si="24"/>
        <v>-2.6074109124897773</v>
      </c>
      <c r="Q26" s="10">
        <f t="shared" si="24"/>
        <v>-1.7625209331308251E-2</v>
      </c>
      <c r="R26" s="10">
        <f t="shared" si="24"/>
        <v>3.1904472712284672E-2</v>
      </c>
      <c r="S26" s="10">
        <f t="shared" si="24"/>
        <v>9.3247084107301689E-2</v>
      </c>
      <c r="T26" s="10">
        <f t="shared" si="24"/>
        <v>0.12082121512389163</v>
      </c>
      <c r="U26" s="10">
        <f t="shared" si="24"/>
        <v>0.1368313875953153</v>
      </c>
      <c r="V26" s="10">
        <f t="shared" si="24"/>
        <v>0.13730314133037075</v>
      </c>
      <c r="W26" s="10">
        <f t="shared" si="24"/>
        <v>0.13698447219223925</v>
      </c>
      <c r="X26" s="10">
        <f t="shared" si="24"/>
        <v>0.14197328512168172</v>
      </c>
      <c r="Y26" s="10">
        <f t="shared" si="24"/>
        <v>0.13952074339512854</v>
      </c>
      <c r="Z26" s="10">
        <f t="shared" si="24"/>
        <v>0.13670637905404889</v>
      </c>
      <c r="AB26" t="s">
        <v>42</v>
      </c>
      <c r="AC26" s="10">
        <v>-0.01</v>
      </c>
    </row>
    <row r="27" spans="2:147" x14ac:dyDescent="0.3">
      <c r="B27" s="9" t="s">
        <v>41</v>
      </c>
      <c r="G27" s="10">
        <f t="shared" ref="G27:H27" si="25">G8/C8-1</f>
        <v>-0.32525252525252513</v>
      </c>
      <c r="H27" s="10">
        <f t="shared" si="25"/>
        <v>-0.41379310344827591</v>
      </c>
      <c r="I27" s="10">
        <f>I8/E8-1</f>
        <v>-0.20142180094786732</v>
      </c>
      <c r="J27" s="10">
        <f>J8/F8-1</f>
        <v>0.19999999999999996</v>
      </c>
      <c r="N27" s="10">
        <f>N7/M7-1</f>
        <v>4.2799597180260829E-3</v>
      </c>
      <c r="O27" s="10">
        <f t="shared" ref="O27:Z27" si="26">O7/N7-1</f>
        <v>0.21308598646277255</v>
      </c>
      <c r="P27" s="10">
        <f t="shared" si="26"/>
        <v>-6.9849142384790119E-2</v>
      </c>
      <c r="Q27" s="10">
        <f t="shared" si="26"/>
        <v>3.0000000000000027E-2</v>
      </c>
      <c r="R27" s="10">
        <f t="shared" si="26"/>
        <v>3.0000000000000027E-2</v>
      </c>
      <c r="S27" s="10">
        <f t="shared" si="26"/>
        <v>3.0000000000000027E-2</v>
      </c>
      <c r="T27" s="10">
        <f t="shared" si="26"/>
        <v>3.0000000000000027E-2</v>
      </c>
      <c r="U27" s="10">
        <f t="shared" si="26"/>
        <v>3.0000000000000027E-2</v>
      </c>
      <c r="V27" s="10">
        <f t="shared" si="26"/>
        <v>3.0000000000000027E-2</v>
      </c>
      <c r="W27" s="10">
        <f t="shared" si="26"/>
        <v>3.0000000000000027E-2</v>
      </c>
      <c r="X27" s="10">
        <f t="shared" si="26"/>
        <v>3.0000000000000027E-2</v>
      </c>
      <c r="Y27" s="10">
        <f t="shared" si="26"/>
        <v>3.0000000000000027E-2</v>
      </c>
      <c r="Z27" s="10">
        <f t="shared" si="26"/>
        <v>3.0000000000000027E-2</v>
      </c>
      <c r="AB27" t="s">
        <v>43</v>
      </c>
      <c r="AC27" s="10">
        <v>0.09</v>
      </c>
    </row>
    <row r="28" spans="2:147" x14ac:dyDescent="0.3">
      <c r="B28" s="9" t="s">
        <v>35</v>
      </c>
      <c r="C28" s="10">
        <f t="shared" ref="C28:H28" si="27">C19/C18</f>
        <v>-4.5783132530120556E-2</v>
      </c>
      <c r="D28" s="10">
        <f t="shared" si="27"/>
        <v>9.8540145985401464E-2</v>
      </c>
      <c r="E28" s="10">
        <f t="shared" si="27"/>
        <v>3.6363636363636264E-3</v>
      </c>
      <c r="F28" s="10">
        <f t="shared" si="27"/>
        <v>0.71215351812366867</v>
      </c>
      <c r="G28" s="10">
        <f t="shared" si="27"/>
        <v>-3.2351406479768516E-2</v>
      </c>
      <c r="H28" s="10">
        <f t="shared" si="27"/>
        <v>1.0752688172043012E-2</v>
      </c>
      <c r="I28" s="10">
        <f>I19/I18</f>
        <v>-5.1043053706169555E-3</v>
      </c>
      <c r="J28" s="10">
        <f>J19/J18</f>
        <v>0.01</v>
      </c>
      <c r="M28" s="10">
        <f t="shared" ref="M28:Z28" si="28">M19/M18</f>
        <v>-0.4629017723039956</v>
      </c>
      <c r="N28" s="10">
        <f t="shared" si="28"/>
        <v>0.10994341147938522</v>
      </c>
      <c r="O28" s="10">
        <f t="shared" si="28"/>
        <v>0.13111888111888115</v>
      </c>
      <c r="P28" s="10">
        <f t="shared" si="28"/>
        <v>-1.4900651101989775E-2</v>
      </c>
      <c r="Q28" s="10">
        <f t="shared" si="28"/>
        <v>0.15</v>
      </c>
      <c r="R28" s="10">
        <f t="shared" si="28"/>
        <v>0.15</v>
      </c>
      <c r="S28" s="10">
        <f t="shared" si="28"/>
        <v>0.15</v>
      </c>
      <c r="T28" s="10">
        <f t="shared" si="28"/>
        <v>0.15</v>
      </c>
      <c r="U28" s="10">
        <f t="shared" si="28"/>
        <v>0.15</v>
      </c>
      <c r="V28" s="10">
        <f t="shared" si="28"/>
        <v>0.15</v>
      </c>
      <c r="W28" s="10">
        <f t="shared" si="28"/>
        <v>0.15</v>
      </c>
      <c r="X28" s="10">
        <f t="shared" si="28"/>
        <v>0.15</v>
      </c>
      <c r="Y28" s="10">
        <f t="shared" si="28"/>
        <v>0.15</v>
      </c>
      <c r="Z28" s="10">
        <f t="shared" si="28"/>
        <v>0.15</v>
      </c>
      <c r="AB28" t="s">
        <v>44</v>
      </c>
      <c r="AC28" s="5">
        <f>NPV(AC27,Q20:EQ20)</f>
        <v>6069.1960389425176</v>
      </c>
    </row>
    <row r="29" spans="2:147" x14ac:dyDescent="0.3">
      <c r="AB29" t="s">
        <v>45</v>
      </c>
      <c r="AC29" s="5">
        <f>Main!D8</f>
        <v>-5500.1</v>
      </c>
    </row>
    <row r="30" spans="2:147" x14ac:dyDescent="0.3">
      <c r="AB30" t="s">
        <v>46</v>
      </c>
      <c r="AC30" s="5">
        <f>AC28+AC29</f>
        <v>569.09603894251723</v>
      </c>
    </row>
    <row r="31" spans="2:147" x14ac:dyDescent="0.3">
      <c r="AB31" t="s">
        <v>47</v>
      </c>
      <c r="AC31" s="4">
        <f>AC30/Z21</f>
        <v>5.2058767901216383</v>
      </c>
    </row>
    <row r="32" spans="2:147" x14ac:dyDescent="0.3">
      <c r="AB32" t="s">
        <v>48</v>
      </c>
      <c r="AC32" s="4">
        <f>Main!D3</f>
        <v>4.8</v>
      </c>
    </row>
    <row r="33" spans="28:29" x14ac:dyDescent="0.3">
      <c r="AB33" s="1" t="s">
        <v>49</v>
      </c>
      <c r="AC33" s="12">
        <f>AC31/AC32-1</f>
        <v>8.4557664608674754E-2</v>
      </c>
    </row>
    <row r="34" spans="28:29" x14ac:dyDescent="0.3">
      <c r="AB34" t="s">
        <v>50</v>
      </c>
      <c r="AC34" s="6" t="s">
        <v>51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2021-01-26T20:05:41Z</dcterms:created>
  <dcterms:modified xsi:type="dcterms:W3CDTF">2021-01-26T23:37:10Z</dcterms:modified>
</cp:coreProperties>
</file>