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77E5C72-DFFD-4E78-9AD1-8500DCEA0DD3}" xr6:coauthVersionLast="47" xr6:coauthVersionMax="47" xr10:uidLastSave="{00000000-0000-0000-0000-000000000000}"/>
  <bookViews>
    <workbookView xWindow="-108" yWindow="-108" windowWidth="23256" windowHeight="12576" activeTab="1" xr2:uid="{9151AF15-9D45-44A9-8CA3-26C538A9886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2" l="1"/>
  <c r="AI8" i="2" s="1"/>
  <c r="AJ8" i="2" s="1"/>
  <c r="AG10" i="2"/>
  <c r="AH10" i="2" s="1"/>
  <c r="AI10" i="2" s="1"/>
  <c r="AJ10" i="2" s="1"/>
  <c r="AK10" i="2" s="1"/>
  <c r="AL10" i="2" s="1"/>
  <c r="AM10" i="2" s="1"/>
  <c r="AN10" i="2" s="1"/>
  <c r="AO10" i="2" s="1"/>
  <c r="AF10" i="2"/>
  <c r="AN9" i="2"/>
  <c r="AO9" i="2" s="1"/>
  <c r="AM9" i="2"/>
  <c r="AJ9" i="2"/>
  <c r="AI9" i="2"/>
  <c r="AH9" i="2"/>
  <c r="AG9" i="2"/>
  <c r="AF9" i="2"/>
  <c r="AL3" i="2"/>
  <c r="AM3" i="2" s="1"/>
  <c r="AN3" i="2" s="1"/>
  <c r="AO3" i="2" s="1"/>
  <c r="AI3" i="2"/>
  <c r="AH3" i="2"/>
  <c r="AG3" i="2"/>
  <c r="AG8" i="2"/>
  <c r="AF8" i="2"/>
  <c r="AG7" i="2"/>
  <c r="AE19" i="2" l="1"/>
  <c r="AE18" i="2"/>
  <c r="AE16" i="2"/>
  <c r="AE15" i="2"/>
  <c r="AE12" i="2"/>
  <c r="AE11" i="2"/>
  <c r="AE10" i="2"/>
  <c r="AE9" i="2"/>
  <c r="AE8" i="2"/>
  <c r="AE7" i="2"/>
  <c r="AE6" i="2"/>
  <c r="AE3" i="2"/>
  <c r="AD13" i="2"/>
  <c r="AD12" i="2"/>
  <c r="V21" i="2"/>
  <c r="U21" i="2"/>
  <c r="T21" i="2"/>
  <c r="S21" i="2"/>
  <c r="V20" i="2"/>
  <c r="V33" i="2" s="1"/>
  <c r="U20" i="2"/>
  <c r="U22" i="2" s="1"/>
  <c r="T20" i="2"/>
  <c r="T22" i="2" s="1"/>
  <c r="S20" i="2"/>
  <c r="S22" i="2" s="1"/>
  <c r="V19" i="2"/>
  <c r="U19" i="2"/>
  <c r="T19" i="2"/>
  <c r="S19" i="2"/>
  <c r="V18" i="2"/>
  <c r="U18" i="2"/>
  <c r="T18" i="2"/>
  <c r="S18" i="2"/>
  <c r="V17" i="2"/>
  <c r="V32" i="2" s="1"/>
  <c r="U17" i="2"/>
  <c r="T17" i="2"/>
  <c r="T32" i="2" s="1"/>
  <c r="S17" i="2"/>
  <c r="V13" i="2"/>
  <c r="V14" i="2" s="1"/>
  <c r="U13" i="2"/>
  <c r="U14" i="2" s="1"/>
  <c r="T13" i="2"/>
  <c r="T14" i="2" s="1"/>
  <c r="S13" i="2"/>
  <c r="S14" i="2" s="1"/>
  <c r="V11" i="2"/>
  <c r="U11" i="2"/>
  <c r="T11" i="2"/>
  <c r="S11" i="2"/>
  <c r="V10" i="2"/>
  <c r="U10" i="2"/>
  <c r="T10" i="2"/>
  <c r="S10" i="2"/>
  <c r="S9" i="2"/>
  <c r="S28" i="2" s="1"/>
  <c r="V9" i="2"/>
  <c r="V29" i="2" s="1"/>
  <c r="U9" i="2"/>
  <c r="T9" i="2"/>
  <c r="T28" i="2" s="1"/>
  <c r="S8" i="2"/>
  <c r="S27" i="2" s="1"/>
  <c r="V8" i="2"/>
  <c r="V27" i="2" s="1"/>
  <c r="U8" i="2"/>
  <c r="T8" i="2"/>
  <c r="V7" i="2"/>
  <c r="V6" i="2" s="1"/>
  <c r="U7" i="2"/>
  <c r="U6" i="2" s="1"/>
  <c r="T7" i="2"/>
  <c r="T6" i="2" s="1"/>
  <c r="S7" i="2"/>
  <c r="S6" i="2" s="1"/>
  <c r="V3" i="2"/>
  <c r="U3" i="2"/>
  <c r="T3" i="2"/>
  <c r="S3" i="2"/>
  <c r="S33" i="2" s="1"/>
  <c r="U32" i="2"/>
  <c r="U28" i="2"/>
  <c r="U27" i="2"/>
  <c r="T27" i="2"/>
  <c r="V26" i="2"/>
  <c r="V24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R21" i="2"/>
  <c r="R13" i="2"/>
  <c r="R6" i="2"/>
  <c r="R7" i="2" s="1"/>
  <c r="D7" i="1"/>
  <c r="D6" i="1"/>
  <c r="D4" i="1"/>
  <c r="V22" i="2" l="1"/>
  <c r="S32" i="2"/>
  <c r="U31" i="2"/>
  <c r="V31" i="2"/>
  <c r="V28" i="2"/>
  <c r="T29" i="2"/>
  <c r="V25" i="2"/>
  <c r="V30" i="2"/>
  <c r="U29" i="2"/>
  <c r="U24" i="2"/>
  <c r="U30" i="2"/>
  <c r="U33" i="2"/>
  <c r="U26" i="2"/>
  <c r="U25" i="2"/>
  <c r="T30" i="2"/>
  <c r="T33" i="2"/>
  <c r="T31" i="2"/>
  <c r="T26" i="2"/>
  <c r="T24" i="2"/>
  <c r="T25" i="2"/>
  <c r="S26" i="2"/>
  <c r="S25" i="2"/>
  <c r="S31" i="2"/>
  <c r="S24" i="2"/>
  <c r="S30" i="2"/>
  <c r="S29" i="2"/>
  <c r="AR31" i="2"/>
  <c r="Y30" i="2"/>
  <c r="Y29" i="2"/>
  <c r="Y26" i="2"/>
  <c r="AA30" i="2"/>
  <c r="AA29" i="2"/>
  <c r="AA28" i="2"/>
  <c r="AA27" i="2"/>
  <c r="AA26" i="2"/>
  <c r="AA24" i="2"/>
  <c r="AD5" i="2"/>
  <c r="Z28" i="2"/>
  <c r="Z27" i="2"/>
  <c r="Z24" i="2"/>
  <c r="Z30" i="2"/>
  <c r="Z29" i="2"/>
  <c r="Z26" i="2"/>
  <c r="Q30" i="2"/>
  <c r="P30" i="2"/>
  <c r="O30" i="2"/>
  <c r="N30" i="2"/>
  <c r="M30" i="2"/>
  <c r="L30" i="2"/>
  <c r="K30" i="2"/>
  <c r="J30" i="2"/>
  <c r="I30" i="2"/>
  <c r="H30" i="2"/>
  <c r="G30" i="2"/>
  <c r="E30" i="2"/>
  <c r="D30" i="2"/>
  <c r="C30" i="2"/>
  <c r="R28" i="2"/>
  <c r="AD8" i="2"/>
  <c r="Q29" i="2"/>
  <c r="P29" i="2"/>
  <c r="O29" i="2"/>
  <c r="N29" i="2"/>
  <c r="M29" i="2"/>
  <c r="L29" i="2"/>
  <c r="K29" i="2"/>
  <c r="J29" i="2"/>
  <c r="I29" i="2"/>
  <c r="H29" i="2"/>
  <c r="Q28" i="2"/>
  <c r="P28" i="2"/>
  <c r="O28" i="2"/>
  <c r="N28" i="2"/>
  <c r="M28" i="2"/>
  <c r="L28" i="2"/>
  <c r="K28" i="2"/>
  <c r="I28" i="2"/>
  <c r="H28" i="2"/>
  <c r="Q27" i="2"/>
  <c r="P27" i="2"/>
  <c r="O27" i="2"/>
  <c r="N27" i="2"/>
  <c r="M27" i="2"/>
  <c r="L27" i="2"/>
  <c r="K27" i="2"/>
  <c r="I27" i="2"/>
  <c r="H27" i="2"/>
  <c r="Q26" i="2"/>
  <c r="P26" i="2"/>
  <c r="O26" i="2"/>
  <c r="N26" i="2"/>
  <c r="M26" i="2"/>
  <c r="L26" i="2"/>
  <c r="K26" i="2"/>
  <c r="J26" i="2"/>
  <c r="I26" i="2"/>
  <c r="H26" i="2"/>
  <c r="Q24" i="2"/>
  <c r="P24" i="2"/>
  <c r="O24" i="2"/>
  <c r="N24" i="2"/>
  <c r="M24" i="2"/>
  <c r="L24" i="2"/>
  <c r="K24" i="2"/>
  <c r="I24" i="2"/>
  <c r="H24" i="2"/>
  <c r="E29" i="2"/>
  <c r="D29" i="2"/>
  <c r="C29" i="2"/>
  <c r="E26" i="2"/>
  <c r="D26" i="2"/>
  <c r="C26" i="2"/>
  <c r="G29" i="2"/>
  <c r="G28" i="2"/>
  <c r="G27" i="2"/>
  <c r="G26" i="2"/>
  <c r="G24" i="2"/>
  <c r="F19" i="2"/>
  <c r="F18" i="2"/>
  <c r="F16" i="2"/>
  <c r="F15" i="2"/>
  <c r="F11" i="2"/>
  <c r="F10" i="2"/>
  <c r="F9" i="2"/>
  <c r="J28" i="2" s="1"/>
  <c r="F8" i="2"/>
  <c r="J27" i="2" s="1"/>
  <c r="F5" i="2"/>
  <c r="F4" i="2"/>
  <c r="F3" i="2"/>
  <c r="Y13" i="2"/>
  <c r="Y6" i="2"/>
  <c r="Y7" i="2" s="1"/>
  <c r="Y25" i="2" s="1"/>
  <c r="Z13" i="2"/>
  <c r="Z6" i="2"/>
  <c r="Z7" i="2" s="1"/>
  <c r="Z25" i="2" s="1"/>
  <c r="AA13" i="2"/>
  <c r="AA6" i="2"/>
  <c r="AA7" i="2" s="1"/>
  <c r="AA25" i="2" s="1"/>
  <c r="Q6" i="2"/>
  <c r="Q7" i="2" s="1"/>
  <c r="Q25" i="2" s="1"/>
  <c r="Q13" i="2"/>
  <c r="AD19" i="2"/>
  <c r="AB19" i="2"/>
  <c r="AB18" i="2"/>
  <c r="AB16" i="2"/>
  <c r="AB15" i="2"/>
  <c r="AB11" i="2"/>
  <c r="AB10" i="2"/>
  <c r="AB9" i="2"/>
  <c r="AB28" i="2" s="1"/>
  <c r="AB8" i="2"/>
  <c r="AB27" i="2" s="1"/>
  <c r="AB5" i="2"/>
  <c r="AB4" i="2"/>
  <c r="AB3" i="2"/>
  <c r="AC19" i="2"/>
  <c r="AC18" i="2"/>
  <c r="AC16" i="2"/>
  <c r="AC15" i="2"/>
  <c r="AC11" i="2"/>
  <c r="AC10" i="2"/>
  <c r="AC9" i="2"/>
  <c r="AC8" i="2"/>
  <c r="AC5" i="2"/>
  <c r="AC4" i="2"/>
  <c r="AC3" i="2"/>
  <c r="AD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D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D11" i="2"/>
  <c r="C13" i="2"/>
  <c r="C6" i="2"/>
  <c r="C7" i="2" s="1"/>
  <c r="C25" i="2" s="1"/>
  <c r="G13" i="2"/>
  <c r="G6" i="2"/>
  <c r="G7" i="2" s="1"/>
  <c r="G25" i="2" s="1"/>
  <c r="D13" i="2"/>
  <c r="D6" i="2"/>
  <c r="D7" i="2" s="1"/>
  <c r="D25" i="2" s="1"/>
  <c r="H13" i="2"/>
  <c r="H6" i="2"/>
  <c r="H7" i="2" s="1"/>
  <c r="H25" i="2" s="1"/>
  <c r="E13" i="2"/>
  <c r="E6" i="2"/>
  <c r="E7" i="2" s="1"/>
  <c r="E25" i="2" s="1"/>
  <c r="I13" i="2"/>
  <c r="I6" i="2"/>
  <c r="I7" i="2" s="1"/>
  <c r="I25" i="2" s="1"/>
  <c r="J13" i="2"/>
  <c r="J6" i="2"/>
  <c r="J7" i="2" s="1"/>
  <c r="J25" i="2" s="1"/>
  <c r="N13" i="2"/>
  <c r="N6" i="2"/>
  <c r="N7" i="2" s="1"/>
  <c r="N25" i="2" s="1"/>
  <c r="K13" i="2"/>
  <c r="K6" i="2"/>
  <c r="K7" i="2" s="1"/>
  <c r="K25" i="2" s="1"/>
  <c r="O13" i="2"/>
  <c r="O6" i="2"/>
  <c r="O7" i="2" s="1"/>
  <c r="O25" i="2" s="1"/>
  <c r="L13" i="2"/>
  <c r="L6" i="2"/>
  <c r="L7" i="2" s="1"/>
  <c r="L25" i="2" s="1"/>
  <c r="P13" i="2"/>
  <c r="P6" i="2"/>
  <c r="P7" i="2" s="1"/>
  <c r="P25" i="2" s="1"/>
  <c r="M13" i="2"/>
  <c r="M6" i="2"/>
  <c r="M7" i="2" s="1"/>
  <c r="M25" i="2" s="1"/>
  <c r="D8" i="1"/>
  <c r="AR28" i="2" s="1"/>
  <c r="D5" i="1"/>
  <c r="F3" i="1"/>
  <c r="AB26" i="2" l="1"/>
  <c r="F26" i="2"/>
  <c r="AC27" i="2"/>
  <c r="AC29" i="2"/>
  <c r="F30" i="2"/>
  <c r="AC30" i="2"/>
  <c r="AC26" i="2"/>
  <c r="F6" i="2"/>
  <c r="F7" i="2" s="1"/>
  <c r="F25" i="2" s="1"/>
  <c r="D9" i="1"/>
  <c r="AB30" i="2"/>
  <c r="AB29" i="2"/>
  <c r="AE27" i="2"/>
  <c r="AK8" i="2"/>
  <c r="AL8" i="2" s="1"/>
  <c r="AM8" i="2" s="1"/>
  <c r="AN8" i="2" s="1"/>
  <c r="AO8" i="2" s="1"/>
  <c r="AC28" i="2"/>
  <c r="AD9" i="2"/>
  <c r="J24" i="2"/>
  <c r="F29" i="2"/>
  <c r="AB24" i="2"/>
  <c r="AB6" i="2"/>
  <c r="AB7" i="2" s="1"/>
  <c r="AB25" i="2" s="1"/>
  <c r="AC24" i="2"/>
  <c r="AD27" i="2"/>
  <c r="AD4" i="2"/>
  <c r="AD6" i="2" s="1"/>
  <c r="Q14" i="2"/>
  <c r="R25" i="2"/>
  <c r="R27" i="2"/>
  <c r="AD3" i="2"/>
  <c r="AF3" i="2" s="1"/>
  <c r="R24" i="2"/>
  <c r="R29" i="2"/>
  <c r="F13" i="2"/>
  <c r="Y14" i="2"/>
  <c r="Z14" i="2"/>
  <c r="AA14" i="2"/>
  <c r="AB13" i="2"/>
  <c r="AC13" i="2"/>
  <c r="AC6" i="2"/>
  <c r="AC7" i="2" s="1"/>
  <c r="AC25" i="2" s="1"/>
  <c r="C14" i="2"/>
  <c r="G14" i="2"/>
  <c r="D14" i="2"/>
  <c r="H14" i="2"/>
  <c r="E14" i="2"/>
  <c r="I14" i="2"/>
  <c r="J14" i="2"/>
  <c r="N14" i="2"/>
  <c r="K14" i="2"/>
  <c r="O14" i="2"/>
  <c r="L14" i="2"/>
  <c r="P14" i="2"/>
  <c r="M14" i="2"/>
  <c r="AH7" i="2" l="1"/>
  <c r="R30" i="2"/>
  <c r="AD10" i="2"/>
  <c r="AF27" i="2"/>
  <c r="AG27" i="2"/>
  <c r="R14" i="2"/>
  <c r="AD29" i="2"/>
  <c r="AD28" i="2"/>
  <c r="R26" i="2"/>
  <c r="AA17" i="2"/>
  <c r="AA31" i="2"/>
  <c r="Z17" i="2"/>
  <c r="Z31" i="2"/>
  <c r="Y17" i="2"/>
  <c r="Y31" i="2"/>
  <c r="AD24" i="2"/>
  <c r="AD26" i="2"/>
  <c r="AH27" i="2"/>
  <c r="G17" i="2"/>
  <c r="G31" i="2"/>
  <c r="K17" i="2"/>
  <c r="K31" i="2"/>
  <c r="C17" i="2"/>
  <c r="C31" i="2"/>
  <c r="N17" i="2"/>
  <c r="N31" i="2"/>
  <c r="J17" i="2"/>
  <c r="J31" i="2"/>
  <c r="I17" i="2"/>
  <c r="I31" i="2"/>
  <c r="M17" i="2"/>
  <c r="M31" i="2"/>
  <c r="E17" i="2"/>
  <c r="E31" i="2"/>
  <c r="O17" i="2"/>
  <c r="O31" i="2"/>
  <c r="P17" i="2"/>
  <c r="P31" i="2"/>
  <c r="H17" i="2"/>
  <c r="H31" i="2"/>
  <c r="L17" i="2"/>
  <c r="L31" i="2"/>
  <c r="D17" i="2"/>
  <c r="D31" i="2"/>
  <c r="Q17" i="2"/>
  <c r="Q31" i="2"/>
  <c r="AD7" i="2"/>
  <c r="F14" i="2"/>
  <c r="AB14" i="2"/>
  <c r="AC14" i="2"/>
  <c r="AJ3" i="2" l="1"/>
  <c r="AI7" i="2"/>
  <c r="AE13" i="2"/>
  <c r="AD30" i="2"/>
  <c r="AD14" i="2"/>
  <c r="R17" i="2"/>
  <c r="R31" i="2"/>
  <c r="AB17" i="2"/>
  <c r="AB31" i="2"/>
  <c r="AE24" i="2"/>
  <c r="AE25" i="2"/>
  <c r="AD25" i="2"/>
  <c r="AA20" i="2"/>
  <c r="AA32" i="2"/>
  <c r="AE28" i="2"/>
  <c r="AE29" i="2"/>
  <c r="AC17" i="2"/>
  <c r="AC31" i="2"/>
  <c r="Z20" i="2"/>
  <c r="Z32" i="2"/>
  <c r="Y20" i="2"/>
  <c r="Y32" i="2"/>
  <c r="AI27" i="2"/>
  <c r="H20" i="2"/>
  <c r="H32" i="2"/>
  <c r="M20" i="2"/>
  <c r="M32" i="2"/>
  <c r="C20" i="2"/>
  <c r="C32" i="2"/>
  <c r="E20" i="2"/>
  <c r="E32" i="2"/>
  <c r="F17" i="2"/>
  <c r="F31" i="2"/>
  <c r="L20" i="2"/>
  <c r="L32" i="2"/>
  <c r="N20" i="2"/>
  <c r="N32" i="2"/>
  <c r="Q20" i="2"/>
  <c r="Q32" i="2"/>
  <c r="P20" i="2"/>
  <c r="P32" i="2"/>
  <c r="I20" i="2"/>
  <c r="I32" i="2"/>
  <c r="K20" i="2"/>
  <c r="K32" i="2"/>
  <c r="D20" i="2"/>
  <c r="D32" i="2"/>
  <c r="O20" i="2"/>
  <c r="O32" i="2"/>
  <c r="J20" i="2"/>
  <c r="J32" i="2"/>
  <c r="G20" i="2"/>
  <c r="G32" i="2"/>
  <c r="AK3" i="2" l="1"/>
  <c r="AK7" i="2" s="1"/>
  <c r="AJ7" i="2"/>
  <c r="AF11" i="2"/>
  <c r="AF13" i="2" s="1"/>
  <c r="AF30" i="2"/>
  <c r="AE14" i="2"/>
  <c r="AE30" i="2"/>
  <c r="Z22" i="2"/>
  <c r="Z33" i="2"/>
  <c r="AF7" i="2"/>
  <c r="AF25" i="2" s="1"/>
  <c r="AF24" i="2"/>
  <c r="AD17" i="2"/>
  <c r="AD31" i="2"/>
  <c r="AA22" i="2"/>
  <c r="AA33" i="2"/>
  <c r="AF29" i="2"/>
  <c r="AF28" i="2"/>
  <c r="AC20" i="2"/>
  <c r="AC32" i="2"/>
  <c r="AB20" i="2"/>
  <c r="AB32" i="2"/>
  <c r="Y22" i="2"/>
  <c r="Y33" i="2"/>
  <c r="R20" i="2"/>
  <c r="AJ27" i="2"/>
  <c r="Q22" i="2"/>
  <c r="Q33" i="2"/>
  <c r="K22" i="2"/>
  <c r="K33" i="2"/>
  <c r="D22" i="2"/>
  <c r="D33" i="2"/>
  <c r="G22" i="2"/>
  <c r="G33" i="2"/>
  <c r="L22" i="2"/>
  <c r="L33" i="2"/>
  <c r="E22" i="2"/>
  <c r="E33" i="2"/>
  <c r="N22" i="2"/>
  <c r="N33" i="2"/>
  <c r="C22" i="2"/>
  <c r="C33" i="2"/>
  <c r="J22" i="2"/>
  <c r="J33" i="2"/>
  <c r="I22" i="2"/>
  <c r="I33" i="2"/>
  <c r="M22" i="2"/>
  <c r="M33" i="2"/>
  <c r="O22" i="2"/>
  <c r="O33" i="2"/>
  <c r="P22" i="2"/>
  <c r="P33" i="2"/>
  <c r="F20" i="2"/>
  <c r="F32" i="2"/>
  <c r="H22" i="2"/>
  <c r="H33" i="2"/>
  <c r="AG30" i="2" l="1"/>
  <c r="AF14" i="2"/>
  <c r="AE17" i="2"/>
  <c r="AE31" i="2"/>
  <c r="AG11" i="2"/>
  <c r="R22" i="2"/>
  <c r="R33" i="2"/>
  <c r="R32" i="2"/>
  <c r="AD18" i="2"/>
  <c r="AD32" i="2" s="1"/>
  <c r="AB22" i="2"/>
  <c r="AB33" i="2"/>
  <c r="AG25" i="2"/>
  <c r="AG24" i="2"/>
  <c r="AG28" i="2"/>
  <c r="AG29" i="2"/>
  <c r="AC22" i="2"/>
  <c r="AC33" i="2"/>
  <c r="AF6" i="2"/>
  <c r="AK27" i="2"/>
  <c r="F22" i="2"/>
  <c r="F33" i="2"/>
  <c r="AG13" i="2" l="1"/>
  <c r="AG14" i="2" s="1"/>
  <c r="AE32" i="2"/>
  <c r="AF17" i="2"/>
  <c r="AF19" i="2" s="1"/>
  <c r="AF31" i="2"/>
  <c r="AH11" i="2"/>
  <c r="AH13" i="2" s="1"/>
  <c r="AD20" i="2"/>
  <c r="AK9" i="2"/>
  <c r="AL9" i="2" s="1"/>
  <c r="AH28" i="2"/>
  <c r="AH29" i="2"/>
  <c r="AH24" i="2"/>
  <c r="AG6" i="2"/>
  <c r="AL27" i="2"/>
  <c r="AE20" i="2" l="1"/>
  <c r="AE33" i="2" s="1"/>
  <c r="AI30" i="2"/>
  <c r="AH14" i="2"/>
  <c r="AF18" i="2"/>
  <c r="AF32" i="2" s="1"/>
  <c r="AG17" i="2"/>
  <c r="AG19" i="2" s="1"/>
  <c r="AG31" i="2"/>
  <c r="AI11" i="2"/>
  <c r="AH30" i="2"/>
  <c r="AD22" i="2"/>
  <c r="AD33" i="2"/>
  <c r="AI24" i="2"/>
  <c r="AH6" i="2"/>
  <c r="AH25" i="2"/>
  <c r="AI28" i="2"/>
  <c r="AI29" i="2"/>
  <c r="AM27" i="2"/>
  <c r="AI13" i="2" l="1"/>
  <c r="AI14" i="2" s="1"/>
  <c r="AE22" i="2"/>
  <c r="AF20" i="2"/>
  <c r="AG18" i="2"/>
  <c r="AG32" i="2" s="1"/>
  <c r="AI25" i="2"/>
  <c r="AH17" i="2"/>
  <c r="AH19" i="2" s="1"/>
  <c r="AH31" i="2"/>
  <c r="AJ11" i="2"/>
  <c r="AJ13" i="2" s="1"/>
  <c r="AI6" i="2"/>
  <c r="AJ30" i="2"/>
  <c r="AJ29" i="2"/>
  <c r="AJ28" i="2"/>
  <c r="AJ24" i="2"/>
  <c r="AO27" i="2"/>
  <c r="AN27" i="2"/>
  <c r="AK11" i="2" l="1"/>
  <c r="AG20" i="2"/>
  <c r="AH18" i="2"/>
  <c r="AH32" i="2" s="1"/>
  <c r="AI17" i="2"/>
  <c r="AI19" i="2" s="1"/>
  <c r="AI31" i="2"/>
  <c r="AJ14" i="2"/>
  <c r="AF22" i="2"/>
  <c r="AF33" i="2"/>
  <c r="AJ6" i="2"/>
  <c r="AJ25" i="2"/>
  <c r="AL7" i="2"/>
  <c r="AK25" i="2"/>
  <c r="AK24" i="2"/>
  <c r="AK28" i="2"/>
  <c r="AK29" i="2"/>
  <c r="AK13" i="2" l="1"/>
  <c r="AK14" i="2" s="1"/>
  <c r="AL11" i="2"/>
  <c r="AG22" i="2"/>
  <c r="AG33" i="2"/>
  <c r="AJ17" i="2"/>
  <c r="AJ19" i="2" s="1"/>
  <c r="AJ31" i="2"/>
  <c r="AI18" i="2"/>
  <c r="AI32" i="2" s="1"/>
  <c r="AK30" i="2"/>
  <c r="AH20" i="2"/>
  <c r="AK6" i="2"/>
  <c r="AL28" i="2"/>
  <c r="AL29" i="2"/>
  <c r="AM7" i="2"/>
  <c r="AL25" i="2"/>
  <c r="AL24" i="2"/>
  <c r="AL13" i="2" l="1"/>
  <c r="AL14" i="2" s="1"/>
  <c r="AL6" i="2"/>
  <c r="AK17" i="2"/>
  <c r="AK19" i="2" s="1"/>
  <c r="AK31" i="2"/>
  <c r="AM30" i="2"/>
  <c r="AH22" i="2"/>
  <c r="AH33" i="2"/>
  <c r="AJ18" i="2"/>
  <c r="AJ32" i="2" s="1"/>
  <c r="AL30" i="2"/>
  <c r="AM11" i="2"/>
  <c r="AI20" i="2"/>
  <c r="AN7" i="2"/>
  <c r="AM24" i="2"/>
  <c r="AM29" i="2"/>
  <c r="AM28" i="2"/>
  <c r="AM13" i="2" l="1"/>
  <c r="AM14" i="2" s="1"/>
  <c r="AI22" i="2"/>
  <c r="AI33" i="2"/>
  <c r="AN30" i="2"/>
  <c r="AL17" i="2"/>
  <c r="AL19" i="2" s="1"/>
  <c r="AL31" i="2"/>
  <c r="AN11" i="2"/>
  <c r="AN13" i="2" s="1"/>
  <c r="AJ20" i="2"/>
  <c r="AK18" i="2"/>
  <c r="AK32" i="2" s="1"/>
  <c r="AN28" i="2"/>
  <c r="AN29" i="2"/>
  <c r="AM6" i="2"/>
  <c r="AM25" i="2"/>
  <c r="AO7" i="2"/>
  <c r="AN25" i="2"/>
  <c r="AN24" i="2"/>
  <c r="AK20" i="2" l="1"/>
  <c r="AK22" i="2" s="1"/>
  <c r="AL18" i="2"/>
  <c r="AL32" i="2" s="1"/>
  <c r="AM17" i="2"/>
  <c r="AM19" i="2" s="1"/>
  <c r="AM31" i="2"/>
  <c r="AN14" i="2"/>
  <c r="AO11" i="2"/>
  <c r="AO13" i="2" s="1"/>
  <c r="AJ22" i="2"/>
  <c r="AJ33" i="2"/>
  <c r="AN6" i="2"/>
  <c r="AO25" i="2"/>
  <c r="AO24" i="2"/>
  <c r="AO28" i="2"/>
  <c r="AO29" i="2"/>
  <c r="AL20" i="2" l="1"/>
  <c r="AL33" i="2" s="1"/>
  <c r="AK33" i="2"/>
  <c r="AO14" i="2"/>
  <c r="AO6" i="2"/>
  <c r="AN17" i="2"/>
  <c r="AN19" i="2" s="1"/>
  <c r="AN31" i="2"/>
  <c r="AM18" i="2"/>
  <c r="AM32" i="2" s="1"/>
  <c r="AO30" i="2"/>
  <c r="AL22" i="2" l="1"/>
  <c r="AM20" i="2"/>
  <c r="AM22" i="2" s="1"/>
  <c r="AO17" i="2"/>
  <c r="AO19" i="2" s="1"/>
  <c r="AO31" i="2"/>
  <c r="AN18" i="2"/>
  <c r="AN32" i="2" s="1"/>
  <c r="AM33" i="2" l="1"/>
  <c r="AN20" i="2"/>
  <c r="AN22" i="2" s="1"/>
  <c r="AO18" i="2"/>
  <c r="AO32" i="2" s="1"/>
  <c r="AN33" i="2" l="1"/>
  <c r="AO20" i="2"/>
  <c r="AO22" i="2" l="1"/>
  <c r="AP20" i="2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AO33" i="2"/>
  <c r="AR27" i="2" l="1"/>
  <c r="AR29" i="2" s="1"/>
  <c r="AR30" i="2" s="1"/>
  <c r="AR32" i="2" s="1"/>
</calcChain>
</file>

<file path=xl/sharedStrings.xml><?xml version="1.0" encoding="utf-8"?>
<sst xmlns="http://schemas.openxmlformats.org/spreadsheetml/2006/main" count="74" uniqueCount="69">
  <si>
    <t>AMD</t>
  </si>
  <si>
    <t>Price</t>
  </si>
  <si>
    <t>Shares</t>
  </si>
  <si>
    <t>MC</t>
  </si>
  <si>
    <t>Cash</t>
  </si>
  <si>
    <t>Debt</t>
  </si>
  <si>
    <t>Net Cash</t>
  </si>
  <si>
    <t>EV</t>
  </si>
  <si>
    <t>Last time checked</t>
  </si>
  <si>
    <t>Today</t>
  </si>
  <si>
    <t>Earnings</t>
  </si>
  <si>
    <t>Q324</t>
  </si>
  <si>
    <t>Revenue</t>
  </si>
  <si>
    <t>Q122</t>
  </si>
  <si>
    <t>Cost of sales</t>
  </si>
  <si>
    <t>Amortisation</t>
  </si>
  <si>
    <t>Total cost of sales</t>
  </si>
  <si>
    <t>Amortisation cost</t>
  </si>
  <si>
    <t>Gross profit</t>
  </si>
  <si>
    <t>R&amp;D</t>
  </si>
  <si>
    <t>SG&amp;A</t>
  </si>
  <si>
    <t>Licensing</t>
  </si>
  <si>
    <t>Total operating expenses</t>
  </si>
  <si>
    <t>Operating profit</t>
  </si>
  <si>
    <t>Interest expense</t>
  </si>
  <si>
    <t>Other income</t>
  </si>
  <si>
    <t>Pretax profit</t>
  </si>
  <si>
    <t>Taxes</t>
  </si>
  <si>
    <t>MI</t>
  </si>
  <si>
    <t>Net profit</t>
  </si>
  <si>
    <t>EPS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</si>
  <si>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</si>
  <si>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</si>
  <si>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</si>
  <si>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</si>
  <si>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</si>
  <si>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</si>
  <si>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</si>
  <si>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</si>
  <si>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</si>
  <si>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</si>
  <si>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Q121</t>
  </si>
  <si>
    <t>Q221</t>
  </si>
  <si>
    <t>Q321</t>
  </si>
  <si>
    <t>Q421</t>
  </si>
  <si>
    <t>Revenue y/y</t>
  </si>
  <si>
    <t>Gross Margin</t>
  </si>
  <si>
    <t>Nominal Gross Margin</t>
  </si>
  <si>
    <t>R&amp;D y/y</t>
  </si>
  <si>
    <t>SG&amp;A y/y</t>
  </si>
  <si>
    <t>SG&amp;A Margin</t>
  </si>
  <si>
    <t>Operating Margin</t>
  </si>
  <si>
    <t>Net Margin</t>
  </si>
  <si>
    <t>Amortisation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</si>
  <si>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</si>
  <si>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</si>
  <si>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</si>
  <si>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</si>
  <si>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</si>
  <si>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</si>
  <si>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</si>
  <si>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</si>
  <si>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</si>
  <si>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</si>
  <si>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</si>
  <si>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</si>
  <si>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</si>
  <si>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Restructuring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</si>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</sst>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0</xdr:row>
      <xdr:rowOff>7620</xdr:rowOff>
    </xdr:from>
    <xdr:to>
      <xdr:col>18</xdr:col>
      <xdr:colOff>30480</xdr:colOff>
      <xdr:row>35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CE7C16-31A4-3DF0-9A7D-9CC5F7C18068}"/>
            </a:ext>
          </a:extLst>
        </xdr:cNvPr>
        <xdr:cNvCxnSpPr/>
      </xdr:nvCxnSpPr>
      <xdr:spPr>
        <a:xfrm>
          <a:off x="11879580" y="7620"/>
          <a:ext cx="0" cy="649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7620</xdr:rowOff>
    </xdr:from>
    <xdr:to>
      <xdr:col>30</xdr:col>
      <xdr:colOff>38100</xdr:colOff>
      <xdr:row>35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984E5B-E692-6AFF-ED3C-B93441116D5F}"/>
            </a:ext>
          </a:extLst>
        </xdr:cNvPr>
        <xdr:cNvCxnSpPr/>
      </xdr:nvCxnSpPr>
      <xdr:spPr>
        <a:xfrm>
          <a:off x="19202400" y="7620"/>
          <a:ext cx="0" cy="649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248-8F71-4E26-9E29-0D09AE25C278}">
  <dimension ref="B2:G9"/>
  <sheetViews>
    <sheetView workbookViewId="0">
      <selection activeCell="D4" sqref="D4"/>
    </sheetView>
  </sheetViews>
  <sheetFormatPr defaultRowHeight="14.4" x14ac:dyDescent="0.3"/>
  <cols>
    <col min="4" max="4" width="8.88671875" customWidth="1"/>
    <col min="5" max="7" width="16.33203125" style="1" customWidth="1"/>
  </cols>
  <sheetData>
    <row r="2" spans="2:7" x14ac:dyDescent="0.3">
      <c r="E2" s="1" t="s">
        <v>8</v>
      </c>
      <c r="F2" s="1" t="s">
        <v>9</v>
      </c>
      <c r="G2" s="1" t="s">
        <v>10</v>
      </c>
    </row>
    <row r="3" spans="2:7" x14ac:dyDescent="0.3">
      <c r="B3" s="3" t="s">
        <v>0</v>
      </c>
      <c r="C3" t="s">
        <v>1</v>
      </c>
      <c r="D3" s="4">
        <v>93.62</v>
      </c>
      <c r="E3" s="2">
        <v>45751</v>
      </c>
      <c r="F3" s="2">
        <f ca="1">TODAY()</f>
        <v>45751</v>
      </c>
      <c r="G3" s="2">
        <v>45783</v>
      </c>
    </row>
    <row r="4" spans="2:7" x14ac:dyDescent="0.3">
      <c r="C4" t="s">
        <v>2</v>
      </c>
      <c r="D4" s="5">
        <f>1620.5</f>
        <v>1620.5</v>
      </c>
      <c r="E4" s="1" t="s">
        <v>40</v>
      </c>
    </row>
    <row r="5" spans="2:7" x14ac:dyDescent="0.3">
      <c r="C5" t="s">
        <v>3</v>
      </c>
      <c r="D5" s="5">
        <f>D3*D4</f>
        <v>151711.21000000002</v>
      </c>
    </row>
    <row r="6" spans="2:7" x14ac:dyDescent="0.3">
      <c r="C6" t="s">
        <v>4</v>
      </c>
      <c r="D6" s="5">
        <f>3787+1345+149</f>
        <v>5281</v>
      </c>
      <c r="E6" s="1" t="s">
        <v>40</v>
      </c>
    </row>
    <row r="7" spans="2:7" x14ac:dyDescent="0.3">
      <c r="C7" t="s">
        <v>5</v>
      </c>
      <c r="D7" s="5">
        <f>1721</f>
        <v>1721</v>
      </c>
      <c r="E7" s="1" t="s">
        <v>40</v>
      </c>
    </row>
    <row r="8" spans="2:7" x14ac:dyDescent="0.3">
      <c r="C8" t="s">
        <v>6</v>
      </c>
      <c r="D8" s="5">
        <f>D6-D7</f>
        <v>3560</v>
      </c>
    </row>
    <row r="9" spans="2:7" x14ac:dyDescent="0.3">
      <c r="C9" t="s">
        <v>7</v>
      </c>
      <c r="D9" s="5">
        <f>D5-D8</f>
        <v>148151.21000000002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7D0B-69F3-453E-80D5-E39B14F299EA}">
  <dimension ref="B2:EL33"/>
  <sheetViews>
    <sheetView tabSelected="1" workbookViewId="0">
      <pane xSplit="2" ySplit="2" topLeftCell="AG10" activePane="bottomRight" state="frozen"/>
      <selection pane="topRight" activeCell="C1" sqref="C1"/>
      <selection pane="bottomLeft" activeCell="A3" sqref="A3"/>
      <selection pane="bottomRight" activeCell="AR26" sqref="AR26"/>
    </sheetView>
  </sheetViews>
  <sheetFormatPr defaultRowHeight="14.4" x14ac:dyDescent="0.3"/>
  <cols>
    <col min="2" max="2" width="21.6640625" bestFit="1" customWidth="1"/>
    <col min="3" max="6" width="8.88671875" customWidth="1"/>
    <col min="43" max="43" width="13.21875" customWidth="1"/>
    <col min="44" max="44" width="17.33203125" bestFit="1" customWidth="1"/>
  </cols>
  <sheetData>
    <row r="2" spans="2:41" x14ac:dyDescent="0.3">
      <c r="C2" s="6" t="s">
        <v>41</v>
      </c>
      <c r="D2" s="6" t="s">
        <v>42</v>
      </c>
      <c r="E2" s="6" t="s">
        <v>43</v>
      </c>
      <c r="F2" s="6" t="s">
        <v>44</v>
      </c>
      <c r="G2" s="6" t="s">
        <v>13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11</v>
      </c>
      <c r="R2" s="6" t="s">
        <v>40</v>
      </c>
      <c r="S2" s="6" t="s">
        <v>63</v>
      </c>
      <c r="T2" s="6" t="s">
        <v>64</v>
      </c>
      <c r="U2" s="6" t="s">
        <v>65</v>
      </c>
      <c r="V2" s="6" t="s">
        <v>66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41" s="3" customFormat="1" x14ac:dyDescent="0.3">
      <c r="B3" s="3" t="s">
        <v>12</v>
      </c>
      <c r="C3" s="8">
        <v>3445</v>
      </c>
      <c r="D3" s="8">
        <v>3850</v>
      </c>
      <c r="E3" s="8">
        <v>4313</v>
      </c>
      <c r="F3" s="8">
        <f>AA3-E3-D3-C3</f>
        <v>4826</v>
      </c>
      <c r="G3" s="8">
        <v>5887</v>
      </c>
      <c r="H3" s="8">
        <v>6550</v>
      </c>
      <c r="I3" s="8">
        <v>5565</v>
      </c>
      <c r="J3" s="8">
        <v>5599</v>
      </c>
      <c r="K3" s="8">
        <v>5353</v>
      </c>
      <c r="L3" s="8">
        <v>5359</v>
      </c>
      <c r="M3" s="8">
        <v>5800</v>
      </c>
      <c r="N3" s="8">
        <v>6168</v>
      </c>
      <c r="O3" s="8">
        <v>5473</v>
      </c>
      <c r="P3" s="8">
        <v>5835</v>
      </c>
      <c r="Q3" s="8">
        <v>6819</v>
      </c>
      <c r="R3" s="8">
        <v>7658</v>
      </c>
      <c r="S3" s="8">
        <f>O3*1.25</f>
        <v>6841.25</v>
      </c>
      <c r="T3" s="8">
        <f>P3*1.23</f>
        <v>7177.05</v>
      </c>
      <c r="U3" s="8">
        <f>Q3*1.15</f>
        <v>7841.8499999999995</v>
      </c>
      <c r="V3" s="8">
        <f>R3*1.15</f>
        <v>8806.6999999999989</v>
      </c>
      <c r="Y3" s="8">
        <v>6731</v>
      </c>
      <c r="Z3" s="8">
        <v>9763</v>
      </c>
      <c r="AA3" s="8">
        <v>16434</v>
      </c>
      <c r="AB3" s="8">
        <f>SUM(G3:J3)</f>
        <v>23601</v>
      </c>
      <c r="AC3" s="8">
        <f>SUM(K3:N3)</f>
        <v>22680</v>
      </c>
      <c r="AD3" s="8">
        <f>SUM(O3:R3)</f>
        <v>25785</v>
      </c>
      <c r="AE3" s="8">
        <f>SUM(S3:V3)</f>
        <v>30666.85</v>
      </c>
      <c r="AF3" s="8">
        <f>AE3*1.16</f>
        <v>35573.545999999995</v>
      </c>
      <c r="AG3" s="8">
        <f>AF3*1.12</f>
        <v>39842.371520000001</v>
      </c>
      <c r="AH3" s="8">
        <f>AG3*1.09</f>
        <v>43428.184956800003</v>
      </c>
      <c r="AI3" s="8">
        <f>AH3*1.06</f>
        <v>46033.876054208005</v>
      </c>
      <c r="AJ3" s="8">
        <f>AI3*1.04</f>
        <v>47875.23109637633</v>
      </c>
      <c r="AK3" s="8">
        <f>AJ3*1.03</f>
        <v>49311.488029267624</v>
      </c>
      <c r="AL3" s="8">
        <f t="shared" ref="AL3:AO3" si="0">AK3*1.03</f>
        <v>50790.832670145654</v>
      </c>
      <c r="AM3" s="8">
        <f t="shared" si="0"/>
        <v>52314.557650250026</v>
      </c>
      <c r="AN3" s="8">
        <f t="shared" si="0"/>
        <v>53883.994379757525</v>
      </c>
      <c r="AO3" s="8">
        <f t="shared" si="0"/>
        <v>55500.51421115025</v>
      </c>
    </row>
    <row r="4" spans="2:41" x14ac:dyDescent="0.3">
      <c r="B4" t="s">
        <v>14</v>
      </c>
      <c r="C4" s="5">
        <v>1858</v>
      </c>
      <c r="D4" s="5">
        <v>2020</v>
      </c>
      <c r="E4" s="5">
        <v>2227</v>
      </c>
      <c r="F4" s="5">
        <f>AA4-E4-D4-C4</f>
        <v>2400</v>
      </c>
      <c r="G4" s="5">
        <v>2883</v>
      </c>
      <c r="H4" s="5">
        <v>3115</v>
      </c>
      <c r="I4" s="5">
        <v>2799</v>
      </c>
      <c r="J4" s="5">
        <v>2753</v>
      </c>
      <c r="K4" s="5">
        <v>2689</v>
      </c>
      <c r="L4" s="5">
        <v>2704</v>
      </c>
      <c r="M4" s="5">
        <v>2843</v>
      </c>
      <c r="N4" s="5">
        <v>3042</v>
      </c>
      <c r="O4" s="5">
        <v>2683</v>
      </c>
      <c r="P4" s="5">
        <v>2740</v>
      </c>
      <c r="Q4" s="5">
        <v>3167</v>
      </c>
      <c r="R4" s="5">
        <v>3524</v>
      </c>
      <c r="S4" s="5"/>
      <c r="T4" s="5"/>
      <c r="U4" s="5"/>
      <c r="V4" s="5"/>
      <c r="Y4" s="5">
        <v>3863</v>
      </c>
      <c r="Z4" s="5">
        <v>5416</v>
      </c>
      <c r="AA4" s="5">
        <v>8505</v>
      </c>
      <c r="AB4" s="5">
        <f>SUM(G4:J4)</f>
        <v>11550</v>
      </c>
      <c r="AC4" s="5">
        <f>SUM(K4:N4)</f>
        <v>11278</v>
      </c>
      <c r="AD4" s="5">
        <f>SUM(O4:R4)</f>
        <v>12114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2:41" x14ac:dyDescent="0.3">
      <c r="B5" t="s">
        <v>17</v>
      </c>
      <c r="C5" s="5">
        <v>0</v>
      </c>
      <c r="D5" s="5">
        <v>0</v>
      </c>
      <c r="E5" s="5">
        <v>0</v>
      </c>
      <c r="F5" s="5">
        <f>AA5-E5-D5-C5</f>
        <v>0</v>
      </c>
      <c r="G5" s="5">
        <v>186</v>
      </c>
      <c r="H5" s="5">
        <v>407</v>
      </c>
      <c r="I5" s="5">
        <v>412</v>
      </c>
      <c r="J5" s="5">
        <v>443</v>
      </c>
      <c r="K5" s="5">
        <v>305</v>
      </c>
      <c r="L5" s="5">
        <v>212</v>
      </c>
      <c r="M5" s="5">
        <v>210</v>
      </c>
      <c r="N5" s="5">
        <v>215</v>
      </c>
      <c r="O5" s="5">
        <v>230</v>
      </c>
      <c r="P5" s="5">
        <v>231</v>
      </c>
      <c r="Q5" s="5">
        <v>233</v>
      </c>
      <c r="R5" s="5">
        <v>252</v>
      </c>
      <c r="S5" s="5"/>
      <c r="T5" s="5"/>
      <c r="U5" s="5"/>
      <c r="V5" s="5"/>
      <c r="Y5" s="5"/>
      <c r="Z5" s="5"/>
      <c r="AA5" s="5"/>
      <c r="AB5" s="5">
        <f>SUM(G5:J5)</f>
        <v>1448</v>
      </c>
      <c r="AC5" s="5">
        <f>SUM(K5:N5)</f>
        <v>942</v>
      </c>
      <c r="AD5" s="5">
        <f>SUM(O5:R5)</f>
        <v>946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2:41" x14ac:dyDescent="0.3">
      <c r="B6" t="s">
        <v>16</v>
      </c>
      <c r="C6" s="5">
        <f t="shared" ref="C6:R6" si="1">SUM(C4:C5)</f>
        <v>1858</v>
      </c>
      <c r="D6" s="5">
        <f t="shared" si="1"/>
        <v>2020</v>
      </c>
      <c r="E6" s="5">
        <f t="shared" si="1"/>
        <v>2227</v>
      </c>
      <c r="F6" s="5">
        <f t="shared" si="1"/>
        <v>2400</v>
      </c>
      <c r="G6" s="5">
        <f t="shared" si="1"/>
        <v>3069</v>
      </c>
      <c r="H6" s="5">
        <f t="shared" si="1"/>
        <v>3522</v>
      </c>
      <c r="I6" s="5">
        <f t="shared" si="1"/>
        <v>3211</v>
      </c>
      <c r="J6" s="5">
        <f t="shared" si="1"/>
        <v>3196</v>
      </c>
      <c r="K6" s="5">
        <f t="shared" si="1"/>
        <v>2994</v>
      </c>
      <c r="L6" s="5">
        <f t="shared" si="1"/>
        <v>2916</v>
      </c>
      <c r="M6" s="5">
        <f t="shared" si="1"/>
        <v>3053</v>
      </c>
      <c r="N6" s="5">
        <f t="shared" si="1"/>
        <v>3257</v>
      </c>
      <c r="O6" s="5">
        <f t="shared" si="1"/>
        <v>2913</v>
      </c>
      <c r="P6" s="5">
        <f t="shared" si="1"/>
        <v>2971</v>
      </c>
      <c r="Q6" s="5">
        <f t="shared" si="1"/>
        <v>3400</v>
      </c>
      <c r="R6" s="5">
        <f t="shared" si="1"/>
        <v>3776</v>
      </c>
      <c r="S6" s="5">
        <f>S3-S7</f>
        <v>3283.7999999999997</v>
      </c>
      <c r="T6" s="5">
        <f t="shared" ref="T6:V6" si="2">T3-T7</f>
        <v>3444.9839999999999</v>
      </c>
      <c r="U6" s="5">
        <f t="shared" si="2"/>
        <v>3685.6695</v>
      </c>
      <c r="V6" s="5">
        <f t="shared" si="2"/>
        <v>4051.0819999999994</v>
      </c>
      <c r="Y6" s="5">
        <f t="shared" ref="Y6:AD6" si="3">SUM(Y4:Y5)</f>
        <v>3863</v>
      </c>
      <c r="Z6" s="5">
        <f t="shared" si="3"/>
        <v>5416</v>
      </c>
      <c r="AA6" s="5">
        <f t="shared" si="3"/>
        <v>8505</v>
      </c>
      <c r="AB6" s="5">
        <f t="shared" si="3"/>
        <v>12998</v>
      </c>
      <c r="AC6" s="5">
        <f t="shared" si="3"/>
        <v>12220</v>
      </c>
      <c r="AD6" s="5">
        <f t="shared" si="3"/>
        <v>13060</v>
      </c>
      <c r="AE6" s="5">
        <f>SUM(S6:V6)</f>
        <v>14465.535499999998</v>
      </c>
      <c r="AF6" s="5">
        <f>AF3-AF7</f>
        <v>16008.095699999994</v>
      </c>
      <c r="AG6" s="5">
        <f t="shared" ref="AG6:AO6" si="4">AG3-AG7</f>
        <v>17132.219753600002</v>
      </c>
      <c r="AH6" s="5">
        <f t="shared" si="4"/>
        <v>17805.555832288002</v>
      </c>
      <c r="AI6" s="5">
        <f t="shared" si="4"/>
        <v>18413.550421683201</v>
      </c>
      <c r="AJ6" s="5">
        <f t="shared" si="4"/>
        <v>18671.340127586769</v>
      </c>
      <c r="AK6" s="5">
        <f t="shared" si="4"/>
        <v>18738.365451121699</v>
      </c>
      <c r="AL6" s="5">
        <f t="shared" si="4"/>
        <v>18792.608087953893</v>
      </c>
      <c r="AM6" s="5">
        <f t="shared" si="4"/>
        <v>18833.240754090009</v>
      </c>
      <c r="AN6" s="5">
        <f t="shared" si="4"/>
        <v>18859.398032915131</v>
      </c>
      <c r="AO6" s="5">
        <f t="shared" si="4"/>
        <v>19425.179973902588</v>
      </c>
    </row>
    <row r="7" spans="2:41" s="3" customFormat="1" x14ac:dyDescent="0.3">
      <c r="B7" s="3" t="s">
        <v>18</v>
      </c>
      <c r="C7" s="8">
        <f t="shared" ref="C7:R7" si="5">C3-C6</f>
        <v>1587</v>
      </c>
      <c r="D7" s="8">
        <f t="shared" si="5"/>
        <v>1830</v>
      </c>
      <c r="E7" s="8">
        <f t="shared" si="5"/>
        <v>2086</v>
      </c>
      <c r="F7" s="8">
        <f t="shared" si="5"/>
        <v>2426</v>
      </c>
      <c r="G7" s="8">
        <f t="shared" si="5"/>
        <v>2818</v>
      </c>
      <c r="H7" s="8">
        <f t="shared" si="5"/>
        <v>3028</v>
      </c>
      <c r="I7" s="8">
        <f t="shared" si="5"/>
        <v>2354</v>
      </c>
      <c r="J7" s="8">
        <f t="shared" si="5"/>
        <v>2403</v>
      </c>
      <c r="K7" s="8">
        <f t="shared" si="5"/>
        <v>2359</v>
      </c>
      <c r="L7" s="8">
        <f t="shared" si="5"/>
        <v>2443</v>
      </c>
      <c r="M7" s="8">
        <f t="shared" si="5"/>
        <v>2747</v>
      </c>
      <c r="N7" s="8">
        <f t="shared" si="5"/>
        <v>2911</v>
      </c>
      <c r="O7" s="8">
        <f t="shared" si="5"/>
        <v>2560</v>
      </c>
      <c r="P7" s="8">
        <f t="shared" si="5"/>
        <v>2864</v>
      </c>
      <c r="Q7" s="8">
        <f t="shared" si="5"/>
        <v>3419</v>
      </c>
      <c r="R7" s="8">
        <f t="shared" si="5"/>
        <v>3882</v>
      </c>
      <c r="S7" s="8">
        <f>S3*0.52</f>
        <v>3557.4500000000003</v>
      </c>
      <c r="T7" s="8">
        <f t="shared" ref="T7" si="6">T3*0.52</f>
        <v>3732.0660000000003</v>
      </c>
      <c r="U7" s="8">
        <f>U3*0.53</f>
        <v>4156.1804999999995</v>
      </c>
      <c r="V7" s="8">
        <f>V3*0.54</f>
        <v>4755.6179999999995</v>
      </c>
      <c r="Y7" s="8">
        <f t="shared" ref="Y7:AE7" si="7">Y3-Y6</f>
        <v>2868</v>
      </c>
      <c r="Z7" s="8">
        <f t="shared" si="7"/>
        <v>4347</v>
      </c>
      <c r="AA7" s="8">
        <f t="shared" si="7"/>
        <v>7929</v>
      </c>
      <c r="AB7" s="8">
        <f t="shared" si="7"/>
        <v>10603</v>
      </c>
      <c r="AC7" s="8">
        <f t="shared" si="7"/>
        <v>10460</v>
      </c>
      <c r="AD7" s="8">
        <f t="shared" si="7"/>
        <v>12725</v>
      </c>
      <c r="AE7" s="8">
        <f t="shared" si="7"/>
        <v>16201.3145</v>
      </c>
      <c r="AF7" s="8">
        <f>AF3*0.55</f>
        <v>19565.4503</v>
      </c>
      <c r="AG7" s="8">
        <f>AG3*0.57</f>
        <v>22710.151766399998</v>
      </c>
      <c r="AH7" s="8">
        <f>AH3*0.59</f>
        <v>25622.629124512001</v>
      </c>
      <c r="AI7" s="8">
        <f>AI3*0.6</f>
        <v>27620.325632524804</v>
      </c>
      <c r="AJ7" s="8">
        <f>AJ3*0.61</f>
        <v>29203.890968789561</v>
      </c>
      <c r="AK7" s="8">
        <f>AK3*0.62</f>
        <v>30573.122578145925</v>
      </c>
      <c r="AL7" s="8">
        <f>AL3*0.63</f>
        <v>31998.22458219176</v>
      </c>
      <c r="AM7" s="8">
        <f>AM3*0.64</f>
        <v>33481.316896160017</v>
      </c>
      <c r="AN7" s="8">
        <f>AN3*0.65</f>
        <v>35024.596346842394</v>
      </c>
      <c r="AO7" s="8">
        <f t="shared" ref="AO7" si="8">AO3*0.65</f>
        <v>36075.334237247662</v>
      </c>
    </row>
    <row r="8" spans="2:41" x14ac:dyDescent="0.3">
      <c r="B8" t="s">
        <v>19</v>
      </c>
      <c r="C8" s="5">
        <v>610</v>
      </c>
      <c r="D8" s="5">
        <v>659</v>
      </c>
      <c r="E8" s="5">
        <v>765</v>
      </c>
      <c r="F8" s="5">
        <f>AA8-E8-D8-C8</f>
        <v>811</v>
      </c>
      <c r="G8" s="5">
        <v>1060</v>
      </c>
      <c r="H8" s="5">
        <v>1300</v>
      </c>
      <c r="I8" s="5">
        <v>1279</v>
      </c>
      <c r="J8" s="5">
        <v>1366</v>
      </c>
      <c r="K8" s="5">
        <v>1411</v>
      </c>
      <c r="L8" s="5">
        <v>1443</v>
      </c>
      <c r="M8" s="5">
        <v>1507</v>
      </c>
      <c r="N8" s="5">
        <v>1511</v>
      </c>
      <c r="O8" s="5">
        <v>1525</v>
      </c>
      <c r="P8" s="5">
        <v>1583</v>
      </c>
      <c r="Q8" s="5">
        <v>1636</v>
      </c>
      <c r="R8" s="5">
        <v>1712</v>
      </c>
      <c r="S8" s="5">
        <f>O8*1.14</f>
        <v>1738.4999999999998</v>
      </c>
      <c r="T8" s="5">
        <f t="shared" ref="T8:U8" si="9">P8*1.12</f>
        <v>1772.9600000000003</v>
      </c>
      <c r="U8" s="5">
        <f t="shared" si="9"/>
        <v>1832.3200000000002</v>
      </c>
      <c r="V8" s="5">
        <f>R8*1.1</f>
        <v>1883.2</v>
      </c>
      <c r="Y8" s="5">
        <v>1547</v>
      </c>
      <c r="Z8" s="5">
        <v>1983</v>
      </c>
      <c r="AA8" s="5">
        <v>2845</v>
      </c>
      <c r="AB8" s="5">
        <f>SUM(G8:J8)</f>
        <v>5005</v>
      </c>
      <c r="AC8" s="5">
        <f>SUM(K8:N8)</f>
        <v>5872</v>
      </c>
      <c r="AD8" s="5">
        <f>SUM(O8:R8)</f>
        <v>6456</v>
      </c>
      <c r="AE8" s="5">
        <f>SUM(S8:V8)</f>
        <v>7226.9800000000005</v>
      </c>
      <c r="AF8" s="5">
        <f>AE8*1.1</f>
        <v>7949.6780000000008</v>
      </c>
      <c r="AG8" s="5">
        <f>AF8*1.08</f>
        <v>8585.6522400000013</v>
      </c>
      <c r="AH8" s="5">
        <f>AG8*1.06</f>
        <v>9100.7913744000016</v>
      </c>
      <c r="AI8" s="5">
        <f>AH8*1.04</f>
        <v>9464.8230293760025</v>
      </c>
      <c r="AJ8" s="5">
        <f>AI8*1.03</f>
        <v>9748.7677202572831</v>
      </c>
      <c r="AK8" s="5">
        <f>AJ8*1.01</f>
        <v>9846.2553974598559</v>
      </c>
      <c r="AL8" s="5">
        <f t="shared" ref="AL8:AO8" si="10">AK8*1.01</f>
        <v>9944.7179514344552</v>
      </c>
      <c r="AM8" s="5">
        <f t="shared" si="10"/>
        <v>10044.165130948801</v>
      </c>
      <c r="AN8" s="5">
        <f t="shared" si="10"/>
        <v>10144.606782258288</v>
      </c>
      <c r="AO8" s="5">
        <f t="shared" si="10"/>
        <v>10246.05285008087</v>
      </c>
    </row>
    <row r="9" spans="2:41" x14ac:dyDescent="0.3">
      <c r="B9" t="s">
        <v>20</v>
      </c>
      <c r="C9" s="5">
        <v>319</v>
      </c>
      <c r="D9" s="5">
        <v>341</v>
      </c>
      <c r="E9" s="5">
        <v>376</v>
      </c>
      <c r="F9" s="5">
        <f>AA9-E9-D9-C9</f>
        <v>412</v>
      </c>
      <c r="G9" s="5">
        <v>597</v>
      </c>
      <c r="H9" s="5">
        <v>592</v>
      </c>
      <c r="I9" s="5">
        <v>557</v>
      </c>
      <c r="J9" s="5">
        <v>590</v>
      </c>
      <c r="K9" s="5">
        <v>585</v>
      </c>
      <c r="L9" s="5">
        <v>547</v>
      </c>
      <c r="M9" s="5">
        <v>576</v>
      </c>
      <c r="N9" s="5">
        <v>644</v>
      </c>
      <c r="O9" s="5">
        <v>620</v>
      </c>
      <c r="P9" s="5">
        <v>650</v>
      </c>
      <c r="Q9" s="5">
        <v>721</v>
      </c>
      <c r="R9" s="5">
        <v>792</v>
      </c>
      <c r="S9" s="5">
        <f>O9*1.27</f>
        <v>787.4</v>
      </c>
      <c r="T9" s="5">
        <f t="shared" ref="T9" si="11">P9*1.25</f>
        <v>812.5</v>
      </c>
      <c r="U9" s="5">
        <f>Q9*1.2</f>
        <v>865.19999999999993</v>
      </c>
      <c r="V9" s="5">
        <f>R9*1.15</f>
        <v>910.8</v>
      </c>
      <c r="Y9" s="5">
        <v>750</v>
      </c>
      <c r="Z9" s="5">
        <v>995</v>
      </c>
      <c r="AA9" s="5">
        <v>1448</v>
      </c>
      <c r="AB9" s="5">
        <f>SUM(G9:J9)</f>
        <v>2336</v>
      </c>
      <c r="AC9" s="5">
        <f>SUM(K9:N9)</f>
        <v>2352</v>
      </c>
      <c r="AD9" s="5">
        <f>SUM(O9:R9)</f>
        <v>2783</v>
      </c>
      <c r="AE9" s="5">
        <f>SUM(S9:V9)</f>
        <v>3375.8999999999996</v>
      </c>
      <c r="AF9" s="5">
        <f>AE9*1.15</f>
        <v>3882.2849999999994</v>
      </c>
      <c r="AG9" s="5">
        <f>AF9*1.09</f>
        <v>4231.6906499999996</v>
      </c>
      <c r="AH9" s="5">
        <f>AG9*1.06</f>
        <v>4485.5920889999998</v>
      </c>
      <c r="AI9" s="5">
        <f>AH9*1.04</f>
        <v>4665.0157725600002</v>
      </c>
      <c r="AJ9" s="5">
        <f>AI9*1.04</f>
        <v>4851.6164034624007</v>
      </c>
      <c r="AK9" s="5">
        <f>AJ9*1.04</f>
        <v>5045.6810596008972</v>
      </c>
      <c r="AL9" s="5">
        <f>AK9*1.03</f>
        <v>5197.0514913889247</v>
      </c>
      <c r="AM9" s="5">
        <f t="shared" ref="AM9:AO9" si="12">AL9*1.03</f>
        <v>5352.9630361305926</v>
      </c>
      <c r="AN9" s="5">
        <f t="shared" si="12"/>
        <v>5513.5519272145102</v>
      </c>
      <c r="AO9" s="5">
        <f t="shared" si="12"/>
        <v>5678.9584850309457</v>
      </c>
    </row>
    <row r="10" spans="2:41" x14ac:dyDescent="0.3">
      <c r="B10" t="s">
        <v>15</v>
      </c>
      <c r="C10" s="5">
        <v>0</v>
      </c>
      <c r="D10" s="5">
        <v>0</v>
      </c>
      <c r="E10" s="5">
        <v>0</v>
      </c>
      <c r="F10" s="5">
        <f>AA10-E10-D10-C10</f>
        <v>0</v>
      </c>
      <c r="G10" s="5">
        <v>293</v>
      </c>
      <c r="H10" s="5">
        <v>616</v>
      </c>
      <c r="I10" s="5">
        <v>590</v>
      </c>
      <c r="J10" s="5">
        <v>601</v>
      </c>
      <c r="K10" s="5">
        <v>518</v>
      </c>
      <c r="L10" s="5">
        <v>481</v>
      </c>
      <c r="M10" s="5">
        <v>450</v>
      </c>
      <c r="N10" s="5">
        <v>420</v>
      </c>
      <c r="O10" s="5">
        <v>392</v>
      </c>
      <c r="P10" s="5">
        <v>372</v>
      </c>
      <c r="Q10" s="5">
        <v>352</v>
      </c>
      <c r="R10" s="5">
        <v>332</v>
      </c>
      <c r="S10" s="5">
        <f>O10*0.98</f>
        <v>384.15999999999997</v>
      </c>
      <c r="T10" s="5">
        <f t="shared" ref="T10:V10" si="13">P10*0.98</f>
        <v>364.56</v>
      </c>
      <c r="U10" s="5">
        <f t="shared" si="13"/>
        <v>344.96</v>
      </c>
      <c r="V10" s="5">
        <f t="shared" si="13"/>
        <v>325.36</v>
      </c>
      <c r="Y10" s="5"/>
      <c r="Z10" s="5"/>
      <c r="AA10" s="5"/>
      <c r="AB10" s="5">
        <f>SUM(G10:J10)</f>
        <v>2100</v>
      </c>
      <c r="AC10" s="5">
        <f>SUM(K10:N10)</f>
        <v>1869</v>
      </c>
      <c r="AD10" s="5">
        <f>SUM(O10:R10)</f>
        <v>1448</v>
      </c>
      <c r="AE10" s="5">
        <f>SUM(S10:V10)</f>
        <v>1419.04</v>
      </c>
      <c r="AF10" s="5">
        <f>AE10*0.95</f>
        <v>1348.088</v>
      </c>
      <c r="AG10" s="5">
        <f t="shared" ref="AG10:AO10" si="14">AF10*0.95</f>
        <v>1280.6835999999998</v>
      </c>
      <c r="AH10" s="5">
        <f t="shared" si="14"/>
        <v>1216.6494199999997</v>
      </c>
      <c r="AI10" s="5">
        <f t="shared" si="14"/>
        <v>1155.8169489999998</v>
      </c>
      <c r="AJ10" s="5">
        <f t="shared" si="14"/>
        <v>1098.0261015499998</v>
      </c>
      <c r="AK10" s="5">
        <f t="shared" si="14"/>
        <v>1043.1247964724998</v>
      </c>
      <c r="AL10" s="5">
        <f t="shared" si="14"/>
        <v>990.96855664887482</v>
      </c>
      <c r="AM10" s="5">
        <f t="shared" si="14"/>
        <v>941.42012881643109</v>
      </c>
      <c r="AN10" s="5">
        <f t="shared" si="14"/>
        <v>894.34912237560945</v>
      </c>
      <c r="AO10" s="5">
        <f t="shared" si="14"/>
        <v>849.63166625682891</v>
      </c>
    </row>
    <row r="11" spans="2:41" x14ac:dyDescent="0.3">
      <c r="B11" t="s">
        <v>21</v>
      </c>
      <c r="C11" s="5">
        <v>-4</v>
      </c>
      <c r="D11" s="5">
        <v>-1</v>
      </c>
      <c r="E11" s="5">
        <v>-3</v>
      </c>
      <c r="F11" s="5">
        <f>AA11-E11-D11-C11</f>
        <v>-4</v>
      </c>
      <c r="G11" s="5">
        <v>-83</v>
      </c>
      <c r="H11" s="5">
        <v>-6</v>
      </c>
      <c r="I11" s="5">
        <v>-8</v>
      </c>
      <c r="J11" s="5">
        <v>-5</v>
      </c>
      <c r="K11" s="5">
        <v>-10</v>
      </c>
      <c r="L11" s="5">
        <v>-8</v>
      </c>
      <c r="M11" s="5">
        <v>-10</v>
      </c>
      <c r="N11" s="5">
        <v>-6</v>
      </c>
      <c r="O11" s="5">
        <v>-13</v>
      </c>
      <c r="P11" s="5">
        <v>-10</v>
      </c>
      <c r="Q11" s="5">
        <v>-14</v>
      </c>
      <c r="R11" s="5">
        <v>-11</v>
      </c>
      <c r="S11" s="5">
        <f>O11*1.15</f>
        <v>-14.95</v>
      </c>
      <c r="T11" s="5">
        <f t="shared" ref="T11:V11" si="15">P11*1.15</f>
        <v>-11.5</v>
      </c>
      <c r="U11" s="5">
        <f t="shared" si="15"/>
        <v>-16.099999999999998</v>
      </c>
      <c r="V11" s="5">
        <f t="shared" si="15"/>
        <v>-12.649999999999999</v>
      </c>
      <c r="Y11" s="5">
        <v>-60</v>
      </c>
      <c r="Z11" s="5">
        <v>0</v>
      </c>
      <c r="AA11" s="5">
        <v>-12</v>
      </c>
      <c r="AB11" s="5">
        <f>SUM(G11:J11)</f>
        <v>-102</v>
      </c>
      <c r="AC11" s="5">
        <f>SUM(K11:N11)</f>
        <v>-34</v>
      </c>
      <c r="AD11" s="5">
        <f>SUM(O11:R11)</f>
        <v>-48</v>
      </c>
      <c r="AE11" s="5">
        <f>SUM(S11:V11)</f>
        <v>-55.199999999999996</v>
      </c>
      <c r="AF11" s="5">
        <f t="shared" ref="AF11:AO11" si="16">-AF3*0.002</f>
        <v>-71.147091999999986</v>
      </c>
      <c r="AG11" s="5">
        <f t="shared" si="16"/>
        <v>-79.684743040000001</v>
      </c>
      <c r="AH11" s="5">
        <f t="shared" si="16"/>
        <v>-86.856369913600005</v>
      </c>
      <c r="AI11" s="5">
        <f t="shared" si="16"/>
        <v>-92.067752108416016</v>
      </c>
      <c r="AJ11" s="5">
        <f t="shared" si="16"/>
        <v>-95.750462192752664</v>
      </c>
      <c r="AK11" s="5">
        <f t="shared" si="16"/>
        <v>-98.622976058535244</v>
      </c>
      <c r="AL11" s="5">
        <f t="shared" si="16"/>
        <v>-101.58166534029131</v>
      </c>
      <c r="AM11" s="5">
        <f t="shared" si="16"/>
        <v>-104.62911530050006</v>
      </c>
      <c r="AN11" s="5">
        <f t="shared" si="16"/>
        <v>-107.76798875951505</v>
      </c>
      <c r="AO11" s="5">
        <f t="shared" si="16"/>
        <v>-111.00102842230051</v>
      </c>
    </row>
    <row r="12" spans="2:41" x14ac:dyDescent="0.3">
      <c r="B12" t="s">
        <v>67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186</v>
      </c>
      <c r="S12" s="5">
        <v>100</v>
      </c>
      <c r="T12" s="5">
        <v>50</v>
      </c>
      <c r="U12" s="5">
        <v>50</v>
      </c>
      <c r="V12" s="5">
        <v>0</v>
      </c>
      <c r="Y12" s="5"/>
      <c r="Z12" s="5"/>
      <c r="AA12" s="5"/>
      <c r="AB12" s="5"/>
      <c r="AC12" s="5"/>
      <c r="AD12" s="5">
        <f>SUM(O12:R12)</f>
        <v>186</v>
      </c>
      <c r="AE12" s="5">
        <f>SUM(S12:V12)</f>
        <v>200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2:41" x14ac:dyDescent="0.3">
      <c r="B13" t="s">
        <v>22</v>
      </c>
      <c r="C13" s="5">
        <f t="shared" ref="C13:Q13" si="17">SUM(C8:C11)</f>
        <v>925</v>
      </c>
      <c r="D13" s="5">
        <f t="shared" si="17"/>
        <v>999</v>
      </c>
      <c r="E13" s="5">
        <f t="shared" si="17"/>
        <v>1138</v>
      </c>
      <c r="F13" s="5">
        <f t="shared" si="17"/>
        <v>1219</v>
      </c>
      <c r="G13" s="5">
        <f t="shared" si="17"/>
        <v>1867</v>
      </c>
      <c r="H13" s="5">
        <f t="shared" si="17"/>
        <v>2502</v>
      </c>
      <c r="I13" s="5">
        <f t="shared" si="17"/>
        <v>2418</v>
      </c>
      <c r="J13" s="5">
        <f t="shared" si="17"/>
        <v>2552</v>
      </c>
      <c r="K13" s="5">
        <f t="shared" si="17"/>
        <v>2504</v>
      </c>
      <c r="L13" s="5">
        <f t="shared" si="17"/>
        <v>2463</v>
      </c>
      <c r="M13" s="5">
        <f t="shared" si="17"/>
        <v>2523</v>
      </c>
      <c r="N13" s="5">
        <f t="shared" si="17"/>
        <v>2569</v>
      </c>
      <c r="O13" s="5">
        <f t="shared" si="17"/>
        <v>2524</v>
      </c>
      <c r="P13" s="5">
        <f t="shared" si="17"/>
        <v>2595</v>
      </c>
      <c r="Q13" s="5">
        <f t="shared" si="17"/>
        <v>2695</v>
      </c>
      <c r="R13" s="5">
        <f>SUM(R8:R12)</f>
        <v>3011</v>
      </c>
      <c r="S13" s="5">
        <f t="shared" ref="S13:V13" si="18">SUM(S8:S12)</f>
        <v>2995.1099999999997</v>
      </c>
      <c r="T13" s="5">
        <f t="shared" si="18"/>
        <v>2988.52</v>
      </c>
      <c r="U13" s="5">
        <f t="shared" si="18"/>
        <v>3076.38</v>
      </c>
      <c r="V13" s="5">
        <f t="shared" si="18"/>
        <v>3106.71</v>
      </c>
      <c r="Y13" s="5">
        <f t="shared" ref="Y13:AC13" si="19">SUM(Y8:Y11)</f>
        <v>2237</v>
      </c>
      <c r="Z13" s="5">
        <f t="shared" si="19"/>
        <v>2978</v>
      </c>
      <c r="AA13" s="5">
        <f t="shared" si="19"/>
        <v>4281</v>
      </c>
      <c r="AB13" s="5">
        <f t="shared" si="19"/>
        <v>9339</v>
      </c>
      <c r="AC13" s="5">
        <f t="shared" si="19"/>
        <v>10059</v>
      </c>
      <c r="AD13" s="5">
        <f>SUM(AD8:AD12)</f>
        <v>10825</v>
      </c>
      <c r="AE13" s="5">
        <f t="shared" ref="AE13:AO13" si="20">SUM(AE8:AE12)</f>
        <v>12166.720000000001</v>
      </c>
      <c r="AF13" s="5">
        <f t="shared" si="20"/>
        <v>13108.903908</v>
      </c>
      <c r="AG13" s="5">
        <f t="shared" si="20"/>
        <v>14018.341746960001</v>
      </c>
      <c r="AH13" s="5">
        <f t="shared" si="20"/>
        <v>14716.176513486402</v>
      </c>
      <c r="AI13" s="5">
        <f t="shared" si="20"/>
        <v>15193.587998827586</v>
      </c>
      <c r="AJ13" s="5">
        <f t="shared" si="20"/>
        <v>15602.65976307693</v>
      </c>
      <c r="AK13" s="5">
        <f t="shared" si="20"/>
        <v>15836.438277474719</v>
      </c>
      <c r="AL13" s="5">
        <f t="shared" si="20"/>
        <v>16031.156334131965</v>
      </c>
      <c r="AM13" s="5">
        <f t="shared" si="20"/>
        <v>16233.919180595325</v>
      </c>
      <c r="AN13" s="5">
        <f t="shared" si="20"/>
        <v>16444.739843088893</v>
      </c>
      <c r="AO13" s="5">
        <f t="shared" si="20"/>
        <v>16663.641972946345</v>
      </c>
    </row>
    <row r="14" spans="2:41" s="3" customFormat="1" x14ac:dyDescent="0.3">
      <c r="B14" s="3" t="s">
        <v>23</v>
      </c>
      <c r="C14" s="8">
        <f t="shared" ref="C14:R14" si="21">C7-C13</f>
        <v>662</v>
      </c>
      <c r="D14" s="8">
        <f t="shared" si="21"/>
        <v>831</v>
      </c>
      <c r="E14" s="8">
        <f t="shared" si="21"/>
        <v>948</v>
      </c>
      <c r="F14" s="8">
        <f t="shared" si="21"/>
        <v>1207</v>
      </c>
      <c r="G14" s="8">
        <f t="shared" si="21"/>
        <v>951</v>
      </c>
      <c r="H14" s="8">
        <f t="shared" si="21"/>
        <v>526</v>
      </c>
      <c r="I14" s="8">
        <f t="shared" si="21"/>
        <v>-64</v>
      </c>
      <c r="J14" s="8">
        <f t="shared" si="21"/>
        <v>-149</v>
      </c>
      <c r="K14" s="8">
        <f t="shared" si="21"/>
        <v>-145</v>
      </c>
      <c r="L14" s="8">
        <f t="shared" si="21"/>
        <v>-20</v>
      </c>
      <c r="M14" s="8">
        <f t="shared" si="21"/>
        <v>224</v>
      </c>
      <c r="N14" s="8">
        <f t="shared" si="21"/>
        <v>342</v>
      </c>
      <c r="O14" s="8">
        <f t="shared" si="21"/>
        <v>36</v>
      </c>
      <c r="P14" s="8">
        <f t="shared" si="21"/>
        <v>269</v>
      </c>
      <c r="Q14" s="8">
        <f t="shared" si="21"/>
        <v>724</v>
      </c>
      <c r="R14" s="8">
        <f t="shared" si="21"/>
        <v>871</v>
      </c>
      <c r="S14" s="8">
        <f t="shared" ref="S14:V14" si="22">S7-S13</f>
        <v>562.3400000000006</v>
      </c>
      <c r="T14" s="8">
        <f t="shared" si="22"/>
        <v>743.54600000000028</v>
      </c>
      <c r="U14" s="8">
        <f t="shared" si="22"/>
        <v>1079.8004999999994</v>
      </c>
      <c r="V14" s="8">
        <f t="shared" si="22"/>
        <v>1648.9079999999994</v>
      </c>
      <c r="Y14" s="8">
        <f t="shared" ref="Y14:AD14" si="23">Y7-Y13</f>
        <v>631</v>
      </c>
      <c r="Z14" s="8">
        <f t="shared" si="23"/>
        <v>1369</v>
      </c>
      <c r="AA14" s="8">
        <f t="shared" si="23"/>
        <v>3648</v>
      </c>
      <c r="AB14" s="8">
        <f t="shared" si="23"/>
        <v>1264</v>
      </c>
      <c r="AC14" s="8">
        <f t="shared" si="23"/>
        <v>401</v>
      </c>
      <c r="AD14" s="8">
        <f t="shared" si="23"/>
        <v>1900</v>
      </c>
      <c r="AE14" s="8">
        <f t="shared" ref="AE14:AO14" si="24">AE7-AE13</f>
        <v>4034.5944999999992</v>
      </c>
      <c r="AF14" s="8">
        <f t="shared" si="24"/>
        <v>6456.5463920000002</v>
      </c>
      <c r="AG14" s="8">
        <f t="shared" si="24"/>
        <v>8691.8100194399976</v>
      </c>
      <c r="AH14" s="8">
        <f t="shared" si="24"/>
        <v>10906.452611025599</v>
      </c>
      <c r="AI14" s="8">
        <f t="shared" si="24"/>
        <v>12426.737633697217</v>
      </c>
      <c r="AJ14" s="8">
        <f t="shared" si="24"/>
        <v>13601.231205712631</v>
      </c>
      <c r="AK14" s="8">
        <f t="shared" si="24"/>
        <v>14736.684300671206</v>
      </c>
      <c r="AL14" s="8">
        <f t="shared" si="24"/>
        <v>15967.068248059795</v>
      </c>
      <c r="AM14" s="8">
        <f t="shared" si="24"/>
        <v>17247.397715564693</v>
      </c>
      <c r="AN14" s="8">
        <f t="shared" si="24"/>
        <v>18579.856503753501</v>
      </c>
      <c r="AO14" s="8">
        <f t="shared" si="24"/>
        <v>19411.692264301317</v>
      </c>
    </row>
    <row r="15" spans="2:41" x14ac:dyDescent="0.3">
      <c r="B15" t="s">
        <v>24</v>
      </c>
      <c r="C15" s="5">
        <v>9</v>
      </c>
      <c r="D15" s="5">
        <v>10</v>
      </c>
      <c r="E15" s="5">
        <v>7</v>
      </c>
      <c r="F15" s="5">
        <f>AA15-E15-D15-C15</f>
        <v>8</v>
      </c>
      <c r="G15" s="5">
        <v>13</v>
      </c>
      <c r="H15" s="5">
        <v>25</v>
      </c>
      <c r="I15" s="5">
        <v>31</v>
      </c>
      <c r="J15" s="5">
        <v>19</v>
      </c>
      <c r="K15" s="5">
        <v>25</v>
      </c>
      <c r="L15" s="5">
        <v>28</v>
      </c>
      <c r="M15" s="5">
        <v>26</v>
      </c>
      <c r="N15" s="5">
        <v>27</v>
      </c>
      <c r="O15" s="5">
        <v>25</v>
      </c>
      <c r="P15" s="5">
        <v>25</v>
      </c>
      <c r="Q15" s="5">
        <v>23</v>
      </c>
      <c r="R15" s="5">
        <v>19</v>
      </c>
      <c r="S15" s="5">
        <v>22</v>
      </c>
      <c r="T15" s="5">
        <v>22</v>
      </c>
      <c r="U15" s="5">
        <v>22</v>
      </c>
      <c r="V15" s="5">
        <v>22</v>
      </c>
      <c r="Y15" s="5">
        <v>94</v>
      </c>
      <c r="Z15" s="5">
        <v>47</v>
      </c>
      <c r="AA15" s="5">
        <v>34</v>
      </c>
      <c r="AB15" s="5">
        <f>SUM(G15:J15)</f>
        <v>88</v>
      </c>
      <c r="AC15" s="5">
        <f>SUM(K15:N15)</f>
        <v>106</v>
      </c>
      <c r="AD15" s="5">
        <f>SUM(O15:R15)</f>
        <v>92</v>
      </c>
      <c r="AE15" s="5">
        <f>SUM(S15:V15)</f>
        <v>88</v>
      </c>
      <c r="AF15" s="5">
        <f t="shared" ref="AF15:AO15" si="25">AE15*1.02</f>
        <v>89.76</v>
      </c>
      <c r="AG15" s="5">
        <f t="shared" si="25"/>
        <v>91.555200000000013</v>
      </c>
      <c r="AH15" s="5">
        <f t="shared" si="25"/>
        <v>93.38630400000001</v>
      </c>
      <c r="AI15" s="5">
        <f t="shared" si="25"/>
        <v>95.254030080000007</v>
      </c>
      <c r="AJ15" s="5">
        <f t="shared" si="25"/>
        <v>97.159110681600012</v>
      </c>
      <c r="AK15" s="5">
        <f t="shared" si="25"/>
        <v>99.102292895232011</v>
      </c>
      <c r="AL15" s="5">
        <f t="shared" si="25"/>
        <v>101.08433875313665</v>
      </c>
      <c r="AM15" s="5">
        <f t="shared" si="25"/>
        <v>103.10602552819938</v>
      </c>
      <c r="AN15" s="5">
        <f t="shared" si="25"/>
        <v>105.16814603876337</v>
      </c>
      <c r="AO15" s="5">
        <f t="shared" si="25"/>
        <v>107.27150895953864</v>
      </c>
    </row>
    <row r="16" spans="2:41" x14ac:dyDescent="0.3">
      <c r="B16" t="s">
        <v>25</v>
      </c>
      <c r="C16" s="5">
        <v>11</v>
      </c>
      <c r="D16" s="5">
        <v>0</v>
      </c>
      <c r="E16" s="5">
        <v>-62</v>
      </c>
      <c r="F16" s="5">
        <f>AA16-E16-D16-C16</f>
        <v>-4</v>
      </c>
      <c r="G16" s="5">
        <v>42</v>
      </c>
      <c r="H16" s="5">
        <v>4</v>
      </c>
      <c r="I16" s="5">
        <v>-22</v>
      </c>
      <c r="J16" s="5">
        <v>-32</v>
      </c>
      <c r="K16" s="5">
        <v>-43</v>
      </c>
      <c r="L16" s="5">
        <v>-46</v>
      </c>
      <c r="M16" s="5">
        <v>-59</v>
      </c>
      <c r="N16" s="5">
        <v>-49</v>
      </c>
      <c r="O16" s="5">
        <v>-53</v>
      </c>
      <c r="P16" s="5">
        <v>-55</v>
      </c>
      <c r="Q16" s="5">
        <v>-36</v>
      </c>
      <c r="R16" s="5">
        <v>-37</v>
      </c>
      <c r="S16" s="5">
        <v>-45</v>
      </c>
      <c r="T16" s="5">
        <v>-45</v>
      </c>
      <c r="U16" s="5">
        <v>-45</v>
      </c>
      <c r="V16" s="5">
        <v>-45</v>
      </c>
      <c r="Y16" s="5">
        <v>165</v>
      </c>
      <c r="Z16" s="5">
        <v>47</v>
      </c>
      <c r="AA16" s="5">
        <v>-55</v>
      </c>
      <c r="AB16" s="5">
        <f>SUM(G16:J16)</f>
        <v>-8</v>
      </c>
      <c r="AC16" s="5">
        <f>SUM(K16:N16)</f>
        <v>-197</v>
      </c>
      <c r="AD16" s="5">
        <f>SUM(O16:R16)</f>
        <v>-181</v>
      </c>
      <c r="AE16" s="5">
        <f>SUM(S16:V16)</f>
        <v>-180</v>
      </c>
      <c r="AF16" s="5">
        <f t="shared" ref="AF16:AO16" si="26">AE16*1.01</f>
        <v>-181.8</v>
      </c>
      <c r="AG16" s="5">
        <f t="shared" si="26"/>
        <v>-183.61800000000002</v>
      </c>
      <c r="AH16" s="5">
        <f t="shared" si="26"/>
        <v>-185.45418000000004</v>
      </c>
      <c r="AI16" s="5">
        <f t="shared" si="26"/>
        <v>-187.30872180000003</v>
      </c>
      <c r="AJ16" s="5">
        <f t="shared" si="26"/>
        <v>-189.18180901800002</v>
      </c>
      <c r="AK16" s="5">
        <f t="shared" si="26"/>
        <v>-191.07362710818003</v>
      </c>
      <c r="AL16" s="5">
        <f t="shared" si="26"/>
        <v>-192.98436337926182</v>
      </c>
      <c r="AM16" s="5">
        <f t="shared" si="26"/>
        <v>-194.91420701305444</v>
      </c>
      <c r="AN16" s="5">
        <f t="shared" si="26"/>
        <v>-196.86334908318497</v>
      </c>
      <c r="AO16" s="5">
        <f t="shared" si="26"/>
        <v>-198.83198257401682</v>
      </c>
    </row>
    <row r="17" spans="2:142" s="3" customFormat="1" x14ac:dyDescent="0.3">
      <c r="B17" s="3" t="s">
        <v>26</v>
      </c>
      <c r="C17" s="8">
        <f t="shared" ref="C17:V17" si="27">C14-SUM(C15:C16)</f>
        <v>642</v>
      </c>
      <c r="D17" s="8">
        <f t="shared" si="27"/>
        <v>821</v>
      </c>
      <c r="E17" s="8">
        <f t="shared" si="27"/>
        <v>1003</v>
      </c>
      <c r="F17" s="8">
        <f t="shared" si="27"/>
        <v>1203</v>
      </c>
      <c r="G17" s="8">
        <f t="shared" si="27"/>
        <v>896</v>
      </c>
      <c r="H17" s="8">
        <f t="shared" si="27"/>
        <v>497</v>
      </c>
      <c r="I17" s="8">
        <f t="shared" si="27"/>
        <v>-73</v>
      </c>
      <c r="J17" s="8">
        <f t="shared" si="27"/>
        <v>-136</v>
      </c>
      <c r="K17" s="8">
        <f t="shared" si="27"/>
        <v>-127</v>
      </c>
      <c r="L17" s="8">
        <f t="shared" si="27"/>
        <v>-2</v>
      </c>
      <c r="M17" s="8">
        <f t="shared" si="27"/>
        <v>257</v>
      </c>
      <c r="N17" s="8">
        <f t="shared" si="27"/>
        <v>364</v>
      </c>
      <c r="O17" s="8">
        <f t="shared" si="27"/>
        <v>64</v>
      </c>
      <c r="P17" s="8">
        <f t="shared" si="27"/>
        <v>299</v>
      </c>
      <c r="Q17" s="8">
        <f t="shared" si="27"/>
        <v>737</v>
      </c>
      <c r="R17" s="8">
        <f t="shared" si="27"/>
        <v>889</v>
      </c>
      <c r="S17" s="8">
        <f t="shared" si="27"/>
        <v>585.3400000000006</v>
      </c>
      <c r="T17" s="8">
        <f t="shared" si="27"/>
        <v>766.54600000000028</v>
      </c>
      <c r="U17" s="8">
        <f t="shared" si="27"/>
        <v>1102.8004999999994</v>
      </c>
      <c r="V17" s="8">
        <f t="shared" si="27"/>
        <v>1671.9079999999994</v>
      </c>
      <c r="Y17" s="8">
        <f t="shared" ref="Y17:AD17" si="28">Y14-SUM(Y15:Y16)</f>
        <v>372</v>
      </c>
      <c r="Z17" s="8">
        <f t="shared" si="28"/>
        <v>1275</v>
      </c>
      <c r="AA17" s="8">
        <f t="shared" si="28"/>
        <v>3669</v>
      </c>
      <c r="AB17" s="8">
        <f t="shared" si="28"/>
        <v>1184</v>
      </c>
      <c r="AC17" s="8">
        <f t="shared" si="28"/>
        <v>492</v>
      </c>
      <c r="AD17" s="8">
        <f t="shared" si="28"/>
        <v>1989</v>
      </c>
      <c r="AE17" s="8">
        <f t="shared" ref="AE17:AO17" si="29">AE14-SUM(AE15:AE16)</f>
        <v>4126.5944999999992</v>
      </c>
      <c r="AF17" s="8">
        <f t="shared" si="29"/>
        <v>6548.5863920000002</v>
      </c>
      <c r="AG17" s="8">
        <f t="shared" si="29"/>
        <v>8783.8728194399973</v>
      </c>
      <c r="AH17" s="8">
        <f t="shared" si="29"/>
        <v>10998.520487025598</v>
      </c>
      <c r="AI17" s="8">
        <f t="shared" si="29"/>
        <v>12518.792325417218</v>
      </c>
      <c r="AJ17" s="8">
        <f t="shared" si="29"/>
        <v>13693.25390404903</v>
      </c>
      <c r="AK17" s="8">
        <f t="shared" si="29"/>
        <v>14828.655634884155</v>
      </c>
      <c r="AL17" s="8">
        <f t="shared" si="29"/>
        <v>16058.968272685921</v>
      </c>
      <c r="AM17" s="8">
        <f t="shared" si="29"/>
        <v>17339.205897049549</v>
      </c>
      <c r="AN17" s="8">
        <f t="shared" si="29"/>
        <v>18671.551706797924</v>
      </c>
      <c r="AO17" s="8">
        <f t="shared" si="29"/>
        <v>19503.252737915795</v>
      </c>
    </row>
    <row r="18" spans="2:142" x14ac:dyDescent="0.3">
      <c r="B18" t="s">
        <v>27</v>
      </c>
      <c r="C18" s="5">
        <v>89</v>
      </c>
      <c r="D18" s="5">
        <v>113</v>
      </c>
      <c r="E18" s="5">
        <v>82</v>
      </c>
      <c r="F18" s="5">
        <f>AA18-E18-D18-C18</f>
        <v>229</v>
      </c>
      <c r="G18" s="5">
        <v>113</v>
      </c>
      <c r="H18" s="5">
        <v>54</v>
      </c>
      <c r="I18" s="5">
        <v>-135</v>
      </c>
      <c r="J18" s="5">
        <v>-154</v>
      </c>
      <c r="K18" s="5">
        <v>13</v>
      </c>
      <c r="L18" s="5">
        <v>-23</v>
      </c>
      <c r="M18" s="5">
        <v>-39</v>
      </c>
      <c r="N18" s="5">
        <v>-297</v>
      </c>
      <c r="O18" s="5">
        <v>-52</v>
      </c>
      <c r="P18" s="5">
        <v>41</v>
      </c>
      <c r="Q18" s="5">
        <v>-27</v>
      </c>
      <c r="R18" s="5">
        <v>419</v>
      </c>
      <c r="S18" s="5">
        <f>S17*0.18</f>
        <v>105.36120000000011</v>
      </c>
      <c r="T18" s="5">
        <f t="shared" ref="T18:V18" si="30">T17*0.18</f>
        <v>137.97828000000004</v>
      </c>
      <c r="U18" s="5">
        <f t="shared" si="30"/>
        <v>198.50408999999988</v>
      </c>
      <c r="V18" s="5">
        <f t="shared" si="30"/>
        <v>300.9434399999999</v>
      </c>
      <c r="Y18" s="5">
        <v>31</v>
      </c>
      <c r="Z18" s="5">
        <v>-1210</v>
      </c>
      <c r="AA18" s="5">
        <v>513</v>
      </c>
      <c r="AB18" s="5">
        <f>SUM(G18:J18)</f>
        <v>-122</v>
      </c>
      <c r="AC18" s="5">
        <f>SUM(K18:N18)</f>
        <v>-346</v>
      </c>
      <c r="AD18" s="5">
        <f>SUM(O18:R18)</f>
        <v>381</v>
      </c>
      <c r="AE18" s="5">
        <f>SUM(S18:V18)</f>
        <v>742.7870099999999</v>
      </c>
      <c r="AF18" s="5">
        <f t="shared" ref="AF18:AO18" si="31">AF17*0.12</f>
        <v>785.83036703999994</v>
      </c>
      <c r="AG18" s="5">
        <f t="shared" si="31"/>
        <v>1054.0647383327996</v>
      </c>
      <c r="AH18" s="5">
        <f t="shared" si="31"/>
        <v>1319.8224584430718</v>
      </c>
      <c r="AI18" s="5">
        <f t="shared" si="31"/>
        <v>1502.2550790500661</v>
      </c>
      <c r="AJ18" s="5">
        <f t="shared" si="31"/>
        <v>1643.1904684858835</v>
      </c>
      <c r="AK18" s="5">
        <f t="shared" si="31"/>
        <v>1779.4386761860985</v>
      </c>
      <c r="AL18" s="5">
        <f t="shared" si="31"/>
        <v>1927.0761927223105</v>
      </c>
      <c r="AM18" s="5">
        <f t="shared" si="31"/>
        <v>2080.7047076459457</v>
      </c>
      <c r="AN18" s="5">
        <f t="shared" si="31"/>
        <v>2240.5862048157505</v>
      </c>
      <c r="AO18" s="5">
        <f t="shared" si="31"/>
        <v>2340.3903285498955</v>
      </c>
    </row>
    <row r="19" spans="2:142" x14ac:dyDescent="0.3">
      <c r="B19" t="s">
        <v>28</v>
      </c>
      <c r="C19" s="5">
        <v>-2</v>
      </c>
      <c r="D19" s="5">
        <v>-2</v>
      </c>
      <c r="E19" s="5">
        <v>-2</v>
      </c>
      <c r="F19" s="5">
        <f>AA19-E19-D19-C19</f>
        <v>0</v>
      </c>
      <c r="G19" s="5">
        <v>-3</v>
      </c>
      <c r="H19" s="5">
        <v>-4</v>
      </c>
      <c r="I19" s="5">
        <v>-4</v>
      </c>
      <c r="J19" s="5">
        <v>-3</v>
      </c>
      <c r="K19" s="5">
        <v>-1</v>
      </c>
      <c r="L19" s="5">
        <v>-6</v>
      </c>
      <c r="M19" s="5">
        <v>-3</v>
      </c>
      <c r="N19" s="5">
        <v>-6</v>
      </c>
      <c r="O19" s="5">
        <v>-7</v>
      </c>
      <c r="P19" s="5">
        <v>-7</v>
      </c>
      <c r="Q19" s="5">
        <v>-7</v>
      </c>
      <c r="R19" s="5">
        <v>-12</v>
      </c>
      <c r="S19" s="5">
        <f>-S17*0.01</f>
        <v>-5.8534000000000059</v>
      </c>
      <c r="T19" s="5">
        <f t="shared" ref="T19:V19" si="32">-T17*0.01</f>
        <v>-7.665460000000003</v>
      </c>
      <c r="U19" s="5">
        <f t="shared" si="32"/>
        <v>-11.028004999999993</v>
      </c>
      <c r="V19" s="5">
        <f t="shared" si="32"/>
        <v>-16.719079999999995</v>
      </c>
      <c r="Y19" s="5">
        <v>0</v>
      </c>
      <c r="Z19" s="5">
        <v>-5</v>
      </c>
      <c r="AA19" s="5">
        <v>-6</v>
      </c>
      <c r="AB19" s="5">
        <f>SUM(G19:J19)</f>
        <v>-14</v>
      </c>
      <c r="AC19" s="5">
        <f>SUM(K19:N19)</f>
        <v>-16</v>
      </c>
      <c r="AD19" s="5">
        <f>SUM(O19:R19)</f>
        <v>-33</v>
      </c>
      <c r="AE19" s="5">
        <f>SUM(S19:V19)</f>
        <v>-41.265945000000002</v>
      </c>
      <c r="AF19" s="5">
        <f>-AF17*0.01</f>
        <v>-65.48586392</v>
      </c>
      <c r="AG19" s="5">
        <f t="shared" ref="AG19:AO19" si="33">-AG17*0.01</f>
        <v>-87.838728194399977</v>
      </c>
      <c r="AH19" s="5">
        <f t="shared" si="33"/>
        <v>-109.98520487025598</v>
      </c>
      <c r="AI19" s="5">
        <f t="shared" si="33"/>
        <v>-125.18792325417219</v>
      </c>
      <c r="AJ19" s="5">
        <f t="shared" si="33"/>
        <v>-136.9325390404903</v>
      </c>
      <c r="AK19" s="5">
        <f t="shared" si="33"/>
        <v>-148.28655634884154</v>
      </c>
      <c r="AL19" s="5">
        <f t="shared" si="33"/>
        <v>-160.58968272685922</v>
      </c>
      <c r="AM19" s="5">
        <f t="shared" si="33"/>
        <v>-173.3920589704955</v>
      </c>
      <c r="AN19" s="5">
        <f t="shared" si="33"/>
        <v>-186.71551706797925</v>
      </c>
      <c r="AO19" s="5">
        <f t="shared" si="33"/>
        <v>-195.03252737915795</v>
      </c>
    </row>
    <row r="20" spans="2:142" s="3" customFormat="1" x14ac:dyDescent="0.3">
      <c r="B20" s="3" t="s">
        <v>29</v>
      </c>
      <c r="C20" s="8">
        <f t="shared" ref="C20:Q20" si="34">C17-C18-C19</f>
        <v>555</v>
      </c>
      <c r="D20" s="8">
        <f t="shared" si="34"/>
        <v>710</v>
      </c>
      <c r="E20" s="8">
        <f t="shared" si="34"/>
        <v>923</v>
      </c>
      <c r="F20" s="8">
        <f t="shared" si="34"/>
        <v>974</v>
      </c>
      <c r="G20" s="8">
        <f t="shared" si="34"/>
        <v>786</v>
      </c>
      <c r="H20" s="8">
        <f t="shared" si="34"/>
        <v>447</v>
      </c>
      <c r="I20" s="8">
        <f t="shared" si="34"/>
        <v>66</v>
      </c>
      <c r="J20" s="8">
        <f t="shared" si="34"/>
        <v>21</v>
      </c>
      <c r="K20" s="8">
        <f t="shared" si="34"/>
        <v>-139</v>
      </c>
      <c r="L20" s="8">
        <f t="shared" si="34"/>
        <v>27</v>
      </c>
      <c r="M20" s="8">
        <f t="shared" si="34"/>
        <v>299</v>
      </c>
      <c r="N20" s="8">
        <f t="shared" si="34"/>
        <v>667</v>
      </c>
      <c r="O20" s="8">
        <f t="shared" si="34"/>
        <v>123</v>
      </c>
      <c r="P20" s="8">
        <f t="shared" si="34"/>
        <v>265</v>
      </c>
      <c r="Q20" s="8">
        <f t="shared" si="34"/>
        <v>771</v>
      </c>
      <c r="R20" s="8">
        <f t="shared" ref="R20:V20" si="35">R17-R18-R19</f>
        <v>482</v>
      </c>
      <c r="S20" s="8">
        <f t="shared" si="35"/>
        <v>485.83220000000051</v>
      </c>
      <c r="T20" s="8">
        <f t="shared" si="35"/>
        <v>636.23318000000029</v>
      </c>
      <c r="U20" s="8">
        <f t="shared" si="35"/>
        <v>915.32441499999948</v>
      </c>
      <c r="V20" s="8">
        <f t="shared" si="35"/>
        <v>1387.6836399999995</v>
      </c>
      <c r="Y20" s="8">
        <f t="shared" ref="Y20:AD20" si="36">Y17-Y18-Y19</f>
        <v>341</v>
      </c>
      <c r="Z20" s="8">
        <f t="shared" si="36"/>
        <v>2490</v>
      </c>
      <c r="AA20" s="8">
        <f t="shared" si="36"/>
        <v>3162</v>
      </c>
      <c r="AB20" s="8">
        <f t="shared" si="36"/>
        <v>1320</v>
      </c>
      <c r="AC20" s="8">
        <f t="shared" si="36"/>
        <v>854</v>
      </c>
      <c r="AD20" s="8">
        <f t="shared" si="36"/>
        <v>1641</v>
      </c>
      <c r="AE20" s="8">
        <f t="shared" ref="AE20:AO20" si="37">AE17-AE18-AE19</f>
        <v>3425.0734349999993</v>
      </c>
      <c r="AF20" s="8">
        <f t="shared" si="37"/>
        <v>5828.2418888800003</v>
      </c>
      <c r="AG20" s="8">
        <f t="shared" si="37"/>
        <v>7817.6468093015974</v>
      </c>
      <c r="AH20" s="8">
        <f t="shared" si="37"/>
        <v>9788.6832334527826</v>
      </c>
      <c r="AI20" s="8">
        <f t="shared" si="37"/>
        <v>11141.725169621324</v>
      </c>
      <c r="AJ20" s="8">
        <f t="shared" si="37"/>
        <v>12186.995974603637</v>
      </c>
      <c r="AK20" s="8">
        <f t="shared" si="37"/>
        <v>13197.503515046898</v>
      </c>
      <c r="AL20" s="8">
        <f t="shared" si="37"/>
        <v>14292.48176269047</v>
      </c>
      <c r="AM20" s="8">
        <f t="shared" si="37"/>
        <v>15431.893248374099</v>
      </c>
      <c r="AN20" s="8">
        <f t="shared" si="37"/>
        <v>16617.681019050153</v>
      </c>
      <c r="AO20" s="8">
        <f t="shared" si="37"/>
        <v>17357.894936745055</v>
      </c>
      <c r="AP20" s="3">
        <f>AO20*(1+$AR$25)</f>
        <v>17184.315987377606</v>
      </c>
      <c r="AQ20" s="3">
        <f t="shared" ref="AQ20:DB20" si="38">AP20*(1+$AR$25)</f>
        <v>17012.472827503829</v>
      </c>
      <c r="AR20" s="3">
        <f t="shared" si="38"/>
        <v>16842.348099228791</v>
      </c>
      <c r="AS20" s="3">
        <f t="shared" si="38"/>
        <v>16673.924618236502</v>
      </c>
      <c r="AT20" s="3">
        <f t="shared" si="38"/>
        <v>16507.185372054137</v>
      </c>
      <c r="AU20" s="3">
        <f t="shared" si="38"/>
        <v>16342.113518333595</v>
      </c>
      <c r="AV20" s="3">
        <f t="shared" si="38"/>
        <v>16178.692383150259</v>
      </c>
      <c r="AW20" s="3">
        <f t="shared" si="38"/>
        <v>16016.905459318756</v>
      </c>
      <c r="AX20" s="3">
        <f t="shared" si="38"/>
        <v>15856.736404725569</v>
      </c>
      <c r="AY20" s="3">
        <f t="shared" si="38"/>
        <v>15698.169040678313</v>
      </c>
      <c r="AZ20" s="3">
        <f t="shared" si="38"/>
        <v>15541.18735027153</v>
      </c>
      <c r="BA20" s="3">
        <f t="shared" si="38"/>
        <v>15385.775476768815</v>
      </c>
      <c r="BB20" s="3">
        <f t="shared" si="38"/>
        <v>15231.917722001126</v>
      </c>
      <c r="BC20" s="3">
        <f t="shared" si="38"/>
        <v>15079.598544781114</v>
      </c>
      <c r="BD20" s="3">
        <f t="shared" si="38"/>
        <v>14928.802559333304</v>
      </c>
      <c r="BE20" s="3">
        <f t="shared" si="38"/>
        <v>14779.514533739972</v>
      </c>
      <c r="BF20" s="3">
        <f t="shared" si="38"/>
        <v>14631.719388402571</v>
      </c>
      <c r="BG20" s="3">
        <f t="shared" si="38"/>
        <v>14485.402194518545</v>
      </c>
      <c r="BH20" s="3">
        <f t="shared" si="38"/>
        <v>14340.548172573359</v>
      </c>
      <c r="BI20" s="3">
        <f t="shared" si="38"/>
        <v>14197.142690847626</v>
      </c>
      <c r="BJ20" s="3">
        <f t="shared" si="38"/>
        <v>14055.17126393915</v>
      </c>
      <c r="BK20" s="3">
        <f t="shared" si="38"/>
        <v>13914.619551299758</v>
      </c>
      <c r="BL20" s="3">
        <f t="shared" si="38"/>
        <v>13775.47335578676</v>
      </c>
      <c r="BM20" s="3">
        <f t="shared" si="38"/>
        <v>13637.718622228893</v>
      </c>
      <c r="BN20" s="3">
        <f t="shared" si="38"/>
        <v>13501.341436006604</v>
      </c>
      <c r="BO20" s="3">
        <f t="shared" si="38"/>
        <v>13366.328021646537</v>
      </c>
      <c r="BP20" s="3">
        <f t="shared" si="38"/>
        <v>13232.664741430071</v>
      </c>
      <c r="BQ20" s="3">
        <f t="shared" si="38"/>
        <v>13100.338094015771</v>
      </c>
      <c r="BR20" s="3">
        <f t="shared" si="38"/>
        <v>12969.334713075614</v>
      </c>
      <c r="BS20" s="3">
        <f t="shared" si="38"/>
        <v>12839.641365944857</v>
      </c>
      <c r="BT20" s="3">
        <f t="shared" si="38"/>
        <v>12711.244952285408</v>
      </c>
      <c r="BU20" s="3">
        <f t="shared" si="38"/>
        <v>12584.132502762553</v>
      </c>
      <c r="BV20" s="3">
        <f t="shared" si="38"/>
        <v>12458.291177734927</v>
      </c>
      <c r="BW20" s="3">
        <f t="shared" si="38"/>
        <v>12333.708265957577</v>
      </c>
      <c r="BX20" s="3">
        <f t="shared" si="38"/>
        <v>12210.371183298001</v>
      </c>
      <c r="BY20" s="3">
        <f t="shared" si="38"/>
        <v>12088.26747146502</v>
      </c>
      <c r="BZ20" s="3">
        <f t="shared" si="38"/>
        <v>11967.38479675037</v>
      </c>
      <c r="CA20" s="3">
        <f t="shared" si="38"/>
        <v>11847.710948782866</v>
      </c>
      <c r="CB20" s="3">
        <f t="shared" si="38"/>
        <v>11729.233839295037</v>
      </c>
      <c r="CC20" s="3">
        <f t="shared" si="38"/>
        <v>11611.941500902087</v>
      </c>
      <c r="CD20" s="3">
        <f t="shared" si="38"/>
        <v>11495.822085893065</v>
      </c>
      <c r="CE20" s="3">
        <f t="shared" si="38"/>
        <v>11380.863865034135</v>
      </c>
      <c r="CF20" s="3">
        <f t="shared" si="38"/>
        <v>11267.055226383793</v>
      </c>
      <c r="CG20" s="3">
        <f t="shared" si="38"/>
        <v>11154.384674119954</v>
      </c>
      <c r="CH20" s="3">
        <f t="shared" si="38"/>
        <v>11042.840827378754</v>
      </c>
      <c r="CI20" s="3">
        <f t="shared" si="38"/>
        <v>10932.412419104967</v>
      </c>
      <c r="CJ20" s="3">
        <f t="shared" si="38"/>
        <v>10823.088294913918</v>
      </c>
      <c r="CK20" s="3">
        <f t="shared" si="38"/>
        <v>10714.857411964778</v>
      </c>
      <c r="CL20" s="3">
        <f t="shared" si="38"/>
        <v>10607.70883784513</v>
      </c>
      <c r="CM20" s="3">
        <f t="shared" si="38"/>
        <v>10501.631749466678</v>
      </c>
      <c r="CN20" s="3">
        <f t="shared" si="38"/>
        <v>10396.615431972012</v>
      </c>
      <c r="CO20" s="3">
        <f t="shared" si="38"/>
        <v>10292.649277652292</v>
      </c>
      <c r="CP20" s="3">
        <f t="shared" si="38"/>
        <v>10189.722784875768</v>
      </c>
      <c r="CQ20" s="3">
        <f t="shared" si="38"/>
        <v>10087.82555702701</v>
      </c>
      <c r="CR20" s="3">
        <f t="shared" si="38"/>
        <v>9986.9473014567393</v>
      </c>
      <c r="CS20" s="3">
        <f t="shared" si="38"/>
        <v>9887.0778284421722</v>
      </c>
      <c r="CT20" s="3">
        <f t="shared" si="38"/>
        <v>9788.2070501577509</v>
      </c>
      <c r="CU20" s="3">
        <f t="shared" si="38"/>
        <v>9690.324979656174</v>
      </c>
      <c r="CV20" s="3">
        <f t="shared" si="38"/>
        <v>9593.4217298596122</v>
      </c>
      <c r="CW20" s="3">
        <f t="shared" si="38"/>
        <v>9497.487512561016</v>
      </c>
      <c r="CX20" s="3">
        <f t="shared" si="38"/>
        <v>9402.5126374354058</v>
      </c>
      <c r="CY20" s="3">
        <f t="shared" si="38"/>
        <v>9308.4875110610519</v>
      </c>
      <c r="CZ20" s="3">
        <f t="shared" si="38"/>
        <v>9215.4026359504405</v>
      </c>
      <c r="DA20" s="3">
        <f t="shared" si="38"/>
        <v>9123.2486095909353</v>
      </c>
      <c r="DB20" s="3">
        <f t="shared" si="38"/>
        <v>9032.0161234950265</v>
      </c>
      <c r="DC20" s="3">
        <f t="shared" ref="DC20:EL20" si="39">DB20*(1+$AR$25)</f>
        <v>8941.6959622600752</v>
      </c>
      <c r="DD20" s="3">
        <f t="shared" si="39"/>
        <v>8852.2790026374751</v>
      </c>
      <c r="DE20" s="3">
        <f t="shared" si="39"/>
        <v>8763.7562126111006</v>
      </c>
      <c r="DF20" s="3">
        <f t="shared" si="39"/>
        <v>8676.1186504849902</v>
      </c>
      <c r="DG20" s="3">
        <f t="shared" si="39"/>
        <v>8589.3574639801409</v>
      </c>
      <c r="DH20" s="3">
        <f t="shared" si="39"/>
        <v>8503.4638893403389</v>
      </c>
      <c r="DI20" s="3">
        <f t="shared" si="39"/>
        <v>8418.4292504469358</v>
      </c>
      <c r="DJ20" s="3">
        <f t="shared" si="39"/>
        <v>8334.2449579424665</v>
      </c>
      <c r="DK20" s="3">
        <f t="shared" si="39"/>
        <v>8250.9025083630422</v>
      </c>
      <c r="DL20" s="3">
        <f t="shared" si="39"/>
        <v>8168.3934832794121</v>
      </c>
      <c r="DM20" s="3">
        <f t="shared" si="39"/>
        <v>8086.7095484466181</v>
      </c>
      <c r="DN20" s="3">
        <f t="shared" si="39"/>
        <v>8005.8424529621516</v>
      </c>
      <c r="DO20" s="3">
        <f t="shared" si="39"/>
        <v>7925.7840284325302</v>
      </c>
      <c r="DP20" s="3">
        <f t="shared" si="39"/>
        <v>7846.5261881482047</v>
      </c>
      <c r="DQ20" s="3">
        <f t="shared" si="39"/>
        <v>7768.0609262667222</v>
      </c>
      <c r="DR20" s="3">
        <f t="shared" si="39"/>
        <v>7690.3803170040546</v>
      </c>
      <c r="DS20" s="3">
        <f t="shared" si="39"/>
        <v>7613.4765138340144</v>
      </c>
      <c r="DT20" s="3">
        <f t="shared" si="39"/>
        <v>7537.3417486956741</v>
      </c>
      <c r="DU20" s="3">
        <f t="shared" si="39"/>
        <v>7461.9683312087172</v>
      </c>
      <c r="DV20" s="3">
        <f t="shared" si="39"/>
        <v>7387.3486478966297</v>
      </c>
      <c r="DW20" s="3">
        <f t="shared" si="39"/>
        <v>7313.475161417663</v>
      </c>
      <c r="DX20" s="3">
        <f t="shared" si="39"/>
        <v>7240.3404098034862</v>
      </c>
      <c r="DY20" s="3">
        <f t="shared" si="39"/>
        <v>7167.9370057054512</v>
      </c>
      <c r="DZ20" s="3">
        <f t="shared" si="39"/>
        <v>7096.2576356483969</v>
      </c>
      <c r="EA20" s="3">
        <f t="shared" si="39"/>
        <v>7025.2950592919133</v>
      </c>
      <c r="EB20" s="3">
        <f t="shared" si="39"/>
        <v>6955.0421086989945</v>
      </c>
      <c r="EC20" s="3">
        <f t="shared" si="39"/>
        <v>6885.4916876120042</v>
      </c>
      <c r="ED20" s="3">
        <f t="shared" si="39"/>
        <v>6816.6367707358841</v>
      </c>
      <c r="EE20" s="3">
        <f t="shared" si="39"/>
        <v>6748.4704030285247</v>
      </c>
      <c r="EF20" s="3">
        <f t="shared" si="39"/>
        <v>6680.9856989982391</v>
      </c>
      <c r="EG20" s="3">
        <f t="shared" si="39"/>
        <v>6614.175842008257</v>
      </c>
      <c r="EH20" s="3">
        <f t="shared" si="39"/>
        <v>6548.0340835881743</v>
      </c>
      <c r="EI20" s="3">
        <f t="shared" si="39"/>
        <v>6482.5537427522922</v>
      </c>
      <c r="EJ20" s="3">
        <f t="shared" si="39"/>
        <v>6417.7282053247691</v>
      </c>
      <c r="EK20" s="3">
        <f t="shared" si="39"/>
        <v>6353.5509232715212</v>
      </c>
      <c r="EL20" s="3">
        <f t="shared" si="39"/>
        <v>6290.0154140388058</v>
      </c>
    </row>
    <row r="21" spans="2:142" x14ac:dyDescent="0.3">
      <c r="B21" t="s">
        <v>2</v>
      </c>
      <c r="C21" s="5">
        <v>1622.8</v>
      </c>
      <c r="D21" s="5">
        <v>1622.8</v>
      </c>
      <c r="E21" s="5">
        <v>1622.8</v>
      </c>
      <c r="F21" s="5">
        <v>1622.8</v>
      </c>
      <c r="G21" s="5">
        <v>1622.8</v>
      </c>
      <c r="H21" s="5">
        <v>1622.8</v>
      </c>
      <c r="I21" s="5">
        <v>1622.8</v>
      </c>
      <c r="J21" s="5">
        <v>1622.8</v>
      </c>
      <c r="K21" s="5">
        <v>1622.8</v>
      </c>
      <c r="L21" s="5">
        <v>1622.8</v>
      </c>
      <c r="M21" s="5">
        <v>1622.8</v>
      </c>
      <c r="N21" s="5">
        <v>1622.8</v>
      </c>
      <c r="O21" s="5">
        <v>1622.8</v>
      </c>
      <c r="P21" s="5">
        <v>1622.8</v>
      </c>
      <c r="Q21" s="5">
        <v>1622.8</v>
      </c>
      <c r="R21" s="5">
        <f>1620.5</f>
        <v>1620.5</v>
      </c>
      <c r="S21" s="5">
        <f t="shared" ref="S21:V21" si="40">1620.5</f>
        <v>1620.5</v>
      </c>
      <c r="T21" s="5">
        <f t="shared" si="40"/>
        <v>1620.5</v>
      </c>
      <c r="U21" s="5">
        <f t="shared" si="40"/>
        <v>1620.5</v>
      </c>
      <c r="V21" s="5">
        <f t="shared" si="40"/>
        <v>1620.5</v>
      </c>
      <c r="Y21" s="5">
        <v>1622.8</v>
      </c>
      <c r="Z21" s="5">
        <v>1622.8</v>
      </c>
      <c r="AA21" s="5">
        <v>1622.8</v>
      </c>
      <c r="AB21" s="5">
        <v>1622.8</v>
      </c>
      <c r="AC21" s="5">
        <v>1622.8</v>
      </c>
      <c r="AD21" s="5">
        <f t="shared" ref="AD21:AO21" si="41">1620.5</f>
        <v>1620.5</v>
      </c>
      <c r="AE21" s="5">
        <f t="shared" si="41"/>
        <v>1620.5</v>
      </c>
      <c r="AF21" s="5">
        <f t="shared" si="41"/>
        <v>1620.5</v>
      </c>
      <c r="AG21" s="5">
        <f t="shared" si="41"/>
        <v>1620.5</v>
      </c>
      <c r="AH21" s="5">
        <f t="shared" si="41"/>
        <v>1620.5</v>
      </c>
      <c r="AI21" s="5">
        <f t="shared" si="41"/>
        <v>1620.5</v>
      </c>
      <c r="AJ21" s="5">
        <f t="shared" si="41"/>
        <v>1620.5</v>
      </c>
      <c r="AK21" s="5">
        <f t="shared" si="41"/>
        <v>1620.5</v>
      </c>
      <c r="AL21" s="5">
        <f t="shared" si="41"/>
        <v>1620.5</v>
      </c>
      <c r="AM21" s="5">
        <f t="shared" si="41"/>
        <v>1620.5</v>
      </c>
      <c r="AN21" s="5">
        <f t="shared" si="41"/>
        <v>1620.5</v>
      </c>
      <c r="AO21" s="5">
        <f t="shared" si="41"/>
        <v>1620.5</v>
      </c>
    </row>
    <row r="22" spans="2:142" x14ac:dyDescent="0.3">
      <c r="B22" t="s">
        <v>30</v>
      </c>
      <c r="C22" s="7">
        <f t="shared" ref="C22:Q22" si="42">C20/C21</f>
        <v>0.3420014789253143</v>
      </c>
      <c r="D22" s="7">
        <f t="shared" si="42"/>
        <v>0.43751540547202367</v>
      </c>
      <c r="E22" s="7">
        <f t="shared" si="42"/>
        <v>0.56877002711363078</v>
      </c>
      <c r="F22" s="7">
        <f t="shared" si="42"/>
        <v>0.60019719004190286</v>
      </c>
      <c r="G22" s="7">
        <f t="shared" si="42"/>
        <v>0.48434804042395863</v>
      </c>
      <c r="H22" s="7">
        <f t="shared" si="42"/>
        <v>0.27544983978309096</v>
      </c>
      <c r="I22" s="7">
        <f t="shared" si="42"/>
        <v>4.0670446142469806E-2</v>
      </c>
      <c r="J22" s="7">
        <f t="shared" si="42"/>
        <v>1.2940596499876757E-2</v>
      </c>
      <c r="K22" s="7">
        <f t="shared" si="42"/>
        <v>-8.5654424451565195E-2</v>
      </c>
      <c r="L22" s="7">
        <f t="shared" si="42"/>
        <v>1.6637909785555832E-2</v>
      </c>
      <c r="M22" s="7">
        <f t="shared" si="42"/>
        <v>0.18424944540300717</v>
      </c>
      <c r="N22" s="7">
        <f t="shared" si="42"/>
        <v>0.41101799359132363</v>
      </c>
      <c r="O22" s="7">
        <f t="shared" si="42"/>
        <v>7.5794922356421005E-2</v>
      </c>
      <c r="P22" s="7">
        <f t="shared" si="42"/>
        <v>0.16329800345082573</v>
      </c>
      <c r="Q22" s="7">
        <f t="shared" si="42"/>
        <v>0.47510475720976092</v>
      </c>
      <c r="R22" s="7">
        <f t="shared" ref="R22:V22" si="43">R20/R21</f>
        <v>0.29743906201789572</v>
      </c>
      <c r="S22" s="7">
        <f t="shared" si="43"/>
        <v>0.29980388768898519</v>
      </c>
      <c r="T22" s="7">
        <f t="shared" si="43"/>
        <v>0.39261535328602298</v>
      </c>
      <c r="U22" s="7">
        <f t="shared" si="43"/>
        <v>0.56484073742671981</v>
      </c>
      <c r="V22" s="7">
        <f t="shared" si="43"/>
        <v>0.85633053995680319</v>
      </c>
      <c r="Y22" s="7">
        <f t="shared" ref="Y22:AD22" si="44">Y20/Y21</f>
        <v>0.21013063840276067</v>
      </c>
      <c r="Z22" s="7">
        <f t="shared" si="44"/>
        <v>1.5343850135568153</v>
      </c>
      <c r="AA22" s="7">
        <f t="shared" si="44"/>
        <v>1.9484841015528716</v>
      </c>
      <c r="AB22" s="7">
        <f t="shared" si="44"/>
        <v>0.81340892284939614</v>
      </c>
      <c r="AC22" s="7">
        <f t="shared" si="44"/>
        <v>0.52625092432832143</v>
      </c>
      <c r="AD22" s="7">
        <f t="shared" si="44"/>
        <v>1.0126504165381056</v>
      </c>
      <c r="AE22" s="7">
        <f t="shared" ref="AE22:AO22" si="45">AE20/AE21</f>
        <v>2.1135905183585311</v>
      </c>
      <c r="AF22" s="7">
        <f t="shared" si="45"/>
        <v>3.5965701258130207</v>
      </c>
      <c r="AG22" s="7">
        <f t="shared" si="45"/>
        <v>4.8242189505100876</v>
      </c>
      <c r="AH22" s="7">
        <f t="shared" si="45"/>
        <v>6.0405326957437717</v>
      </c>
      <c r="AI22" s="7">
        <f t="shared" si="45"/>
        <v>6.8754860657953252</v>
      </c>
      <c r="AJ22" s="7">
        <f t="shared" si="45"/>
        <v>7.5205158744854286</v>
      </c>
      <c r="AK22" s="7">
        <f t="shared" si="45"/>
        <v>8.1440934989490259</v>
      </c>
      <c r="AL22" s="7">
        <f t="shared" si="45"/>
        <v>8.8197974468932241</v>
      </c>
      <c r="AM22" s="7">
        <f t="shared" si="45"/>
        <v>9.5229208567566186</v>
      </c>
      <c r="AN22" s="7">
        <f t="shared" si="45"/>
        <v>10.254662770163623</v>
      </c>
      <c r="AO22" s="7">
        <f t="shared" si="45"/>
        <v>10.711443959731598</v>
      </c>
    </row>
    <row r="24" spans="2:142" x14ac:dyDescent="0.3">
      <c r="B24" t="s">
        <v>45</v>
      </c>
      <c r="C24" s="9"/>
      <c r="D24" s="9"/>
      <c r="E24" s="9"/>
      <c r="F24" s="9"/>
      <c r="G24" s="9">
        <f>G3/C3-1</f>
        <v>0.70885341074020314</v>
      </c>
      <c r="H24" s="9">
        <f t="shared" ref="H24:R24" si="46">H3/D3-1</f>
        <v>0.70129870129870131</v>
      </c>
      <c r="I24" s="9">
        <f t="shared" si="46"/>
        <v>0.29028518432645489</v>
      </c>
      <c r="J24" s="9">
        <f t="shared" si="46"/>
        <v>0.16017405719021971</v>
      </c>
      <c r="K24" s="9">
        <f t="shared" si="46"/>
        <v>-9.0708340411075228E-2</v>
      </c>
      <c r="L24" s="9">
        <f t="shared" si="46"/>
        <v>-0.18183206106870231</v>
      </c>
      <c r="M24" s="9">
        <f t="shared" si="46"/>
        <v>4.2228212039532753E-2</v>
      </c>
      <c r="N24" s="9">
        <f t="shared" si="46"/>
        <v>0.10162529023039824</v>
      </c>
      <c r="O24" s="9">
        <f t="shared" si="46"/>
        <v>2.2417336073230043E-2</v>
      </c>
      <c r="P24" s="9">
        <f t="shared" si="46"/>
        <v>8.882254151894009E-2</v>
      </c>
      <c r="Q24" s="9">
        <f t="shared" si="46"/>
        <v>0.17568965517241386</v>
      </c>
      <c r="R24" s="9">
        <f t="shared" si="46"/>
        <v>0.24156939040207526</v>
      </c>
      <c r="S24" s="9">
        <f t="shared" ref="S24" si="47">S3/O3-1</f>
        <v>0.25</v>
      </c>
      <c r="T24" s="9">
        <f t="shared" ref="T24" si="48">T3/P3-1</f>
        <v>0.22999999999999998</v>
      </c>
      <c r="U24" s="9">
        <f t="shared" ref="U24" si="49">U3/Q3-1</f>
        <v>0.14999999999999991</v>
      </c>
      <c r="V24" s="9">
        <f t="shared" ref="V24" si="50">V3/R3-1</f>
        <v>0.14999999999999991</v>
      </c>
      <c r="Y24" s="9"/>
      <c r="Z24" s="9">
        <f>Z3/Y3-1</f>
        <v>0.45045312732134901</v>
      </c>
      <c r="AA24" s="9">
        <f t="shared" ref="AA24:AO24" si="51">AA3/Z3-1</f>
        <v>0.68329406944586712</v>
      </c>
      <c r="AB24" s="9">
        <f t="shared" si="51"/>
        <v>0.43610806863818907</v>
      </c>
      <c r="AC24" s="9">
        <f t="shared" si="51"/>
        <v>-3.9023770179229644E-2</v>
      </c>
      <c r="AD24" s="9">
        <f t="shared" si="51"/>
        <v>0.13690476190476186</v>
      </c>
      <c r="AE24" s="9">
        <f t="shared" si="51"/>
        <v>0.18932906728718235</v>
      </c>
      <c r="AF24" s="9">
        <f t="shared" si="51"/>
        <v>0.15999999999999992</v>
      </c>
      <c r="AG24" s="9">
        <f t="shared" si="51"/>
        <v>0.12000000000000011</v>
      </c>
      <c r="AH24" s="9">
        <f t="shared" si="51"/>
        <v>9.000000000000008E-2</v>
      </c>
      <c r="AI24" s="9">
        <f t="shared" si="51"/>
        <v>6.0000000000000053E-2</v>
      </c>
      <c r="AJ24" s="9">
        <f t="shared" si="51"/>
        <v>4.0000000000000036E-2</v>
      </c>
      <c r="AK24" s="9">
        <f t="shared" si="51"/>
        <v>3.0000000000000027E-2</v>
      </c>
      <c r="AL24" s="9">
        <f t="shared" si="51"/>
        <v>3.0000000000000027E-2</v>
      </c>
      <c r="AM24" s="9">
        <f t="shared" si="51"/>
        <v>3.0000000000000027E-2</v>
      </c>
      <c r="AN24" s="9">
        <f t="shared" si="51"/>
        <v>3.0000000000000027E-2</v>
      </c>
      <c r="AO24" s="9">
        <f t="shared" si="51"/>
        <v>3.0000000000000027E-2</v>
      </c>
    </row>
    <row r="25" spans="2:142" x14ac:dyDescent="0.3">
      <c r="B25" t="s">
        <v>46</v>
      </c>
      <c r="C25" s="9">
        <f t="shared" ref="C25:F25" si="52">C7/C3</f>
        <v>0.46066763425253993</v>
      </c>
      <c r="D25" s="9">
        <f t="shared" si="52"/>
        <v>0.47532467532467532</v>
      </c>
      <c r="E25" s="9">
        <f t="shared" si="52"/>
        <v>0.48365406909343844</v>
      </c>
      <c r="F25" s="9">
        <f t="shared" si="52"/>
        <v>0.50269374222958974</v>
      </c>
      <c r="G25" s="9">
        <f>G7/G3</f>
        <v>0.4786818413453372</v>
      </c>
      <c r="H25" s="9">
        <f t="shared" ref="H25:R25" si="53">H7/H3</f>
        <v>0.46229007633587788</v>
      </c>
      <c r="I25" s="9">
        <f t="shared" si="53"/>
        <v>0.42300089847259659</v>
      </c>
      <c r="J25" s="9">
        <f t="shared" si="53"/>
        <v>0.42918378281836045</v>
      </c>
      <c r="K25" s="9">
        <f t="shared" si="53"/>
        <v>0.44068746497291239</v>
      </c>
      <c r="L25" s="9">
        <f t="shared" si="53"/>
        <v>0.4558686322075014</v>
      </c>
      <c r="M25" s="9">
        <f t="shared" si="53"/>
        <v>0.4736206896551724</v>
      </c>
      <c r="N25" s="9">
        <f t="shared" si="53"/>
        <v>0.47195201037613488</v>
      </c>
      <c r="O25" s="9">
        <f t="shared" si="53"/>
        <v>0.46775077653937513</v>
      </c>
      <c r="P25" s="9">
        <f t="shared" si="53"/>
        <v>0.49083119108826051</v>
      </c>
      <c r="Q25" s="9">
        <f t="shared" si="53"/>
        <v>0.50139316615339491</v>
      </c>
      <c r="R25" s="9">
        <f t="shared" si="53"/>
        <v>0.50692086706711936</v>
      </c>
      <c r="S25" s="9">
        <f t="shared" ref="S25:V25" si="54">S7/S3</f>
        <v>0.52</v>
      </c>
      <c r="T25" s="9">
        <f t="shared" si="54"/>
        <v>0.52</v>
      </c>
      <c r="U25" s="9">
        <f t="shared" si="54"/>
        <v>0.52999999999999992</v>
      </c>
      <c r="V25" s="9">
        <f t="shared" si="54"/>
        <v>0.54</v>
      </c>
      <c r="Y25" s="9">
        <f t="shared" ref="Y25" si="55">Y7/Y3</f>
        <v>0.42608824840291187</v>
      </c>
      <c r="Z25" s="9">
        <f t="shared" ref="Z25:AO25" si="56">Z7/Z3</f>
        <v>0.44525248386766364</v>
      </c>
      <c r="AA25" s="9">
        <f t="shared" si="56"/>
        <v>0.48247535596933189</v>
      </c>
      <c r="AB25" s="9">
        <f t="shared" si="56"/>
        <v>0.4492606245498072</v>
      </c>
      <c r="AC25" s="9">
        <f t="shared" si="56"/>
        <v>0.46119929453262787</v>
      </c>
      <c r="AD25" s="9">
        <f t="shared" si="56"/>
        <v>0.49350397517936784</v>
      </c>
      <c r="AE25" s="9">
        <f t="shared" si="56"/>
        <v>0.52830057537699504</v>
      </c>
      <c r="AF25" s="9">
        <f t="shared" si="56"/>
        <v>0.55000000000000004</v>
      </c>
      <c r="AG25" s="9">
        <f t="shared" si="56"/>
        <v>0.56999999999999995</v>
      </c>
      <c r="AH25" s="9">
        <f t="shared" si="56"/>
        <v>0.59</v>
      </c>
      <c r="AI25" s="9">
        <f t="shared" si="56"/>
        <v>0.6</v>
      </c>
      <c r="AJ25" s="9">
        <f t="shared" si="56"/>
        <v>0.61</v>
      </c>
      <c r="AK25" s="9">
        <f t="shared" si="56"/>
        <v>0.62</v>
      </c>
      <c r="AL25" s="9">
        <f t="shared" si="56"/>
        <v>0.63</v>
      </c>
      <c r="AM25" s="9">
        <f t="shared" si="56"/>
        <v>0.64</v>
      </c>
      <c r="AN25" s="9">
        <f t="shared" si="56"/>
        <v>0.65</v>
      </c>
      <c r="AO25" s="9">
        <f t="shared" si="56"/>
        <v>0.65</v>
      </c>
      <c r="AQ25" t="s">
        <v>54</v>
      </c>
      <c r="AR25" s="9">
        <v>-0.01</v>
      </c>
    </row>
    <row r="26" spans="2:142" x14ac:dyDescent="0.3">
      <c r="B26" t="s">
        <v>47</v>
      </c>
      <c r="C26" s="9">
        <f t="shared" ref="C26:F26" si="57">(C3-C4)/C3</f>
        <v>0.46066763425253993</v>
      </c>
      <c r="D26" s="9">
        <f t="shared" si="57"/>
        <v>0.47532467532467532</v>
      </c>
      <c r="E26" s="9">
        <f t="shared" si="57"/>
        <v>0.48365406909343844</v>
      </c>
      <c r="F26" s="9">
        <f t="shared" si="57"/>
        <v>0.50269374222958974</v>
      </c>
      <c r="G26" s="9">
        <f>(G3-G4)/G3</f>
        <v>0.51027688126380155</v>
      </c>
      <c r="H26" s="9">
        <f t="shared" ref="H26:R26" si="58">(H3-H4)/H3</f>
        <v>0.52442748091603053</v>
      </c>
      <c r="I26" s="9">
        <f t="shared" si="58"/>
        <v>0.49703504043126684</v>
      </c>
      <c r="J26" s="9">
        <f t="shared" si="58"/>
        <v>0.5083050544740132</v>
      </c>
      <c r="K26" s="9">
        <f t="shared" si="58"/>
        <v>0.49766486082570521</v>
      </c>
      <c r="L26" s="9">
        <f t="shared" si="58"/>
        <v>0.49542825153946629</v>
      </c>
      <c r="M26" s="9">
        <f t="shared" si="58"/>
        <v>0.5098275862068965</v>
      </c>
      <c r="N26" s="9">
        <f t="shared" si="58"/>
        <v>0.50680933852140075</v>
      </c>
      <c r="O26" s="9">
        <f t="shared" si="58"/>
        <v>0.5097752603690846</v>
      </c>
      <c r="P26" s="9">
        <f t="shared" si="58"/>
        <v>0.53041988003427587</v>
      </c>
      <c r="Q26" s="9">
        <f t="shared" si="58"/>
        <v>0.53556239917876525</v>
      </c>
      <c r="R26" s="9">
        <f t="shared" si="58"/>
        <v>0.53982763123530952</v>
      </c>
      <c r="S26" s="9">
        <f t="shared" ref="S26:V26" si="59">(S3-S4)/S3</f>
        <v>1</v>
      </c>
      <c r="T26" s="9">
        <f t="shared" si="59"/>
        <v>1</v>
      </c>
      <c r="U26" s="9">
        <f t="shared" si="59"/>
        <v>1</v>
      </c>
      <c r="V26" s="9">
        <f t="shared" si="59"/>
        <v>1</v>
      </c>
      <c r="Y26" s="9">
        <f t="shared" ref="Y26" si="60">(Y3-Y4)/Y3</f>
        <v>0.42608824840291187</v>
      </c>
      <c r="Z26" s="9">
        <f t="shared" ref="Z26:AD26" si="61">(Z3-Z4)/Z3</f>
        <v>0.44525248386766364</v>
      </c>
      <c r="AA26" s="9">
        <f t="shared" si="61"/>
        <v>0.48247535596933189</v>
      </c>
      <c r="AB26" s="9">
        <f t="shared" si="61"/>
        <v>0.51061395703571888</v>
      </c>
      <c r="AC26" s="9">
        <f t="shared" si="61"/>
        <v>0.5027336860670194</v>
      </c>
      <c r="AD26" s="9">
        <f t="shared" si="61"/>
        <v>0.53019197207678881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Q26" t="s">
        <v>55</v>
      </c>
      <c r="AR26" s="9">
        <v>7.0000000000000007E-2</v>
      </c>
    </row>
    <row r="27" spans="2:142" x14ac:dyDescent="0.3">
      <c r="B27" t="s">
        <v>48</v>
      </c>
      <c r="C27" s="9"/>
      <c r="D27" s="9"/>
      <c r="E27" s="9"/>
      <c r="F27" s="9"/>
      <c r="G27" s="9">
        <f>G8/C8-1</f>
        <v>0.73770491803278682</v>
      </c>
      <c r="H27" s="9">
        <f t="shared" ref="H27:R27" si="62">H8/D8-1</f>
        <v>0.9726858877086495</v>
      </c>
      <c r="I27" s="9">
        <f t="shared" si="62"/>
        <v>0.67189542483660136</v>
      </c>
      <c r="J27" s="9">
        <f t="shared" si="62"/>
        <v>0.68434032059186189</v>
      </c>
      <c r="K27" s="9">
        <f t="shared" si="62"/>
        <v>0.33113207547169821</v>
      </c>
      <c r="L27" s="9">
        <f t="shared" si="62"/>
        <v>0.1100000000000001</v>
      </c>
      <c r="M27" s="9">
        <f t="shared" si="62"/>
        <v>0.17826426896012504</v>
      </c>
      <c r="N27" s="9">
        <f t="shared" si="62"/>
        <v>0.10614934114202046</v>
      </c>
      <c r="O27" s="9">
        <f t="shared" si="62"/>
        <v>8.0793763288447895E-2</v>
      </c>
      <c r="P27" s="9">
        <f t="shared" si="62"/>
        <v>9.7020097020096951E-2</v>
      </c>
      <c r="Q27" s="9">
        <f t="shared" si="62"/>
        <v>8.5600530856005275E-2</v>
      </c>
      <c r="R27" s="9">
        <f t="shared" si="62"/>
        <v>0.13302448709463932</v>
      </c>
      <c r="S27" s="9">
        <f t="shared" ref="S27:S28" si="63">S8/O8-1</f>
        <v>0.1399999999999999</v>
      </c>
      <c r="T27" s="9">
        <f t="shared" ref="T27:T28" si="64">T8/P8-1</f>
        <v>0.12000000000000011</v>
      </c>
      <c r="U27" s="9">
        <f t="shared" ref="U27:U28" si="65">U8/Q8-1</f>
        <v>0.12000000000000011</v>
      </c>
      <c r="V27" s="9">
        <f t="shared" ref="V27:V28" si="66">V8/R8-1</f>
        <v>0.10000000000000009</v>
      </c>
      <c r="Y27" s="9"/>
      <c r="Z27" s="9">
        <f>Z8/Y8-1</f>
        <v>0.28183581124757606</v>
      </c>
      <c r="AA27" s="9">
        <f t="shared" ref="AA27:AO27" si="67">AA8/Z8-1</f>
        <v>0.43469490670700961</v>
      </c>
      <c r="AB27" s="9">
        <f t="shared" si="67"/>
        <v>0.75922671353251325</v>
      </c>
      <c r="AC27" s="9">
        <f t="shared" si="67"/>
        <v>0.17322677322677316</v>
      </c>
      <c r="AD27" s="9">
        <f t="shared" si="67"/>
        <v>9.9455040871934575E-2</v>
      </c>
      <c r="AE27" s="9">
        <f t="shared" si="67"/>
        <v>0.11942069392812904</v>
      </c>
      <c r="AF27" s="9">
        <f t="shared" si="67"/>
        <v>0.10000000000000009</v>
      </c>
      <c r="AG27" s="9">
        <f t="shared" si="67"/>
        <v>8.0000000000000071E-2</v>
      </c>
      <c r="AH27" s="9">
        <f t="shared" si="67"/>
        <v>6.0000000000000053E-2</v>
      </c>
      <c r="AI27" s="9">
        <f t="shared" si="67"/>
        <v>4.0000000000000036E-2</v>
      </c>
      <c r="AJ27" s="9">
        <f t="shared" si="67"/>
        <v>3.0000000000000027E-2</v>
      </c>
      <c r="AK27" s="9">
        <f t="shared" si="67"/>
        <v>1.0000000000000009E-2</v>
      </c>
      <c r="AL27" s="9">
        <f t="shared" si="67"/>
        <v>1.0000000000000009E-2</v>
      </c>
      <c r="AM27" s="9">
        <f t="shared" si="67"/>
        <v>1.0000000000000009E-2</v>
      </c>
      <c r="AN27" s="9">
        <f t="shared" si="67"/>
        <v>1.0000000000000009E-2</v>
      </c>
      <c r="AO27" s="9">
        <f t="shared" si="67"/>
        <v>1.0000000000000009E-2</v>
      </c>
      <c r="AQ27" t="s">
        <v>56</v>
      </c>
      <c r="AR27" s="5">
        <f>NPV(AR26,AE20:EL20)</f>
        <v>181842.68949999224</v>
      </c>
    </row>
    <row r="28" spans="2:142" x14ac:dyDescent="0.3">
      <c r="B28" t="s">
        <v>49</v>
      </c>
      <c r="C28" s="9"/>
      <c r="D28" s="9"/>
      <c r="E28" s="9"/>
      <c r="F28" s="9"/>
      <c r="G28" s="9">
        <f>G9/C9-1</f>
        <v>0.87147335423197503</v>
      </c>
      <c r="H28" s="9">
        <f t="shared" ref="H28:R28" si="68">H9/D9-1</f>
        <v>0.73607038123167157</v>
      </c>
      <c r="I28" s="9">
        <f t="shared" si="68"/>
        <v>0.4813829787234043</v>
      </c>
      <c r="J28" s="9">
        <f t="shared" si="68"/>
        <v>0.43203883495145634</v>
      </c>
      <c r="K28" s="9">
        <f t="shared" si="68"/>
        <v>-2.010050251256279E-2</v>
      </c>
      <c r="L28" s="9">
        <f t="shared" si="68"/>
        <v>-7.6013513513513487E-2</v>
      </c>
      <c r="M28" s="9">
        <f t="shared" si="68"/>
        <v>3.4111310592459532E-2</v>
      </c>
      <c r="N28" s="9">
        <f t="shared" si="68"/>
        <v>9.1525423728813449E-2</v>
      </c>
      <c r="O28" s="9">
        <f t="shared" si="68"/>
        <v>5.9829059829059839E-2</v>
      </c>
      <c r="P28" s="9">
        <f t="shared" si="68"/>
        <v>0.1882998171846435</v>
      </c>
      <c r="Q28" s="9">
        <f t="shared" si="68"/>
        <v>0.25173611111111116</v>
      </c>
      <c r="R28" s="9">
        <f t="shared" si="68"/>
        <v>0.22981366459627339</v>
      </c>
      <c r="S28" s="9">
        <f t="shared" si="63"/>
        <v>0.27</v>
      </c>
      <c r="T28" s="9">
        <f t="shared" si="64"/>
        <v>0.25</v>
      </c>
      <c r="U28" s="9">
        <f t="shared" si="65"/>
        <v>0.19999999999999996</v>
      </c>
      <c r="V28" s="9">
        <f t="shared" si="66"/>
        <v>0.14999999999999991</v>
      </c>
      <c r="Y28" s="9"/>
      <c r="Z28" s="9">
        <f>Z9/Y9-1</f>
        <v>0.32666666666666666</v>
      </c>
      <c r="AA28" s="9">
        <f t="shared" ref="AA28:AO28" si="69">AA9/Z9-1</f>
        <v>0.45527638190954778</v>
      </c>
      <c r="AB28" s="9">
        <f t="shared" si="69"/>
        <v>0.61325966850828739</v>
      </c>
      <c r="AC28" s="9">
        <f t="shared" si="69"/>
        <v>6.8493150684931781E-3</v>
      </c>
      <c r="AD28" s="9">
        <f t="shared" si="69"/>
        <v>0.18324829931972797</v>
      </c>
      <c r="AE28" s="9">
        <f t="shared" si="69"/>
        <v>0.21304347826086945</v>
      </c>
      <c r="AF28" s="9">
        <f t="shared" si="69"/>
        <v>0.14999999999999991</v>
      </c>
      <c r="AG28" s="9">
        <f t="shared" si="69"/>
        <v>9.000000000000008E-2</v>
      </c>
      <c r="AH28" s="9">
        <f t="shared" si="69"/>
        <v>6.0000000000000053E-2</v>
      </c>
      <c r="AI28" s="9">
        <f t="shared" si="69"/>
        <v>4.0000000000000036E-2</v>
      </c>
      <c r="AJ28" s="9">
        <f t="shared" si="69"/>
        <v>4.0000000000000036E-2</v>
      </c>
      <c r="AK28" s="9">
        <f t="shared" si="69"/>
        <v>4.0000000000000036E-2</v>
      </c>
      <c r="AL28" s="9">
        <f t="shared" si="69"/>
        <v>3.0000000000000027E-2</v>
      </c>
      <c r="AM28" s="9">
        <f t="shared" si="69"/>
        <v>3.0000000000000027E-2</v>
      </c>
      <c r="AN28" s="9">
        <f t="shared" si="69"/>
        <v>3.0000000000000027E-2</v>
      </c>
      <c r="AO28" s="9">
        <f t="shared" si="69"/>
        <v>3.0000000000000027E-2</v>
      </c>
      <c r="AQ28" t="s">
        <v>57</v>
      </c>
      <c r="AR28" s="5">
        <f>Main!D8</f>
        <v>3560</v>
      </c>
    </row>
    <row r="29" spans="2:142" x14ac:dyDescent="0.3">
      <c r="B29" t="s">
        <v>50</v>
      </c>
      <c r="C29" s="9">
        <f t="shared" ref="C29:F29" si="70">C9/C3</f>
        <v>9.2597968069666178E-2</v>
      </c>
      <c r="D29" s="9">
        <f t="shared" si="70"/>
        <v>8.8571428571428565E-2</v>
      </c>
      <c r="E29" s="9">
        <f t="shared" si="70"/>
        <v>8.7178298168328311E-2</v>
      </c>
      <c r="F29" s="9">
        <f t="shared" si="70"/>
        <v>8.5370907583920436E-2</v>
      </c>
      <c r="G29" s="9">
        <f>G9/G3</f>
        <v>0.10140988618990997</v>
      </c>
      <c r="H29" s="9">
        <f t="shared" ref="H29:R29" si="71">H9/H3</f>
        <v>9.0381679389312977E-2</v>
      </c>
      <c r="I29" s="9">
        <f t="shared" si="71"/>
        <v>0.10008984725965858</v>
      </c>
      <c r="J29" s="9">
        <f t="shared" si="71"/>
        <v>0.10537595999285587</v>
      </c>
      <c r="K29" s="9">
        <f t="shared" si="71"/>
        <v>0.10928451335699607</v>
      </c>
      <c r="L29" s="9">
        <f t="shared" si="71"/>
        <v>0.10207128195558873</v>
      </c>
      <c r="M29" s="9">
        <f t="shared" si="71"/>
        <v>9.9310344827586203E-2</v>
      </c>
      <c r="N29" s="9">
        <f t="shared" si="71"/>
        <v>0.10440985732814527</v>
      </c>
      <c r="O29" s="9">
        <f t="shared" si="71"/>
        <v>0.11328339119312991</v>
      </c>
      <c r="P29" s="9">
        <f t="shared" si="71"/>
        <v>0.11139674378748929</v>
      </c>
      <c r="Q29" s="9">
        <f t="shared" si="71"/>
        <v>0.10573397858923596</v>
      </c>
      <c r="R29" s="9">
        <f t="shared" si="71"/>
        <v>0.10342125881431183</v>
      </c>
      <c r="S29" s="9">
        <f t="shared" ref="S29:V29" si="72">S9/S3</f>
        <v>0.11509592545221999</v>
      </c>
      <c r="T29" s="9">
        <f t="shared" si="72"/>
        <v>0.11320807295476554</v>
      </c>
      <c r="U29" s="9">
        <f t="shared" si="72"/>
        <v>0.11033110809311578</v>
      </c>
      <c r="V29" s="9">
        <f t="shared" si="72"/>
        <v>0.10342125881431184</v>
      </c>
      <c r="Y29" s="9">
        <f t="shared" ref="Y29" si="73">Y9/Y3</f>
        <v>0.1114247511513891</v>
      </c>
      <c r="Z29" s="9">
        <f t="shared" ref="Z29:AO29" si="74">Z9/Z3</f>
        <v>0.10191539485813787</v>
      </c>
      <c r="AA29" s="9">
        <f t="shared" si="74"/>
        <v>8.81100158208592E-2</v>
      </c>
      <c r="AB29" s="9">
        <f t="shared" si="74"/>
        <v>9.8978856828100509E-2</v>
      </c>
      <c r="AC29" s="9">
        <f t="shared" si="74"/>
        <v>0.1037037037037037</v>
      </c>
      <c r="AD29" s="9">
        <f t="shared" si="74"/>
        <v>0.10793096761683149</v>
      </c>
      <c r="AE29" s="9">
        <f t="shared" si="74"/>
        <v>0.11008303754705813</v>
      </c>
      <c r="AF29" s="9">
        <f t="shared" si="74"/>
        <v>0.10913404584406626</v>
      </c>
      <c r="AG29" s="9">
        <f t="shared" si="74"/>
        <v>0.10621081247324304</v>
      </c>
      <c r="AH29" s="9">
        <f t="shared" si="74"/>
        <v>0.10328757910241984</v>
      </c>
      <c r="AI29" s="9">
        <f t="shared" si="74"/>
        <v>0.10133875685520438</v>
      </c>
      <c r="AJ29" s="9">
        <f t="shared" si="74"/>
        <v>0.10133875685520438</v>
      </c>
      <c r="AK29" s="9">
        <f t="shared" si="74"/>
        <v>0.10232262828098307</v>
      </c>
      <c r="AL29" s="9">
        <f t="shared" si="74"/>
        <v>0.10232262828098307</v>
      </c>
      <c r="AM29" s="9">
        <f t="shared" si="74"/>
        <v>0.10232262828098307</v>
      </c>
      <c r="AN29" s="9">
        <f t="shared" si="74"/>
        <v>0.10232262828098307</v>
      </c>
      <c r="AO29" s="9">
        <f t="shared" si="74"/>
        <v>0.10232262828098307</v>
      </c>
      <c r="AQ29" t="s">
        <v>58</v>
      </c>
      <c r="AR29" s="5">
        <f>AR27+AR28</f>
        <v>185402.68949999224</v>
      </c>
    </row>
    <row r="30" spans="2:142" x14ac:dyDescent="0.3">
      <c r="B30" t="s">
        <v>53</v>
      </c>
      <c r="C30" s="9">
        <f>C10/C3</f>
        <v>0</v>
      </c>
      <c r="D30" s="9">
        <f t="shared" ref="D30:R30" si="75">D10/D3</f>
        <v>0</v>
      </c>
      <c r="E30" s="9">
        <f t="shared" si="75"/>
        <v>0</v>
      </c>
      <c r="F30" s="9">
        <f t="shared" si="75"/>
        <v>0</v>
      </c>
      <c r="G30" s="9">
        <f t="shared" si="75"/>
        <v>4.9770681161882116E-2</v>
      </c>
      <c r="H30" s="9">
        <f t="shared" si="75"/>
        <v>9.4045801526717557E-2</v>
      </c>
      <c r="I30" s="9">
        <f t="shared" si="75"/>
        <v>0.10601976639712489</v>
      </c>
      <c r="J30" s="9">
        <f t="shared" si="75"/>
        <v>0.10734059653509555</v>
      </c>
      <c r="K30" s="9">
        <f t="shared" si="75"/>
        <v>9.6768167382776007E-2</v>
      </c>
      <c r="L30" s="9">
        <f t="shared" si="75"/>
        <v>8.9755551408844933E-2</v>
      </c>
      <c r="M30" s="9">
        <f t="shared" si="75"/>
        <v>7.7586206896551727E-2</v>
      </c>
      <c r="N30" s="9">
        <f t="shared" si="75"/>
        <v>6.8093385214007776E-2</v>
      </c>
      <c r="O30" s="9">
        <f t="shared" si="75"/>
        <v>7.1624337657591811E-2</v>
      </c>
      <c r="P30" s="9">
        <f t="shared" si="75"/>
        <v>6.3753213367609252E-2</v>
      </c>
      <c r="Q30" s="9">
        <f t="shared" si="75"/>
        <v>5.1620472210001468E-2</v>
      </c>
      <c r="R30" s="9">
        <f t="shared" si="75"/>
        <v>4.3353355967615567E-2</v>
      </c>
      <c r="S30" s="9">
        <f t="shared" ref="S30:V30" si="76">S10/S3</f>
        <v>5.6153480723551981E-2</v>
      </c>
      <c r="T30" s="9">
        <f t="shared" si="76"/>
        <v>5.0795243170940703E-2</v>
      </c>
      <c r="U30" s="9">
        <f t="shared" si="76"/>
        <v>4.3989619796349078E-2</v>
      </c>
      <c r="V30" s="9">
        <f t="shared" si="76"/>
        <v>3.6944598998489793E-2</v>
      </c>
      <c r="Y30" s="9">
        <f t="shared" ref="Y30" si="77">Y10/Y3</f>
        <v>0</v>
      </c>
      <c r="Z30" s="9">
        <f t="shared" ref="Z30:AO30" si="78">Z10/Z3</f>
        <v>0</v>
      </c>
      <c r="AA30" s="9">
        <f t="shared" si="78"/>
        <v>0</v>
      </c>
      <c r="AB30" s="9">
        <f t="shared" si="78"/>
        <v>8.8979280538960218E-2</v>
      </c>
      <c r="AC30" s="9">
        <f t="shared" si="78"/>
        <v>8.2407407407407401E-2</v>
      </c>
      <c r="AD30" s="9">
        <f t="shared" si="78"/>
        <v>5.6156680240449876E-2</v>
      </c>
      <c r="AE30" s="9">
        <f t="shared" si="78"/>
        <v>4.6272766847589498E-2</v>
      </c>
      <c r="AF30" s="9">
        <f t="shared" si="78"/>
        <v>3.7895800435525887E-2</v>
      </c>
      <c r="AG30" s="9">
        <f t="shared" si="78"/>
        <v>3.2143759297990702E-2</v>
      </c>
      <c r="AH30" s="9">
        <f t="shared" si="78"/>
        <v>2.8015203057881799E-2</v>
      </c>
      <c r="AI30" s="9">
        <f t="shared" si="78"/>
        <v>2.5107965004705385E-2</v>
      </c>
      <c r="AJ30" s="9">
        <f t="shared" si="78"/>
        <v>2.2935160340836647E-2</v>
      </c>
      <c r="AK30" s="9">
        <f t="shared" si="78"/>
        <v>2.1153788663878459E-2</v>
      </c>
      <c r="AL30" s="9">
        <f t="shared" si="78"/>
        <v>1.9510775952120907E-2</v>
      </c>
      <c r="AM30" s="9">
        <f t="shared" si="78"/>
        <v>1.799537587816977E-2</v>
      </c>
      <c r="AN30" s="9">
        <f t="shared" si="78"/>
        <v>1.6597676780836193E-2</v>
      </c>
      <c r="AO30" s="9">
        <f t="shared" si="78"/>
        <v>1.5308536836693577E-2</v>
      </c>
      <c r="AQ30" t="s">
        <v>59</v>
      </c>
      <c r="AR30" s="4">
        <f>AR29/AO21</f>
        <v>114.41079265658269</v>
      </c>
    </row>
    <row r="31" spans="2:142" x14ac:dyDescent="0.3">
      <c r="B31" t="s">
        <v>51</v>
      </c>
      <c r="C31" s="9">
        <f t="shared" ref="C31:F31" si="79">C14/C3</f>
        <v>0.19216255442670538</v>
      </c>
      <c r="D31" s="9">
        <f t="shared" si="79"/>
        <v>0.21584415584415584</v>
      </c>
      <c r="E31" s="9">
        <f t="shared" si="79"/>
        <v>0.21980060282865754</v>
      </c>
      <c r="F31" s="9">
        <f t="shared" si="79"/>
        <v>0.25010360547036886</v>
      </c>
      <c r="G31" s="9">
        <f>G14/G3</f>
        <v>0.16154238151860031</v>
      </c>
      <c r="H31" s="9">
        <f t="shared" ref="H31:R31" si="80">H14/H3</f>
        <v>8.0305343511450383E-2</v>
      </c>
      <c r="I31" s="9">
        <f t="shared" si="80"/>
        <v>-1.1500449236298293E-2</v>
      </c>
      <c r="J31" s="9">
        <f t="shared" si="80"/>
        <v>-2.661189498124665E-2</v>
      </c>
      <c r="K31" s="9">
        <f t="shared" si="80"/>
        <v>-2.7087614421819541E-2</v>
      </c>
      <c r="L31" s="9">
        <f t="shared" si="80"/>
        <v>-3.7320395596193321E-3</v>
      </c>
      <c r="M31" s="9">
        <f t="shared" si="80"/>
        <v>3.8620689655172416E-2</v>
      </c>
      <c r="N31" s="9">
        <f t="shared" si="80"/>
        <v>5.544747081712062E-2</v>
      </c>
      <c r="O31" s="9">
        <f t="shared" si="80"/>
        <v>6.5777452950849628E-3</v>
      </c>
      <c r="P31" s="9">
        <f t="shared" si="80"/>
        <v>4.6101113967437872E-2</v>
      </c>
      <c r="Q31" s="9">
        <f t="shared" si="80"/>
        <v>0.10617392579557119</v>
      </c>
      <c r="R31" s="9">
        <f t="shared" si="80"/>
        <v>0.11373726821624446</v>
      </c>
      <c r="S31" s="9">
        <f t="shared" ref="S31:V31" si="81">S14/S3</f>
        <v>8.2198428649735145E-2</v>
      </c>
      <c r="T31" s="9">
        <f t="shared" si="81"/>
        <v>0.10360050438550662</v>
      </c>
      <c r="U31" s="9">
        <f t="shared" si="81"/>
        <v>0.13769716329692605</v>
      </c>
      <c r="V31" s="9">
        <f t="shared" si="81"/>
        <v>0.18723335642181516</v>
      </c>
      <c r="Y31" s="9">
        <f t="shared" ref="Y31" si="82">Y14/Y3</f>
        <v>9.3745357302035356E-2</v>
      </c>
      <c r="Z31" s="9">
        <f t="shared" ref="Z31:AO31" si="83">Z14/Z3</f>
        <v>0.14022329202089523</v>
      </c>
      <c r="AA31" s="9">
        <f t="shared" si="83"/>
        <v>0.22197882438846295</v>
      </c>
      <c r="AB31" s="9">
        <f t="shared" si="83"/>
        <v>5.3557052667259859E-2</v>
      </c>
      <c r="AC31" s="9">
        <f t="shared" si="83"/>
        <v>1.7680776014109348E-2</v>
      </c>
      <c r="AD31" s="9">
        <f t="shared" si="83"/>
        <v>7.3686251696722896E-2</v>
      </c>
      <c r="AE31" s="9">
        <f t="shared" si="83"/>
        <v>0.13156207761801422</v>
      </c>
      <c r="AF31" s="9">
        <f t="shared" si="83"/>
        <v>0.18149853242069264</v>
      </c>
      <c r="AG31" s="9">
        <f t="shared" si="83"/>
        <v>0.21815493626118362</v>
      </c>
      <c r="AH31" s="9">
        <f t="shared" si="83"/>
        <v>0.2511376568437006</v>
      </c>
      <c r="AI31" s="9">
        <f t="shared" si="83"/>
        <v>0.26994767112514906</v>
      </c>
      <c r="AJ31" s="9">
        <f t="shared" si="83"/>
        <v>0.28409745277954607</v>
      </c>
      <c r="AK31" s="9">
        <f t="shared" si="83"/>
        <v>0.29884890701178207</v>
      </c>
      <c r="AL31" s="9">
        <f t="shared" si="83"/>
        <v>0.31436909789913881</v>
      </c>
      <c r="AM31" s="9">
        <f t="shared" si="83"/>
        <v>0.32968639113557074</v>
      </c>
      <c r="AN31" s="9">
        <f t="shared" si="83"/>
        <v>0.34481216022718153</v>
      </c>
      <c r="AO31" s="9">
        <f t="shared" si="83"/>
        <v>0.34975698045697456</v>
      </c>
      <c r="AQ31" t="s">
        <v>60</v>
      </c>
      <c r="AR31" s="4">
        <f>Main!D3</f>
        <v>93.62</v>
      </c>
    </row>
    <row r="32" spans="2:142" x14ac:dyDescent="0.3">
      <c r="B32" t="s">
        <v>27</v>
      </c>
      <c r="C32" s="9">
        <f t="shared" ref="C32:F32" si="84">C18/C17</f>
        <v>0.13862928348909656</v>
      </c>
      <c r="D32" s="9">
        <f t="shared" si="84"/>
        <v>0.13763702801461633</v>
      </c>
      <c r="E32" s="9">
        <f t="shared" si="84"/>
        <v>8.175473579262213E-2</v>
      </c>
      <c r="F32" s="9">
        <f t="shared" si="84"/>
        <v>0.19035743973399832</v>
      </c>
      <c r="G32" s="9">
        <f>G18/G17</f>
        <v>0.12611607142857142</v>
      </c>
      <c r="H32" s="9">
        <f t="shared" ref="H32:R32" si="85">H18/H17</f>
        <v>0.10865191146881288</v>
      </c>
      <c r="I32" s="9">
        <f t="shared" si="85"/>
        <v>1.8493150684931507</v>
      </c>
      <c r="J32" s="9">
        <f t="shared" si="85"/>
        <v>1.1323529411764706</v>
      </c>
      <c r="K32" s="9">
        <f t="shared" si="85"/>
        <v>-0.10236220472440945</v>
      </c>
      <c r="L32" s="9">
        <f t="shared" si="85"/>
        <v>11.5</v>
      </c>
      <c r="M32" s="9">
        <f t="shared" si="85"/>
        <v>-0.1517509727626459</v>
      </c>
      <c r="N32" s="9">
        <f t="shared" si="85"/>
        <v>-0.81593406593406592</v>
      </c>
      <c r="O32" s="9">
        <f t="shared" si="85"/>
        <v>-0.8125</v>
      </c>
      <c r="P32" s="9">
        <f t="shared" si="85"/>
        <v>0.13712374581939799</v>
      </c>
      <c r="Q32" s="9">
        <f t="shared" si="85"/>
        <v>-3.6635006784260515E-2</v>
      </c>
      <c r="R32" s="9">
        <f t="shared" si="85"/>
        <v>0.47131608548931386</v>
      </c>
      <c r="S32" s="9">
        <f t="shared" ref="S32:V32" si="86">S18/S17</f>
        <v>0.18</v>
      </c>
      <c r="T32" s="9">
        <f t="shared" si="86"/>
        <v>0.18</v>
      </c>
      <c r="U32" s="9">
        <f t="shared" si="86"/>
        <v>0.18</v>
      </c>
      <c r="V32" s="9">
        <f t="shared" si="86"/>
        <v>0.18</v>
      </c>
      <c r="Y32" s="9">
        <f t="shared" ref="Y32" si="87">Y18/Y17</f>
        <v>8.3333333333333329E-2</v>
      </c>
      <c r="Z32" s="9">
        <f t="shared" ref="Z32:AO32" si="88">Z18/Z17</f>
        <v>-0.94901960784313721</v>
      </c>
      <c r="AA32" s="9">
        <f t="shared" si="88"/>
        <v>0.13982011447260834</v>
      </c>
      <c r="AB32" s="9">
        <f t="shared" si="88"/>
        <v>-0.10304054054054054</v>
      </c>
      <c r="AC32" s="9">
        <f t="shared" si="88"/>
        <v>-0.7032520325203252</v>
      </c>
      <c r="AD32" s="9">
        <f t="shared" si="88"/>
        <v>0.19155354449472098</v>
      </c>
      <c r="AE32" s="9">
        <f t="shared" si="88"/>
        <v>0.18000000000000002</v>
      </c>
      <c r="AF32" s="9">
        <f t="shared" si="88"/>
        <v>0.11999999999999998</v>
      </c>
      <c r="AG32" s="9">
        <f t="shared" si="88"/>
        <v>0.12</v>
      </c>
      <c r="AH32" s="9">
        <f t="shared" si="88"/>
        <v>0.12</v>
      </c>
      <c r="AI32" s="9">
        <f t="shared" si="88"/>
        <v>0.12</v>
      </c>
      <c r="AJ32" s="9">
        <f t="shared" si="88"/>
        <v>0.12</v>
      </c>
      <c r="AK32" s="9">
        <f t="shared" si="88"/>
        <v>0.12</v>
      </c>
      <c r="AL32" s="9">
        <f t="shared" si="88"/>
        <v>0.12</v>
      </c>
      <c r="AM32" s="9">
        <f t="shared" si="88"/>
        <v>0.12</v>
      </c>
      <c r="AN32" s="9">
        <f t="shared" si="88"/>
        <v>0.11999999999999998</v>
      </c>
      <c r="AO32" s="9">
        <f t="shared" si="88"/>
        <v>0.12000000000000001</v>
      </c>
      <c r="AQ32" s="3" t="s">
        <v>61</v>
      </c>
      <c r="AR32" s="10">
        <f>AR30/AR31-1</f>
        <v>0.22207640094619396</v>
      </c>
    </row>
    <row r="33" spans="2:44" x14ac:dyDescent="0.3">
      <c r="B33" t="s">
        <v>52</v>
      </c>
      <c r="C33" s="9">
        <f t="shared" ref="C33:F33" si="89">C20/C3</f>
        <v>0.16110304789550073</v>
      </c>
      <c r="D33" s="9">
        <f t="shared" si="89"/>
        <v>0.18441558441558442</v>
      </c>
      <c r="E33" s="9">
        <f t="shared" si="89"/>
        <v>0.21400417342916764</v>
      </c>
      <c r="F33" s="9">
        <f t="shared" si="89"/>
        <v>0.20182345627849149</v>
      </c>
      <c r="G33" s="9">
        <f>G20/G3</f>
        <v>0.13351452352641413</v>
      </c>
      <c r="H33" s="9">
        <f t="shared" ref="H33:R33" si="90">H20/H3</f>
        <v>6.8244274809160302E-2</v>
      </c>
      <c r="I33" s="9">
        <f t="shared" si="90"/>
        <v>1.1859838274932614E-2</v>
      </c>
      <c r="J33" s="9">
        <f t="shared" si="90"/>
        <v>3.7506697624575818E-3</v>
      </c>
      <c r="K33" s="9">
        <f t="shared" si="90"/>
        <v>-2.5966747618158044E-2</v>
      </c>
      <c r="L33" s="9">
        <f t="shared" si="90"/>
        <v>5.0382534054860982E-3</v>
      </c>
      <c r="M33" s="9">
        <f t="shared" si="90"/>
        <v>5.1551724137931035E-2</v>
      </c>
      <c r="N33" s="9">
        <f t="shared" si="90"/>
        <v>0.10813878080415046</v>
      </c>
      <c r="O33" s="9">
        <f t="shared" si="90"/>
        <v>2.2473963091540289E-2</v>
      </c>
      <c r="P33" s="9">
        <f t="shared" si="90"/>
        <v>4.5415595544130251E-2</v>
      </c>
      <c r="Q33" s="9">
        <f t="shared" si="90"/>
        <v>0.11306643202815662</v>
      </c>
      <c r="R33" s="9">
        <f t="shared" si="90"/>
        <v>6.2940715591538257E-2</v>
      </c>
      <c r="S33" s="9">
        <f t="shared" ref="S33:V33" si="91">S20/S3</f>
        <v>7.101512150557289E-2</v>
      </c>
      <c r="T33" s="9">
        <f t="shared" si="91"/>
        <v>8.8648285855609243E-2</v>
      </c>
      <c r="U33" s="9">
        <f t="shared" si="91"/>
        <v>0.11672302007817027</v>
      </c>
      <c r="V33" s="9">
        <f t="shared" si="91"/>
        <v>0.15757135362848737</v>
      </c>
      <c r="Y33" s="9">
        <f t="shared" ref="Y33" si="92">Y20/Y3</f>
        <v>5.0661120190164909E-2</v>
      </c>
      <c r="Z33" s="9">
        <f t="shared" ref="Z33:AO33" si="93">Z20/Z3</f>
        <v>0.25504455597664655</v>
      </c>
      <c r="AA33" s="9">
        <f t="shared" si="93"/>
        <v>0.19240598758671049</v>
      </c>
      <c r="AB33" s="9">
        <f t="shared" si="93"/>
        <v>5.5929833481632135E-2</v>
      </c>
      <c r="AC33" s="9">
        <f t="shared" si="93"/>
        <v>3.7654320987654324E-2</v>
      </c>
      <c r="AD33" s="9">
        <f t="shared" si="93"/>
        <v>6.3641652123327522E-2</v>
      </c>
      <c r="AE33" s="9">
        <f t="shared" si="93"/>
        <v>0.11168650953717123</v>
      </c>
      <c r="AF33" s="9">
        <f t="shared" si="93"/>
        <v>0.16383640497576488</v>
      </c>
      <c r="AG33" s="9">
        <f t="shared" si="93"/>
        <v>0.19621439465211826</v>
      </c>
      <c r="AH33" s="9">
        <f t="shared" si="93"/>
        <v>0.22539931712987848</v>
      </c>
      <c r="AI33" s="9">
        <f t="shared" si="93"/>
        <v>0.24203317479721215</v>
      </c>
      <c r="AJ33" s="9">
        <f t="shared" si="93"/>
        <v>0.25455743388622659</v>
      </c>
      <c r="AK33" s="9">
        <f t="shared" si="93"/>
        <v>0.26763547486569139</v>
      </c>
      <c r="AL33" s="9">
        <f t="shared" si="93"/>
        <v>0.28139884721936148</v>
      </c>
      <c r="AM33" s="9">
        <f t="shared" si="93"/>
        <v>0.29498277232016978</v>
      </c>
      <c r="AN33" s="9">
        <f t="shared" si="93"/>
        <v>0.30839734897776766</v>
      </c>
      <c r="AO33" s="9">
        <f t="shared" si="93"/>
        <v>0.31275196605760081</v>
      </c>
      <c r="AQ33" t="s">
        <v>62</v>
      </c>
      <c r="AR33" s="6" t="s">
        <v>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2024-12-18T13:54:20Z</dcterms:created>
  <dcterms:modified xsi:type="dcterms:W3CDTF">2025-04-04T09:06:07Z</dcterms:modified>
</cp:coreProperties>
</file>