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00E1D0D-4F09-41D8-8BBC-D52D9DCDC5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N5" i="1"/>
  <c r="AO5" i="1"/>
  <c r="AP5" i="1"/>
  <c r="AQ5" i="1"/>
  <c r="AR5" i="1"/>
  <c r="AS5" i="1"/>
  <c r="AT5" i="1"/>
  <c r="AL7" i="1"/>
  <c r="AM7" i="1" s="1"/>
  <c r="AN7" i="1" s="1"/>
  <c r="AO7" i="1" s="1"/>
  <c r="AP7" i="1" s="1"/>
  <c r="AQ7" i="1" s="1"/>
  <c r="AR7" i="1" s="1"/>
  <c r="AS7" i="1" s="1"/>
  <c r="AT7" i="1" s="1"/>
  <c r="AR3" i="1"/>
  <c r="AS3" i="1" s="1"/>
  <c r="AT3" i="1" s="1"/>
  <c r="AQ3" i="1"/>
  <c r="AP3" i="1"/>
  <c r="AO3" i="1"/>
  <c r="AN3" i="1"/>
  <c r="AM3" i="1"/>
  <c r="AL3" i="1"/>
  <c r="AK3" i="1"/>
  <c r="AJ3" i="1"/>
  <c r="AA3" i="1"/>
  <c r="AK10" i="1" l="1"/>
  <c r="AL10" i="1" s="1"/>
  <c r="AM10" i="1" s="1"/>
  <c r="AN10" i="1" s="1"/>
  <c r="AO10" i="1" s="1"/>
  <c r="AP10" i="1" s="1"/>
  <c r="AQ10" i="1" s="1"/>
  <c r="AR10" i="1" s="1"/>
  <c r="AS10" i="1" s="1"/>
  <c r="AT10" i="1" s="1"/>
  <c r="AJ10" i="1"/>
  <c r="Z5" i="1"/>
  <c r="Z20" i="1" s="1"/>
  <c r="AI3" i="1"/>
  <c r="AI5" i="1" s="1"/>
  <c r="AA5" i="1"/>
  <c r="Z19" i="1"/>
  <c r="S5" i="1"/>
  <c r="S20" i="1" s="1"/>
  <c r="S7" i="1"/>
  <c r="S6" i="1"/>
  <c r="S22" i="1" s="1"/>
  <c r="W7" i="1"/>
  <c r="W6" i="1"/>
  <c r="V5" i="1"/>
  <c r="V20" i="1" s="1"/>
  <c r="U3" i="1"/>
  <c r="U5" i="1" s="1"/>
  <c r="U4" i="1"/>
  <c r="W5" i="1"/>
  <c r="W20" i="1" s="1"/>
  <c r="P5" i="1"/>
  <c r="P20" i="1" s="1"/>
  <c r="O7" i="1"/>
  <c r="O6" i="1"/>
  <c r="O22" i="1" s="1"/>
  <c r="O5" i="1"/>
  <c r="R5" i="1"/>
  <c r="R20" i="1" s="1"/>
  <c r="N5" i="1"/>
  <c r="W22" i="1"/>
  <c r="Q23" i="1"/>
  <c r="Q22" i="1"/>
  <c r="M22" i="1"/>
  <c r="M5" i="1"/>
  <c r="Q5" i="1"/>
  <c r="Q20" i="1" s="1"/>
  <c r="AK7" i="1"/>
  <c r="AJ7" i="1"/>
  <c r="AI7" i="1"/>
  <c r="AI10" i="1"/>
  <c r="U23" i="1"/>
  <c r="Y23" i="1"/>
  <c r="Y22" i="1"/>
  <c r="Y20" i="1"/>
  <c r="X20" i="1"/>
  <c r="X19" i="1"/>
  <c r="W19" i="1"/>
  <c r="V19" i="1"/>
  <c r="T19" i="1"/>
  <c r="S19" i="1"/>
  <c r="R19" i="1"/>
  <c r="Q19" i="1"/>
  <c r="P19" i="1"/>
  <c r="X5" i="1"/>
  <c r="X4" i="1"/>
  <c r="X3" i="1"/>
  <c r="AH22" i="1"/>
  <c r="AG22" i="1"/>
  <c r="AF22" i="1"/>
  <c r="AE22" i="1"/>
  <c r="AH23" i="1"/>
  <c r="AG23" i="1"/>
  <c r="AF23" i="1"/>
  <c r="AG8" i="1"/>
  <c r="AG5" i="1"/>
  <c r="AH5" i="1"/>
  <c r="AH8" i="1" s="1"/>
  <c r="D6" i="2"/>
  <c r="Y5" i="1"/>
  <c r="L10" i="1"/>
  <c r="L5" i="1"/>
  <c r="AI6" i="1" l="1"/>
  <c r="AI8" i="1" s="1"/>
  <c r="AA20" i="1"/>
  <c r="AA19" i="1"/>
  <c r="S23" i="1"/>
  <c r="W23" i="1"/>
  <c r="U22" i="1"/>
  <c r="U20" i="1"/>
  <c r="Y19" i="1"/>
  <c r="U19" i="1"/>
  <c r="T5" i="1"/>
  <c r="T20" i="1" s="1"/>
  <c r="AK23" i="1"/>
  <c r="AJ23" i="1"/>
  <c r="AI23" i="1"/>
  <c r="L11" i="1"/>
  <c r="L23" i="1"/>
  <c r="J10" i="1"/>
  <c r="J5" i="1"/>
  <c r="J20" i="1" s="1"/>
  <c r="AI22" i="1" l="1"/>
  <c r="AL23" i="1"/>
  <c r="AF11" i="1"/>
  <c r="N19" i="1"/>
  <c r="L19" i="1"/>
  <c r="AC10" i="1"/>
  <c r="AC11" i="1" s="1"/>
  <c r="AC6" i="1"/>
  <c r="AC5" i="1"/>
  <c r="AC20" i="1" s="1"/>
  <c r="AM23" i="1" l="1"/>
  <c r="N20" i="1"/>
  <c r="L20" i="1"/>
  <c r="L8" i="1"/>
  <c r="AC8" i="1"/>
  <c r="F3" i="2"/>
  <c r="AN23" i="1" l="1"/>
  <c r="N21" i="1"/>
  <c r="L12" i="1"/>
  <c r="L21" i="1"/>
  <c r="AC12" i="1"/>
  <c r="AC21" i="1"/>
  <c r="AW24" i="1"/>
  <c r="J11" i="1"/>
  <c r="H19" i="1"/>
  <c r="AO23" i="1" l="1"/>
  <c r="L24" i="1"/>
  <c r="AC24" i="1"/>
  <c r="AC15" i="1"/>
  <c r="AC25" i="1" s="1"/>
  <c r="J19" i="1"/>
  <c r="G14" i="1"/>
  <c r="AD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G9" i="1"/>
  <c r="AD9" i="1" s="1"/>
  <c r="E13" i="1"/>
  <c r="E4" i="1"/>
  <c r="E3" i="1"/>
  <c r="D10" i="1"/>
  <c r="D6" i="1"/>
  <c r="D5" i="1"/>
  <c r="F6" i="1"/>
  <c r="J23" i="1" s="1"/>
  <c r="F10" i="1"/>
  <c r="F11" i="1" s="1"/>
  <c r="F5" i="1"/>
  <c r="AP23" i="1" l="1"/>
  <c r="L15" i="1"/>
  <c r="L25" i="1" s="1"/>
  <c r="AC17" i="1"/>
  <c r="E6" i="1"/>
  <c r="G6" i="1" s="1"/>
  <c r="H23" i="1"/>
  <c r="E5" i="1"/>
  <c r="E20" i="1" s="1"/>
  <c r="G4" i="1"/>
  <c r="J8" i="1"/>
  <c r="G3" i="1"/>
  <c r="F8" i="1"/>
  <c r="F20" i="1"/>
  <c r="D8" i="1"/>
  <c r="D21" i="1" s="1"/>
  <c r="D20" i="1"/>
  <c r="E10" i="1"/>
  <c r="E11" i="1" s="1"/>
  <c r="G13" i="1"/>
  <c r="AD13" i="1" s="1"/>
  <c r="D11" i="1"/>
  <c r="D8" i="2"/>
  <c r="AW21" i="1" s="1"/>
  <c r="H10" i="1"/>
  <c r="I9" i="1"/>
  <c r="K9" i="1" s="1"/>
  <c r="AQ23" i="1" l="1"/>
  <c r="L17" i="1"/>
  <c r="J12" i="1"/>
  <c r="J24" i="1" s="1"/>
  <c r="J21" i="1"/>
  <c r="E8" i="1"/>
  <c r="E21" i="1" s="1"/>
  <c r="D12" i="1"/>
  <c r="D15" i="1" s="1"/>
  <c r="AD3" i="1"/>
  <c r="G5" i="1"/>
  <c r="G20" i="1" s="1"/>
  <c r="AD4" i="1"/>
  <c r="AE9" i="1"/>
  <c r="AD6" i="1"/>
  <c r="F12" i="1"/>
  <c r="F15" i="1" s="1"/>
  <c r="F21" i="1"/>
  <c r="H11" i="1"/>
  <c r="G10" i="1"/>
  <c r="D5" i="2"/>
  <c r="D9" i="2" s="1"/>
  <c r="I14" i="1"/>
  <c r="I10" i="1"/>
  <c r="I4" i="1"/>
  <c r="I3" i="1"/>
  <c r="I6" i="1"/>
  <c r="H5" i="1"/>
  <c r="I13" i="1"/>
  <c r="K13" i="1" s="1"/>
  <c r="AR23" i="1" l="1"/>
  <c r="AE4" i="1"/>
  <c r="E12" i="1"/>
  <c r="E15" i="1" s="1"/>
  <c r="K4" i="1"/>
  <c r="K6" i="1"/>
  <c r="K3" i="1"/>
  <c r="AE3" i="1" s="1"/>
  <c r="K10" i="1"/>
  <c r="K11" i="1" s="1"/>
  <c r="K14" i="1"/>
  <c r="AE14" i="1" s="1"/>
  <c r="I23" i="1"/>
  <c r="AD19" i="1"/>
  <c r="J15" i="1"/>
  <c r="G8" i="1"/>
  <c r="G21" i="1" s="1"/>
  <c r="AD5" i="1"/>
  <c r="AD20" i="1" s="1"/>
  <c r="D24" i="1"/>
  <c r="G11" i="1"/>
  <c r="AD10" i="1"/>
  <c r="AD11" i="1" s="1"/>
  <c r="F24" i="1"/>
  <c r="H8" i="1"/>
  <c r="H20" i="1"/>
  <c r="I11" i="1"/>
  <c r="D17" i="1"/>
  <c r="D25" i="1"/>
  <c r="I19" i="1"/>
  <c r="I5" i="1"/>
  <c r="I20" i="1" s="1"/>
  <c r="AT23" i="1" l="1"/>
  <c r="AS23" i="1"/>
  <c r="AE19" i="1"/>
  <c r="E24" i="1"/>
  <c r="M19" i="1"/>
  <c r="K23" i="1"/>
  <c r="K19" i="1"/>
  <c r="AE10" i="1"/>
  <c r="K5" i="1"/>
  <c r="J17" i="1"/>
  <c r="J25" i="1"/>
  <c r="G12" i="1"/>
  <c r="G15" i="1" s="1"/>
  <c r="AD8" i="1"/>
  <c r="AD21" i="1" s="1"/>
  <c r="H21" i="1"/>
  <c r="H12" i="1"/>
  <c r="H15" i="1" s="1"/>
  <c r="E17" i="1"/>
  <c r="E25" i="1"/>
  <c r="F17" i="1"/>
  <c r="F25" i="1"/>
  <c r="I8" i="1"/>
  <c r="AE5" i="1" l="1"/>
  <c r="AE8" i="1" s="1"/>
  <c r="M20" i="1"/>
  <c r="O19" i="1"/>
  <c r="AE11" i="1"/>
  <c r="K20" i="1"/>
  <c r="K8" i="1"/>
  <c r="AD12" i="1"/>
  <c r="AD24" i="1" s="1"/>
  <c r="G24" i="1"/>
  <c r="H24" i="1"/>
  <c r="AE13" i="1"/>
  <c r="G17" i="1"/>
  <c r="G25" i="1"/>
  <c r="I21" i="1"/>
  <c r="I12" i="1"/>
  <c r="AE20" i="1" l="1"/>
  <c r="M21" i="1"/>
  <c r="AF19" i="1"/>
  <c r="O20" i="1"/>
  <c r="AF5" i="1"/>
  <c r="K12" i="1"/>
  <c r="K21" i="1"/>
  <c r="AD15" i="1"/>
  <c r="AD25" i="1" s="1"/>
  <c r="I24" i="1"/>
  <c r="I15" i="1"/>
  <c r="I25" i="1" s="1"/>
  <c r="AG19" i="1"/>
  <c r="H25" i="1"/>
  <c r="H17" i="1"/>
  <c r="AE21" i="1"/>
  <c r="AE12" i="1"/>
  <c r="AE15" i="1" s="1"/>
  <c r="AJ6" i="1" l="1"/>
  <c r="AJ22" i="1" s="1"/>
  <c r="AJ5" i="1"/>
  <c r="AF20" i="1"/>
  <c r="AF8" i="1"/>
  <c r="AF21" i="1" s="1"/>
  <c r="AD17" i="1"/>
  <c r="O21" i="1"/>
  <c r="K15" i="1"/>
  <c r="K24" i="1"/>
  <c r="AG11" i="1"/>
  <c r="I17" i="1"/>
  <c r="AE17" i="1"/>
  <c r="AE25" i="1"/>
  <c r="AH19" i="1"/>
  <c r="AG20" i="1"/>
  <c r="AE24" i="1"/>
  <c r="AF12" i="1" l="1"/>
  <c r="AI4" i="1"/>
  <c r="K25" i="1"/>
  <c r="K17" i="1"/>
  <c r="AG21" i="1"/>
  <c r="AG12" i="1"/>
  <c r="AI19" i="1"/>
  <c r="AH20" i="1"/>
  <c r="AK5" i="1" l="1"/>
  <c r="AJ8" i="1"/>
  <c r="AF24" i="1"/>
  <c r="AI20" i="1"/>
  <c r="AH21" i="1"/>
  <c r="AJ19" i="1"/>
  <c r="AG24" i="1"/>
  <c r="AF15" i="1"/>
  <c r="AF17" i="1" s="1"/>
  <c r="AK6" i="1" l="1"/>
  <c r="AK22" i="1" s="1"/>
  <c r="AL5" i="1"/>
  <c r="AJ20" i="1"/>
  <c r="AK19" i="1"/>
  <c r="AJ4" i="1"/>
  <c r="AF25" i="1"/>
  <c r="AG15" i="1"/>
  <c r="AI21" i="1"/>
  <c r="AK8" i="1" l="1"/>
  <c r="AK4" i="1"/>
  <c r="AL6" i="1"/>
  <c r="AL22" i="1" s="1"/>
  <c r="AH11" i="1"/>
  <c r="AH12" i="1" s="1"/>
  <c r="AH24" i="1" s="1"/>
  <c r="AL19" i="1"/>
  <c r="AG25" i="1"/>
  <c r="AG17" i="1"/>
  <c r="AK20" i="1"/>
  <c r="AJ21" i="1"/>
  <c r="AL8" i="1" l="1"/>
  <c r="AM6" i="1"/>
  <c r="AM22" i="1" s="1"/>
  <c r="AH15" i="1"/>
  <c r="AI9" i="1" s="1"/>
  <c r="AI11" i="1" s="1"/>
  <c r="AI12" i="1" s="1"/>
  <c r="AI13" i="1" s="1"/>
  <c r="AI24" i="1" s="1"/>
  <c r="AM19" i="1"/>
  <c r="AK21" i="1"/>
  <c r="AL4" i="1"/>
  <c r="AL20" i="1"/>
  <c r="AN6" i="1" l="1"/>
  <c r="AN22" i="1" s="1"/>
  <c r="AM8" i="1"/>
  <c r="AH25" i="1"/>
  <c r="AH17" i="1"/>
  <c r="AI15" i="1"/>
  <c r="AN19" i="1"/>
  <c r="AL21" i="1"/>
  <c r="AM4" i="1"/>
  <c r="AM20" i="1"/>
  <c r="AN8" i="1" l="1"/>
  <c r="AO6" i="1"/>
  <c r="AO22" i="1" s="1"/>
  <c r="AJ9" i="1"/>
  <c r="AJ11" i="1" s="1"/>
  <c r="AJ12" i="1" s="1"/>
  <c r="AI25" i="1"/>
  <c r="AI17" i="1"/>
  <c r="AN20" i="1"/>
  <c r="AO19" i="1"/>
  <c r="AM21" i="1"/>
  <c r="AN4" i="1"/>
  <c r="AO8" i="1" l="1"/>
  <c r="AP6" i="1"/>
  <c r="AP22" i="1" s="1"/>
  <c r="AP19" i="1"/>
  <c r="AJ13" i="1"/>
  <c r="AJ24" i="1" s="1"/>
  <c r="AN21" i="1"/>
  <c r="AO20" i="1"/>
  <c r="AO4" i="1"/>
  <c r="AQ19" i="1" l="1"/>
  <c r="AQ6" i="1"/>
  <c r="AQ22" i="1" s="1"/>
  <c r="AQ20" i="1"/>
  <c r="AP4" i="1"/>
  <c r="AP8" i="1"/>
  <c r="AQ4" i="1"/>
  <c r="AP20" i="1"/>
  <c r="AJ15" i="1"/>
  <c r="AO21" i="1"/>
  <c r="AR6" i="1" l="1"/>
  <c r="AR22" i="1" s="1"/>
  <c r="AR19" i="1"/>
  <c r="AQ8" i="1"/>
  <c r="AQ21" i="1" s="1"/>
  <c r="AR4" i="1"/>
  <c r="AR20" i="1"/>
  <c r="AP21" i="1"/>
  <c r="AK9" i="1"/>
  <c r="AK11" i="1" s="1"/>
  <c r="AK12" i="1" s="1"/>
  <c r="AK13" i="1" s="1"/>
  <c r="AK24" i="1" s="1"/>
  <c r="AJ17" i="1"/>
  <c r="AJ25" i="1"/>
  <c r="AR8" i="1" l="1"/>
  <c r="AR21" i="1" s="1"/>
  <c r="AS19" i="1"/>
  <c r="AS6" i="1"/>
  <c r="AS22" i="1" s="1"/>
  <c r="AS4" i="1"/>
  <c r="AS20" i="1"/>
  <c r="AK15" i="1"/>
  <c r="AS8" i="1" l="1"/>
  <c r="AS21" i="1" s="1"/>
  <c r="AT19" i="1"/>
  <c r="AT6" i="1"/>
  <c r="AT22" i="1" s="1"/>
  <c r="AT4" i="1"/>
  <c r="AT20" i="1"/>
  <c r="AL9" i="1"/>
  <c r="AL11" i="1" s="1"/>
  <c r="AL12" i="1" s="1"/>
  <c r="AL13" i="1" s="1"/>
  <c r="AL24" i="1" s="1"/>
  <c r="AK25" i="1"/>
  <c r="AK17" i="1"/>
  <c r="AT8" i="1" l="1"/>
  <c r="AT21" i="1" s="1"/>
  <c r="AL15" i="1"/>
  <c r="AM9" i="1" s="1"/>
  <c r="AM11" i="1" s="1"/>
  <c r="AM12" i="1" s="1"/>
  <c r="AM13" i="1" s="1"/>
  <c r="AM24" i="1" s="1"/>
  <c r="AL17" i="1" l="1"/>
  <c r="AL25" i="1"/>
  <c r="AM15" i="1"/>
  <c r="AN9" i="1" s="1"/>
  <c r="AN11" i="1" l="1"/>
  <c r="AN12" i="1" s="1"/>
  <c r="AN13" i="1" s="1"/>
  <c r="AN24" i="1" s="1"/>
  <c r="AM25" i="1"/>
  <c r="AM17" i="1"/>
  <c r="AN15" i="1" l="1"/>
  <c r="AO9" i="1" s="1"/>
  <c r="AO11" i="1" l="1"/>
  <c r="AO12" i="1" s="1"/>
  <c r="AO13" i="1" s="1"/>
  <c r="AO24" i="1" s="1"/>
  <c r="AN17" i="1"/>
  <c r="AN25" i="1"/>
  <c r="AO15" i="1" l="1"/>
  <c r="AP9" i="1" l="1"/>
  <c r="AP11" i="1" s="1"/>
  <c r="AP12" i="1" s="1"/>
  <c r="AO25" i="1"/>
  <c r="AO17" i="1"/>
  <c r="AP13" i="1" l="1"/>
  <c r="AP24" i="1" s="1"/>
  <c r="AP15" i="1" l="1"/>
  <c r="AQ9" i="1" s="1"/>
  <c r="AQ11" i="1" l="1"/>
  <c r="AQ12" i="1" s="1"/>
  <c r="AP25" i="1"/>
  <c r="AP17" i="1"/>
  <c r="AQ13" i="1" l="1"/>
  <c r="AQ24" i="1" s="1"/>
  <c r="AQ15" i="1" l="1"/>
  <c r="AQ25" i="1" l="1"/>
  <c r="AQ17" i="1"/>
  <c r="AR9" i="1"/>
  <c r="AR11" i="1" l="1"/>
  <c r="AR12" i="1" s="1"/>
  <c r="AR13" i="1" l="1"/>
  <c r="AR24" i="1" s="1"/>
  <c r="AR15" i="1" l="1"/>
  <c r="AR25" i="1" l="1"/>
  <c r="AR17" i="1"/>
  <c r="AS9" i="1"/>
  <c r="AS11" i="1" l="1"/>
  <c r="AS12" i="1" s="1"/>
  <c r="AS13" i="1" l="1"/>
  <c r="AS24" i="1" s="1"/>
  <c r="AS15" i="1" l="1"/>
  <c r="AS17" i="1" l="1"/>
  <c r="AS25" i="1"/>
  <c r="AT9" i="1"/>
  <c r="AT11" i="1" s="1"/>
  <c r="AT12" i="1" s="1"/>
  <c r="AT13" i="1" l="1"/>
  <c r="AT24" i="1" s="1"/>
  <c r="AT15" i="1" l="1"/>
  <c r="AT17" i="1" l="1"/>
  <c r="AT25" i="1"/>
  <c r="AU15" i="1" l="1"/>
  <c r="AV15" i="1" s="1"/>
  <c r="AW15" i="1" l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AW20" i="1" s="1"/>
  <c r="AW22" i="1" l="1"/>
  <c r="AW23" i="1" s="1"/>
  <c r="AW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  <author>Anton Mniszek</author>
  </authors>
  <commentList>
    <comment ref="AJ3" authorId="0" shapeId="0" xr:uid="{5E6EDA28-5391-4A42-AD3D-48740CD2223B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they forecast £2bn revenue and £500m EBITDA for FY 2025 in Q3 2020 - believable?
seems so, did way better than I expected in Q4</t>
        </r>
      </text>
    </comment>
    <comment ref="AM3" authorId="1" shapeId="0" xr:uid="{6F46B7D6-6A37-468F-80CB-B4D58BC38CA3}">
      <text>
        <r>
          <rPr>
            <b/>
            <sz val="9"/>
            <color indexed="81"/>
            <rFont val="Tahoma"/>
            <charset val="1"/>
          </rPr>
          <t>Anton Mniszek:</t>
        </r>
        <r>
          <rPr>
            <sz val="9"/>
            <color indexed="81"/>
            <rFont val="Tahoma"/>
            <charset val="1"/>
          </rPr>
          <t xml:space="preserve">
c. £2.5 billion estimated for FY 27/28 in H224; believable?</t>
        </r>
      </text>
    </comment>
  </commentList>
</comments>
</file>

<file path=xl/sharedStrings.xml><?xml version="1.0" encoding="utf-8"?>
<sst xmlns="http://schemas.openxmlformats.org/spreadsheetml/2006/main" count="71" uniqueCount="67">
  <si>
    <t>Q119</t>
  </si>
  <si>
    <t>Q219</t>
  </si>
  <si>
    <t>Q319</t>
  </si>
  <si>
    <t>Q419</t>
  </si>
  <si>
    <t>Q120</t>
  </si>
  <si>
    <t>Q220</t>
  </si>
  <si>
    <t>Revenue</t>
  </si>
  <si>
    <t>COGS</t>
  </si>
  <si>
    <t>Gross profit</t>
  </si>
  <si>
    <t>Operating profit</t>
  </si>
  <si>
    <t>Finance income</t>
  </si>
  <si>
    <t>Finance expense</t>
  </si>
  <si>
    <t>Pretax income</t>
  </si>
  <si>
    <t>Net income</t>
  </si>
  <si>
    <t>Taxes</t>
  </si>
  <si>
    <t>MI</t>
  </si>
  <si>
    <t>EPS</t>
  </si>
  <si>
    <t>Shares</t>
  </si>
  <si>
    <t>Q320</t>
  </si>
  <si>
    <t>Q420</t>
  </si>
  <si>
    <t>AML</t>
  </si>
  <si>
    <t>MC</t>
  </si>
  <si>
    <t>Cash</t>
  </si>
  <si>
    <t>Debt</t>
  </si>
  <si>
    <t>Net Cash</t>
  </si>
  <si>
    <t>EV</t>
  </si>
  <si>
    <t>Price</t>
  </si>
  <si>
    <t>Net finance expense</t>
  </si>
  <si>
    <t>Gross Margin</t>
  </si>
  <si>
    <t>Operating Margin</t>
  </si>
  <si>
    <t>Net Margin</t>
  </si>
  <si>
    <t>Tax rate</t>
  </si>
  <si>
    <t>Revenue y/y</t>
  </si>
  <si>
    <t>Discount rate</t>
  </si>
  <si>
    <t>NPV</t>
  </si>
  <si>
    <t>Net cash</t>
  </si>
  <si>
    <t>Total value</t>
  </si>
  <si>
    <t>Per share</t>
  </si>
  <si>
    <t>Maturity</t>
  </si>
  <si>
    <t>Last time checked</t>
  </si>
  <si>
    <t>Today</t>
  </si>
  <si>
    <t>Current price</t>
  </si>
  <si>
    <t>Variance</t>
  </si>
  <si>
    <t>Consensus</t>
  </si>
  <si>
    <t>Earnings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</si>
  <si>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</si>
  <si>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</si>
  <si>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</si>
  <si>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</si>
  <si>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</si>
  <si>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</si>
  <si>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</si>
  <si>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</si>
  <si>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</si>
  <si>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</si>
  <si>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</si>
  <si>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</si>
  <si>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</si>
  <si>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</si>
  <si>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</si>
  <si>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</si>
  <si>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G&amp;A</t>
  </si>
  <si>
    <t>S&amp;M</t>
  </si>
  <si>
    <t>G&amp;A y/y</t>
  </si>
  <si>
    <t>S&amp;M Margin</t>
  </si>
  <si>
    <t>Overvalued</t>
  </si>
  <si>
    <t>heavily depends on rev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</si>
</sst>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/>
    </xf>
    <xf numFmtId="10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0</xdr:row>
      <xdr:rowOff>0</xdr:rowOff>
    </xdr:from>
    <xdr:to>
      <xdr:col>25</xdr:col>
      <xdr:colOff>38100</xdr:colOff>
      <xdr:row>33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F770572-8616-452E-82F0-8CE79325B25B}"/>
            </a:ext>
          </a:extLst>
        </xdr:cNvPr>
        <xdr:cNvCxnSpPr/>
      </xdr:nvCxnSpPr>
      <xdr:spPr>
        <a:xfrm>
          <a:off x="16009620" y="0"/>
          <a:ext cx="0" cy="6103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30480</xdr:colOff>
      <xdr:row>0</xdr:row>
      <xdr:rowOff>0</xdr:rowOff>
    </xdr:from>
    <xdr:to>
      <xdr:col>34</xdr:col>
      <xdr:colOff>30480</xdr:colOff>
      <xdr:row>33</xdr:row>
      <xdr:rowOff>91440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8CA1D27-FBE3-45B1-9050-6F8FB427781B}"/>
            </a:ext>
          </a:extLst>
        </xdr:cNvPr>
        <xdr:cNvCxnSpPr/>
      </xdr:nvCxnSpPr>
      <xdr:spPr>
        <a:xfrm>
          <a:off x="21488400" y="0"/>
          <a:ext cx="0" cy="594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workbookViewId="0">
      <selection activeCell="E7" sqref="E7"/>
    </sheetView>
  </sheetViews>
  <sheetFormatPr defaultRowHeight="14.4" x14ac:dyDescent="0.3"/>
  <cols>
    <col min="5" max="7" width="15.77734375" style="8" customWidth="1"/>
  </cols>
  <sheetData>
    <row r="2" spans="2:7" x14ac:dyDescent="0.3">
      <c r="E2" s="9" t="s">
        <v>39</v>
      </c>
      <c r="F2" s="9" t="s">
        <v>40</v>
      </c>
      <c r="G2" s="8" t="s">
        <v>44</v>
      </c>
    </row>
    <row r="3" spans="2:7" x14ac:dyDescent="0.3">
      <c r="B3" s="4" t="s">
        <v>20</v>
      </c>
      <c r="C3" t="s">
        <v>26</v>
      </c>
      <c r="D3" s="13">
        <v>1.0980000000000001</v>
      </c>
      <c r="E3" s="10">
        <v>45635</v>
      </c>
      <c r="F3" s="10">
        <f ca="1">TODAY()</f>
        <v>45635</v>
      </c>
      <c r="G3" s="10">
        <v>45715</v>
      </c>
    </row>
    <row r="4" spans="2:7" x14ac:dyDescent="0.3">
      <c r="C4" t="s">
        <v>17</v>
      </c>
      <c r="D4" s="1">
        <v>825</v>
      </c>
      <c r="E4" s="8" t="s">
        <v>59</v>
      </c>
    </row>
    <row r="5" spans="2:7" x14ac:dyDescent="0.3">
      <c r="C5" t="s">
        <v>21</v>
      </c>
      <c r="D5" s="1">
        <f>D3*D4</f>
        <v>905.85</v>
      </c>
    </row>
    <row r="6" spans="2:7" x14ac:dyDescent="0.3">
      <c r="C6" t="s">
        <v>22</v>
      </c>
      <c r="D6" s="1">
        <f>172.7+69.6</f>
        <v>242.29999999999998</v>
      </c>
      <c r="E6" s="8" t="s">
        <v>58</v>
      </c>
    </row>
    <row r="7" spans="2:7" x14ac:dyDescent="0.3">
      <c r="C7" t="s">
        <v>23</v>
      </c>
      <c r="D7" s="1">
        <v>1216.5</v>
      </c>
      <c r="E7" s="8" t="s">
        <v>59</v>
      </c>
    </row>
    <row r="8" spans="2:7" x14ac:dyDescent="0.3">
      <c r="C8" t="s">
        <v>24</v>
      </c>
      <c r="D8" s="1">
        <f>D6-D7</f>
        <v>-974.2</v>
      </c>
    </row>
    <row r="9" spans="2:7" x14ac:dyDescent="0.3">
      <c r="C9" t="s">
        <v>25</v>
      </c>
      <c r="D9" s="1">
        <f>D5-D6+D7</f>
        <v>1880.0500000000002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L28"/>
  <sheetViews>
    <sheetView tabSelected="1" topLeftCell="B1" zoomScaleNormal="100" workbookViewId="0">
      <pane xSplit="2" ySplit="2" topLeftCell="AE3" activePane="bottomRight" state="frozen"/>
      <selection activeCell="B1" sqref="B1"/>
      <selection pane="topRight" activeCell="C1" sqref="C1"/>
      <selection pane="bottomLeft" activeCell="B3" sqref="B3"/>
      <selection pane="bottomRight" activeCell="AE28" sqref="AE28"/>
    </sheetView>
  </sheetViews>
  <sheetFormatPr defaultRowHeight="14.4" x14ac:dyDescent="0.3"/>
  <cols>
    <col min="3" max="3" width="19.5546875" bestFit="1" customWidth="1"/>
    <col min="43" max="45" width="8.88671875" customWidth="1"/>
    <col min="48" max="48" width="14.6640625" customWidth="1"/>
    <col min="49" max="49" width="12.109375" customWidth="1"/>
  </cols>
  <sheetData>
    <row r="2" spans="3:116" x14ac:dyDescent="0.3">
      <c r="D2" s="12" t="s">
        <v>0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18</v>
      </c>
      <c r="K2" s="12" t="s">
        <v>19</v>
      </c>
      <c r="L2" s="12" t="s">
        <v>45</v>
      </c>
      <c r="M2" s="12" t="s">
        <v>46</v>
      </c>
      <c r="N2" s="12" t="s">
        <v>47</v>
      </c>
      <c r="O2" s="12" t="s">
        <v>48</v>
      </c>
      <c r="P2" s="12" t="s">
        <v>49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 t="s">
        <v>57</v>
      </c>
      <c r="Y2" s="12" t="s">
        <v>58</v>
      </c>
      <c r="Z2" s="12" t="s">
        <v>59</v>
      </c>
      <c r="AA2" s="12" t="s">
        <v>60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  <c r="AP2">
        <v>2031</v>
      </c>
      <c r="AQ2">
        <v>2032</v>
      </c>
      <c r="AR2">
        <v>2033</v>
      </c>
      <c r="AS2">
        <v>2034</v>
      </c>
      <c r="AT2">
        <v>2035</v>
      </c>
    </row>
    <row r="3" spans="3:116" s="4" customFormat="1" x14ac:dyDescent="0.3">
      <c r="C3" s="3" t="s">
        <v>6</v>
      </c>
      <c r="D3" s="3">
        <v>196</v>
      </c>
      <c r="E3" s="3">
        <f>407.1-D3</f>
        <v>211.10000000000002</v>
      </c>
      <c r="F3" s="3">
        <v>250.1</v>
      </c>
      <c r="G3" s="3">
        <f>997.3-F3-E3-D3</f>
        <v>340.09999999999991</v>
      </c>
      <c r="H3" s="3">
        <v>78.599999999999994</v>
      </c>
      <c r="I3" s="3">
        <f>146-H3</f>
        <v>67.400000000000006</v>
      </c>
      <c r="J3" s="3">
        <v>124</v>
      </c>
      <c r="K3" s="3">
        <f>611.8-J3-I3-H3</f>
        <v>341.79999999999995</v>
      </c>
      <c r="L3" s="3">
        <v>224.4</v>
      </c>
      <c r="M3" s="3">
        <v>274.39999999999998</v>
      </c>
      <c r="N3" s="3">
        <v>237.6</v>
      </c>
      <c r="O3" s="3">
        <v>523.4</v>
      </c>
      <c r="P3" s="3">
        <v>232.7</v>
      </c>
      <c r="Q3" s="3">
        <v>309</v>
      </c>
      <c r="R3" s="3">
        <v>315.5</v>
      </c>
      <c r="S3" s="3">
        <v>524.29999999999995</v>
      </c>
      <c r="T3" s="3">
        <v>295.89999999999998</v>
      </c>
      <c r="U3" s="3">
        <f>677.4-T3</f>
        <v>381.5</v>
      </c>
      <c r="V3" s="3">
        <v>362.1</v>
      </c>
      <c r="W3" s="3">
        <v>593.29999999999995</v>
      </c>
      <c r="X3" s="3">
        <f>603-Y3</f>
        <v>267.7</v>
      </c>
      <c r="Y3" s="3">
        <v>335.3</v>
      </c>
      <c r="Z3" s="3">
        <v>391.6</v>
      </c>
      <c r="AA3" s="3">
        <f>W3*0.85</f>
        <v>504.30499999999995</v>
      </c>
      <c r="AB3" s="3"/>
      <c r="AC3" s="3">
        <v>1096.5</v>
      </c>
      <c r="AD3" s="3">
        <f>SUM(D3:G3)</f>
        <v>997.3</v>
      </c>
      <c r="AE3" s="3">
        <f>SUM(H3:K3)</f>
        <v>611.79999999999995</v>
      </c>
      <c r="AF3" s="3">
        <v>1095.3</v>
      </c>
      <c r="AG3" s="3">
        <v>1381.5</v>
      </c>
      <c r="AH3" s="3">
        <v>1632.8</v>
      </c>
      <c r="AI3" s="3">
        <f>SUM(X3:AA3)</f>
        <v>1498.905</v>
      </c>
      <c r="AJ3" s="3">
        <f>AI3*1.2</f>
        <v>1798.6859999999999</v>
      </c>
      <c r="AK3" s="3">
        <f>AJ3*1.14</f>
        <v>2050.5020399999999</v>
      </c>
      <c r="AL3" s="3">
        <f>AK3*1.1</f>
        <v>2255.552244</v>
      </c>
      <c r="AM3" s="3">
        <f>AL3*1.08</f>
        <v>2435.99642352</v>
      </c>
      <c r="AN3" s="3">
        <f>AM3*1.05</f>
        <v>2557.796244696</v>
      </c>
      <c r="AO3" s="3">
        <f>AN3*1.04</f>
        <v>2660.10809448384</v>
      </c>
      <c r="AP3" s="3">
        <f>AO3*1.03</f>
        <v>2739.9113373183554</v>
      </c>
      <c r="AQ3" s="3">
        <f>AP3*1.03</f>
        <v>2822.108677437906</v>
      </c>
      <c r="AR3" s="3">
        <f t="shared" ref="AR3:AT3" si="0">AQ3*1.03</f>
        <v>2906.7719377610433</v>
      </c>
      <c r="AS3" s="3">
        <f t="shared" si="0"/>
        <v>2993.9750958938748</v>
      </c>
      <c r="AT3" s="3">
        <f t="shared" si="0"/>
        <v>3083.7943487706912</v>
      </c>
    </row>
    <row r="4" spans="3:116" x14ac:dyDescent="0.3">
      <c r="C4" s="1" t="s">
        <v>7</v>
      </c>
      <c r="D4" s="1">
        <v>113.4</v>
      </c>
      <c r="E4" s="1">
        <f>259.2-D4</f>
        <v>145.79999999999998</v>
      </c>
      <c r="F4" s="1">
        <v>154.19999999999999</v>
      </c>
      <c r="G4" s="1">
        <f>642.7-F4-E4-D4</f>
        <v>229.30000000000004</v>
      </c>
      <c r="H4" s="1">
        <v>74.5</v>
      </c>
      <c r="I4" s="1">
        <f>148.8-H4</f>
        <v>74.300000000000011</v>
      </c>
      <c r="J4" s="1">
        <v>107.1</v>
      </c>
      <c r="K4" s="1">
        <f>500.7-J4-I4-H4</f>
        <v>244.8</v>
      </c>
      <c r="L4" s="1">
        <v>161.1</v>
      </c>
      <c r="M4" s="1">
        <v>194.4</v>
      </c>
      <c r="N4" s="1">
        <v>159</v>
      </c>
      <c r="O4" s="1">
        <v>359.8</v>
      </c>
      <c r="P4" s="1">
        <v>148.69999999999999</v>
      </c>
      <c r="Q4" s="1">
        <v>204.9</v>
      </c>
      <c r="R4" s="1">
        <v>217.4</v>
      </c>
      <c r="S4" s="1">
        <v>359.8</v>
      </c>
      <c r="T4" s="1">
        <v>194</v>
      </c>
      <c r="U4" s="1">
        <f>441.4-T4</f>
        <v>247.39999999999998</v>
      </c>
      <c r="V4" s="1">
        <v>227.6</v>
      </c>
      <c r="W4" s="1">
        <v>324.89999999999998</v>
      </c>
      <c r="X4" s="1">
        <f>370.1-Y4</f>
        <v>168.00000000000003</v>
      </c>
      <c r="Y4" s="1">
        <v>202.1</v>
      </c>
      <c r="Z4" s="1">
        <v>247.6</v>
      </c>
      <c r="AA4" s="1"/>
      <c r="AC4" s="1">
        <v>660.7</v>
      </c>
      <c r="AD4" s="1">
        <f>SUM(D4:G4)</f>
        <v>642.70000000000005</v>
      </c>
      <c r="AE4" s="1">
        <f>SUM(H4:K4)</f>
        <v>500.70000000000005</v>
      </c>
      <c r="AF4" s="1">
        <v>751.6</v>
      </c>
      <c r="AG4" s="1">
        <v>930.8</v>
      </c>
      <c r="AH4" s="1">
        <v>993.6</v>
      </c>
      <c r="AI4" s="1">
        <f t="shared" ref="AI4:AO4" si="1">AI3-AI5</f>
        <v>914.33204999999998</v>
      </c>
      <c r="AJ4" s="1">
        <f t="shared" si="1"/>
        <v>1043.2378800000001</v>
      </c>
      <c r="AK4" s="1">
        <f t="shared" si="1"/>
        <v>1168.7861628000001</v>
      </c>
      <c r="AL4" s="1">
        <f t="shared" si="1"/>
        <v>1263.10925664</v>
      </c>
      <c r="AM4" s="1">
        <f t="shared" si="1"/>
        <v>1364.1579971711999</v>
      </c>
      <c r="AN4" s="1">
        <f t="shared" si="1"/>
        <v>1432.3658970297599</v>
      </c>
      <c r="AO4" s="1">
        <f t="shared" si="1"/>
        <v>1489.6605329109505</v>
      </c>
      <c r="AP4" s="1">
        <f t="shared" ref="AP4" si="2">AP3-AP5</f>
        <v>1534.350348898279</v>
      </c>
      <c r="AQ4" s="1">
        <f t="shared" ref="AQ4:AT4" si="3">AQ3-AQ5</f>
        <v>1580.3808593652273</v>
      </c>
      <c r="AR4" s="1">
        <f t="shared" si="3"/>
        <v>1627.7922851461842</v>
      </c>
      <c r="AS4" s="1">
        <f t="shared" si="3"/>
        <v>1676.6260537005699</v>
      </c>
      <c r="AT4" s="1">
        <f t="shared" si="3"/>
        <v>1726.924835311587</v>
      </c>
    </row>
    <row r="5" spans="3:116" s="4" customFormat="1" x14ac:dyDescent="0.3">
      <c r="C5" s="3" t="s">
        <v>8</v>
      </c>
      <c r="D5" s="3">
        <f t="shared" ref="D5:M5" si="4">D3-D4</f>
        <v>82.6</v>
      </c>
      <c r="E5" s="3">
        <f t="shared" si="4"/>
        <v>65.30000000000004</v>
      </c>
      <c r="F5" s="3">
        <f t="shared" si="4"/>
        <v>95.9</v>
      </c>
      <c r="G5" s="3">
        <f t="shared" si="4"/>
        <v>110.79999999999987</v>
      </c>
      <c r="H5" s="3">
        <f t="shared" si="4"/>
        <v>4.0999999999999943</v>
      </c>
      <c r="I5" s="3">
        <f t="shared" si="4"/>
        <v>-6.9000000000000057</v>
      </c>
      <c r="J5" s="3">
        <f t="shared" si="4"/>
        <v>16.900000000000006</v>
      </c>
      <c r="K5" s="3">
        <f t="shared" si="4"/>
        <v>96.999999999999943</v>
      </c>
      <c r="L5" s="3">
        <f t="shared" si="4"/>
        <v>63.300000000000011</v>
      </c>
      <c r="M5" s="3">
        <f t="shared" si="4"/>
        <v>79.999999999999972</v>
      </c>
      <c r="N5" s="3">
        <f t="shared" ref="N5:P5" si="5">N3-N4</f>
        <v>78.599999999999994</v>
      </c>
      <c r="O5" s="3">
        <f t="shared" si="5"/>
        <v>163.59999999999997</v>
      </c>
      <c r="P5" s="3">
        <f t="shared" si="5"/>
        <v>84</v>
      </c>
      <c r="Q5" s="3">
        <f t="shared" ref="Q5:S5" si="6">Q3-Q4</f>
        <v>104.1</v>
      </c>
      <c r="R5" s="3">
        <f t="shared" si="6"/>
        <v>98.1</v>
      </c>
      <c r="S5" s="3">
        <f t="shared" si="6"/>
        <v>164.49999999999994</v>
      </c>
      <c r="T5" s="3">
        <f t="shared" ref="T5:V5" si="7">T3-T4</f>
        <v>101.89999999999998</v>
      </c>
      <c r="U5" s="3">
        <f t="shared" si="7"/>
        <v>134.10000000000002</v>
      </c>
      <c r="V5" s="3">
        <f t="shared" si="7"/>
        <v>134.50000000000003</v>
      </c>
      <c r="W5" s="3">
        <f t="shared" ref="W5" si="8">W3-W4</f>
        <v>268.39999999999998</v>
      </c>
      <c r="X5" s="3">
        <f t="shared" ref="X5:Z5" si="9">X3-X4</f>
        <v>99.69999999999996</v>
      </c>
      <c r="Y5" s="3">
        <f t="shared" si="9"/>
        <v>133.20000000000002</v>
      </c>
      <c r="Z5" s="3">
        <f t="shared" si="9"/>
        <v>144.00000000000003</v>
      </c>
      <c r="AA5" s="3">
        <f>AA3*0.45</f>
        <v>226.93724999999998</v>
      </c>
      <c r="AC5" s="3">
        <f t="shared" ref="AC5" si="10">AC3-AC4</f>
        <v>435.79999999999995</v>
      </c>
      <c r="AD5" s="3">
        <f>AD3-AD4</f>
        <v>354.59999999999991</v>
      </c>
      <c r="AE5" s="3">
        <f>AE3-AE4</f>
        <v>111.09999999999991</v>
      </c>
      <c r="AF5" s="3">
        <f>AF3-AF4</f>
        <v>343.69999999999993</v>
      </c>
      <c r="AG5" s="3">
        <f>AG3-AG4</f>
        <v>450.70000000000005</v>
      </c>
      <c r="AH5" s="3">
        <f>AH3-AH4</f>
        <v>639.19999999999993</v>
      </c>
      <c r="AI5" s="3">
        <f>AI3*0.39</f>
        <v>584.57294999999999</v>
      </c>
      <c r="AJ5" s="3">
        <f>AJ3*0.42</f>
        <v>755.4481199999999</v>
      </c>
      <c r="AK5" s="3">
        <f>AK3*0.43</f>
        <v>881.71587719999991</v>
      </c>
      <c r="AL5" s="3">
        <f>AL3*0.44</f>
        <v>992.44298735999996</v>
      </c>
      <c r="AM5" s="3">
        <f t="shared" ref="AM5:AT5" si="11">AM3*0.44</f>
        <v>1071.8384263488001</v>
      </c>
      <c r="AN5" s="3">
        <f t="shared" si="11"/>
        <v>1125.4303476662401</v>
      </c>
      <c r="AO5" s="3">
        <f t="shared" si="11"/>
        <v>1170.4475615728895</v>
      </c>
      <c r="AP5" s="3">
        <f t="shared" si="11"/>
        <v>1205.5609884200765</v>
      </c>
      <c r="AQ5" s="3">
        <f t="shared" si="11"/>
        <v>1241.7278180726787</v>
      </c>
      <c r="AR5" s="3">
        <f t="shared" si="11"/>
        <v>1278.9796526148591</v>
      </c>
      <c r="AS5" s="3">
        <f t="shared" si="11"/>
        <v>1317.349042193305</v>
      </c>
      <c r="AT5" s="3">
        <f t="shared" si="11"/>
        <v>1356.8695134591042</v>
      </c>
    </row>
    <row r="6" spans="3:116" x14ac:dyDescent="0.3">
      <c r="C6" s="1" t="s">
        <v>62</v>
      </c>
      <c r="D6" s="1">
        <f>84.8+1</f>
        <v>85.8</v>
      </c>
      <c r="E6" s="1">
        <f>164.1+19+2.5-D6</f>
        <v>99.8</v>
      </c>
      <c r="F6" s="1">
        <f>82.5+2.9</f>
        <v>85.4</v>
      </c>
      <c r="G6" s="1">
        <f>95+277.3+19-F6-E6-D6</f>
        <v>120.29999999999997</v>
      </c>
      <c r="H6" s="1">
        <v>79.900000000000006</v>
      </c>
      <c r="I6" s="1">
        <f>34.2+122.3-H6</f>
        <v>76.599999999999994</v>
      </c>
      <c r="J6" s="1">
        <v>86.6</v>
      </c>
      <c r="K6" s="1">
        <f>79.6+354.4-J6-I6-H6</f>
        <v>190.89999999999995</v>
      </c>
      <c r="L6" s="1">
        <v>78.599999999999994</v>
      </c>
      <c r="M6" s="1">
        <v>35.1</v>
      </c>
      <c r="N6" s="1"/>
      <c r="O6" s="1">
        <f>84.8-M6</f>
        <v>49.699999999999996</v>
      </c>
      <c r="P6" s="1"/>
      <c r="Q6" s="1">
        <v>51.9</v>
      </c>
      <c r="R6" s="1"/>
      <c r="S6" s="1">
        <f>113-Q6</f>
        <v>61.1</v>
      </c>
      <c r="U6" s="1">
        <v>70.7</v>
      </c>
      <c r="V6" s="1"/>
      <c r="W6" s="1">
        <f>143.8-U6</f>
        <v>73.100000000000009</v>
      </c>
      <c r="X6" s="1"/>
      <c r="Y6" s="1">
        <v>66.900000000000006</v>
      </c>
      <c r="Z6" s="1"/>
      <c r="AA6" s="1"/>
      <c r="AC6" s="1">
        <f>89.8+293.2-20</f>
        <v>363</v>
      </c>
      <c r="AD6" s="1">
        <f>SUM(D6:G6)</f>
        <v>391.29999999999995</v>
      </c>
      <c r="AE6" s="1">
        <v>79.599999999999994</v>
      </c>
      <c r="AF6" s="1">
        <v>84.8</v>
      </c>
      <c r="AG6" s="1">
        <v>113</v>
      </c>
      <c r="AH6" s="1">
        <v>143.80000000000001</v>
      </c>
      <c r="AI6" s="1">
        <f>AI3*0.09</f>
        <v>134.90144999999998</v>
      </c>
      <c r="AJ6" s="1">
        <f>AJ3*0.09</f>
        <v>161.88173999999998</v>
      </c>
      <c r="AK6" s="1">
        <f t="shared" ref="AK6:AT6" si="12">AK3*0.08</f>
        <v>164.04016319999999</v>
      </c>
      <c r="AL6" s="1">
        <f t="shared" si="12"/>
        <v>180.44417952000001</v>
      </c>
      <c r="AM6" s="1">
        <f t="shared" si="12"/>
        <v>194.8797138816</v>
      </c>
      <c r="AN6" s="1">
        <f t="shared" si="12"/>
        <v>204.62369957568001</v>
      </c>
      <c r="AO6" s="1">
        <f t="shared" si="12"/>
        <v>212.80864755870721</v>
      </c>
      <c r="AP6" s="1">
        <f t="shared" si="12"/>
        <v>219.19290698546843</v>
      </c>
      <c r="AQ6" s="1">
        <f t="shared" si="12"/>
        <v>225.76869419503248</v>
      </c>
      <c r="AR6" s="1">
        <f t="shared" si="12"/>
        <v>232.54175502088347</v>
      </c>
      <c r="AS6" s="1">
        <f t="shared" si="12"/>
        <v>239.51800767150999</v>
      </c>
      <c r="AT6" s="1">
        <f t="shared" si="12"/>
        <v>246.7035479016553</v>
      </c>
    </row>
    <row r="7" spans="3:116" x14ac:dyDescent="0.3">
      <c r="C7" s="1" t="s">
        <v>61</v>
      </c>
      <c r="D7" s="1"/>
      <c r="E7" s="1"/>
      <c r="F7" s="1"/>
      <c r="G7" s="1"/>
      <c r="H7" s="1"/>
      <c r="I7" s="1"/>
      <c r="J7" s="1"/>
      <c r="K7" s="1"/>
      <c r="L7" s="1"/>
      <c r="M7" s="1">
        <v>146.19999999999999</v>
      </c>
      <c r="N7" s="1"/>
      <c r="O7" s="1">
        <f>335.4-M7</f>
        <v>189.2</v>
      </c>
      <c r="P7" s="1"/>
      <c r="Q7" s="1">
        <v>226.1</v>
      </c>
      <c r="R7" s="1"/>
      <c r="S7" s="1">
        <f>479.5-Q7</f>
        <v>253.4</v>
      </c>
      <c r="U7" s="1">
        <v>258.8</v>
      </c>
      <c r="V7" s="1"/>
      <c r="W7" s="1">
        <f>606.6-U7</f>
        <v>347.8</v>
      </c>
      <c r="X7" s="1"/>
      <c r="Y7" s="1">
        <v>272.10000000000002</v>
      </c>
      <c r="Z7" s="1"/>
      <c r="AA7" s="1"/>
      <c r="AC7" s="1"/>
      <c r="AD7" s="1"/>
      <c r="AE7" s="1">
        <v>354.4</v>
      </c>
      <c r="AF7" s="1">
        <v>335.4</v>
      </c>
      <c r="AG7" s="1">
        <v>479.5</v>
      </c>
      <c r="AH7" s="1">
        <v>606.6</v>
      </c>
      <c r="AI7" s="1">
        <f>AH7*1.05</f>
        <v>636.93000000000006</v>
      </c>
      <c r="AJ7" s="1">
        <f>AI7*1.03</f>
        <v>656.03790000000004</v>
      </c>
      <c r="AK7" s="1">
        <f>AJ7*1.02</f>
        <v>669.15865800000006</v>
      </c>
      <c r="AL7" s="1">
        <f>AK7*1.01</f>
        <v>675.85024458000009</v>
      </c>
      <c r="AM7" s="1">
        <f t="shared" ref="AM7:AT7" si="13">AL7*1.01</f>
        <v>682.60874702580008</v>
      </c>
      <c r="AN7" s="1">
        <f t="shared" si="13"/>
        <v>689.4348344960581</v>
      </c>
      <c r="AO7" s="1">
        <f t="shared" si="13"/>
        <v>696.32918284101868</v>
      </c>
      <c r="AP7" s="1">
        <f t="shared" si="13"/>
        <v>703.29247466942888</v>
      </c>
      <c r="AQ7" s="1">
        <f t="shared" si="13"/>
        <v>710.32539941612322</v>
      </c>
      <c r="AR7" s="1">
        <f t="shared" si="13"/>
        <v>717.42865341028448</v>
      </c>
      <c r="AS7" s="1">
        <f t="shared" si="13"/>
        <v>724.60293994438734</v>
      </c>
      <c r="AT7" s="1">
        <f t="shared" si="13"/>
        <v>731.84896934383119</v>
      </c>
    </row>
    <row r="8" spans="3:116" s="4" customFormat="1" x14ac:dyDescent="0.3">
      <c r="C8" s="3" t="s">
        <v>9</v>
      </c>
      <c r="D8" s="3">
        <f t="shared" ref="D8:L8" si="14">D5-D6</f>
        <v>-3.2000000000000028</v>
      </c>
      <c r="E8" s="3">
        <f t="shared" si="14"/>
        <v>-34.499999999999957</v>
      </c>
      <c r="F8" s="3">
        <f t="shared" si="14"/>
        <v>10.5</v>
      </c>
      <c r="G8" s="3">
        <f t="shared" si="14"/>
        <v>-9.5000000000000995</v>
      </c>
      <c r="H8" s="3">
        <f t="shared" si="14"/>
        <v>-75.800000000000011</v>
      </c>
      <c r="I8" s="3">
        <f t="shared" si="14"/>
        <v>-83.5</v>
      </c>
      <c r="J8" s="3">
        <f t="shared" si="14"/>
        <v>-69.699999999999989</v>
      </c>
      <c r="K8" s="3">
        <f t="shared" si="14"/>
        <v>-93.9</v>
      </c>
      <c r="L8" s="3">
        <f t="shared" si="14"/>
        <v>-15.299999999999983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C8" s="3">
        <f t="shared" ref="AC8" si="15">AC5-AC6</f>
        <v>72.799999999999955</v>
      </c>
      <c r="AD8" s="3">
        <f>AD5-AD6</f>
        <v>-36.700000000000045</v>
      </c>
      <c r="AE8" s="3">
        <f>AE5-AE6-AE7</f>
        <v>-322.90000000000009</v>
      </c>
      <c r="AF8" s="3">
        <f>AF5-AF6-AF7</f>
        <v>-76.500000000000057</v>
      </c>
      <c r="AG8" s="3">
        <f>AG5-AG6-AG7</f>
        <v>-141.79999999999995</v>
      </c>
      <c r="AH8" s="3">
        <f>AH5-AH6-AH7</f>
        <v>-111.2000000000001</v>
      </c>
      <c r="AI8" s="3">
        <f t="shared" ref="AI8:AT8" si="16">AI5-AI6-AI7</f>
        <v>-187.25850000000003</v>
      </c>
      <c r="AJ8" s="3">
        <f t="shared" si="16"/>
        <v>-62.471520000000055</v>
      </c>
      <c r="AK8" s="3">
        <f t="shared" si="16"/>
        <v>48.517055999999911</v>
      </c>
      <c r="AL8" s="3">
        <f t="shared" si="16"/>
        <v>136.14856325999983</v>
      </c>
      <c r="AM8" s="3">
        <f t="shared" si="16"/>
        <v>194.34996544140006</v>
      </c>
      <c r="AN8" s="3">
        <f t="shared" si="16"/>
        <v>231.37181359450199</v>
      </c>
      <c r="AO8" s="3">
        <f t="shared" si="16"/>
        <v>261.30973117316364</v>
      </c>
      <c r="AP8" s="3">
        <f t="shared" si="16"/>
        <v>283.07560676517915</v>
      </c>
      <c r="AQ8" s="3">
        <f t="shared" si="16"/>
        <v>305.633724461523</v>
      </c>
      <c r="AR8" s="3">
        <f t="shared" si="16"/>
        <v>329.00924418369107</v>
      </c>
      <c r="AS8" s="3">
        <f t="shared" si="16"/>
        <v>353.22809457740755</v>
      </c>
      <c r="AT8" s="3">
        <f t="shared" si="16"/>
        <v>378.31699621361759</v>
      </c>
    </row>
    <row r="9" spans="3:116" x14ac:dyDescent="0.3">
      <c r="C9" s="1" t="s">
        <v>10</v>
      </c>
      <c r="D9" s="1">
        <v>0</v>
      </c>
      <c r="E9" s="1">
        <v>0</v>
      </c>
      <c r="F9" s="1">
        <v>-1</v>
      </c>
      <c r="G9" s="1">
        <f>-16.3-F9-E9-D9</f>
        <v>-15.3</v>
      </c>
      <c r="H9" s="1">
        <v>-1</v>
      </c>
      <c r="I9" s="1">
        <f>-1.6-H9</f>
        <v>-0.60000000000000009</v>
      </c>
      <c r="J9" s="1">
        <v>-1</v>
      </c>
      <c r="K9" s="1">
        <f>-40-J9-I9-H9</f>
        <v>-37.4</v>
      </c>
      <c r="L9" s="1">
        <v>-5.4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>
        <v>-4.2</v>
      </c>
      <c r="AD9" s="1">
        <f>SUM(D9:G9)</f>
        <v>-16.3</v>
      </c>
      <c r="AE9" s="1">
        <f>SUM(H9:K9)</f>
        <v>-40</v>
      </c>
      <c r="AF9" s="1">
        <v>-36.4</v>
      </c>
      <c r="AG9" s="1">
        <v>-15.5</v>
      </c>
      <c r="AH9" s="1">
        <v>-74.3</v>
      </c>
      <c r="AI9" s="1">
        <f>AH9-AH15*0.01</f>
        <v>-72.018999999999991</v>
      </c>
      <c r="AJ9" s="1">
        <f t="shared" ref="AJ9:AP9" si="17">AI9-AI15*0.01</f>
        <v>-69.622553999999994</v>
      </c>
      <c r="AK9" s="1">
        <f t="shared" si="17"/>
        <v>-68.248922171999993</v>
      </c>
      <c r="AL9" s="1">
        <f t="shared" si="17"/>
        <v>-67.79458364037599</v>
      </c>
      <c r="AM9" s="1">
        <f t="shared" si="17"/>
        <v>-68.078759474688994</v>
      </c>
      <c r="AN9" s="1">
        <f t="shared" si="17"/>
        <v>-68.870678469008411</v>
      </c>
      <c r="AO9" s="1">
        <f t="shared" si="17"/>
        <v>-70.003764754868016</v>
      </c>
      <c r="AP9" s="1">
        <f t="shared" si="17"/>
        <v>-71.422910829675885</v>
      </c>
      <c r="AQ9" s="1">
        <f t="shared" ref="AQ9" si="18">AP9-AP15*0.01</f>
        <v>-73.063898344594605</v>
      </c>
      <c r="AR9" s="1">
        <f t="shared" ref="AR9" si="19">AQ9-AQ15*0.01</f>
        <v>-74.933743334076382</v>
      </c>
      <c r="AS9" s="1">
        <f t="shared" ref="AS9" si="20">AR9-AR15*0.01</f>
        <v>-77.039752081279104</v>
      </c>
      <c r="AT9" s="1">
        <f t="shared" ref="AT9" si="21">AS9-AS15*0.01</f>
        <v>-79.389528604038475</v>
      </c>
    </row>
    <row r="10" spans="3:116" x14ac:dyDescent="0.3">
      <c r="C10" s="1" t="s">
        <v>11</v>
      </c>
      <c r="D10" s="1">
        <f>14.1-D9</f>
        <v>14.1</v>
      </c>
      <c r="E10" s="1">
        <f>41.1-D10</f>
        <v>27</v>
      </c>
      <c r="F10" s="1">
        <f>24-F9</f>
        <v>25</v>
      </c>
      <c r="G10" s="1">
        <f>83.9-F10-E10-D10</f>
        <v>17.800000000000004</v>
      </c>
      <c r="H10" s="1">
        <f>42.2-H9</f>
        <v>43.2</v>
      </c>
      <c r="I10" s="1">
        <f>69.7-H10</f>
        <v>26.5</v>
      </c>
      <c r="J10" s="1">
        <f>10.7-J9</f>
        <v>11.7</v>
      </c>
      <c r="K10" s="1">
        <f>183.1-J10-I10-H10</f>
        <v>101.7</v>
      </c>
      <c r="L10" s="1">
        <f>26.9-L9</f>
        <v>32.299999999999997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C10" s="1">
        <f>145.2</f>
        <v>145.19999999999999</v>
      </c>
      <c r="AD10" s="1">
        <f>SUM(D10:G10)</f>
        <v>83.9</v>
      </c>
      <c r="AE10" s="1">
        <f>SUM(H10:K10)</f>
        <v>183.10000000000002</v>
      </c>
      <c r="AF10" s="1">
        <v>173.7</v>
      </c>
      <c r="AG10" s="1">
        <v>368.7</v>
      </c>
      <c r="AH10" s="1">
        <v>202.9</v>
      </c>
      <c r="AI10" s="1">
        <f>AH10*0.9</f>
        <v>182.61</v>
      </c>
      <c r="AJ10" s="1">
        <f>AI10*0.97</f>
        <v>177.1317</v>
      </c>
      <c r="AK10" s="1">
        <f t="shared" ref="AK10:AT10" si="22">AJ10*0.97</f>
        <v>171.81774899999999</v>
      </c>
      <c r="AL10" s="1">
        <f t="shared" si="22"/>
        <v>166.66321653</v>
      </c>
      <c r="AM10" s="1">
        <f t="shared" si="22"/>
        <v>161.6633200341</v>
      </c>
      <c r="AN10" s="1">
        <f t="shared" si="22"/>
        <v>156.813420433077</v>
      </c>
      <c r="AO10" s="1">
        <f t="shared" si="22"/>
        <v>152.10901782008469</v>
      </c>
      <c r="AP10" s="1">
        <f t="shared" si="22"/>
        <v>147.54574728548215</v>
      </c>
      <c r="AQ10" s="1">
        <f t="shared" si="22"/>
        <v>143.1193748669177</v>
      </c>
      <c r="AR10" s="1">
        <f t="shared" si="22"/>
        <v>138.82579362091016</v>
      </c>
      <c r="AS10" s="1">
        <f t="shared" si="22"/>
        <v>134.66101981228286</v>
      </c>
      <c r="AT10" s="1">
        <f t="shared" si="22"/>
        <v>130.62118921791438</v>
      </c>
    </row>
    <row r="11" spans="3:116" x14ac:dyDescent="0.3">
      <c r="C11" s="1" t="s">
        <v>27</v>
      </c>
      <c r="D11" s="1">
        <f t="shared" ref="D11:L11" si="23">D9+D10</f>
        <v>14.1</v>
      </c>
      <c r="E11" s="1">
        <f t="shared" si="23"/>
        <v>27</v>
      </c>
      <c r="F11" s="1">
        <f t="shared" si="23"/>
        <v>24</v>
      </c>
      <c r="G11" s="1">
        <f t="shared" si="23"/>
        <v>2.5000000000000036</v>
      </c>
      <c r="H11" s="1">
        <f t="shared" si="23"/>
        <v>42.2</v>
      </c>
      <c r="I11" s="1">
        <f t="shared" si="23"/>
        <v>25.9</v>
      </c>
      <c r="J11" s="1">
        <f t="shared" si="23"/>
        <v>10.7</v>
      </c>
      <c r="K11" s="1">
        <f t="shared" si="23"/>
        <v>64.300000000000011</v>
      </c>
      <c r="L11" s="1">
        <f t="shared" si="23"/>
        <v>26.9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1">
        <f t="shared" ref="AC11" si="24">AC9+AC10</f>
        <v>141</v>
      </c>
      <c r="AD11" s="1">
        <f>AD9+AD10</f>
        <v>67.600000000000009</v>
      </c>
      <c r="AE11" s="1">
        <f>AE9+AE10</f>
        <v>143.10000000000002</v>
      </c>
      <c r="AF11" s="1">
        <f>AF9+AF10</f>
        <v>137.29999999999998</v>
      </c>
      <c r="AG11" s="1">
        <f t="shared" ref="AG11:AO11" si="25">AG9+AG10</f>
        <v>353.2</v>
      </c>
      <c r="AH11" s="1">
        <f t="shared" si="25"/>
        <v>128.60000000000002</v>
      </c>
      <c r="AI11" s="1">
        <f t="shared" si="25"/>
        <v>110.59100000000002</v>
      </c>
      <c r="AJ11" s="1">
        <f t="shared" si="25"/>
        <v>107.509146</v>
      </c>
      <c r="AK11" s="1">
        <f t="shared" si="25"/>
        <v>103.568826828</v>
      </c>
      <c r="AL11" s="1">
        <f t="shared" si="25"/>
        <v>98.86863288962401</v>
      </c>
      <c r="AM11" s="1">
        <f t="shared" si="25"/>
        <v>93.584560559411003</v>
      </c>
      <c r="AN11" s="1">
        <f t="shared" si="25"/>
        <v>87.942741964068588</v>
      </c>
      <c r="AO11" s="1">
        <f t="shared" si="25"/>
        <v>82.105253065216672</v>
      </c>
      <c r="AP11" s="1">
        <f t="shared" ref="AP11" si="26">AP9+AP10</f>
        <v>76.122836455806265</v>
      </c>
      <c r="AQ11" s="1">
        <f t="shared" ref="AQ11:AT11" si="27">AQ9+AQ10</f>
        <v>70.05547652232309</v>
      </c>
      <c r="AR11" s="1">
        <f t="shared" si="27"/>
        <v>63.892050286833779</v>
      </c>
      <c r="AS11" s="1">
        <f t="shared" si="27"/>
        <v>57.621267731003755</v>
      </c>
      <c r="AT11" s="1">
        <f t="shared" si="27"/>
        <v>51.231660613875903</v>
      </c>
    </row>
    <row r="12" spans="3:116" s="4" customFormat="1" x14ac:dyDescent="0.3">
      <c r="C12" s="3" t="s">
        <v>12</v>
      </c>
      <c r="D12" s="3">
        <f t="shared" ref="D12:L12" si="28">D8-D11</f>
        <v>-17.300000000000004</v>
      </c>
      <c r="E12" s="3">
        <f t="shared" si="28"/>
        <v>-61.499999999999957</v>
      </c>
      <c r="F12" s="3">
        <f t="shared" si="28"/>
        <v>-13.5</v>
      </c>
      <c r="G12" s="3">
        <f t="shared" si="28"/>
        <v>-12.000000000000103</v>
      </c>
      <c r="H12" s="3">
        <f t="shared" si="28"/>
        <v>-118.00000000000001</v>
      </c>
      <c r="I12" s="3">
        <f t="shared" si="28"/>
        <v>-109.4</v>
      </c>
      <c r="J12" s="3">
        <f t="shared" si="28"/>
        <v>-80.399999999999991</v>
      </c>
      <c r="K12" s="3">
        <f t="shared" si="28"/>
        <v>-158.20000000000002</v>
      </c>
      <c r="L12" s="3">
        <f t="shared" si="28"/>
        <v>-42.199999999999982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C12" s="3">
        <f t="shared" ref="AC12" si="29">AC8-AC11</f>
        <v>-68.200000000000045</v>
      </c>
      <c r="AD12" s="3">
        <f>AD8-AD11</f>
        <v>-104.30000000000005</v>
      </c>
      <c r="AE12" s="3">
        <f>AE8-AE11</f>
        <v>-466.00000000000011</v>
      </c>
      <c r="AF12" s="3">
        <f t="shared" ref="AF12:AO12" si="30">AF8-AF11</f>
        <v>-213.80000000000004</v>
      </c>
      <c r="AG12" s="3">
        <f t="shared" si="30"/>
        <v>-494.99999999999994</v>
      </c>
      <c r="AH12" s="3">
        <f t="shared" si="30"/>
        <v>-239.80000000000013</v>
      </c>
      <c r="AI12" s="3">
        <f t="shared" si="30"/>
        <v>-297.84950000000003</v>
      </c>
      <c r="AJ12" s="3">
        <f t="shared" si="30"/>
        <v>-169.98066600000004</v>
      </c>
      <c r="AK12" s="3">
        <f t="shared" si="30"/>
        <v>-55.051770828000087</v>
      </c>
      <c r="AL12" s="3">
        <f t="shared" si="30"/>
        <v>37.279930370375823</v>
      </c>
      <c r="AM12" s="3">
        <f t="shared" si="30"/>
        <v>100.76540488198906</v>
      </c>
      <c r="AN12" s="3">
        <f t="shared" si="30"/>
        <v>143.42907163043338</v>
      </c>
      <c r="AO12" s="3">
        <f t="shared" si="30"/>
        <v>179.20447810794695</v>
      </c>
      <c r="AP12" s="3">
        <f t="shared" ref="AP12" si="31">AP8-AP11</f>
        <v>206.95277030937288</v>
      </c>
      <c r="AQ12" s="3">
        <f t="shared" ref="AQ12:AT12" si="32">AQ8-AQ11</f>
        <v>235.57824793919991</v>
      </c>
      <c r="AR12" s="3">
        <f t="shared" si="32"/>
        <v>265.11719389685732</v>
      </c>
      <c r="AS12" s="3">
        <f t="shared" si="32"/>
        <v>295.60682684640381</v>
      </c>
      <c r="AT12" s="3">
        <f t="shared" si="32"/>
        <v>327.08533559974171</v>
      </c>
    </row>
    <row r="13" spans="3:116" x14ac:dyDescent="0.3">
      <c r="C13" s="1" t="s">
        <v>14</v>
      </c>
      <c r="D13" s="1">
        <v>-3.4</v>
      </c>
      <c r="E13" s="1">
        <f>-15.8-D13</f>
        <v>-12.4</v>
      </c>
      <c r="F13" s="1">
        <v>-3.4</v>
      </c>
      <c r="G13" s="1">
        <f>0.1-F13-E13-D13</f>
        <v>19.3</v>
      </c>
      <c r="H13" s="1">
        <v>-18</v>
      </c>
      <c r="I13" s="1">
        <f>-15.8-H13</f>
        <v>2.1999999999999993</v>
      </c>
      <c r="J13" s="1">
        <v>-12.4</v>
      </c>
      <c r="K13" s="1">
        <f>-55.6-J13-I13-H13</f>
        <v>-27.400000000000006</v>
      </c>
      <c r="L13" s="1">
        <v>0.4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C13" s="1">
        <v>-11.1</v>
      </c>
      <c r="AD13" s="1">
        <f>SUM(D13:G13)</f>
        <v>0.10000000000000142</v>
      </c>
      <c r="AE13" s="1">
        <f>SUM(H13:K13)</f>
        <v>-55.600000000000009</v>
      </c>
      <c r="AF13" s="1">
        <v>-24.5</v>
      </c>
      <c r="AG13" s="1">
        <v>32.700000000000003</v>
      </c>
      <c r="AH13" s="1">
        <v>-13</v>
      </c>
      <c r="AI13" s="1">
        <f t="shared" ref="AI13:AO13" si="33">AI12*0.2</f>
        <v>-59.569900000000011</v>
      </c>
      <c r="AJ13" s="1">
        <f t="shared" si="33"/>
        <v>-33.99613320000001</v>
      </c>
      <c r="AK13" s="1">
        <f t="shared" si="33"/>
        <v>-11.010354165600019</v>
      </c>
      <c r="AL13" s="1">
        <f t="shared" si="33"/>
        <v>7.4559860740751649</v>
      </c>
      <c r="AM13" s="1">
        <f t="shared" si="33"/>
        <v>20.153080976397813</v>
      </c>
      <c r="AN13" s="1">
        <f t="shared" si="33"/>
        <v>28.685814326086678</v>
      </c>
      <c r="AO13" s="1">
        <f t="shared" si="33"/>
        <v>35.840895621589389</v>
      </c>
      <c r="AP13" s="1">
        <f t="shared" ref="AP13" si="34">AP12*0.2</f>
        <v>41.390554061874582</v>
      </c>
      <c r="AQ13" s="1">
        <f t="shared" ref="AQ13:AT13" si="35">AQ12*0.2</f>
        <v>47.115649587839982</v>
      </c>
      <c r="AR13" s="1">
        <f t="shared" si="35"/>
        <v>53.023438779371467</v>
      </c>
      <c r="AS13" s="1">
        <f t="shared" si="35"/>
        <v>59.121365369280767</v>
      </c>
      <c r="AT13" s="1">
        <f t="shared" si="35"/>
        <v>65.417067119948342</v>
      </c>
    </row>
    <row r="14" spans="3:116" x14ac:dyDescent="0.3">
      <c r="C14" s="1" t="s">
        <v>15</v>
      </c>
      <c r="D14" s="1">
        <v>0</v>
      </c>
      <c r="E14" s="1">
        <v>0</v>
      </c>
      <c r="F14" s="1">
        <v>0</v>
      </c>
      <c r="G14" s="1">
        <f>8.8-F14-E14-D14</f>
        <v>8.8000000000000007</v>
      </c>
      <c r="H14" s="1">
        <v>0</v>
      </c>
      <c r="I14" s="1">
        <f>-0.5-H14</f>
        <v>-0.5</v>
      </c>
      <c r="J14" s="1">
        <v>0</v>
      </c>
      <c r="K14" s="1">
        <f>8.8-J14-I14-H14</f>
        <v>9.3000000000000007</v>
      </c>
      <c r="L14" s="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C14" s="1">
        <v>5.6</v>
      </c>
      <c r="AD14" s="1">
        <f>SUM(D14:G14)</f>
        <v>8.8000000000000007</v>
      </c>
      <c r="AE14" s="1">
        <f>SUM(H14:K14)</f>
        <v>8.8000000000000007</v>
      </c>
      <c r="AF14" s="1">
        <v>2.2999999999999998</v>
      </c>
      <c r="AG14" s="1">
        <v>0.9</v>
      </c>
      <c r="AH14" s="1">
        <v>1.3</v>
      </c>
      <c r="AI14" s="1">
        <f>AH14*1.05</f>
        <v>1.3650000000000002</v>
      </c>
      <c r="AJ14" s="1">
        <f>AI14*1.01</f>
        <v>1.3786500000000002</v>
      </c>
      <c r="AK14" s="1">
        <f t="shared" ref="AK14:AP14" si="36">AJ14*1.01</f>
        <v>1.3924365000000001</v>
      </c>
      <c r="AL14" s="1">
        <f t="shared" si="36"/>
        <v>1.4063608650000001</v>
      </c>
      <c r="AM14" s="1">
        <f t="shared" si="36"/>
        <v>1.4204244736500002</v>
      </c>
      <c r="AN14" s="1">
        <f t="shared" si="36"/>
        <v>1.4346287183865003</v>
      </c>
      <c r="AO14" s="1">
        <f t="shared" si="36"/>
        <v>1.4489750055703654</v>
      </c>
      <c r="AP14" s="1">
        <f t="shared" si="36"/>
        <v>1.4634647556260691</v>
      </c>
      <c r="AQ14" s="1">
        <f t="shared" ref="AQ14" si="37">AP14*1.01</f>
        <v>1.4780994031823298</v>
      </c>
      <c r="AR14" s="1">
        <f t="shared" ref="AR14" si="38">AQ14*1.01</f>
        <v>1.4928803972141531</v>
      </c>
      <c r="AS14" s="1">
        <f t="shared" ref="AS14" si="39">AR14*1.01</f>
        <v>1.5078092011862947</v>
      </c>
      <c r="AT14" s="1">
        <f t="shared" ref="AT14" si="40">AS14*1.01</f>
        <v>1.5228872931981576</v>
      </c>
    </row>
    <row r="15" spans="3:116" s="4" customFormat="1" x14ac:dyDescent="0.3">
      <c r="C15" s="3" t="s">
        <v>13</v>
      </c>
      <c r="D15" s="3">
        <f t="shared" ref="D15:J15" si="41">D12-D13-D14</f>
        <v>-13.900000000000004</v>
      </c>
      <c r="E15" s="3">
        <f t="shared" si="41"/>
        <v>-49.099999999999959</v>
      </c>
      <c r="F15" s="3">
        <f t="shared" si="41"/>
        <v>-10.1</v>
      </c>
      <c r="G15" s="3">
        <f t="shared" si="41"/>
        <v>-40.100000000000108</v>
      </c>
      <c r="H15" s="3">
        <f t="shared" si="41"/>
        <v>-100.00000000000001</v>
      </c>
      <c r="I15" s="3">
        <f t="shared" si="41"/>
        <v>-111.10000000000001</v>
      </c>
      <c r="J15" s="3">
        <f t="shared" si="41"/>
        <v>-67.999999999999986</v>
      </c>
      <c r="K15" s="3">
        <f>K12-K13-K14</f>
        <v>-140.10000000000002</v>
      </c>
      <c r="L15" s="3">
        <f t="shared" ref="L15" si="42">L12-L13-L14</f>
        <v>-42.59999999999998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C15" s="3">
        <f>AC12-AC13-AC14</f>
        <v>-62.700000000000045</v>
      </c>
      <c r="AD15" s="3">
        <f>AD12-AD13-AD14</f>
        <v>-113.20000000000006</v>
      </c>
      <c r="AE15" s="3">
        <f>AE12-AE13-AE14</f>
        <v>-419.2000000000001</v>
      </c>
      <c r="AF15" s="3">
        <f t="shared" ref="AF15:AO15" si="43">AF12-AF13-AF14</f>
        <v>-191.60000000000005</v>
      </c>
      <c r="AG15" s="3">
        <f t="shared" si="43"/>
        <v>-528.59999999999991</v>
      </c>
      <c r="AH15" s="3">
        <f t="shared" si="43"/>
        <v>-228.10000000000014</v>
      </c>
      <c r="AI15" s="3">
        <f t="shared" si="43"/>
        <v>-239.64460000000003</v>
      </c>
      <c r="AJ15" s="3">
        <f t="shared" si="43"/>
        <v>-137.36318280000003</v>
      </c>
      <c r="AK15" s="3">
        <f t="shared" si="43"/>
        <v>-45.433853162400069</v>
      </c>
      <c r="AL15" s="3">
        <f t="shared" si="43"/>
        <v>28.41758343130066</v>
      </c>
      <c r="AM15" s="3">
        <f t="shared" si="43"/>
        <v>79.191899431941238</v>
      </c>
      <c r="AN15" s="3">
        <f t="shared" si="43"/>
        <v>113.30862858596021</v>
      </c>
      <c r="AO15" s="3">
        <f t="shared" si="43"/>
        <v>141.9146074807872</v>
      </c>
      <c r="AP15" s="3">
        <f t="shared" ref="AP15" si="44">AP12-AP13-AP14</f>
        <v>164.09875149187224</v>
      </c>
      <c r="AQ15" s="3">
        <f t="shared" ref="AQ15:AT15" si="45">AQ12-AQ13-AQ14</f>
        <v>186.98449894817759</v>
      </c>
      <c r="AR15" s="3">
        <f t="shared" si="45"/>
        <v>210.60087472027169</v>
      </c>
      <c r="AS15" s="3">
        <f t="shared" si="45"/>
        <v>234.97765227593675</v>
      </c>
      <c r="AT15" s="3">
        <f t="shared" si="45"/>
        <v>260.14538118659522</v>
      </c>
      <c r="AU15" s="3">
        <f>AT15*(1+$AW$18)</f>
        <v>257.54392737472926</v>
      </c>
      <c r="AV15" s="3">
        <f t="shared" ref="AV15:DG15" si="46">AU15*(1+$AW$18)</f>
        <v>254.96848810098197</v>
      </c>
      <c r="AW15" s="3">
        <f t="shared" si="46"/>
        <v>252.41880321997215</v>
      </c>
      <c r="AX15" s="3">
        <f t="shared" si="46"/>
        <v>249.89461518777242</v>
      </c>
      <c r="AY15" s="3">
        <f t="shared" si="46"/>
        <v>247.39566903589468</v>
      </c>
      <c r="AZ15" s="3">
        <f t="shared" si="46"/>
        <v>244.92171234553572</v>
      </c>
      <c r="BA15" s="3">
        <f t="shared" si="46"/>
        <v>242.47249522208037</v>
      </c>
      <c r="BB15" s="3">
        <f t="shared" si="46"/>
        <v>240.04777026985957</v>
      </c>
      <c r="BC15" s="3">
        <f t="shared" si="46"/>
        <v>237.64729256716097</v>
      </c>
      <c r="BD15" s="3">
        <f t="shared" si="46"/>
        <v>235.27081964148937</v>
      </c>
      <c r="BE15" s="3">
        <f t="shared" si="46"/>
        <v>232.91811144507446</v>
      </c>
      <c r="BF15" s="3">
        <f t="shared" si="46"/>
        <v>230.58893033062373</v>
      </c>
      <c r="BG15" s="3">
        <f t="shared" si="46"/>
        <v>228.28304102731749</v>
      </c>
      <c r="BH15" s="3">
        <f t="shared" si="46"/>
        <v>226.00021061704433</v>
      </c>
      <c r="BI15" s="3">
        <f t="shared" si="46"/>
        <v>223.74020851087388</v>
      </c>
      <c r="BJ15" s="3">
        <f t="shared" si="46"/>
        <v>221.50280642576513</v>
      </c>
      <c r="BK15" s="3">
        <f t="shared" si="46"/>
        <v>219.28777836150746</v>
      </c>
      <c r="BL15" s="3">
        <f t="shared" si="46"/>
        <v>217.09490057789239</v>
      </c>
      <c r="BM15" s="3">
        <f t="shared" si="46"/>
        <v>214.92395157211345</v>
      </c>
      <c r="BN15" s="3">
        <f t="shared" si="46"/>
        <v>212.7747120563923</v>
      </c>
      <c r="BO15" s="3">
        <f t="shared" si="46"/>
        <v>210.64696493582838</v>
      </c>
      <c r="BP15" s="3">
        <f t="shared" si="46"/>
        <v>208.5404952864701</v>
      </c>
      <c r="BQ15" s="3">
        <f t="shared" si="46"/>
        <v>206.4550903336054</v>
      </c>
      <c r="BR15" s="3">
        <f t="shared" si="46"/>
        <v>204.39053943026934</v>
      </c>
      <c r="BS15" s="3">
        <f t="shared" si="46"/>
        <v>202.34663403596664</v>
      </c>
      <c r="BT15" s="3">
        <f t="shared" si="46"/>
        <v>200.32316769560697</v>
      </c>
      <c r="BU15" s="3">
        <f t="shared" si="46"/>
        <v>198.31993601865091</v>
      </c>
      <c r="BV15" s="3">
        <f t="shared" si="46"/>
        <v>196.33673665846439</v>
      </c>
      <c r="BW15" s="3">
        <f t="shared" si="46"/>
        <v>194.37336929187975</v>
      </c>
      <c r="BX15" s="3">
        <f t="shared" si="46"/>
        <v>192.42963559896094</v>
      </c>
      <c r="BY15" s="3">
        <f t="shared" si="46"/>
        <v>190.50533924297133</v>
      </c>
      <c r="BZ15" s="3">
        <f t="shared" si="46"/>
        <v>188.60028585054161</v>
      </c>
      <c r="CA15" s="3">
        <f t="shared" si="46"/>
        <v>186.7142829920362</v>
      </c>
      <c r="CB15" s="3">
        <f t="shared" si="46"/>
        <v>184.84714016211583</v>
      </c>
      <c r="CC15" s="3">
        <f t="shared" si="46"/>
        <v>182.99866876049467</v>
      </c>
      <c r="CD15" s="3">
        <f t="shared" si="46"/>
        <v>181.16868207288971</v>
      </c>
      <c r="CE15" s="3">
        <f t="shared" si="46"/>
        <v>179.3569952521608</v>
      </c>
      <c r="CF15" s="3">
        <f t="shared" si="46"/>
        <v>177.56342529963919</v>
      </c>
      <c r="CG15" s="3">
        <f t="shared" si="46"/>
        <v>175.78779104664281</v>
      </c>
      <c r="CH15" s="3">
        <f t="shared" si="46"/>
        <v>174.02991313617639</v>
      </c>
      <c r="CI15" s="3">
        <f t="shared" si="46"/>
        <v>172.28961400481464</v>
      </c>
      <c r="CJ15" s="3">
        <f t="shared" si="46"/>
        <v>170.5667178647665</v>
      </c>
      <c r="CK15" s="3">
        <f t="shared" si="46"/>
        <v>168.86105068611883</v>
      </c>
      <c r="CL15" s="3">
        <f t="shared" si="46"/>
        <v>167.17244017925765</v>
      </c>
      <c r="CM15" s="3">
        <f t="shared" si="46"/>
        <v>165.50071577746508</v>
      </c>
      <c r="CN15" s="3">
        <f t="shared" si="46"/>
        <v>163.84570861969041</v>
      </c>
      <c r="CO15" s="3">
        <f t="shared" si="46"/>
        <v>162.20725153349352</v>
      </c>
      <c r="CP15" s="3">
        <f t="shared" si="46"/>
        <v>160.58517901815858</v>
      </c>
      <c r="CQ15" s="3">
        <f t="shared" si="46"/>
        <v>158.979327227977</v>
      </c>
      <c r="CR15" s="3">
        <f t="shared" si="46"/>
        <v>157.38953395569723</v>
      </c>
      <c r="CS15" s="3">
        <f t="shared" si="46"/>
        <v>155.81563861614026</v>
      </c>
      <c r="CT15" s="3">
        <f t="shared" si="46"/>
        <v>154.25748222997885</v>
      </c>
      <c r="CU15" s="3">
        <f t="shared" si="46"/>
        <v>152.71490740767905</v>
      </c>
      <c r="CV15" s="3">
        <f t="shared" si="46"/>
        <v>151.18775833360226</v>
      </c>
      <c r="CW15" s="3">
        <f t="shared" si="46"/>
        <v>149.67588075026623</v>
      </c>
      <c r="CX15" s="3">
        <f t="shared" si="46"/>
        <v>148.17912194276357</v>
      </c>
      <c r="CY15" s="3">
        <f t="shared" si="46"/>
        <v>146.69733072333594</v>
      </c>
      <c r="CZ15" s="3">
        <f t="shared" si="46"/>
        <v>145.23035741610258</v>
      </c>
      <c r="DA15" s="3">
        <f t="shared" si="46"/>
        <v>143.77805384194156</v>
      </c>
      <c r="DB15" s="3">
        <f t="shared" si="46"/>
        <v>142.34027330352214</v>
      </c>
      <c r="DC15" s="3">
        <f t="shared" si="46"/>
        <v>140.91687057048691</v>
      </c>
      <c r="DD15" s="3">
        <f t="shared" si="46"/>
        <v>139.50770186478204</v>
      </c>
      <c r="DE15" s="3">
        <f t="shared" si="46"/>
        <v>138.11262484613422</v>
      </c>
      <c r="DF15" s="3">
        <f t="shared" si="46"/>
        <v>136.73149859767287</v>
      </c>
      <c r="DG15" s="3">
        <f t="shared" si="46"/>
        <v>135.36418361169615</v>
      </c>
      <c r="DH15" s="3">
        <f t="shared" ref="DH15:DL15" si="47">DG15*(1+$AW$18)</f>
        <v>134.01054177557918</v>
      </c>
      <c r="DI15" s="3">
        <f t="shared" si="47"/>
        <v>132.67043635782341</v>
      </c>
      <c r="DJ15" s="3">
        <f t="shared" si="47"/>
        <v>131.34373199424516</v>
      </c>
      <c r="DK15" s="3">
        <f t="shared" si="47"/>
        <v>130.0302946743027</v>
      </c>
      <c r="DL15" s="3">
        <f t="shared" si="47"/>
        <v>128.72999172755968</v>
      </c>
    </row>
    <row r="16" spans="3:116" x14ac:dyDescent="0.3">
      <c r="C16" s="1" t="s">
        <v>17</v>
      </c>
      <c r="D16" s="1">
        <v>228</v>
      </c>
      <c r="E16" s="1">
        <v>228</v>
      </c>
      <c r="F16" s="1">
        <v>228</v>
      </c>
      <c r="G16" s="1">
        <v>228</v>
      </c>
      <c r="H16" s="1">
        <v>304</v>
      </c>
      <c r="I16" s="1">
        <v>1824</v>
      </c>
      <c r="J16" s="1">
        <v>1824</v>
      </c>
      <c r="K16" s="1">
        <v>115</v>
      </c>
      <c r="L16" s="1">
        <v>115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C16" s="1">
        <v>228</v>
      </c>
      <c r="AD16" s="1">
        <v>228</v>
      </c>
      <c r="AE16" s="1">
        <v>115</v>
      </c>
      <c r="AF16" s="1">
        <v>115</v>
      </c>
      <c r="AG16" s="1">
        <v>115</v>
      </c>
      <c r="AH16" s="1">
        <v>822.6</v>
      </c>
      <c r="AI16" s="1">
        <v>822.6</v>
      </c>
      <c r="AJ16" s="1">
        <v>822.6</v>
      </c>
      <c r="AK16" s="1">
        <v>822.6</v>
      </c>
      <c r="AL16" s="1">
        <v>822.6</v>
      </c>
      <c r="AM16" s="1">
        <v>822.6</v>
      </c>
      <c r="AN16" s="1">
        <v>822.6</v>
      </c>
      <c r="AO16" s="1">
        <v>822.6</v>
      </c>
      <c r="AP16" s="1">
        <v>822.6</v>
      </c>
      <c r="AQ16" s="1">
        <v>822.6</v>
      </c>
      <c r="AR16" s="1">
        <v>822.6</v>
      </c>
      <c r="AS16" s="1">
        <v>822.6</v>
      </c>
      <c r="AT16" s="1">
        <v>822.6</v>
      </c>
    </row>
    <row r="17" spans="1:49" s="2" customFormat="1" x14ac:dyDescent="0.3">
      <c r="C17" s="2" t="s">
        <v>16</v>
      </c>
      <c r="D17" s="2">
        <f t="shared" ref="D17:K17" si="48">D15/D16</f>
        <v>-6.096491228070177E-2</v>
      </c>
      <c r="E17" s="2">
        <f t="shared" si="48"/>
        <v>-0.21535087719298227</v>
      </c>
      <c r="F17" s="2">
        <f t="shared" si="48"/>
        <v>-4.4298245614035087E-2</v>
      </c>
      <c r="G17" s="2">
        <f t="shared" si="48"/>
        <v>-0.1758771929824566</v>
      </c>
      <c r="H17" s="2">
        <f t="shared" si="48"/>
        <v>-0.32894736842105265</v>
      </c>
      <c r="I17" s="2">
        <f t="shared" si="48"/>
        <v>-6.0910087719298248E-2</v>
      </c>
      <c r="J17" s="2">
        <f t="shared" si="48"/>
        <v>-3.7280701754385956E-2</v>
      </c>
      <c r="K17" s="2">
        <f t="shared" si="48"/>
        <v>-1.2182608695652175</v>
      </c>
      <c r="L17" s="2">
        <f t="shared" ref="L17" si="49">L15/L16</f>
        <v>-0.3704347826086955</v>
      </c>
      <c r="AC17" s="2">
        <f t="shared" ref="AC17" si="50">AC15/AC16</f>
        <v>-0.27500000000000019</v>
      </c>
      <c r="AD17" s="2">
        <f>AD15/AD16</f>
        <v>-0.49649122807017571</v>
      </c>
      <c r="AE17" s="2">
        <f>AE15/AE16</f>
        <v>-3.6452173913043486</v>
      </c>
      <c r="AF17" s="2">
        <f t="shared" ref="AF17:AO17" si="51">AF15/AF16</f>
        <v>-1.6660869565217395</v>
      </c>
      <c r="AG17" s="2">
        <f t="shared" si="51"/>
        <v>-4.5965217391304343</v>
      </c>
      <c r="AH17" s="2">
        <f t="shared" si="51"/>
        <v>-0.27729151470945795</v>
      </c>
      <c r="AI17" s="2">
        <f t="shared" si="51"/>
        <v>-0.29132579625577437</v>
      </c>
      <c r="AJ17" s="2">
        <f t="shared" si="51"/>
        <v>-0.16698660685630931</v>
      </c>
      <c r="AK17" s="2">
        <f t="shared" si="51"/>
        <v>-5.5232012110868062E-2</v>
      </c>
      <c r="AL17" s="2">
        <f t="shared" si="51"/>
        <v>3.4546053283856869E-2</v>
      </c>
      <c r="AM17" s="2">
        <f t="shared" si="51"/>
        <v>9.6270240009653826E-2</v>
      </c>
      <c r="AN17" s="2">
        <f t="shared" si="51"/>
        <v>0.13774450350833967</v>
      </c>
      <c r="AO17" s="2">
        <f t="shared" si="51"/>
        <v>0.17251958118257621</v>
      </c>
      <c r="AP17" s="2">
        <f t="shared" ref="AP17" si="52">AP15/AP16</f>
        <v>0.19948790601978147</v>
      </c>
      <c r="AQ17" s="2">
        <f t="shared" ref="AQ17:AT17" si="53">AQ15/AQ16</f>
        <v>0.22730914046702844</v>
      </c>
      <c r="AR17" s="2">
        <f t="shared" si="53"/>
        <v>0.2560185688308676</v>
      </c>
      <c r="AS17" s="2">
        <f t="shared" si="53"/>
        <v>0.28565238545579474</v>
      </c>
      <c r="AT17" s="2">
        <f t="shared" si="53"/>
        <v>0.31624772816264918</v>
      </c>
    </row>
    <row r="18" spans="1:49" x14ac:dyDescent="0.3">
      <c r="AV18" t="s">
        <v>38</v>
      </c>
      <c r="AW18" s="7">
        <v>-0.01</v>
      </c>
    </row>
    <row r="19" spans="1:49" s="5" customFormat="1" x14ac:dyDescent="0.3">
      <c r="A19"/>
      <c r="B19"/>
      <c r="C19" s="4" t="s">
        <v>32</v>
      </c>
      <c r="D19" s="14"/>
      <c r="E19" s="14"/>
      <c r="F19" s="14"/>
      <c r="G19" s="14"/>
      <c r="H19" s="14">
        <f t="shared" ref="H19:O19" si="54">H3/D3-1</f>
        <v>-0.59897959183673466</v>
      </c>
      <c r="I19" s="14">
        <f t="shared" si="54"/>
        <v>-0.68072003789673141</v>
      </c>
      <c r="J19" s="14">
        <f t="shared" si="54"/>
        <v>-0.50419832067173131</v>
      </c>
      <c r="K19" s="14">
        <f t="shared" si="54"/>
        <v>4.9985298441637127E-3</v>
      </c>
      <c r="L19" s="14">
        <f t="shared" si="54"/>
        <v>1.8549618320610688</v>
      </c>
      <c r="M19" s="14">
        <f t="shared" si="54"/>
        <v>3.0712166172106814</v>
      </c>
      <c r="N19" s="14">
        <f t="shared" si="54"/>
        <v>0.91612903225806441</v>
      </c>
      <c r="O19" s="14">
        <f t="shared" si="54"/>
        <v>0.53130485664131077</v>
      </c>
      <c r="P19" s="14">
        <f t="shared" ref="P19" si="55">P3/L3-1</f>
        <v>3.6987522281639817E-2</v>
      </c>
      <c r="Q19" s="14">
        <f t="shared" ref="Q19" si="56">Q3/M3-1</f>
        <v>0.12609329446064144</v>
      </c>
      <c r="R19" s="14">
        <f t="shared" ref="R19" si="57">R3/N3-1</f>
        <v>0.32786195286195285</v>
      </c>
      <c r="S19" s="14">
        <f t="shared" ref="S19" si="58">S3/O3-1</f>
        <v>1.7195261750095892E-3</v>
      </c>
      <c r="T19" s="14">
        <f t="shared" ref="T19" si="59">T3/P3-1</f>
        <v>0.27159432746024925</v>
      </c>
      <c r="U19" s="14">
        <f t="shared" ref="U19" si="60">U3/Q3-1</f>
        <v>0.2346278317152104</v>
      </c>
      <c r="V19" s="14">
        <f t="shared" ref="V19" si="61">V3/R3-1</f>
        <v>0.14770206022187016</v>
      </c>
      <c r="W19" s="14">
        <f t="shared" ref="W19" si="62">W3/S3-1</f>
        <v>0.13160404348655352</v>
      </c>
      <c r="X19" s="14">
        <f t="shared" ref="X19" si="63">X3/T3-1</f>
        <v>-9.5302467049678929E-2</v>
      </c>
      <c r="Y19" s="14">
        <f t="shared" ref="Y19" si="64">Y3/U3-1</f>
        <v>-0.12110091743119267</v>
      </c>
      <c r="Z19" s="14">
        <f t="shared" ref="Z19" si="65">Z3/V3-1</f>
        <v>8.1469207401270394E-2</v>
      </c>
      <c r="AA19" s="14">
        <f t="shared" ref="AA19" si="66">AA3/W3-1</f>
        <v>-0.15000000000000002</v>
      </c>
      <c r="AB19" s="4"/>
      <c r="AC19" s="14"/>
      <c r="AD19" s="14">
        <f t="shared" ref="AD19:AO19" si="67">AD3/AC3-1</f>
        <v>-9.0469676242590058E-2</v>
      </c>
      <c r="AE19" s="14">
        <f t="shared" si="67"/>
        <v>-0.38654366790333905</v>
      </c>
      <c r="AF19" s="14">
        <f t="shared" si="67"/>
        <v>0.7902909447531874</v>
      </c>
      <c r="AG19" s="14">
        <f t="shared" si="67"/>
        <v>0.26129827444535758</v>
      </c>
      <c r="AH19" s="14">
        <f t="shared" si="67"/>
        <v>0.18190372783206654</v>
      </c>
      <c r="AI19" s="14">
        <f t="shared" si="67"/>
        <v>-8.2003307202351827E-2</v>
      </c>
      <c r="AJ19" s="14">
        <f t="shared" si="67"/>
        <v>0.19999999999999996</v>
      </c>
      <c r="AK19" s="14">
        <f t="shared" si="67"/>
        <v>0.1399999999999999</v>
      </c>
      <c r="AL19" s="14">
        <f t="shared" si="67"/>
        <v>0.10000000000000009</v>
      </c>
      <c r="AM19" s="14">
        <f t="shared" si="67"/>
        <v>8.0000000000000071E-2</v>
      </c>
      <c r="AN19" s="14">
        <f t="shared" si="67"/>
        <v>5.0000000000000044E-2</v>
      </c>
      <c r="AO19" s="14">
        <f t="shared" si="67"/>
        <v>4.0000000000000036E-2</v>
      </c>
      <c r="AP19" s="14">
        <f t="shared" ref="AP19" si="68">AP3/AO3-1</f>
        <v>3.0000000000000027E-2</v>
      </c>
      <c r="AQ19" s="14">
        <f t="shared" ref="AQ19" si="69">AQ3/AP3-1</f>
        <v>3.0000000000000027E-2</v>
      </c>
      <c r="AR19" s="14">
        <f t="shared" ref="AR19" si="70">AR3/AQ3-1</f>
        <v>3.0000000000000027E-2</v>
      </c>
      <c r="AS19" s="14">
        <f t="shared" ref="AS19" si="71">AS3/AR3-1</f>
        <v>3.0000000000000027E-2</v>
      </c>
      <c r="AT19" s="14">
        <f t="shared" ref="AT19" si="72">AT3/AS3-1</f>
        <v>3.0000000000000027E-2</v>
      </c>
      <c r="AV19" s="5" t="s">
        <v>33</v>
      </c>
      <c r="AW19" s="7">
        <v>0.08</v>
      </c>
    </row>
    <row r="20" spans="1:49" s="5" customFormat="1" x14ac:dyDescent="0.3">
      <c r="A20"/>
      <c r="B20"/>
      <c r="C20" s="4" t="s">
        <v>28</v>
      </c>
      <c r="D20" s="14">
        <f>D5/D3</f>
        <v>0.42142857142857137</v>
      </c>
      <c r="E20" s="14">
        <f t="shared" ref="E20:K20" si="73">E5/E3</f>
        <v>0.30933207010895325</v>
      </c>
      <c r="F20" s="14">
        <f t="shared" si="73"/>
        <v>0.38344662135145946</v>
      </c>
      <c r="G20" s="14">
        <f t="shared" si="73"/>
        <v>0.32578653337253721</v>
      </c>
      <c r="H20" s="14">
        <f t="shared" si="73"/>
        <v>5.2162849872773469E-2</v>
      </c>
      <c r="I20" s="14">
        <f t="shared" si="73"/>
        <v>-0.10237388724035616</v>
      </c>
      <c r="J20" s="14">
        <f t="shared" si="73"/>
        <v>0.13629032258064522</v>
      </c>
      <c r="K20" s="14">
        <f t="shared" si="73"/>
        <v>0.28379169104739599</v>
      </c>
      <c r="L20" s="14">
        <f t="shared" ref="L20:O20" si="74">L5/L3</f>
        <v>0.28208556149732622</v>
      </c>
      <c r="M20" s="14">
        <f t="shared" si="74"/>
        <v>0.29154518950437308</v>
      </c>
      <c r="N20" s="14">
        <f t="shared" si="74"/>
        <v>0.33080808080808077</v>
      </c>
      <c r="O20" s="14">
        <f t="shared" si="74"/>
        <v>0.31257164692395867</v>
      </c>
      <c r="P20" s="14">
        <f t="shared" ref="P20:AA20" si="75">P5/P3</f>
        <v>0.36097980232058446</v>
      </c>
      <c r="Q20" s="14">
        <f t="shared" si="75"/>
        <v>0.33689320388349514</v>
      </c>
      <c r="R20" s="14">
        <f t="shared" si="75"/>
        <v>0.31093502377179078</v>
      </c>
      <c r="S20" s="14">
        <f t="shared" si="75"/>
        <v>0.31375166889185574</v>
      </c>
      <c r="T20" s="14">
        <f t="shared" si="75"/>
        <v>0.34437309901993912</v>
      </c>
      <c r="U20" s="14">
        <f t="shared" si="75"/>
        <v>0.35150720838794242</v>
      </c>
      <c r="V20" s="14">
        <f t="shared" si="75"/>
        <v>0.37144435238884294</v>
      </c>
      <c r="W20" s="14">
        <f t="shared" si="75"/>
        <v>0.45238496544749707</v>
      </c>
      <c r="X20" s="14">
        <f t="shared" si="75"/>
        <v>0.37243182667164726</v>
      </c>
      <c r="Y20" s="14">
        <f t="shared" si="75"/>
        <v>0.39725618848792132</v>
      </c>
      <c r="Z20" s="14">
        <f t="shared" si="75"/>
        <v>0.36772216547497449</v>
      </c>
      <c r="AA20" s="14">
        <f t="shared" si="75"/>
        <v>0.45</v>
      </c>
      <c r="AB20" s="11"/>
      <c r="AC20" s="14">
        <f t="shared" ref="AC20" si="76">AC5/AC3</f>
        <v>0.39744642042863654</v>
      </c>
      <c r="AD20" s="14">
        <f t="shared" ref="AD20:AO20" si="77">AD5/AD3</f>
        <v>0.35556001203248766</v>
      </c>
      <c r="AE20" s="14">
        <f t="shared" si="77"/>
        <v>0.18159529257927415</v>
      </c>
      <c r="AF20" s="14">
        <f t="shared" si="77"/>
        <v>0.31379530722176568</v>
      </c>
      <c r="AG20" s="14">
        <f t="shared" si="77"/>
        <v>0.32623959464350349</v>
      </c>
      <c r="AH20" s="14">
        <f t="shared" si="77"/>
        <v>0.3914747672709456</v>
      </c>
      <c r="AI20" s="14">
        <f t="shared" si="77"/>
        <v>0.39</v>
      </c>
      <c r="AJ20" s="14">
        <f t="shared" si="77"/>
        <v>0.42</v>
      </c>
      <c r="AK20" s="14">
        <f t="shared" si="77"/>
        <v>0.43</v>
      </c>
      <c r="AL20" s="14">
        <f t="shared" si="77"/>
        <v>0.44</v>
      </c>
      <c r="AM20" s="14">
        <f t="shared" si="77"/>
        <v>0.44000000000000006</v>
      </c>
      <c r="AN20" s="14">
        <f t="shared" si="77"/>
        <v>0.44000000000000006</v>
      </c>
      <c r="AO20" s="14">
        <f t="shared" si="77"/>
        <v>0.44</v>
      </c>
      <c r="AP20" s="14">
        <f t="shared" ref="AP20" si="78">AP5/AP3</f>
        <v>0.44</v>
      </c>
      <c r="AQ20" s="14">
        <f t="shared" ref="AQ20:AT20" si="79">AQ5/AQ3</f>
        <v>0.44</v>
      </c>
      <c r="AR20" s="14">
        <f t="shared" si="79"/>
        <v>0.44</v>
      </c>
      <c r="AS20" s="14">
        <f t="shared" si="79"/>
        <v>0.44</v>
      </c>
      <c r="AT20" s="14">
        <f t="shared" si="79"/>
        <v>0.44</v>
      </c>
      <c r="AV20" s="5" t="s">
        <v>34</v>
      </c>
      <c r="AW20" s="1">
        <f>NPV(AW19,AI15:DL15)</f>
        <v>1470.9056176601621</v>
      </c>
    </row>
    <row r="21" spans="1:49" s="5" customFormat="1" x14ac:dyDescent="0.3">
      <c r="A21"/>
      <c r="B21"/>
      <c r="C21" t="s">
        <v>29</v>
      </c>
      <c r="D21" s="7">
        <f>D8/D3</f>
        <v>-1.6326530612244913E-2</v>
      </c>
      <c r="E21" s="7">
        <f t="shared" ref="E21:I21" si="80">E8/E3</f>
        <v>-0.16342965419232569</v>
      </c>
      <c r="F21" s="7">
        <f t="shared" si="80"/>
        <v>4.1983206717313079E-2</v>
      </c>
      <c r="G21" s="7">
        <f t="shared" si="80"/>
        <v>-2.7932960893855049E-2</v>
      </c>
      <c r="H21" s="7">
        <f t="shared" si="80"/>
        <v>-0.96437659033078904</v>
      </c>
      <c r="I21" s="7">
        <f t="shared" si="80"/>
        <v>-1.2388724035608307</v>
      </c>
      <c r="J21" s="7">
        <f t="shared" ref="J21" si="81">J8/J3</f>
        <v>-0.56209677419354831</v>
      </c>
      <c r="K21" s="7">
        <f t="shared" ref="K21:O21" si="82">K8/K3</f>
        <v>-0.2747220596840258</v>
      </c>
      <c r="L21" s="7">
        <f t="shared" si="82"/>
        <v>-6.8181818181818107E-2</v>
      </c>
      <c r="M21" s="7">
        <f t="shared" si="82"/>
        <v>0</v>
      </c>
      <c r="N21" s="7">
        <f t="shared" si="82"/>
        <v>0</v>
      </c>
      <c r="O21" s="7">
        <f t="shared" si="82"/>
        <v>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C21" s="7">
        <f t="shared" ref="AC21" si="83">AC8/AC3</f>
        <v>6.6393068855449114E-2</v>
      </c>
      <c r="AD21" s="7">
        <f t="shared" ref="AD21:AO21" si="84">AD8/AD3</f>
        <v>-3.6799358267321815E-2</v>
      </c>
      <c r="AE21" s="7">
        <f t="shared" si="84"/>
        <v>-0.52778685845047424</v>
      </c>
      <c r="AF21" s="7">
        <f t="shared" si="84"/>
        <v>-6.9843878389482389E-2</v>
      </c>
      <c r="AG21" s="7">
        <f t="shared" si="84"/>
        <v>-0.10264205573651825</v>
      </c>
      <c r="AH21" s="7">
        <f t="shared" si="84"/>
        <v>-6.8103870651641418E-2</v>
      </c>
      <c r="AI21" s="7">
        <f t="shared" si="84"/>
        <v>-0.12493019904530309</v>
      </c>
      <c r="AJ21" s="7">
        <f t="shared" si="84"/>
        <v>-3.4731754180551834E-2</v>
      </c>
      <c r="AK21" s="7">
        <f t="shared" si="84"/>
        <v>2.3661062048979924E-2</v>
      </c>
      <c r="AL21" s="7">
        <f t="shared" si="84"/>
        <v>6.0361520608608804E-2</v>
      </c>
      <c r="AM21" s="7">
        <f t="shared" si="84"/>
        <v>7.9782533161754626E-2</v>
      </c>
      <c r="AN21" s="7">
        <f t="shared" si="84"/>
        <v>9.0457484279402034E-2</v>
      </c>
      <c r="AO21" s="7">
        <f t="shared" si="84"/>
        <v>9.8232749155957685E-2</v>
      </c>
      <c r="AP21" s="7">
        <f t="shared" ref="AP21" si="85">AP8/AP3</f>
        <v>0.10331560839564789</v>
      </c>
      <c r="AQ21" s="7">
        <f t="shared" ref="AQ21:AT21" si="86">AQ8/AQ3</f>
        <v>0.1082997713394217</v>
      </c>
      <c r="AR21" s="7">
        <f t="shared" si="86"/>
        <v>0.11318715442020959</v>
      </c>
      <c r="AS21" s="7">
        <f t="shared" si="86"/>
        <v>0.11797963685865213</v>
      </c>
      <c r="AT21" s="7">
        <f t="shared" si="86"/>
        <v>0.12267906138566861</v>
      </c>
      <c r="AV21" s="5" t="s">
        <v>35</v>
      </c>
      <c r="AW21" s="1">
        <f>Main!D8</f>
        <v>-974.2</v>
      </c>
    </row>
    <row r="22" spans="1:49" s="5" customFormat="1" x14ac:dyDescent="0.3">
      <c r="A22"/>
      <c r="B22"/>
      <c r="C22" t="s">
        <v>64</v>
      </c>
      <c r="D22" s="14"/>
      <c r="E22" s="14"/>
      <c r="F22" s="14"/>
      <c r="G22" s="14"/>
      <c r="M22" s="7">
        <f>M6/(M3+L3)</f>
        <v>7.0368885324779473E-2</v>
      </c>
      <c r="O22" s="7">
        <f>O6/(O3+N3)</f>
        <v>6.5308804204993423E-2</v>
      </c>
      <c r="Q22" s="7">
        <f>Q6/(Q3+P3)</f>
        <v>9.5809488646852486E-2</v>
      </c>
      <c r="S22" s="7">
        <f>S6/(S3+R3)</f>
        <v>7.2755417956656354E-2</v>
      </c>
      <c r="U22" s="7">
        <f>U6/(U3+T3)</f>
        <v>0.10436964865662829</v>
      </c>
      <c r="W22" s="7">
        <f>W6/(W3+V3)</f>
        <v>7.6512455516014252E-2</v>
      </c>
      <c r="Y22" s="7">
        <f>Y6/(Y3+X3)</f>
        <v>0.1109452736318408</v>
      </c>
      <c r="AA22" s="7"/>
      <c r="AB22" s="11"/>
      <c r="AC22" s="14"/>
      <c r="AD22" s="7"/>
      <c r="AE22" s="7">
        <f>AE6/AE3</f>
        <v>0.13010787839163127</v>
      </c>
      <c r="AF22" s="7">
        <f t="shared" ref="AF22:AT22" si="87">AF6/AF3</f>
        <v>7.7421710946772568E-2</v>
      </c>
      <c r="AG22" s="7">
        <f t="shared" si="87"/>
        <v>8.1795150199058989E-2</v>
      </c>
      <c r="AH22" s="7">
        <f t="shared" si="87"/>
        <v>8.8069573738363563E-2</v>
      </c>
      <c r="AI22" s="7">
        <f t="shared" si="87"/>
        <v>0.09</v>
      </c>
      <c r="AJ22" s="7">
        <f t="shared" si="87"/>
        <v>0.09</v>
      </c>
      <c r="AK22" s="7">
        <f t="shared" si="87"/>
        <v>0.08</v>
      </c>
      <c r="AL22" s="7">
        <f t="shared" si="87"/>
        <v>0.08</v>
      </c>
      <c r="AM22" s="7">
        <f t="shared" si="87"/>
        <v>0.08</v>
      </c>
      <c r="AN22" s="7">
        <f t="shared" si="87"/>
        <v>0.08</v>
      </c>
      <c r="AO22" s="7">
        <f t="shared" si="87"/>
        <v>0.08</v>
      </c>
      <c r="AP22" s="7">
        <f t="shared" si="87"/>
        <v>0.08</v>
      </c>
      <c r="AQ22" s="7">
        <f t="shared" si="87"/>
        <v>0.08</v>
      </c>
      <c r="AR22" s="7">
        <f t="shared" si="87"/>
        <v>0.08</v>
      </c>
      <c r="AS22" s="7">
        <f t="shared" si="87"/>
        <v>0.08</v>
      </c>
      <c r="AT22" s="7">
        <f t="shared" si="87"/>
        <v>0.08</v>
      </c>
      <c r="AV22" s="5" t="s">
        <v>36</v>
      </c>
      <c r="AW22" s="1">
        <f>AW20+AW21</f>
        <v>496.70561766016203</v>
      </c>
    </row>
    <row r="23" spans="1:49" s="5" customFormat="1" x14ac:dyDescent="0.3">
      <c r="A23"/>
      <c r="B23"/>
      <c r="C23" t="s">
        <v>63</v>
      </c>
      <c r="D23" s="14"/>
      <c r="E23" s="14"/>
      <c r="F23" s="14"/>
      <c r="G23" s="14"/>
      <c r="H23" s="7">
        <f>H6/D6-1</f>
        <v>-6.8764568764568712E-2</v>
      </c>
      <c r="I23" s="7">
        <f>I6/E6-1</f>
        <v>-0.23246492985971945</v>
      </c>
      <c r="J23" s="7">
        <f>J6/F6-1</f>
        <v>1.4051522248243353E-2</v>
      </c>
      <c r="K23" s="7">
        <f>K6/G6-1</f>
        <v>0.5868661679135494</v>
      </c>
      <c r="L23" s="7">
        <f>L6/H6-1</f>
        <v>-1.6270337922403177E-2</v>
      </c>
      <c r="M23" s="7"/>
      <c r="N23" s="7"/>
      <c r="O23" s="7"/>
      <c r="P23" s="7"/>
      <c r="Q23" s="7">
        <f>Q7/M7-1</f>
        <v>0.54651162790697683</v>
      </c>
      <c r="R23" s="7"/>
      <c r="S23" s="7">
        <f>S7/O7-1</f>
        <v>0.33932346723044415</v>
      </c>
      <c r="T23" s="7"/>
      <c r="U23" s="7">
        <f>U7/Q7-1</f>
        <v>0.14462627156125607</v>
      </c>
      <c r="V23" s="7"/>
      <c r="W23" s="7">
        <f>W7/S7-1</f>
        <v>0.37253354380426207</v>
      </c>
      <c r="X23" s="7"/>
      <c r="Y23" s="7">
        <f>Y7/U7-1</f>
        <v>5.1391035548686181E-2</v>
      </c>
      <c r="Z23" s="7"/>
      <c r="AA23" s="7"/>
      <c r="AB23" s="11"/>
      <c r="AC23" s="14"/>
      <c r="AD23" s="7"/>
      <c r="AE23" s="7"/>
      <c r="AF23" s="7">
        <f>AF7/AE7-1</f>
        <v>-5.3611738148984234E-2</v>
      </c>
      <c r="AG23" s="7">
        <f t="shared" ref="AG23:AP23" si="88">AG7/AF7-1</f>
        <v>0.4296362552176507</v>
      </c>
      <c r="AH23" s="7">
        <f t="shared" si="88"/>
        <v>0.26506777893639222</v>
      </c>
      <c r="AI23" s="7">
        <f t="shared" si="88"/>
        <v>5.0000000000000044E-2</v>
      </c>
      <c r="AJ23" s="7">
        <f t="shared" si="88"/>
        <v>3.0000000000000027E-2</v>
      </c>
      <c r="AK23" s="7">
        <f t="shared" si="88"/>
        <v>2.0000000000000018E-2</v>
      </c>
      <c r="AL23" s="7">
        <f t="shared" si="88"/>
        <v>1.0000000000000009E-2</v>
      </c>
      <c r="AM23" s="7">
        <f t="shared" si="88"/>
        <v>1.0000000000000009E-2</v>
      </c>
      <c r="AN23" s="7">
        <f t="shared" si="88"/>
        <v>1.0000000000000009E-2</v>
      </c>
      <c r="AO23" s="7">
        <f t="shared" si="88"/>
        <v>1.0000000000000009E-2</v>
      </c>
      <c r="AP23" s="7">
        <f t="shared" si="88"/>
        <v>1.0000000000000009E-2</v>
      </c>
      <c r="AQ23" s="7">
        <f t="shared" ref="AQ23" si="89">AQ7/AP7-1</f>
        <v>1.0000000000000009E-2</v>
      </c>
      <c r="AR23" s="7">
        <f t="shared" ref="AR23" si="90">AR7/AQ7-1</f>
        <v>1.0000000000000009E-2</v>
      </c>
      <c r="AS23" s="7">
        <f t="shared" ref="AS23" si="91">AS7/AR7-1</f>
        <v>1.0000000000000009E-2</v>
      </c>
      <c r="AT23" s="7">
        <f t="shared" ref="AT23" si="92">AT7/AS7-1</f>
        <v>1.0000000000000009E-2</v>
      </c>
      <c r="AV23" s="5" t="s">
        <v>37</v>
      </c>
      <c r="AW23" s="6">
        <f>AW22/AO16</f>
        <v>0.60382399423797961</v>
      </c>
    </row>
    <row r="24" spans="1:49" x14ac:dyDescent="0.3">
      <c r="C24" t="s">
        <v>31</v>
      </c>
      <c r="D24" s="7">
        <f t="shared" ref="D24:L24" si="93">D13/D12</f>
        <v>0.19653179190751441</v>
      </c>
      <c r="E24" s="7">
        <f t="shared" si="93"/>
        <v>0.20162601626016274</v>
      </c>
      <c r="F24" s="7">
        <f t="shared" si="93"/>
        <v>0.25185185185185183</v>
      </c>
      <c r="G24" s="7">
        <f t="shared" si="93"/>
        <v>-1.6083333333333196</v>
      </c>
      <c r="H24" s="7">
        <f t="shared" si="93"/>
        <v>0.15254237288135591</v>
      </c>
      <c r="I24" s="7">
        <f t="shared" si="93"/>
        <v>-2.0109689213893958E-2</v>
      </c>
      <c r="J24" s="7">
        <f t="shared" si="93"/>
        <v>0.15422885572139305</v>
      </c>
      <c r="K24" s="7">
        <f t="shared" si="93"/>
        <v>0.17319848293299622</v>
      </c>
      <c r="L24" s="7">
        <f t="shared" si="93"/>
        <v>-9.4786729857819947E-3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5"/>
      <c r="AC24" s="7">
        <f t="shared" ref="AC24:AO24" si="94">AC13/AC12</f>
        <v>0.16275659824046909</v>
      </c>
      <c r="AD24" s="7">
        <f t="shared" si="94"/>
        <v>-9.5877277085332094E-4</v>
      </c>
      <c r="AE24" s="7">
        <f t="shared" si="94"/>
        <v>0.11931330472103004</v>
      </c>
      <c r="AF24" s="7">
        <f t="shared" si="94"/>
        <v>0.11459307764265667</v>
      </c>
      <c r="AG24" s="7">
        <f t="shared" si="94"/>
        <v>-6.606060606060607E-2</v>
      </c>
      <c r="AH24" s="7">
        <f t="shared" si="94"/>
        <v>5.4211843202668863E-2</v>
      </c>
      <c r="AI24" s="7">
        <f t="shared" si="94"/>
        <v>0.2</v>
      </c>
      <c r="AJ24" s="7">
        <f t="shared" si="94"/>
        <v>0.2</v>
      </c>
      <c r="AK24" s="7">
        <f t="shared" si="94"/>
        <v>0.2</v>
      </c>
      <c r="AL24" s="7">
        <f t="shared" si="94"/>
        <v>0.2</v>
      </c>
      <c r="AM24" s="7">
        <f t="shared" si="94"/>
        <v>0.2</v>
      </c>
      <c r="AN24" s="7">
        <f t="shared" si="94"/>
        <v>0.2</v>
      </c>
      <c r="AO24" s="7">
        <f t="shared" si="94"/>
        <v>0.19999999999999998</v>
      </c>
      <c r="AP24" s="7">
        <f t="shared" ref="AP24" si="95">AP13/AP12</f>
        <v>0.20000000000000004</v>
      </c>
      <c r="AQ24" s="7">
        <f t="shared" ref="AQ24:AT24" si="96">AQ13/AQ12</f>
        <v>0.2</v>
      </c>
      <c r="AR24" s="7">
        <f t="shared" si="96"/>
        <v>0.2</v>
      </c>
      <c r="AS24" s="7">
        <f t="shared" si="96"/>
        <v>0.2</v>
      </c>
      <c r="AT24" s="7">
        <f t="shared" si="96"/>
        <v>0.2</v>
      </c>
      <c r="AV24" s="5" t="s">
        <v>41</v>
      </c>
      <c r="AW24" s="6">
        <f>Main!D3</f>
        <v>1.0980000000000001</v>
      </c>
    </row>
    <row r="25" spans="1:49" s="4" customFormat="1" x14ac:dyDescent="0.3">
      <c r="A25"/>
      <c r="B25"/>
      <c r="C25" s="4" t="s">
        <v>30</v>
      </c>
      <c r="D25" s="14">
        <f>D15/D3</f>
        <v>-7.0918367346938793E-2</v>
      </c>
      <c r="E25" s="14">
        <f t="shared" ref="E25:I25" si="97">E15/E3</f>
        <v>-0.23259118900994769</v>
      </c>
      <c r="F25" s="14">
        <f t="shared" si="97"/>
        <v>-4.0383846461415435E-2</v>
      </c>
      <c r="G25" s="14">
        <f t="shared" si="97"/>
        <v>-0.11790649808879776</v>
      </c>
      <c r="H25" s="14">
        <f t="shared" si="97"/>
        <v>-1.2722646310432573</v>
      </c>
      <c r="I25" s="14">
        <f t="shared" si="97"/>
        <v>-1.6483679525222552</v>
      </c>
      <c r="J25" s="14">
        <f t="shared" ref="J25" si="98">J15/J3</f>
        <v>-0.54838709677419339</v>
      </c>
      <c r="K25" s="14">
        <f t="shared" ref="K25:L25" si="99">K15/K3</f>
        <v>-0.40988882387361042</v>
      </c>
      <c r="L25" s="14">
        <f t="shared" si="99"/>
        <v>-0.18983957219251327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1"/>
      <c r="AC25" s="14">
        <f t="shared" ref="AC25" si="100">AC15/AC3</f>
        <v>-5.7181942544459685E-2</v>
      </c>
      <c r="AD25" s="14">
        <f t="shared" ref="AD25:AO25" si="101">AD15/AD3</f>
        <v>-0.11350646746214786</v>
      </c>
      <c r="AE25" s="14">
        <f t="shared" si="101"/>
        <v>-0.68519123896698286</v>
      </c>
      <c r="AF25" s="14">
        <f t="shared" si="101"/>
        <v>-0.17492924312973621</v>
      </c>
      <c r="AG25" s="14">
        <f t="shared" si="101"/>
        <v>-0.38262757871878389</v>
      </c>
      <c r="AH25" s="14">
        <f t="shared" si="101"/>
        <v>-0.13969867711905937</v>
      </c>
      <c r="AI25" s="14">
        <f t="shared" si="101"/>
        <v>-0.15987977890526753</v>
      </c>
      <c r="AJ25" s="14">
        <f t="shared" si="101"/>
        <v>-7.6368628432088775E-2</v>
      </c>
      <c r="AK25" s="14">
        <f t="shared" si="101"/>
        <v>-2.2157428900875454E-2</v>
      </c>
      <c r="AL25" s="14">
        <f t="shared" si="101"/>
        <v>1.2598947112351018E-2</v>
      </c>
      <c r="AM25" s="14">
        <f t="shared" si="101"/>
        <v>3.250903764362241E-2</v>
      </c>
      <c r="AN25" s="14">
        <f t="shared" si="101"/>
        <v>4.4299317750944311E-2</v>
      </c>
      <c r="AO25" s="14">
        <f t="shared" si="101"/>
        <v>5.334918824354163E-2</v>
      </c>
      <c r="AP25" s="14">
        <f t="shared" ref="AP25" si="102">AP15/AP3</f>
        <v>5.9891993312630794E-2</v>
      </c>
      <c r="AQ25" s="14">
        <f t="shared" ref="AQ25:AT25" si="103">AQ15/AQ3</f>
        <v>6.6257015700024097E-2</v>
      </c>
      <c r="AR25" s="14">
        <f t="shared" si="103"/>
        <v>7.2451805380537748E-2</v>
      </c>
      <c r="AS25" s="14">
        <f t="shared" si="103"/>
        <v>7.848350261770709E-2</v>
      </c>
      <c r="AT25" s="14">
        <f t="shared" si="103"/>
        <v>8.4358861767257057E-2</v>
      </c>
      <c r="AV25" s="11" t="s">
        <v>42</v>
      </c>
      <c r="AW25" s="14">
        <f>AW23/AW24-1</f>
        <v>-0.45006922200548305</v>
      </c>
    </row>
    <row r="26" spans="1:49" s="5" customFormat="1" x14ac:dyDescent="0.3">
      <c r="A26" s="4"/>
      <c r="B26" s="4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"/>
      <c r="AQ26" s="4"/>
      <c r="AR26" s="4"/>
      <c r="AS26" s="4"/>
      <c r="AT26" s="4"/>
      <c r="AV26" s="5" t="s">
        <v>43</v>
      </c>
      <c r="AW26" s="12" t="s">
        <v>65</v>
      </c>
    </row>
    <row r="27" spans="1:49" x14ac:dyDescent="0.3">
      <c r="A27" s="5"/>
      <c r="B27" s="5"/>
      <c r="AP27" s="5"/>
      <c r="AQ27" s="5"/>
      <c r="AR27" s="5"/>
      <c r="AS27" s="5"/>
      <c r="AT27" s="5"/>
    </row>
    <row r="28" spans="1:49" x14ac:dyDescent="0.3">
      <c r="D28" s="5"/>
      <c r="E28" s="5"/>
      <c r="F28" s="5"/>
      <c r="G28" s="5"/>
      <c r="H28" s="5"/>
      <c r="I28" s="5"/>
      <c r="AV28" s="5" t="s">
        <v>66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comp.net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Anton Mniszek</cp:lastModifiedBy>
  <cp:lastPrinted>2020-08-24T16:19:34Z</cp:lastPrinted>
  <dcterms:created xsi:type="dcterms:W3CDTF">2020-08-24T15:48:06Z</dcterms:created>
  <dcterms:modified xsi:type="dcterms:W3CDTF">2024-12-09T15:29:45Z</dcterms:modified>
</cp:coreProperties>
</file>