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30B86DB6-3617-4921-944E-9091CD0C9CDC}" xr6:coauthVersionLast="47" xr6:coauthVersionMax="47" xr10:uidLastSave="{00000000-0000-0000-0000-000000000000}"/>
  <bookViews>
    <workbookView xWindow="-108" yWindow="-108" windowWidth="23256" windowHeight="12576" activeTab="1" xr2:uid="{9F99C5B0-931E-4829-96B7-44BB227DB042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U3" i="1"/>
  <c r="T3" i="1"/>
  <c r="M3" i="1"/>
  <c r="L3" i="1"/>
  <c r="F3" i="1"/>
  <c r="K3" i="1" s="1"/>
  <c r="K13" i="1" s="1"/>
  <c r="F3" i="2"/>
  <c r="Q9" i="1"/>
  <c r="R9" i="1" s="1"/>
  <c r="S9" i="1" s="1"/>
  <c r="T9" i="1" s="1"/>
  <c r="U9" i="1" s="1"/>
  <c r="V9" i="1" s="1"/>
  <c r="P9" i="1"/>
  <c r="M5" i="1"/>
  <c r="N5" i="1" s="1"/>
  <c r="O5" i="1" s="1"/>
  <c r="P5" i="1" s="1"/>
  <c r="Q5" i="1" s="1"/>
  <c r="R5" i="1" s="1"/>
  <c r="S5" i="1" s="1"/>
  <c r="T5" i="1" s="1"/>
  <c r="U5" i="1" s="1"/>
  <c r="V5" i="1" s="1"/>
  <c r="L5" i="1"/>
  <c r="M4" i="1"/>
  <c r="Y20" i="1"/>
  <c r="D9" i="2"/>
  <c r="D8" i="2"/>
  <c r="Y17" i="1"/>
  <c r="L15" i="1"/>
  <c r="L4" i="1"/>
  <c r="Q6" i="1"/>
  <c r="R6" i="1" s="1"/>
  <c r="S6" i="1" s="1"/>
  <c r="T6" i="1" s="1"/>
  <c r="U6" i="1" s="1"/>
  <c r="V6" i="1" s="1"/>
  <c r="P6" i="1"/>
  <c r="O6" i="1"/>
  <c r="N6" i="1"/>
  <c r="M6" i="1"/>
  <c r="N9" i="1"/>
  <c r="M9" i="1"/>
  <c r="L9" i="1"/>
  <c r="L6" i="1"/>
  <c r="K7" i="1"/>
  <c r="K10" i="1" s="1"/>
  <c r="K9" i="1"/>
  <c r="K18" i="1" s="1"/>
  <c r="F10" i="1"/>
  <c r="E19" i="1"/>
  <c r="F19" i="1"/>
  <c r="K16" i="1"/>
  <c r="K15" i="1"/>
  <c r="J18" i="1"/>
  <c r="I18" i="1"/>
  <c r="J16" i="1"/>
  <c r="I16" i="1"/>
  <c r="J15" i="1"/>
  <c r="I15" i="1"/>
  <c r="H4" i="1"/>
  <c r="H7" i="1" s="1"/>
  <c r="H8" i="1" s="1"/>
  <c r="H11" i="1" s="1"/>
  <c r="I4" i="1"/>
  <c r="I7" i="1" s="1"/>
  <c r="I8" i="1" s="1"/>
  <c r="I11" i="1" s="1"/>
  <c r="I20" i="1" s="1"/>
  <c r="J4" i="1"/>
  <c r="J7" i="1" s="1"/>
  <c r="J8" i="1" s="1"/>
  <c r="J11" i="1" s="1"/>
  <c r="J20" i="1" s="1"/>
  <c r="D4" i="2"/>
  <c r="D5" i="2" s="1"/>
  <c r="E13" i="1"/>
  <c r="D3" i="1"/>
  <c r="F13" i="1" l="1"/>
  <c r="N3" i="1"/>
  <c r="O3" i="1" s="1"/>
  <c r="P3" i="1" s="1"/>
  <c r="Q3" i="1" s="1"/>
  <c r="R3" i="1" s="1"/>
  <c r="S3" i="1" s="1"/>
  <c r="L7" i="1"/>
  <c r="L14" i="1"/>
  <c r="N4" i="1"/>
  <c r="O4" i="1" s="1"/>
  <c r="P4" i="1" s="1"/>
  <c r="Q4" i="1" s="1"/>
  <c r="R4" i="1" s="1"/>
  <c r="S4" i="1" s="1"/>
  <c r="T4" i="1" s="1"/>
  <c r="U4" i="1" s="1"/>
  <c r="V4" i="1" s="1"/>
  <c r="K8" i="1"/>
  <c r="K11" i="1" s="1"/>
  <c r="N16" i="1"/>
  <c r="N15" i="1"/>
  <c r="M16" i="1"/>
  <c r="O9" i="1"/>
  <c r="N18" i="1"/>
  <c r="M18" i="1"/>
  <c r="M15" i="1"/>
  <c r="L16" i="1"/>
  <c r="M14" i="1"/>
  <c r="L18" i="1"/>
  <c r="I17" i="1"/>
  <c r="H10" i="1"/>
  <c r="I10" i="1"/>
  <c r="K14" i="1"/>
  <c r="J10" i="1"/>
  <c r="D10" i="1" s="1"/>
  <c r="J17" i="1"/>
  <c r="J14" i="1"/>
  <c r="I14" i="1"/>
  <c r="L13" i="1"/>
  <c r="M13" i="1"/>
  <c r="N13" i="1" l="1"/>
  <c r="L8" i="1"/>
  <c r="L17" i="1" s="1"/>
  <c r="N7" i="1"/>
  <c r="N8" i="1" s="1"/>
  <c r="N17" i="1" s="1"/>
  <c r="N14" i="1"/>
  <c r="L10" i="1"/>
  <c r="M7" i="1"/>
  <c r="K17" i="1"/>
  <c r="K20" i="1"/>
  <c r="N10" i="1"/>
  <c r="O16" i="1"/>
  <c r="O14" i="1"/>
  <c r="O7" i="1"/>
  <c r="O8" i="1" s="1"/>
  <c r="O17" i="1" s="1"/>
  <c r="O15" i="1"/>
  <c r="O18" i="1"/>
  <c r="O13" i="1"/>
  <c r="L11" i="1" l="1"/>
  <c r="L20" i="1" s="1"/>
  <c r="N11" i="1"/>
  <c r="N20" i="1" s="1"/>
  <c r="M10" i="1"/>
  <c r="M8" i="1"/>
  <c r="O10" i="1"/>
  <c r="O11" i="1"/>
  <c r="P15" i="1"/>
  <c r="P16" i="1"/>
  <c r="P7" i="1"/>
  <c r="P8" i="1" s="1"/>
  <c r="P17" i="1" s="1"/>
  <c r="P14" i="1"/>
  <c r="P18" i="1"/>
  <c r="P13" i="1"/>
  <c r="M11" i="1" l="1"/>
  <c r="M20" i="1" s="1"/>
  <c r="M17" i="1"/>
  <c r="O20" i="1"/>
  <c r="P11" i="1"/>
  <c r="P20" i="1" s="1"/>
  <c r="Q14" i="1"/>
  <c r="Q7" i="1"/>
  <c r="Q8" i="1" s="1"/>
  <c r="Q17" i="1" s="1"/>
  <c r="Q16" i="1"/>
  <c r="P10" i="1"/>
  <c r="Q15" i="1"/>
  <c r="Q18" i="1"/>
  <c r="Q13" i="1"/>
  <c r="Q11" i="1" l="1"/>
  <c r="Q20" i="1" s="1"/>
  <c r="Q10" i="1"/>
  <c r="R14" i="1"/>
  <c r="R7" i="1"/>
  <c r="R8" i="1" s="1"/>
  <c r="R17" i="1" s="1"/>
  <c r="R15" i="1"/>
  <c r="R16" i="1"/>
  <c r="R18" i="1"/>
  <c r="R13" i="1"/>
  <c r="S15" i="1" l="1"/>
  <c r="R11" i="1"/>
  <c r="R10" i="1"/>
  <c r="S16" i="1"/>
  <c r="S7" i="1"/>
  <c r="S8" i="1" s="1"/>
  <c r="S17" i="1" s="1"/>
  <c r="S14" i="1"/>
  <c r="S10" i="1"/>
  <c r="S18" i="1"/>
  <c r="S13" i="1"/>
  <c r="R20" i="1" l="1"/>
  <c r="T16" i="1"/>
  <c r="T15" i="1"/>
  <c r="T7" i="1"/>
  <c r="T8" i="1" s="1"/>
  <c r="T17" i="1" s="1"/>
  <c r="T14" i="1"/>
  <c r="S11" i="1"/>
  <c r="S20" i="1" s="1"/>
  <c r="T18" i="1"/>
  <c r="T13" i="1"/>
  <c r="T11" i="1" l="1"/>
  <c r="T20" i="1" s="1"/>
  <c r="V16" i="1"/>
  <c r="U16" i="1"/>
  <c r="U15" i="1"/>
  <c r="V15" i="1"/>
  <c r="U7" i="1"/>
  <c r="U8" i="1" s="1"/>
  <c r="U17" i="1" s="1"/>
  <c r="U14" i="1"/>
  <c r="T10" i="1"/>
  <c r="U18" i="1"/>
  <c r="V13" i="1"/>
  <c r="U13" i="1"/>
  <c r="U11" i="1" l="1"/>
  <c r="U20" i="1" s="1"/>
  <c r="U10" i="1"/>
  <c r="V7" i="1"/>
  <c r="V8" i="1" s="1"/>
  <c r="V17" i="1" s="1"/>
  <c r="V14" i="1"/>
  <c r="V18" i="1"/>
  <c r="V10" i="1" l="1"/>
  <c r="V11" i="1"/>
  <c r="V20" i="1" l="1"/>
  <c r="W11" i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Y16" i="1" s="1"/>
  <c r="Y18" i="1" s="1"/>
  <c r="Y19" i="1" s="1"/>
  <c r="Y21" i="1" s="1"/>
</calcChain>
</file>

<file path=xl/sharedStrings.xml><?xml version="1.0" encoding="utf-8"?>
<sst xmlns="http://schemas.openxmlformats.org/spreadsheetml/2006/main" count="45" uniqueCount="43">
  <si>
    <t>Revenue</t>
  </si>
  <si>
    <t>Revenue y/y</t>
  </si>
  <si>
    <t>H123</t>
  </si>
  <si>
    <t>H223</t>
  </si>
  <si>
    <t>H124</t>
  </si>
  <si>
    <t>H224</t>
  </si>
  <si>
    <t>Gross profit</t>
  </si>
  <si>
    <t>ARQQ</t>
  </si>
  <si>
    <t>Price</t>
  </si>
  <si>
    <t>Shares</t>
  </si>
  <si>
    <t>MC</t>
  </si>
  <si>
    <t>Cash</t>
  </si>
  <si>
    <t>Debt</t>
  </si>
  <si>
    <t>Net Cash</t>
  </si>
  <si>
    <t>EV</t>
  </si>
  <si>
    <t>Staff costs</t>
  </si>
  <si>
    <t>Professional fees</t>
  </si>
  <si>
    <t>Total cost of sales</t>
  </si>
  <si>
    <t>Property costs</t>
  </si>
  <si>
    <t>SG&amp;A</t>
  </si>
  <si>
    <t>Operating profit</t>
  </si>
  <si>
    <t>Staff y/y</t>
  </si>
  <si>
    <t>Professional y/y</t>
  </si>
  <si>
    <t>Property y/y</t>
  </si>
  <si>
    <t>SG&amp;A y/y</t>
  </si>
  <si>
    <t>Gross Margin</t>
  </si>
  <si>
    <t>Operating Margin</t>
  </si>
  <si>
    <t>Total admin expenses</t>
  </si>
  <si>
    <t>Admin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</si>
  <si>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</si>
  <si>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</si>
  <si>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</si>
  <si>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</si>
  <si>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</si>
  <si>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</si>
  <si>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</si>
  <si>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</si>
  <si>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Last checked</t>
  </si>
  <si>
    <t>Today</t>
  </si>
  <si>
    <t>Earnings</t>
  </si>
  <si>
    <t>H224?</t>
  </si>
  <si>
    <t>Consensus</t>
  </si>
  <si>
    <t>Heavily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</si>
</sst>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22860</xdr:rowOff>
    </xdr:from>
    <xdr:to>
      <xdr:col>5</xdr:col>
      <xdr:colOff>30480</xdr:colOff>
      <xdr:row>34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85562FD-7ACF-5D81-3C3F-6332EC92E385}"/>
            </a:ext>
          </a:extLst>
        </xdr:cNvPr>
        <xdr:cNvCxnSpPr/>
      </xdr:nvCxnSpPr>
      <xdr:spPr>
        <a:xfrm>
          <a:off x="3764280" y="2286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</xdr:colOff>
      <xdr:row>0</xdr:row>
      <xdr:rowOff>7620</xdr:rowOff>
    </xdr:from>
    <xdr:to>
      <xdr:col>10</xdr:col>
      <xdr:colOff>30480</xdr:colOff>
      <xdr:row>34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554C265-613C-ABAC-AA03-654A639A12C2}"/>
            </a:ext>
          </a:extLst>
        </xdr:cNvPr>
        <xdr:cNvCxnSpPr/>
      </xdr:nvCxnSpPr>
      <xdr:spPr>
        <a:xfrm>
          <a:off x="599694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6560-2492-4B21-A169-0D69F900D4FD}">
  <dimension ref="B2:G9"/>
  <sheetViews>
    <sheetView workbookViewId="0">
      <selection activeCell="D3" sqref="D3"/>
    </sheetView>
  </sheetViews>
  <sheetFormatPr defaultRowHeight="14.4" x14ac:dyDescent="0.3"/>
  <cols>
    <col min="5" max="7" width="13.5546875" style="12" customWidth="1"/>
  </cols>
  <sheetData>
    <row r="2" spans="2:7" x14ac:dyDescent="0.3">
      <c r="E2" s="12" t="s">
        <v>37</v>
      </c>
      <c r="F2" s="12" t="s">
        <v>38</v>
      </c>
      <c r="G2" s="12" t="s">
        <v>39</v>
      </c>
    </row>
    <row r="3" spans="2:7" x14ac:dyDescent="0.3">
      <c r="B3" t="s">
        <v>7</v>
      </c>
      <c r="C3" t="s">
        <v>8</v>
      </c>
      <c r="D3" s="5">
        <v>10.5</v>
      </c>
      <c r="E3" s="13">
        <v>45618</v>
      </c>
      <c r="F3" s="13">
        <f ca="1">TODAY()</f>
        <v>45671</v>
      </c>
      <c r="G3" s="13">
        <v>45638</v>
      </c>
    </row>
    <row r="4" spans="2:7" x14ac:dyDescent="0.3">
      <c r="C4" t="s">
        <v>9</v>
      </c>
      <c r="D4" s="4">
        <f>4.5+5.4</f>
        <v>9.9</v>
      </c>
      <c r="E4" s="12" t="s">
        <v>40</v>
      </c>
    </row>
    <row r="5" spans="2:7" x14ac:dyDescent="0.3">
      <c r="C5" t="s">
        <v>10</v>
      </c>
      <c r="D5" s="4">
        <f>D3*D4</f>
        <v>103.95</v>
      </c>
    </row>
    <row r="6" spans="2:7" x14ac:dyDescent="0.3">
      <c r="C6" t="s">
        <v>11</v>
      </c>
      <c r="D6" s="4">
        <v>21.3</v>
      </c>
      <c r="E6" s="12" t="s">
        <v>4</v>
      </c>
    </row>
    <row r="7" spans="2:7" x14ac:dyDescent="0.3">
      <c r="C7" t="s">
        <v>12</v>
      </c>
      <c r="D7" s="4">
        <v>0</v>
      </c>
      <c r="E7" s="12" t="s">
        <v>4</v>
      </c>
    </row>
    <row r="8" spans="2:7" x14ac:dyDescent="0.3">
      <c r="C8" t="s">
        <v>13</v>
      </c>
      <c r="D8" s="4">
        <f>D6-D7</f>
        <v>21.3</v>
      </c>
    </row>
    <row r="9" spans="2:7" x14ac:dyDescent="0.3">
      <c r="C9" t="s">
        <v>14</v>
      </c>
      <c r="D9" s="4">
        <f>D5-D8</f>
        <v>82.65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5F26-721C-4477-B34B-3955E9841A9B}">
  <dimension ref="B1:EM22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S9" sqref="S9"/>
    </sheetView>
  </sheetViews>
  <sheetFormatPr defaultRowHeight="14.4" x14ac:dyDescent="0.3"/>
  <cols>
    <col min="2" max="2" width="18.77734375" bestFit="1" customWidth="1"/>
    <col min="3" max="9" width="11" customWidth="1"/>
    <col min="10" max="22" width="10.5546875" bestFit="1" customWidth="1"/>
    <col min="24" max="24" width="11.88671875" bestFit="1" customWidth="1"/>
    <col min="25" max="25" width="16.44140625" bestFit="1" customWidth="1"/>
  </cols>
  <sheetData>
    <row r="1" spans="2:143" x14ac:dyDescent="0.3">
      <c r="C1" s="2">
        <v>45015</v>
      </c>
      <c r="D1" s="2">
        <v>45199</v>
      </c>
      <c r="E1" s="2">
        <v>45381</v>
      </c>
      <c r="F1" s="2">
        <v>45565</v>
      </c>
      <c r="H1" s="2">
        <v>44469</v>
      </c>
      <c r="I1" s="2">
        <v>44834</v>
      </c>
      <c r="J1" s="2">
        <v>45199</v>
      </c>
      <c r="K1" s="2">
        <v>45565</v>
      </c>
      <c r="L1" s="2">
        <v>45930</v>
      </c>
      <c r="M1" s="2">
        <v>46295</v>
      </c>
      <c r="N1" s="2">
        <v>46660</v>
      </c>
      <c r="O1" s="2">
        <v>47026</v>
      </c>
      <c r="P1" s="2">
        <v>47391</v>
      </c>
      <c r="Q1" s="2">
        <v>47756</v>
      </c>
      <c r="R1" s="2">
        <v>48121</v>
      </c>
      <c r="S1" s="2">
        <v>48487</v>
      </c>
      <c r="T1" s="2">
        <v>48852</v>
      </c>
      <c r="U1" s="2">
        <v>49217</v>
      </c>
      <c r="V1" s="2">
        <v>49582</v>
      </c>
    </row>
    <row r="2" spans="2:143" x14ac:dyDescent="0.3">
      <c r="C2" s="3" t="s">
        <v>2</v>
      </c>
      <c r="D2" s="3" t="s">
        <v>3</v>
      </c>
      <c r="E2" s="3" t="s">
        <v>4</v>
      </c>
      <c r="F2" s="3" t="s">
        <v>5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</row>
    <row r="3" spans="2:143" s="6" customFormat="1" x14ac:dyDescent="0.3">
      <c r="B3" s="6" t="s">
        <v>0</v>
      </c>
      <c r="C3" s="7">
        <v>1.9E-2</v>
      </c>
      <c r="D3" s="7">
        <f>J3-C3</f>
        <v>0.621</v>
      </c>
      <c r="E3" s="7">
        <v>0.11899999999999999</v>
      </c>
      <c r="F3" s="7">
        <f>0.293-E3</f>
        <v>0.17399999999999999</v>
      </c>
      <c r="H3" s="7"/>
      <c r="I3" s="7"/>
      <c r="J3" s="7">
        <v>0.64</v>
      </c>
      <c r="K3" s="7">
        <f>SUM(E3:F3)</f>
        <v>0.29299999999999998</v>
      </c>
      <c r="L3" s="7">
        <f>K3*3</f>
        <v>0.879</v>
      </c>
      <c r="M3" s="7">
        <f>L3*2.5</f>
        <v>2.1974999999999998</v>
      </c>
      <c r="N3" s="7">
        <f>M3*2</f>
        <v>4.3949999999999996</v>
      </c>
      <c r="O3" s="7">
        <f>N3*1.8</f>
        <v>7.9109999999999996</v>
      </c>
      <c r="P3" s="7">
        <f>O3*1.6</f>
        <v>12.6576</v>
      </c>
      <c r="Q3" s="7">
        <f>P3*1.5</f>
        <v>18.9864</v>
      </c>
      <c r="R3" s="7">
        <f>Q3*1.4</f>
        <v>26.580959999999997</v>
      </c>
      <c r="S3" s="7">
        <f>R3*1.3</f>
        <v>34.555247999999999</v>
      </c>
      <c r="T3" s="7">
        <f>S3*1.25</f>
        <v>43.19406</v>
      </c>
      <c r="U3" s="7">
        <f>T3*1.2</f>
        <v>51.832872000000002</v>
      </c>
      <c r="V3" s="7">
        <f t="shared" ref="V3" si="0">U3*1.2</f>
        <v>62.199446399999999</v>
      </c>
    </row>
    <row r="4" spans="2:143" x14ac:dyDescent="0.3">
      <c r="B4" t="s">
        <v>15</v>
      </c>
      <c r="C4" s="4"/>
      <c r="D4" s="4"/>
      <c r="E4" s="4"/>
      <c r="F4" s="4"/>
      <c r="H4" s="4">
        <f>10.9-3.5</f>
        <v>7.4</v>
      </c>
      <c r="I4" s="4">
        <f>21.1-4.9</f>
        <v>16.200000000000003</v>
      </c>
      <c r="J4" s="4">
        <f>24.2-2</f>
        <v>22.2</v>
      </c>
      <c r="K4" s="4">
        <v>13</v>
      </c>
      <c r="L4" s="4">
        <f>K4*0.95</f>
        <v>12.35</v>
      </c>
      <c r="M4" s="4">
        <f>L4*1.08</f>
        <v>13.338000000000001</v>
      </c>
      <c r="N4" s="4">
        <f>M4*1.07</f>
        <v>14.271660000000002</v>
      </c>
      <c r="O4" s="4">
        <f>N4*1.02</f>
        <v>14.557093200000002</v>
      </c>
      <c r="P4" s="4">
        <f t="shared" ref="P4:V4" si="1">O4*1.02</f>
        <v>14.848235064000002</v>
      </c>
      <c r="Q4" s="4">
        <f t="shared" si="1"/>
        <v>15.145199765280003</v>
      </c>
      <c r="R4" s="4">
        <f t="shared" si="1"/>
        <v>15.448103760585603</v>
      </c>
      <c r="S4" s="4">
        <f t="shared" si="1"/>
        <v>15.757065835797315</v>
      </c>
      <c r="T4" s="4">
        <f t="shared" si="1"/>
        <v>16.072207152513261</v>
      </c>
      <c r="U4" s="4">
        <f t="shared" si="1"/>
        <v>16.393651295563526</v>
      </c>
      <c r="V4" s="4">
        <f t="shared" si="1"/>
        <v>16.721524321474796</v>
      </c>
    </row>
    <row r="5" spans="2:143" x14ac:dyDescent="0.3">
      <c r="B5" t="s">
        <v>16</v>
      </c>
      <c r="C5" s="4"/>
      <c r="D5" s="4"/>
      <c r="E5" s="4"/>
      <c r="F5" s="4"/>
      <c r="H5" s="4">
        <v>4.7</v>
      </c>
      <c r="I5" s="4">
        <v>6.4</v>
      </c>
      <c r="J5" s="4">
        <v>12.4</v>
      </c>
      <c r="K5" s="4">
        <v>9</v>
      </c>
      <c r="L5" s="4">
        <f>K5*1.02</f>
        <v>9.18</v>
      </c>
      <c r="M5" s="4">
        <f t="shared" ref="M5:V5" si="2">L5*1.02</f>
        <v>9.3635999999999999</v>
      </c>
      <c r="N5" s="4">
        <f t="shared" si="2"/>
        <v>9.550872</v>
      </c>
      <c r="O5" s="4">
        <f t="shared" si="2"/>
        <v>9.7418894399999996</v>
      </c>
      <c r="P5" s="4">
        <f t="shared" si="2"/>
        <v>9.9367272288000006</v>
      </c>
      <c r="Q5" s="4">
        <f t="shared" si="2"/>
        <v>10.135461773376001</v>
      </c>
      <c r="R5" s="4">
        <f t="shared" si="2"/>
        <v>10.338171008843521</v>
      </c>
      <c r="S5" s="4">
        <f t="shared" si="2"/>
        <v>10.54493442902039</v>
      </c>
      <c r="T5" s="4">
        <f t="shared" si="2"/>
        <v>10.755833117600798</v>
      </c>
      <c r="U5" s="4">
        <f t="shared" si="2"/>
        <v>10.970949779952814</v>
      </c>
      <c r="V5" s="4">
        <f t="shared" si="2"/>
        <v>11.190368775551871</v>
      </c>
    </row>
    <row r="6" spans="2:143" x14ac:dyDescent="0.3">
      <c r="B6" t="s">
        <v>18</v>
      </c>
      <c r="C6" s="4"/>
      <c r="D6" s="4"/>
      <c r="E6" s="4"/>
      <c r="F6" s="4"/>
      <c r="H6" s="4">
        <v>0.2</v>
      </c>
      <c r="I6" s="4">
        <v>0.8</v>
      </c>
      <c r="J6" s="4">
        <v>2.2999999999999998</v>
      </c>
      <c r="K6" s="4">
        <v>3</v>
      </c>
      <c r="L6" s="4">
        <f t="shared" ref="L6" si="3">K6*1.1</f>
        <v>3.3000000000000003</v>
      </c>
      <c r="M6" s="4">
        <f>L6*1.07</f>
        <v>3.5310000000000006</v>
      </c>
      <c r="N6" s="4">
        <f>M6*1.04</f>
        <v>3.6722400000000008</v>
      </c>
      <c r="O6" s="4">
        <f>N6*1.03</f>
        <v>3.7824072000000011</v>
      </c>
      <c r="P6" s="4">
        <f>O6*1.02</f>
        <v>3.8580553440000012</v>
      </c>
      <c r="Q6" s="4">
        <f t="shared" ref="Q6:V6" si="4">P6*1.02</f>
        <v>3.9352164508800014</v>
      </c>
      <c r="R6" s="4">
        <f t="shared" si="4"/>
        <v>4.0139207798976013</v>
      </c>
      <c r="S6" s="4">
        <f t="shared" si="4"/>
        <v>4.0941991954955537</v>
      </c>
      <c r="T6" s="4">
        <f t="shared" si="4"/>
        <v>4.1760831794054649</v>
      </c>
      <c r="U6" s="4">
        <f t="shared" si="4"/>
        <v>4.259604842993574</v>
      </c>
      <c r="V6" s="4">
        <f t="shared" si="4"/>
        <v>4.3447969398534454</v>
      </c>
    </row>
    <row r="7" spans="2:143" x14ac:dyDescent="0.3">
      <c r="B7" t="s">
        <v>17</v>
      </c>
      <c r="C7" s="4"/>
      <c r="D7" s="4"/>
      <c r="E7" s="4"/>
      <c r="F7" s="4"/>
      <c r="H7" s="4">
        <f>SUM(H4:H6)</f>
        <v>12.3</v>
      </c>
      <c r="I7" s="4">
        <f>SUM(I4:I6)</f>
        <v>23.400000000000002</v>
      </c>
      <c r="J7" s="4">
        <f>J4+J5</f>
        <v>34.6</v>
      </c>
      <c r="K7" s="4">
        <f>K4+K5</f>
        <v>22</v>
      </c>
      <c r="L7" s="4">
        <f t="shared" ref="L7:V7" si="5">L4+L5</f>
        <v>21.53</v>
      </c>
      <c r="M7" s="4">
        <f t="shared" si="5"/>
        <v>22.701599999999999</v>
      </c>
      <c r="N7" s="4">
        <f t="shared" si="5"/>
        <v>23.822532000000002</v>
      </c>
      <c r="O7" s="4">
        <f t="shared" si="5"/>
        <v>24.298982640000002</v>
      </c>
      <c r="P7" s="4">
        <f t="shared" si="5"/>
        <v>24.784962292800003</v>
      </c>
      <c r="Q7" s="4">
        <f t="shared" si="5"/>
        <v>25.280661538656005</v>
      </c>
      <c r="R7" s="4">
        <f t="shared" si="5"/>
        <v>25.786274769429124</v>
      </c>
      <c r="S7" s="4">
        <f t="shared" si="5"/>
        <v>26.302000264817707</v>
      </c>
      <c r="T7" s="4">
        <f t="shared" si="5"/>
        <v>26.828040270114059</v>
      </c>
      <c r="U7" s="4">
        <f t="shared" si="5"/>
        <v>27.36460107551634</v>
      </c>
      <c r="V7" s="4">
        <f t="shared" si="5"/>
        <v>27.911893097026667</v>
      </c>
    </row>
    <row r="8" spans="2:143" s="6" customFormat="1" x14ac:dyDescent="0.3">
      <c r="B8" s="6" t="s">
        <v>6</v>
      </c>
      <c r="C8" s="7"/>
      <c r="D8" s="7"/>
      <c r="E8" s="7"/>
      <c r="F8" s="7"/>
      <c r="H8" s="7">
        <f>H3-H7</f>
        <v>-12.3</v>
      </c>
      <c r="I8" s="7">
        <f>I3-I7</f>
        <v>-23.400000000000002</v>
      </c>
      <c r="J8" s="7">
        <f>J3-J7</f>
        <v>-33.96</v>
      </c>
      <c r="K8" s="7">
        <f>K3-K7</f>
        <v>-21.707000000000001</v>
      </c>
      <c r="L8" s="7">
        <f t="shared" ref="L8:V8" si="6">L3-L7</f>
        <v>-20.651</v>
      </c>
      <c r="M8" s="7">
        <f t="shared" si="6"/>
        <v>-20.504100000000001</v>
      </c>
      <c r="N8" s="7">
        <f t="shared" si="6"/>
        <v>-19.427532000000003</v>
      </c>
      <c r="O8" s="7">
        <f t="shared" si="6"/>
        <v>-16.387982640000004</v>
      </c>
      <c r="P8" s="7">
        <f t="shared" si="6"/>
        <v>-12.127362292800003</v>
      </c>
      <c r="Q8" s="7">
        <f t="shared" si="6"/>
        <v>-6.2942615386560057</v>
      </c>
      <c r="R8" s="7">
        <f t="shared" si="6"/>
        <v>0.79468523057087381</v>
      </c>
      <c r="S8" s="7">
        <f t="shared" si="6"/>
        <v>8.2532477351822919</v>
      </c>
      <c r="T8" s="7">
        <f t="shared" si="6"/>
        <v>16.366019729885942</v>
      </c>
      <c r="U8" s="7">
        <f t="shared" si="6"/>
        <v>24.468270924483662</v>
      </c>
      <c r="V8" s="7">
        <f t="shared" si="6"/>
        <v>34.287553302973336</v>
      </c>
    </row>
    <row r="9" spans="2:143" x14ac:dyDescent="0.3">
      <c r="B9" t="s">
        <v>19</v>
      </c>
      <c r="C9" s="4"/>
      <c r="D9" s="4"/>
      <c r="E9" s="4"/>
      <c r="F9" s="4"/>
      <c r="H9" s="4">
        <v>1.3</v>
      </c>
      <c r="I9" s="4">
        <v>11.1</v>
      </c>
      <c r="J9" s="4">
        <v>10.3</v>
      </c>
      <c r="K9" s="4">
        <f>J9*1.1</f>
        <v>11.330000000000002</v>
      </c>
      <c r="L9" s="4">
        <f>K9*1.05</f>
        <v>11.896500000000003</v>
      </c>
      <c r="M9" s="4">
        <f t="shared" ref="M9:O9" si="7">L9*1.05</f>
        <v>12.491325000000003</v>
      </c>
      <c r="N9" s="4">
        <f t="shared" si="7"/>
        <v>13.115891250000004</v>
      </c>
      <c r="O9" s="4">
        <f t="shared" si="7"/>
        <v>13.771685812500005</v>
      </c>
      <c r="P9" s="4">
        <f>O9*1.02</f>
        <v>14.047119528750006</v>
      </c>
      <c r="Q9" s="4">
        <f t="shared" ref="Q9:V9" si="8">P9*1.02</f>
        <v>14.328061919325007</v>
      </c>
      <c r="R9" s="4">
        <f t="shared" si="8"/>
        <v>14.614623157711508</v>
      </c>
      <c r="S9" s="4">
        <f t="shared" si="8"/>
        <v>14.906915620865739</v>
      </c>
      <c r="T9" s="4">
        <f t="shared" si="8"/>
        <v>15.205053933283054</v>
      </c>
      <c r="U9" s="4">
        <f t="shared" si="8"/>
        <v>15.509155011948716</v>
      </c>
      <c r="V9" s="4">
        <f t="shared" si="8"/>
        <v>15.81933811218769</v>
      </c>
      <c r="X9" s="4"/>
    </row>
    <row r="10" spans="2:143" s="8" customFormat="1" x14ac:dyDescent="0.3">
      <c r="B10" s="8" t="s">
        <v>27</v>
      </c>
      <c r="C10" s="9">
        <v>25.4</v>
      </c>
      <c r="D10" s="9">
        <f>J10-C10</f>
        <v>19.500000000000007</v>
      </c>
      <c r="E10" s="9">
        <v>16.8</v>
      </c>
      <c r="F10" s="9">
        <f>D10*0.8</f>
        <v>15.600000000000007</v>
      </c>
      <c r="H10" s="9">
        <f>H7+H9</f>
        <v>13.600000000000001</v>
      </c>
      <c r="I10" s="9">
        <f t="shared" ref="I10:K10" si="9">I7+I9</f>
        <v>34.5</v>
      </c>
      <c r="J10" s="9">
        <f t="shared" si="9"/>
        <v>44.900000000000006</v>
      </c>
      <c r="K10" s="9">
        <f t="shared" si="9"/>
        <v>33.33</v>
      </c>
      <c r="L10" s="9">
        <f t="shared" ref="L10" si="10">L7+L9</f>
        <v>33.426500000000004</v>
      </c>
      <c r="M10" s="9">
        <f t="shared" ref="M10" si="11">M7+M9</f>
        <v>35.192925000000002</v>
      </c>
      <c r="N10" s="9">
        <f t="shared" ref="N10" si="12">N7+N9</f>
        <v>36.938423250000007</v>
      </c>
      <c r="O10" s="9">
        <f t="shared" ref="O10" si="13">O7+O9</f>
        <v>38.070668452500009</v>
      </c>
      <c r="P10" s="9">
        <f t="shared" ref="P10" si="14">P7+P9</f>
        <v>38.832081821550005</v>
      </c>
      <c r="Q10" s="9">
        <f t="shared" ref="Q10" si="15">Q7+Q9</f>
        <v>39.608723457981014</v>
      </c>
      <c r="R10" s="9">
        <f t="shared" ref="R10" si="16">R7+R9</f>
        <v>40.400897927140633</v>
      </c>
      <c r="S10" s="9">
        <f t="shared" ref="S10" si="17">S7+S9</f>
        <v>41.208915885683446</v>
      </c>
      <c r="T10" s="9">
        <f t="shared" ref="T10" si="18">T7+T9</f>
        <v>42.033094203397113</v>
      </c>
      <c r="U10" s="9">
        <f t="shared" ref="U10" si="19">U7+U9</f>
        <v>42.873756087465054</v>
      </c>
      <c r="V10" s="9">
        <f t="shared" ref="V10" si="20">V7+V9</f>
        <v>43.731231209214357</v>
      </c>
    </row>
    <row r="11" spans="2:143" s="6" customFormat="1" x14ac:dyDescent="0.3">
      <c r="B11" s="6" t="s">
        <v>20</v>
      </c>
      <c r="C11" s="7">
        <v>25.4</v>
      </c>
      <c r="D11" s="7"/>
      <c r="E11" s="7">
        <v>16.600000000000001</v>
      </c>
      <c r="F11" s="7"/>
      <c r="H11" s="7">
        <f>H8-H9</f>
        <v>-13.600000000000001</v>
      </c>
      <c r="I11" s="7">
        <f>I8-I9</f>
        <v>-34.5</v>
      </c>
      <c r="J11" s="7">
        <f>J8-J9</f>
        <v>-44.260000000000005</v>
      </c>
      <c r="K11" s="7">
        <f>K8-K9</f>
        <v>-33.037000000000006</v>
      </c>
      <c r="L11" s="7">
        <f t="shared" ref="L11:V11" si="21">L8-L9</f>
        <v>-32.547499999999999</v>
      </c>
      <c r="M11" s="7">
        <f t="shared" si="21"/>
        <v>-32.995425000000004</v>
      </c>
      <c r="N11" s="7">
        <f t="shared" si="21"/>
        <v>-32.543423250000004</v>
      </c>
      <c r="O11" s="7">
        <f t="shared" si="21"/>
        <v>-30.159668452500007</v>
      </c>
      <c r="P11" s="7">
        <f t="shared" si="21"/>
        <v>-26.17448182155001</v>
      </c>
      <c r="Q11" s="7">
        <f t="shared" si="21"/>
        <v>-20.622323457981011</v>
      </c>
      <c r="R11" s="7">
        <f t="shared" si="21"/>
        <v>-13.819937927140634</v>
      </c>
      <c r="S11" s="7">
        <f t="shared" si="21"/>
        <v>-6.653667885683447</v>
      </c>
      <c r="T11" s="7">
        <f t="shared" si="21"/>
        <v>1.1609657966028877</v>
      </c>
      <c r="U11" s="7">
        <f t="shared" si="21"/>
        <v>8.959115912534946</v>
      </c>
      <c r="V11" s="7">
        <f t="shared" si="21"/>
        <v>18.468215190785646</v>
      </c>
      <c r="W11" s="6">
        <f>V11*(1+$Y$14)</f>
        <v>18.283533038877788</v>
      </c>
      <c r="X11" s="6">
        <f t="shared" ref="X11:CI11" si="22">W11*(1+$Y$14)</f>
        <v>18.100697708489012</v>
      </c>
      <c r="Y11" s="6">
        <f t="shared" si="22"/>
        <v>17.91969073140412</v>
      </c>
      <c r="Z11" s="6">
        <f t="shared" si="22"/>
        <v>17.74049382409008</v>
      </c>
      <c r="AA11" s="6">
        <f t="shared" si="22"/>
        <v>17.563088885849179</v>
      </c>
      <c r="AB11" s="6">
        <f t="shared" si="22"/>
        <v>17.387457996990687</v>
      </c>
      <c r="AC11" s="6">
        <f t="shared" si="22"/>
        <v>17.213583417020779</v>
      </c>
      <c r="AD11" s="6">
        <f t="shared" si="22"/>
        <v>17.041447582850569</v>
      </c>
      <c r="AE11" s="6">
        <f t="shared" si="22"/>
        <v>16.871033107022065</v>
      </c>
      <c r="AF11" s="6">
        <f t="shared" si="22"/>
        <v>16.702322775951846</v>
      </c>
      <c r="AG11" s="6">
        <f t="shared" si="22"/>
        <v>16.535299548192327</v>
      </c>
      <c r="AH11" s="6">
        <f t="shared" si="22"/>
        <v>16.369946552710402</v>
      </c>
      <c r="AI11" s="6">
        <f t="shared" si="22"/>
        <v>16.2062470871833</v>
      </c>
      <c r="AJ11" s="6">
        <f t="shared" si="22"/>
        <v>16.044184616311465</v>
      </c>
      <c r="AK11" s="6">
        <f t="shared" si="22"/>
        <v>15.88374277014835</v>
      </c>
      <c r="AL11" s="6">
        <f t="shared" si="22"/>
        <v>15.724905342446867</v>
      </c>
      <c r="AM11" s="6">
        <f t="shared" si="22"/>
        <v>15.567656289022398</v>
      </c>
      <c r="AN11" s="6">
        <f t="shared" si="22"/>
        <v>15.411979726132174</v>
      </c>
      <c r="AO11" s="6">
        <f t="shared" si="22"/>
        <v>15.257859928870852</v>
      </c>
      <c r="AP11" s="6">
        <f t="shared" si="22"/>
        <v>15.105281329582143</v>
      </c>
      <c r="AQ11" s="6">
        <f t="shared" si="22"/>
        <v>14.954228516286321</v>
      </c>
      <c r="AR11" s="6">
        <f t="shared" si="22"/>
        <v>14.804686231123458</v>
      </c>
      <c r="AS11" s="6">
        <f t="shared" si="22"/>
        <v>14.656639368812224</v>
      </c>
      <c r="AT11" s="6">
        <f t="shared" si="22"/>
        <v>14.510072975124102</v>
      </c>
      <c r="AU11" s="6">
        <f t="shared" si="22"/>
        <v>14.36497224537286</v>
      </c>
      <c r="AV11" s="6">
        <f t="shared" si="22"/>
        <v>14.221322522919131</v>
      </c>
      <c r="AW11" s="6">
        <f t="shared" si="22"/>
        <v>14.079109297689939</v>
      </c>
      <c r="AX11" s="6">
        <f t="shared" si="22"/>
        <v>13.93831820471304</v>
      </c>
      <c r="AY11" s="6">
        <f t="shared" si="22"/>
        <v>13.79893502266591</v>
      </c>
      <c r="AZ11" s="6">
        <f t="shared" si="22"/>
        <v>13.660945672439251</v>
      </c>
      <c r="BA11" s="6">
        <f t="shared" si="22"/>
        <v>13.524336215714857</v>
      </c>
      <c r="BB11" s="6">
        <f t="shared" si="22"/>
        <v>13.38909285355771</v>
      </c>
      <c r="BC11" s="6">
        <f t="shared" si="22"/>
        <v>13.255201925022133</v>
      </c>
      <c r="BD11" s="6">
        <f t="shared" si="22"/>
        <v>13.122649905771912</v>
      </c>
      <c r="BE11" s="6">
        <f t="shared" si="22"/>
        <v>12.991423406714192</v>
      </c>
      <c r="BF11" s="6">
        <f t="shared" si="22"/>
        <v>12.86150917264705</v>
      </c>
      <c r="BG11" s="6">
        <f t="shared" si="22"/>
        <v>12.73289408092058</v>
      </c>
      <c r="BH11" s="6">
        <f t="shared" si="22"/>
        <v>12.605565140111375</v>
      </c>
      <c r="BI11" s="6">
        <f t="shared" si="22"/>
        <v>12.479509488710262</v>
      </c>
      <c r="BJ11" s="6">
        <f t="shared" si="22"/>
        <v>12.354714393823159</v>
      </c>
      <c r="BK11" s="6">
        <f t="shared" si="22"/>
        <v>12.231167249884926</v>
      </c>
      <c r="BL11" s="6">
        <f t="shared" si="22"/>
        <v>12.108855577386077</v>
      </c>
      <c r="BM11" s="6">
        <f t="shared" si="22"/>
        <v>11.987767021612216</v>
      </c>
      <c r="BN11" s="6">
        <f t="shared" si="22"/>
        <v>11.867889351396094</v>
      </c>
      <c r="BO11" s="6">
        <f t="shared" si="22"/>
        <v>11.749210457882134</v>
      </c>
      <c r="BP11" s="6">
        <f t="shared" si="22"/>
        <v>11.631718353303313</v>
      </c>
      <c r="BQ11" s="6">
        <f t="shared" si="22"/>
        <v>11.51540116977028</v>
      </c>
      <c r="BR11" s="6">
        <f t="shared" si="22"/>
        <v>11.400247158072577</v>
      </c>
      <c r="BS11" s="6">
        <f t="shared" si="22"/>
        <v>11.286244686491852</v>
      </c>
      <c r="BT11" s="6">
        <f t="shared" si="22"/>
        <v>11.173382239626934</v>
      </c>
      <c r="BU11" s="6">
        <f t="shared" si="22"/>
        <v>11.061648417230664</v>
      </c>
      <c r="BV11" s="6">
        <f t="shared" si="22"/>
        <v>10.951031933058358</v>
      </c>
      <c r="BW11" s="6">
        <f t="shared" si="22"/>
        <v>10.841521613727775</v>
      </c>
      <c r="BX11" s="6">
        <f t="shared" si="22"/>
        <v>10.733106397590497</v>
      </c>
      <c r="BY11" s="6">
        <f t="shared" si="22"/>
        <v>10.625775333614591</v>
      </c>
      <c r="BZ11" s="6">
        <f t="shared" si="22"/>
        <v>10.519517580278444</v>
      </c>
      <c r="CA11" s="6">
        <f t="shared" si="22"/>
        <v>10.41432240447566</v>
      </c>
      <c r="CB11" s="6">
        <f t="shared" si="22"/>
        <v>10.310179180430904</v>
      </c>
      <c r="CC11" s="6">
        <f t="shared" si="22"/>
        <v>10.207077388626594</v>
      </c>
      <c r="CD11" s="6">
        <f t="shared" si="22"/>
        <v>10.105006614740327</v>
      </c>
      <c r="CE11" s="6">
        <f t="shared" si="22"/>
        <v>10.003956548592924</v>
      </c>
      <c r="CF11" s="6">
        <f t="shared" si="22"/>
        <v>9.9039169831069955</v>
      </c>
      <c r="CG11" s="6">
        <f t="shared" si="22"/>
        <v>9.804877813275926</v>
      </c>
      <c r="CH11" s="6">
        <f t="shared" si="22"/>
        <v>9.7068290351431674</v>
      </c>
      <c r="CI11" s="6">
        <f t="shared" si="22"/>
        <v>9.6097607447917355</v>
      </c>
      <c r="CJ11" s="6">
        <f t="shared" ref="CJ11:EM11" si="23">CI11*(1+$Y$14)</f>
        <v>9.5136631373438174</v>
      </c>
      <c r="CK11" s="6">
        <f t="shared" si="23"/>
        <v>9.4185265059703784</v>
      </c>
      <c r="CL11" s="6">
        <f t="shared" si="23"/>
        <v>9.324341240910675</v>
      </c>
      <c r="CM11" s="6">
        <f t="shared" si="23"/>
        <v>9.2310978285015679</v>
      </c>
      <c r="CN11" s="6">
        <f t="shared" si="23"/>
        <v>9.1387868502165528</v>
      </c>
      <c r="CO11" s="6">
        <f t="shared" si="23"/>
        <v>9.0473989817143874</v>
      </c>
      <c r="CP11" s="6">
        <f t="shared" si="23"/>
        <v>8.9569249918972442</v>
      </c>
      <c r="CQ11" s="6">
        <f t="shared" si="23"/>
        <v>8.8673557419782725</v>
      </c>
      <c r="CR11" s="6">
        <f t="shared" si="23"/>
        <v>8.7786821845584893</v>
      </c>
      <c r="CS11" s="6">
        <f t="shared" si="23"/>
        <v>8.6908953627129044</v>
      </c>
      <c r="CT11" s="6">
        <f t="shared" si="23"/>
        <v>8.6039864090857758</v>
      </c>
      <c r="CU11" s="6">
        <f t="shared" si="23"/>
        <v>8.5179465449949188</v>
      </c>
      <c r="CV11" s="6">
        <f t="shared" si="23"/>
        <v>8.4327670795449698</v>
      </c>
      <c r="CW11" s="6">
        <f t="shared" si="23"/>
        <v>8.3484394087495204</v>
      </c>
      <c r="CX11" s="6">
        <f t="shared" si="23"/>
        <v>8.264955014662025</v>
      </c>
      <c r="CY11" s="6">
        <f t="shared" si="23"/>
        <v>8.1823054645154052</v>
      </c>
      <c r="CZ11" s="6">
        <f t="shared" si="23"/>
        <v>8.100482409870251</v>
      </c>
      <c r="DA11" s="6">
        <f t="shared" si="23"/>
        <v>8.0194775857715488</v>
      </c>
      <c r="DB11" s="6">
        <f t="shared" si="23"/>
        <v>7.9392828099138333</v>
      </c>
      <c r="DC11" s="6">
        <f t="shared" si="23"/>
        <v>7.8598899818146952</v>
      </c>
      <c r="DD11" s="6">
        <f t="shared" si="23"/>
        <v>7.7812910819965486</v>
      </c>
      <c r="DE11" s="6">
        <f t="shared" si="23"/>
        <v>7.7034781711765827</v>
      </c>
      <c r="DF11" s="6">
        <f t="shared" si="23"/>
        <v>7.6264433894648169</v>
      </c>
      <c r="DG11" s="6">
        <f t="shared" si="23"/>
        <v>7.5501789555701686</v>
      </c>
      <c r="DH11" s="6">
        <f t="shared" si="23"/>
        <v>7.4746771660144669</v>
      </c>
      <c r="DI11" s="6">
        <f t="shared" si="23"/>
        <v>7.399930394354322</v>
      </c>
      <c r="DJ11" s="6">
        <f t="shared" si="23"/>
        <v>7.3259310904107791</v>
      </c>
      <c r="DK11" s="6">
        <f t="shared" si="23"/>
        <v>7.2526717795066711</v>
      </c>
      <c r="DL11" s="6">
        <f t="shared" si="23"/>
        <v>7.1801450617116043</v>
      </c>
      <c r="DM11" s="6">
        <f t="shared" si="23"/>
        <v>7.1083436110944884</v>
      </c>
      <c r="DN11" s="6">
        <f t="shared" si="23"/>
        <v>7.0372601749835431</v>
      </c>
      <c r="DO11" s="6">
        <f t="shared" si="23"/>
        <v>6.9668875732337074</v>
      </c>
      <c r="DP11" s="6">
        <f t="shared" si="23"/>
        <v>6.8972186975013701</v>
      </c>
      <c r="DQ11" s="6">
        <f t="shared" si="23"/>
        <v>6.8282465105263563</v>
      </c>
      <c r="DR11" s="6">
        <f t="shared" si="23"/>
        <v>6.7599640454210927</v>
      </c>
      <c r="DS11" s="6">
        <f t="shared" si="23"/>
        <v>6.6923644049668818</v>
      </c>
      <c r="DT11" s="6">
        <f t="shared" si="23"/>
        <v>6.625440760917213</v>
      </c>
      <c r="DU11" s="6">
        <f t="shared" si="23"/>
        <v>6.559186353308041</v>
      </c>
      <c r="DV11" s="6">
        <f t="shared" si="23"/>
        <v>6.4935944897749609</v>
      </c>
      <c r="DW11" s="6">
        <f t="shared" si="23"/>
        <v>6.4286585448772113</v>
      </c>
      <c r="DX11" s="6">
        <f t="shared" si="23"/>
        <v>6.3643719594284391</v>
      </c>
      <c r="DY11" s="6">
        <f t="shared" si="23"/>
        <v>6.3007282398341546</v>
      </c>
      <c r="DZ11" s="6">
        <f t="shared" si="23"/>
        <v>6.2377209574358128</v>
      </c>
      <c r="EA11" s="6">
        <f t="shared" si="23"/>
        <v>6.1753437478614543</v>
      </c>
      <c r="EB11" s="6">
        <f t="shared" si="23"/>
        <v>6.1135903103828397</v>
      </c>
      <c r="EC11" s="6">
        <f t="shared" si="23"/>
        <v>6.0524544072790114</v>
      </c>
      <c r="ED11" s="6">
        <f t="shared" si="23"/>
        <v>5.991929863206221</v>
      </c>
      <c r="EE11" s="6">
        <f t="shared" si="23"/>
        <v>5.932010564574159</v>
      </c>
      <c r="EF11" s="6">
        <f t="shared" si="23"/>
        <v>5.8726904589284175</v>
      </c>
      <c r="EG11" s="6">
        <f t="shared" si="23"/>
        <v>5.813963554339133</v>
      </c>
      <c r="EH11" s="6">
        <f t="shared" si="23"/>
        <v>5.7558239187957421</v>
      </c>
      <c r="EI11" s="6">
        <f t="shared" si="23"/>
        <v>5.6982656796077844</v>
      </c>
      <c r="EJ11" s="6">
        <f t="shared" si="23"/>
        <v>5.6412830228117068</v>
      </c>
      <c r="EK11" s="6">
        <f t="shared" si="23"/>
        <v>5.5848701925835895</v>
      </c>
      <c r="EL11" s="6">
        <f t="shared" si="23"/>
        <v>5.5290214906577537</v>
      </c>
      <c r="EM11" s="6">
        <f t="shared" si="23"/>
        <v>5.4737312757511765</v>
      </c>
    </row>
    <row r="12" spans="2:143" x14ac:dyDescent="0.3">
      <c r="C12" s="4"/>
      <c r="D12" s="4"/>
      <c r="E12" s="4"/>
      <c r="F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2:143" x14ac:dyDescent="0.3">
      <c r="B13" t="s">
        <v>1</v>
      </c>
      <c r="E13" s="1">
        <f>E3/C3-1</f>
        <v>5.2631578947368416</v>
      </c>
      <c r="F13" s="1">
        <f>F3/D3-1</f>
        <v>-0.71980676328502424</v>
      </c>
      <c r="K13" s="1">
        <f t="shared" ref="K13:V13" si="24">K3/J3-1</f>
        <v>-0.54218750000000004</v>
      </c>
      <c r="L13" s="1">
        <f t="shared" si="24"/>
        <v>2</v>
      </c>
      <c r="M13" s="1">
        <f t="shared" si="24"/>
        <v>1.4999999999999996</v>
      </c>
      <c r="N13" s="1">
        <f t="shared" si="24"/>
        <v>1</v>
      </c>
      <c r="O13" s="1">
        <f t="shared" si="24"/>
        <v>0.8</v>
      </c>
      <c r="P13" s="1">
        <f t="shared" si="24"/>
        <v>0.60000000000000009</v>
      </c>
      <c r="Q13" s="1">
        <f t="shared" si="24"/>
        <v>0.5</v>
      </c>
      <c r="R13" s="1">
        <f t="shared" si="24"/>
        <v>0.39999999999999991</v>
      </c>
      <c r="S13" s="1">
        <f t="shared" si="24"/>
        <v>0.30000000000000004</v>
      </c>
      <c r="T13" s="1">
        <f t="shared" si="24"/>
        <v>0.25</v>
      </c>
      <c r="U13" s="1">
        <f t="shared" si="24"/>
        <v>0.19999999999999996</v>
      </c>
      <c r="V13" s="1">
        <f t="shared" si="24"/>
        <v>0.19999999999999996</v>
      </c>
    </row>
    <row r="14" spans="2:143" x14ac:dyDescent="0.3">
      <c r="B14" t="s">
        <v>21</v>
      </c>
      <c r="I14" s="1">
        <f>I4/H4-1</f>
        <v>1.1891891891891895</v>
      </c>
      <c r="J14" s="1">
        <f>J4/I4-1</f>
        <v>0.37037037037037002</v>
      </c>
      <c r="K14" s="1">
        <f t="shared" ref="K14:L14" si="25">K4/J4-1</f>
        <v>-0.4144144144144144</v>
      </c>
      <c r="L14" s="1">
        <f t="shared" si="25"/>
        <v>-5.0000000000000044E-2</v>
      </c>
      <c r="M14" s="1">
        <f t="shared" ref="M14:V14" si="26">M4/L4-1</f>
        <v>8.0000000000000071E-2</v>
      </c>
      <c r="N14" s="1">
        <f t="shared" si="26"/>
        <v>7.0000000000000062E-2</v>
      </c>
      <c r="O14" s="1">
        <f t="shared" si="26"/>
        <v>2.0000000000000018E-2</v>
      </c>
      <c r="P14" s="1">
        <f t="shared" si="26"/>
        <v>2.0000000000000018E-2</v>
      </c>
      <c r="Q14" s="1">
        <f t="shared" si="26"/>
        <v>2.0000000000000018E-2</v>
      </c>
      <c r="R14" s="1">
        <f t="shared" si="26"/>
        <v>2.0000000000000018E-2</v>
      </c>
      <c r="S14" s="1">
        <f t="shared" si="26"/>
        <v>2.0000000000000018E-2</v>
      </c>
      <c r="T14" s="1">
        <f t="shared" si="26"/>
        <v>2.0000000000000018E-2</v>
      </c>
      <c r="U14" s="1">
        <f t="shared" si="26"/>
        <v>2.0000000000000018E-2</v>
      </c>
      <c r="V14" s="1">
        <f t="shared" si="26"/>
        <v>2.0000000000000018E-2</v>
      </c>
      <c r="X14" t="s">
        <v>29</v>
      </c>
      <c r="Y14" s="1">
        <v>-0.01</v>
      </c>
    </row>
    <row r="15" spans="2:143" x14ac:dyDescent="0.3">
      <c r="B15" t="s">
        <v>22</v>
      </c>
      <c r="I15" s="1">
        <f t="shared" ref="I15:J15" si="27">I5/H5-1</f>
        <v>0.36170212765957444</v>
      </c>
      <c r="J15" s="1">
        <f t="shared" si="27"/>
        <v>0.9375</v>
      </c>
      <c r="K15" s="1">
        <f t="shared" ref="K15:V15" si="28">K5/J5-1</f>
        <v>-0.27419354838709675</v>
      </c>
      <c r="L15" s="1">
        <f t="shared" si="28"/>
        <v>2.0000000000000018E-2</v>
      </c>
      <c r="M15" s="1">
        <f t="shared" si="28"/>
        <v>2.0000000000000018E-2</v>
      </c>
      <c r="N15" s="1">
        <f t="shared" si="28"/>
        <v>2.0000000000000018E-2</v>
      </c>
      <c r="O15" s="1">
        <f t="shared" si="28"/>
        <v>2.0000000000000018E-2</v>
      </c>
      <c r="P15" s="1">
        <f t="shared" si="28"/>
        <v>2.0000000000000018E-2</v>
      </c>
      <c r="Q15" s="1">
        <f t="shared" si="28"/>
        <v>2.0000000000000018E-2</v>
      </c>
      <c r="R15" s="1">
        <f t="shared" si="28"/>
        <v>2.0000000000000018E-2</v>
      </c>
      <c r="S15" s="1">
        <f t="shared" si="28"/>
        <v>2.0000000000000018E-2</v>
      </c>
      <c r="T15" s="1">
        <f t="shared" si="28"/>
        <v>2.0000000000000018E-2</v>
      </c>
      <c r="U15" s="1">
        <f t="shared" si="28"/>
        <v>2.0000000000000018E-2</v>
      </c>
      <c r="V15" s="1">
        <f t="shared" si="28"/>
        <v>2.0000000000000018E-2</v>
      </c>
      <c r="X15" t="s">
        <v>30</v>
      </c>
      <c r="Y15" s="1">
        <v>0.13</v>
      </c>
    </row>
    <row r="16" spans="2:143" x14ac:dyDescent="0.3">
      <c r="B16" t="s">
        <v>23</v>
      </c>
      <c r="I16" s="1">
        <f t="shared" ref="I16:J16" si="29">I6/H6-1</f>
        <v>3</v>
      </c>
      <c r="J16" s="1">
        <f t="shared" si="29"/>
        <v>1.8749999999999996</v>
      </c>
      <c r="K16" s="1">
        <f t="shared" ref="K16:V16" si="30">K6/J6-1</f>
        <v>0.30434782608695654</v>
      </c>
      <c r="L16" s="1">
        <f t="shared" si="30"/>
        <v>0.10000000000000009</v>
      </c>
      <c r="M16" s="1">
        <f t="shared" si="30"/>
        <v>7.0000000000000062E-2</v>
      </c>
      <c r="N16" s="1">
        <f t="shared" si="30"/>
        <v>4.0000000000000036E-2</v>
      </c>
      <c r="O16" s="1">
        <f t="shared" si="30"/>
        <v>3.0000000000000027E-2</v>
      </c>
      <c r="P16" s="1">
        <f t="shared" si="30"/>
        <v>2.0000000000000018E-2</v>
      </c>
      <c r="Q16" s="1">
        <f t="shared" si="30"/>
        <v>2.0000000000000018E-2</v>
      </c>
      <c r="R16" s="1">
        <f t="shared" si="30"/>
        <v>2.0000000000000018E-2</v>
      </c>
      <c r="S16" s="1">
        <f t="shared" si="30"/>
        <v>2.0000000000000018E-2</v>
      </c>
      <c r="T16" s="1">
        <f t="shared" si="30"/>
        <v>2.0000000000000018E-2</v>
      </c>
      <c r="U16" s="1">
        <f t="shared" si="30"/>
        <v>2.0000000000000018E-2</v>
      </c>
      <c r="V16" s="1">
        <f t="shared" si="30"/>
        <v>2.0000000000000018E-2</v>
      </c>
      <c r="X16" t="s">
        <v>31</v>
      </c>
      <c r="Y16" s="4">
        <f>NPV(Y15,K11:EM11)</f>
        <v>-105.60565335266739</v>
      </c>
    </row>
    <row r="17" spans="2:25" x14ac:dyDescent="0.3">
      <c r="B17" t="s">
        <v>25</v>
      </c>
      <c r="I17" s="1" t="e">
        <f>I8/I3</f>
        <v>#DIV/0!</v>
      </c>
      <c r="J17" s="1">
        <f>J8/J3</f>
        <v>-53.0625</v>
      </c>
      <c r="K17" s="1">
        <f t="shared" ref="K17:V17" si="31">K8/K3</f>
        <v>-74.085324232081916</v>
      </c>
      <c r="L17" s="1">
        <f t="shared" si="31"/>
        <v>-23.493742889647326</v>
      </c>
      <c r="M17" s="1">
        <f t="shared" si="31"/>
        <v>-9.3306484641638239</v>
      </c>
      <c r="N17" s="1">
        <f t="shared" si="31"/>
        <v>-4.4203713310580213</v>
      </c>
      <c r="O17" s="1">
        <f t="shared" si="31"/>
        <v>-2.0715437542662123</v>
      </c>
      <c r="P17" s="1">
        <f t="shared" si="31"/>
        <v>-0.95810914334471009</v>
      </c>
      <c r="Q17" s="1">
        <f t="shared" si="31"/>
        <v>-0.33151421747440302</v>
      </c>
      <c r="R17" s="1">
        <f t="shared" si="31"/>
        <v>2.9896784411506352E-2</v>
      </c>
      <c r="S17" s="1">
        <f t="shared" si="31"/>
        <v>0.2388420923844127</v>
      </c>
      <c r="T17" s="1">
        <f t="shared" si="31"/>
        <v>0.37889514738568086</v>
      </c>
      <c r="U17" s="1">
        <f t="shared" si="31"/>
        <v>0.47206087527782875</v>
      </c>
      <c r="V17" s="1">
        <f t="shared" si="31"/>
        <v>0.55125174398615451</v>
      </c>
      <c r="X17" t="s">
        <v>32</v>
      </c>
      <c r="Y17" s="4">
        <f>Main!D6</f>
        <v>21.3</v>
      </c>
    </row>
    <row r="18" spans="2:25" x14ac:dyDescent="0.3">
      <c r="B18" t="s">
        <v>24</v>
      </c>
      <c r="I18" s="1">
        <f>I9/H9-1</f>
        <v>7.5384615384615383</v>
      </c>
      <c r="J18" s="1">
        <f>J9/I9-1</f>
        <v>-7.2072072072072002E-2</v>
      </c>
      <c r="K18" s="1">
        <f t="shared" ref="K18:V18" si="32">K9/J9-1</f>
        <v>0.10000000000000009</v>
      </c>
      <c r="L18" s="1">
        <f t="shared" si="32"/>
        <v>5.0000000000000044E-2</v>
      </c>
      <c r="M18" s="1">
        <f t="shared" si="32"/>
        <v>5.0000000000000044E-2</v>
      </c>
      <c r="N18" s="1">
        <f t="shared" si="32"/>
        <v>5.0000000000000044E-2</v>
      </c>
      <c r="O18" s="1">
        <f t="shared" si="32"/>
        <v>5.0000000000000044E-2</v>
      </c>
      <c r="P18" s="1">
        <f t="shared" si="32"/>
        <v>2.0000000000000018E-2</v>
      </c>
      <c r="Q18" s="1">
        <f t="shared" si="32"/>
        <v>2.0000000000000018E-2</v>
      </c>
      <c r="R18" s="1">
        <f t="shared" si="32"/>
        <v>2.0000000000000018E-2</v>
      </c>
      <c r="S18" s="1">
        <f t="shared" si="32"/>
        <v>2.0000000000000018E-2</v>
      </c>
      <c r="T18" s="1">
        <f t="shared" si="32"/>
        <v>2.0000000000000018E-2</v>
      </c>
      <c r="U18" s="1">
        <f t="shared" si="32"/>
        <v>2.0000000000000018E-2</v>
      </c>
      <c r="V18" s="1">
        <f t="shared" si="32"/>
        <v>2.0000000000000018E-2</v>
      </c>
      <c r="X18" t="s">
        <v>33</v>
      </c>
      <c r="Y18" s="4">
        <f>Y16-Y17</f>
        <v>-126.90565335266739</v>
      </c>
    </row>
    <row r="19" spans="2:25" s="8" customFormat="1" x14ac:dyDescent="0.3">
      <c r="B19" s="8" t="s">
        <v>28</v>
      </c>
      <c r="E19" s="1">
        <f>E10/C10-1</f>
        <v>-0.33858267716535428</v>
      </c>
      <c r="F19" s="1" t="e">
        <f t="shared" ref="F19" si="33">F9/D9-1</f>
        <v>#DIV/0!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X19" t="s">
        <v>34</v>
      </c>
      <c r="Y19" s="5">
        <f>Y18/Main!D4</f>
        <v>-12.818752863905797</v>
      </c>
    </row>
    <row r="20" spans="2:25" x14ac:dyDescent="0.3">
      <c r="B20" t="s">
        <v>26</v>
      </c>
      <c r="I20" s="1" t="e">
        <f>I11/I3</f>
        <v>#DIV/0!</v>
      </c>
      <c r="J20" s="1">
        <f>J11/J3</f>
        <v>-69.15625</v>
      </c>
      <c r="K20" s="1">
        <f t="shared" ref="K20:V20" si="34">K11/K3</f>
        <v>-112.75426621160412</v>
      </c>
      <c r="L20" s="1">
        <f t="shared" si="34"/>
        <v>-37.027872582480093</v>
      </c>
      <c r="M20" s="1">
        <f t="shared" si="34"/>
        <v>-15.014982935153586</v>
      </c>
      <c r="N20" s="1">
        <f t="shared" si="34"/>
        <v>-7.4046469283276464</v>
      </c>
      <c r="O20" s="1">
        <f t="shared" si="34"/>
        <v>-3.812371186006827</v>
      </c>
      <c r="P20" s="1">
        <f t="shared" si="34"/>
        <v>-2.0678866310793524</v>
      </c>
      <c r="Q20" s="1">
        <f t="shared" si="34"/>
        <v>-1.0861629091339597</v>
      </c>
      <c r="R20" s="1">
        <f t="shared" si="34"/>
        <v>-0.5199186909404564</v>
      </c>
      <c r="S20" s="1">
        <f t="shared" si="34"/>
        <v>-0.19255158827635813</v>
      </c>
      <c r="T20" s="1">
        <f t="shared" si="34"/>
        <v>2.6877903966491867E-2</v>
      </c>
      <c r="U20" s="1">
        <f t="shared" si="34"/>
        <v>0.17284621837151809</v>
      </c>
      <c r="V20" s="1">
        <f t="shared" si="34"/>
        <v>0.2969192856157904</v>
      </c>
      <c r="X20" t="s">
        <v>35</v>
      </c>
      <c r="Y20" s="5">
        <f>Main!D3</f>
        <v>10.5</v>
      </c>
    </row>
    <row r="21" spans="2:25" x14ac:dyDescent="0.3">
      <c r="X21" s="6" t="s">
        <v>36</v>
      </c>
      <c r="Y21" s="11">
        <f>Y19/Y20-1</f>
        <v>-2.2208336060862663</v>
      </c>
    </row>
    <row r="22" spans="2:25" x14ac:dyDescent="0.3">
      <c r="X22" t="s">
        <v>41</v>
      </c>
      <c r="Y22" s="3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2024-11-21T20:54:16Z</dcterms:created>
  <dcterms:modified xsi:type="dcterms:W3CDTF">2025-01-14T13:13:03Z</dcterms:modified>
</cp:coreProperties>
</file>