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A18375BA-03CC-4AF1-8193-C262D8813198}" xr6:coauthVersionLast="47" xr6:coauthVersionMax="47" xr10:uidLastSave="{00000000-0000-0000-0000-000000000000}"/>
  <bookViews>
    <workbookView xWindow="-108" yWindow="-108" windowWidth="23256" windowHeight="12576" activeTab="1" xr2:uid="{40BEC088-A05D-492B-8768-30CD03C5A28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2" l="1"/>
  <c r="AD3" i="2"/>
  <c r="AC7" i="2"/>
  <c r="AC3" i="2"/>
  <c r="R5" i="2"/>
  <c r="AG58" i="2"/>
  <c r="AH58" i="2" s="1"/>
  <c r="AI58" i="2" s="1"/>
  <c r="AJ58" i="2" s="1"/>
  <c r="AK58" i="2" s="1"/>
  <c r="AL58" i="2" s="1"/>
  <c r="AF58" i="2"/>
  <c r="AH59" i="2"/>
  <c r="AI59" i="2" s="1"/>
  <c r="AJ59" i="2" s="1"/>
  <c r="AK59" i="2" s="1"/>
  <c r="AL59" i="2" s="1"/>
  <c r="AG59" i="2"/>
  <c r="AC59" i="2"/>
  <c r="AD59" i="2" s="1"/>
  <c r="AE59" i="2" s="1"/>
  <c r="AF59" i="2" s="1"/>
  <c r="Q62" i="2"/>
  <c r="AB62" i="2" s="1"/>
  <c r="Q53" i="2"/>
  <c r="Q48" i="2"/>
  <c r="Q40" i="2"/>
  <c r="Q25" i="2"/>
  <c r="P48" i="2"/>
  <c r="P27" i="2"/>
  <c r="P25" i="2" s="1"/>
  <c r="D7" i="1"/>
  <c r="D6" i="1"/>
  <c r="Q9" i="2"/>
  <c r="AB9" i="2" s="1"/>
  <c r="AL14" i="2"/>
  <c r="AK14" i="2"/>
  <c r="AJ14" i="2"/>
  <c r="AI14" i="2"/>
  <c r="AH14" i="2"/>
  <c r="AG14" i="2"/>
  <c r="AF14" i="2"/>
  <c r="AE14" i="2"/>
  <c r="AD14" i="2"/>
  <c r="AC14" i="2"/>
  <c r="AB14" i="2"/>
  <c r="R14" i="2"/>
  <c r="Q14" i="2"/>
  <c r="Q5" i="2"/>
  <c r="D4" i="1"/>
  <c r="AB10" i="2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O79" i="2"/>
  <c r="Z69" i="2"/>
  <c r="Q75" i="2"/>
  <c r="O75" i="2"/>
  <c r="M75" i="2"/>
  <c r="O74" i="2"/>
  <c r="M74" i="2"/>
  <c r="N70" i="2"/>
  <c r="N75" i="2" s="1"/>
  <c r="N69" i="2"/>
  <c r="O71" i="2"/>
  <c r="M71" i="2"/>
  <c r="M76" i="2" s="1"/>
  <c r="K71" i="2"/>
  <c r="L70" i="2"/>
  <c r="Y70" i="2" s="1"/>
  <c r="L69" i="2"/>
  <c r="Y69" i="2" s="1"/>
  <c r="P70" i="2"/>
  <c r="P69" i="2"/>
  <c r="R74" i="2" s="1"/>
  <c r="L67" i="2"/>
  <c r="L66" i="2"/>
  <c r="L65" i="2"/>
  <c r="L64" i="2"/>
  <c r="L63" i="2"/>
  <c r="L62" i="2"/>
  <c r="L61" i="2"/>
  <c r="L60" i="2"/>
  <c r="L59" i="2"/>
  <c r="L58" i="2"/>
  <c r="K49" i="2"/>
  <c r="K53" i="2" s="1"/>
  <c r="K48" i="2"/>
  <c r="K40" i="2"/>
  <c r="K31" i="2"/>
  <c r="K25" i="2"/>
  <c r="J49" i="2"/>
  <c r="J53" i="2" s="1"/>
  <c r="J48" i="2"/>
  <c r="J40" i="2"/>
  <c r="J31" i="2"/>
  <c r="J25" i="2"/>
  <c r="L53" i="2"/>
  <c r="L48" i="2"/>
  <c r="L40" i="2"/>
  <c r="L31" i="2"/>
  <c r="L25" i="2"/>
  <c r="AB67" i="2"/>
  <c r="AB66" i="2"/>
  <c r="AB65" i="2"/>
  <c r="AB64" i="2"/>
  <c r="AB63" i="2"/>
  <c r="AB61" i="2"/>
  <c r="AB60" i="2"/>
  <c r="AB59" i="2"/>
  <c r="AB58" i="2"/>
  <c r="AC58" i="2" s="1"/>
  <c r="AD58" i="2" s="1"/>
  <c r="AE58" i="2" s="1"/>
  <c r="N67" i="2"/>
  <c r="N66" i="2"/>
  <c r="N65" i="2"/>
  <c r="N64" i="2"/>
  <c r="N63" i="2"/>
  <c r="N62" i="2"/>
  <c r="N61" i="2"/>
  <c r="N60" i="2"/>
  <c r="N59" i="2"/>
  <c r="N58" i="2"/>
  <c r="P67" i="2"/>
  <c r="AA67" i="2" s="1"/>
  <c r="P66" i="2"/>
  <c r="AA66" i="2" s="1"/>
  <c r="P65" i="2"/>
  <c r="AA65" i="2" s="1"/>
  <c r="P64" i="2"/>
  <c r="AA64" i="2" s="1"/>
  <c r="P63" i="2"/>
  <c r="AA63" i="2" s="1"/>
  <c r="P62" i="2"/>
  <c r="AA62" i="2" s="1"/>
  <c r="P61" i="2"/>
  <c r="AA61" i="2" s="1"/>
  <c r="P60" i="2"/>
  <c r="AA60" i="2" s="1"/>
  <c r="P59" i="2"/>
  <c r="AA59" i="2" s="1"/>
  <c r="P58" i="2"/>
  <c r="AA58" i="2" s="1"/>
  <c r="P40" i="2"/>
  <c r="P53" i="2"/>
  <c r="Q21" i="2"/>
  <c r="P12" i="2"/>
  <c r="P10" i="2"/>
  <c r="P7" i="2"/>
  <c r="R7" i="2" s="1"/>
  <c r="R21" i="2" s="1"/>
  <c r="P6" i="2"/>
  <c r="P4" i="2"/>
  <c r="P3" i="2"/>
  <c r="R3" i="2" s="1"/>
  <c r="AA9" i="2"/>
  <c r="Y61" i="2"/>
  <c r="N25" i="2"/>
  <c r="M25" i="2"/>
  <c r="O25" i="2"/>
  <c r="M53" i="2"/>
  <c r="M48" i="2"/>
  <c r="M40" i="2"/>
  <c r="M31" i="2"/>
  <c r="N53" i="2"/>
  <c r="N48" i="2"/>
  <c r="N40" i="2"/>
  <c r="N31" i="2"/>
  <c r="O53" i="2"/>
  <c r="O48" i="2"/>
  <c r="O40" i="2"/>
  <c r="O31" i="2"/>
  <c r="K5" i="2"/>
  <c r="K8" i="2" s="1"/>
  <c r="K11" i="2" s="1"/>
  <c r="K13" i="2" s="1"/>
  <c r="K15" i="2" s="1"/>
  <c r="K21" i="2"/>
  <c r="K20" i="2"/>
  <c r="J12" i="2"/>
  <c r="J10" i="2"/>
  <c r="J9" i="2"/>
  <c r="J7" i="2"/>
  <c r="J6" i="2"/>
  <c r="J4" i="2"/>
  <c r="J3" i="2"/>
  <c r="L12" i="2"/>
  <c r="L10" i="2"/>
  <c r="L6" i="2"/>
  <c r="L4" i="2"/>
  <c r="L3" i="2"/>
  <c r="N12" i="2"/>
  <c r="N10" i="2"/>
  <c r="N7" i="2"/>
  <c r="N6" i="2"/>
  <c r="N4" i="2"/>
  <c r="N3" i="2"/>
  <c r="X5" i="2"/>
  <c r="X8" i="2" s="1"/>
  <c r="X11" i="2" s="1"/>
  <c r="X13" i="2" s="1"/>
  <c r="X15" i="2" s="1"/>
  <c r="Y9" i="2"/>
  <c r="L9" i="2" s="1"/>
  <c r="Y5" i="2"/>
  <c r="Y8" i="2" s="1"/>
  <c r="Y57" i="2" s="1"/>
  <c r="Z9" i="2"/>
  <c r="Z5" i="2"/>
  <c r="Z8" i="2" s="1"/>
  <c r="Z57" i="2" s="1"/>
  <c r="Z68" i="2" s="1"/>
  <c r="M9" i="2"/>
  <c r="M5" i="2"/>
  <c r="M8" i="2" s="1"/>
  <c r="M57" i="2" s="1"/>
  <c r="M68" i="2" s="1"/>
  <c r="O9" i="2"/>
  <c r="O5" i="2"/>
  <c r="O8" i="2" s="1"/>
  <c r="O57" i="2" s="1"/>
  <c r="O68" i="2" s="1"/>
  <c r="O21" i="2"/>
  <c r="O20" i="2"/>
  <c r="M20" i="2"/>
  <c r="O17" i="2"/>
  <c r="M17" i="2"/>
  <c r="K17" i="2"/>
  <c r="Q55" i="2" l="1"/>
  <c r="Q31" i="2"/>
  <c r="Q41" i="2" s="1"/>
  <c r="P75" i="2"/>
  <c r="Z70" i="2"/>
  <c r="P74" i="2"/>
  <c r="L71" i="2"/>
  <c r="N74" i="2"/>
  <c r="O76" i="2"/>
  <c r="R75" i="2"/>
  <c r="P71" i="2"/>
  <c r="AA71" i="2" s="1"/>
  <c r="AA69" i="2"/>
  <c r="AA74" i="2" s="1"/>
  <c r="AB7" i="2"/>
  <c r="AD7" i="2" s="1"/>
  <c r="AE7" i="2" s="1"/>
  <c r="AF7" i="2" s="1"/>
  <c r="AG7" i="2" s="1"/>
  <c r="AH7" i="2" s="1"/>
  <c r="AI7" i="2" s="1"/>
  <c r="AJ7" i="2" s="1"/>
  <c r="AK7" i="2" s="1"/>
  <c r="AL7" i="2" s="1"/>
  <c r="P9" i="2"/>
  <c r="AA70" i="2"/>
  <c r="AA75" i="2" s="1"/>
  <c r="Y68" i="2"/>
  <c r="AB69" i="2"/>
  <c r="Q71" i="2"/>
  <c r="Q76" i="2" s="1"/>
  <c r="R71" i="2"/>
  <c r="Q74" i="2"/>
  <c r="Z74" i="2"/>
  <c r="Z75" i="2"/>
  <c r="N71" i="2"/>
  <c r="O72" i="2"/>
  <c r="Y71" i="2"/>
  <c r="K55" i="2"/>
  <c r="K41" i="2"/>
  <c r="J55" i="2"/>
  <c r="J41" i="2"/>
  <c r="L55" i="2"/>
  <c r="L41" i="2"/>
  <c r="M72" i="2"/>
  <c r="P31" i="2"/>
  <c r="P41" i="2" s="1"/>
  <c r="R17" i="2"/>
  <c r="R4" i="2"/>
  <c r="AB4" i="2" s="1"/>
  <c r="R18" i="2"/>
  <c r="R6" i="2"/>
  <c r="R20" i="2" s="1"/>
  <c r="Q17" i="2"/>
  <c r="Q18" i="2"/>
  <c r="P5" i="2"/>
  <c r="P55" i="2"/>
  <c r="AB3" i="2"/>
  <c r="AC9" i="2"/>
  <c r="AD9" i="2" s="1"/>
  <c r="AE9" i="2" s="1"/>
  <c r="AF9" i="2" s="1"/>
  <c r="AG9" i="2" s="1"/>
  <c r="AH9" i="2" s="1"/>
  <c r="AI9" i="2" s="1"/>
  <c r="AJ9" i="2" s="1"/>
  <c r="AK9" i="2" s="1"/>
  <c r="AL9" i="2" s="1"/>
  <c r="K57" i="2"/>
  <c r="K68" i="2" s="1"/>
  <c r="K72" i="2" s="1"/>
  <c r="O41" i="2"/>
  <c r="O55" i="2"/>
  <c r="M55" i="2"/>
  <c r="M41" i="2"/>
  <c r="N55" i="2"/>
  <c r="N41" i="2"/>
  <c r="J5" i="2"/>
  <c r="N9" i="2"/>
  <c r="N20" i="2"/>
  <c r="P21" i="2"/>
  <c r="P20" i="2"/>
  <c r="K18" i="2"/>
  <c r="M21" i="2"/>
  <c r="L7" i="2"/>
  <c r="L21" i="2" s="1"/>
  <c r="L17" i="2"/>
  <c r="L20" i="2"/>
  <c r="L5" i="2"/>
  <c r="N17" i="2"/>
  <c r="N5" i="2"/>
  <c r="N18" i="2" s="1"/>
  <c r="P17" i="2"/>
  <c r="Y11" i="2"/>
  <c r="Y13" i="2" s="1"/>
  <c r="Y15" i="2" s="1"/>
  <c r="Z11" i="2"/>
  <c r="Z13" i="2" s="1"/>
  <c r="Z15" i="2" s="1"/>
  <c r="M18" i="2"/>
  <c r="M19" i="2"/>
  <c r="M11" i="2"/>
  <c r="O18" i="2"/>
  <c r="O19" i="2"/>
  <c r="O11" i="2"/>
  <c r="D8" i="1"/>
  <c r="AO22" i="2" s="1"/>
  <c r="AO76" i="2" s="1"/>
  <c r="N76" i="2" l="1"/>
  <c r="AB70" i="2"/>
  <c r="AC70" i="2" s="1"/>
  <c r="Y72" i="2"/>
  <c r="Z71" i="2"/>
  <c r="P76" i="2"/>
  <c r="AA76" i="2"/>
  <c r="AC69" i="2"/>
  <c r="Q20" i="2"/>
  <c r="AB6" i="2"/>
  <c r="AB5" i="2"/>
  <c r="AB74" i="2"/>
  <c r="R76" i="2"/>
  <c r="AB71" i="2"/>
  <c r="Q8" i="2"/>
  <c r="Q57" i="2" s="1"/>
  <c r="Q68" i="2" s="1"/>
  <c r="Q72" i="2" s="1"/>
  <c r="R8" i="2"/>
  <c r="N21" i="2"/>
  <c r="L8" i="2"/>
  <c r="AA5" i="2"/>
  <c r="P8" i="2"/>
  <c r="P57" i="2" s="1"/>
  <c r="P68" i="2" s="1"/>
  <c r="P72" i="2" s="1"/>
  <c r="P18" i="2"/>
  <c r="K19" i="2"/>
  <c r="L18" i="2"/>
  <c r="N8" i="2"/>
  <c r="M13" i="2"/>
  <c r="M22" i="2"/>
  <c r="O13" i="2"/>
  <c r="O22" i="2"/>
  <c r="AB75" i="2" l="1"/>
  <c r="AD69" i="2"/>
  <c r="AC71" i="2"/>
  <c r="AC76" i="2" s="1"/>
  <c r="AC74" i="2"/>
  <c r="Z76" i="2"/>
  <c r="Z72" i="2"/>
  <c r="AD70" i="2"/>
  <c r="AC75" i="2"/>
  <c r="AC6" i="2"/>
  <c r="AB76" i="2"/>
  <c r="Q19" i="2"/>
  <c r="Q11" i="2"/>
  <c r="R19" i="2"/>
  <c r="R57" i="2"/>
  <c r="R68" i="2" s="1"/>
  <c r="R72" i="2" s="1"/>
  <c r="R11" i="2"/>
  <c r="L19" i="2"/>
  <c r="L57" i="2"/>
  <c r="L68" i="2" s="1"/>
  <c r="L72" i="2" s="1"/>
  <c r="N19" i="2"/>
  <c r="N57" i="2"/>
  <c r="N68" i="2" s="1"/>
  <c r="N72" i="2" s="1"/>
  <c r="L11" i="2"/>
  <c r="L13" i="2" s="1"/>
  <c r="P11" i="2"/>
  <c r="P19" i="2"/>
  <c r="K22" i="2"/>
  <c r="N11" i="2"/>
  <c r="N22" i="2" s="1"/>
  <c r="M15" i="2"/>
  <c r="M23" i="2"/>
  <c r="O15" i="2"/>
  <c r="O23" i="2"/>
  <c r="I5" i="2"/>
  <c r="AE70" i="2" l="1"/>
  <c r="AD75" i="2"/>
  <c r="AE69" i="2"/>
  <c r="AD71" i="2"/>
  <c r="AD76" i="2" s="1"/>
  <c r="AD74" i="2"/>
  <c r="Q22" i="2"/>
  <c r="AD6" i="2"/>
  <c r="Q13" i="2"/>
  <c r="R12" i="2"/>
  <c r="R22" i="2" s="1"/>
  <c r="L22" i="2"/>
  <c r="P13" i="2"/>
  <c r="K23" i="2"/>
  <c r="L15" i="2"/>
  <c r="L23" i="2"/>
  <c r="N13" i="2"/>
  <c r="N23" i="2" s="1"/>
  <c r="I21" i="2"/>
  <c r="G21" i="2"/>
  <c r="E21" i="2"/>
  <c r="G17" i="2"/>
  <c r="E17" i="2"/>
  <c r="G20" i="2"/>
  <c r="E20" i="2"/>
  <c r="C20" i="2"/>
  <c r="D12" i="2"/>
  <c r="D10" i="2"/>
  <c r="D9" i="2"/>
  <c r="D7" i="2"/>
  <c r="D6" i="2"/>
  <c r="D4" i="2"/>
  <c r="D3" i="2"/>
  <c r="C5" i="2"/>
  <c r="C8" i="2" s="1"/>
  <c r="C11" i="2" s="1"/>
  <c r="C13" i="2" s="1"/>
  <c r="F12" i="2"/>
  <c r="F10" i="2"/>
  <c r="F9" i="2"/>
  <c r="F7" i="2"/>
  <c r="F6" i="2"/>
  <c r="F4" i="2"/>
  <c r="F3" i="2"/>
  <c r="H12" i="2"/>
  <c r="H10" i="2"/>
  <c r="H9" i="2"/>
  <c r="H7" i="2"/>
  <c r="H6" i="2"/>
  <c r="H4" i="2"/>
  <c r="H3" i="2"/>
  <c r="E5" i="2"/>
  <c r="E8" i="2" s="1"/>
  <c r="E11" i="2" s="1"/>
  <c r="E13" i="2" s="1"/>
  <c r="G5" i="2"/>
  <c r="G8" i="2" s="1"/>
  <c r="G11" i="2" s="1"/>
  <c r="G13" i="2" s="1"/>
  <c r="AF69" i="2" l="1"/>
  <c r="AE74" i="2"/>
  <c r="AE71" i="2"/>
  <c r="AE76" i="2" s="1"/>
  <c r="AF70" i="2"/>
  <c r="AE75" i="2"/>
  <c r="AB12" i="2"/>
  <c r="AF3" i="2"/>
  <c r="AG3" i="2" s="1"/>
  <c r="AE6" i="2"/>
  <c r="R13" i="2"/>
  <c r="Q15" i="2"/>
  <c r="Q23" i="2"/>
  <c r="F17" i="2"/>
  <c r="H20" i="2"/>
  <c r="P15" i="2"/>
  <c r="P23" i="2"/>
  <c r="P22" i="2"/>
  <c r="N15" i="2"/>
  <c r="D5" i="2"/>
  <c r="D18" i="2" s="1"/>
  <c r="D20" i="2"/>
  <c r="E18" i="2"/>
  <c r="G18" i="2"/>
  <c r="F20" i="2"/>
  <c r="F21" i="2"/>
  <c r="E22" i="2"/>
  <c r="G19" i="2"/>
  <c r="C22" i="2"/>
  <c r="J21" i="2"/>
  <c r="C19" i="2"/>
  <c r="G22" i="2"/>
  <c r="H5" i="2"/>
  <c r="H18" i="2" s="1"/>
  <c r="G15" i="2"/>
  <c r="G23" i="2"/>
  <c r="C15" i="2"/>
  <c r="C23" i="2"/>
  <c r="H21" i="2"/>
  <c r="E15" i="2"/>
  <c r="E23" i="2"/>
  <c r="F5" i="2"/>
  <c r="F18" i="2" s="1"/>
  <c r="C18" i="2"/>
  <c r="E19" i="2"/>
  <c r="H17" i="2"/>
  <c r="I8" i="2"/>
  <c r="I18" i="2"/>
  <c r="I20" i="2"/>
  <c r="I17" i="2"/>
  <c r="AO25" i="2"/>
  <c r="Y21" i="2"/>
  <c r="X21" i="2"/>
  <c r="W21" i="2"/>
  <c r="V21" i="2"/>
  <c r="U21" i="2"/>
  <c r="W20" i="2"/>
  <c r="V20" i="2"/>
  <c r="U20" i="2"/>
  <c r="T20" i="2"/>
  <c r="T5" i="2"/>
  <c r="T8" i="2" s="1"/>
  <c r="T11" i="2" s="1"/>
  <c r="T13" i="2" s="1"/>
  <c r="V17" i="2"/>
  <c r="U17" i="2"/>
  <c r="W17" i="2"/>
  <c r="U5" i="2"/>
  <c r="U8" i="2" s="1"/>
  <c r="U11" i="2" s="1"/>
  <c r="U13" i="2" s="1"/>
  <c r="V5" i="2"/>
  <c r="V8" i="2" s="1"/>
  <c r="V11" i="2" s="1"/>
  <c r="V13" i="2" s="1"/>
  <c r="W5" i="2"/>
  <c r="W8" i="2" s="1"/>
  <c r="F3" i="1"/>
  <c r="D5" i="1"/>
  <c r="AG70" i="2" l="1"/>
  <c r="AF75" i="2"/>
  <c r="AG69" i="2"/>
  <c r="AF71" i="2"/>
  <c r="AF76" i="2" s="1"/>
  <c r="AF74" i="2"/>
  <c r="AF6" i="2"/>
  <c r="R23" i="2"/>
  <c r="R15" i="2"/>
  <c r="I19" i="2"/>
  <c r="D8" i="2"/>
  <c r="D11" i="2" s="1"/>
  <c r="F8" i="2"/>
  <c r="F11" i="2" s="1"/>
  <c r="W18" i="2"/>
  <c r="T22" i="2"/>
  <c r="W11" i="2"/>
  <c r="W19" i="2"/>
  <c r="U15" i="2"/>
  <c r="U23" i="2"/>
  <c r="U18" i="2"/>
  <c r="V15" i="2"/>
  <c r="V23" i="2"/>
  <c r="V18" i="2"/>
  <c r="U22" i="2"/>
  <c r="V22" i="2"/>
  <c r="T15" i="2"/>
  <c r="T23" i="2"/>
  <c r="U19" i="2"/>
  <c r="T18" i="2"/>
  <c r="V19" i="2"/>
  <c r="T19" i="2"/>
  <c r="H8" i="2"/>
  <c r="J17" i="2"/>
  <c r="D9" i="1"/>
  <c r="I11" i="2"/>
  <c r="AH69" i="2" l="1"/>
  <c r="AG71" i="2"/>
  <c r="AG76" i="2" s="1"/>
  <c r="AG74" i="2"/>
  <c r="AH70" i="2"/>
  <c r="AG75" i="2"/>
  <c r="AG6" i="2"/>
  <c r="AH3" i="2"/>
  <c r="D19" i="2"/>
  <c r="F19" i="2"/>
  <c r="J8" i="2"/>
  <c r="J18" i="2"/>
  <c r="H11" i="2"/>
  <c r="H19" i="2"/>
  <c r="X17" i="2"/>
  <c r="F13" i="2"/>
  <c r="F22" i="2"/>
  <c r="X20" i="2"/>
  <c r="J20" i="2"/>
  <c r="D13" i="2"/>
  <c r="D22" i="2"/>
  <c r="W13" i="2"/>
  <c r="W22" i="2"/>
  <c r="I22" i="2"/>
  <c r="I13" i="2"/>
  <c r="Z21" i="2"/>
  <c r="AA21" i="2"/>
  <c r="AB21" i="2"/>
  <c r="AI69" i="2" l="1"/>
  <c r="AH71" i="2"/>
  <c r="AH76" i="2" s="1"/>
  <c r="AH74" i="2"/>
  <c r="AI70" i="2"/>
  <c r="AH75" i="2"/>
  <c r="AI3" i="2"/>
  <c r="AH6" i="2"/>
  <c r="W15" i="2"/>
  <c r="W23" i="2"/>
  <c r="Y17" i="2"/>
  <c r="Y20" i="2"/>
  <c r="J19" i="2"/>
  <c r="J11" i="2"/>
  <c r="J13" i="2" s="1"/>
  <c r="J23" i="2" s="1"/>
  <c r="F15" i="2"/>
  <c r="F23" i="2"/>
  <c r="I15" i="2"/>
  <c r="I23" i="2"/>
  <c r="X18" i="2"/>
  <c r="AC21" i="2"/>
  <c r="D15" i="2"/>
  <c r="D23" i="2"/>
  <c r="H13" i="2"/>
  <c r="H22" i="2"/>
  <c r="AD21" i="2"/>
  <c r="AE21" i="2"/>
  <c r="AF21" i="2"/>
  <c r="AJ70" i="2" l="1"/>
  <c r="AI75" i="2"/>
  <c r="AJ69" i="2"/>
  <c r="AI71" i="2"/>
  <c r="AI76" i="2" s="1"/>
  <c r="AI74" i="2"/>
  <c r="AJ3" i="2"/>
  <c r="AI6" i="2"/>
  <c r="AG21" i="2"/>
  <c r="J22" i="2"/>
  <c r="J15" i="2"/>
  <c r="X19" i="2"/>
  <c r="H15" i="2"/>
  <c r="H23" i="2"/>
  <c r="Y18" i="2"/>
  <c r="Z17" i="2"/>
  <c r="Z20" i="2"/>
  <c r="AK70" i="2" l="1"/>
  <c r="AJ75" i="2"/>
  <c r="AK69" i="2"/>
  <c r="AJ71" i="2"/>
  <c r="AJ76" i="2" s="1"/>
  <c r="AJ74" i="2"/>
  <c r="AJ6" i="2"/>
  <c r="AK3" i="2"/>
  <c r="AH21" i="2"/>
  <c r="X22" i="2"/>
  <c r="X23" i="2"/>
  <c r="Z18" i="2"/>
  <c r="Y22" i="2"/>
  <c r="Y19" i="2"/>
  <c r="AA20" i="2"/>
  <c r="AA17" i="2"/>
  <c r="AL69" i="2" l="1"/>
  <c r="AK71" i="2"/>
  <c r="AK76" i="2" s="1"/>
  <c r="AK74" i="2"/>
  <c r="AL70" i="2"/>
  <c r="AL75" i="2" s="1"/>
  <c r="AK75" i="2"/>
  <c r="AK6" i="2"/>
  <c r="AL3" i="2"/>
  <c r="AL6" i="2" s="1"/>
  <c r="AB20" i="2"/>
  <c r="AI21" i="2"/>
  <c r="Y23" i="2"/>
  <c r="Z19" i="2"/>
  <c r="Z22" i="2"/>
  <c r="AA8" i="2"/>
  <c r="AA57" i="2" s="1"/>
  <c r="AA68" i="2" s="1"/>
  <c r="AA72" i="2" s="1"/>
  <c r="AA18" i="2"/>
  <c r="AC5" i="2"/>
  <c r="AB17" i="2"/>
  <c r="AL71" i="2" l="1"/>
  <c r="AL76" i="2" s="1"/>
  <c r="AL74" i="2"/>
  <c r="AC20" i="2"/>
  <c r="AJ21" i="2"/>
  <c r="AA11" i="2"/>
  <c r="AA22" i="2" s="1"/>
  <c r="AA19" i="2"/>
  <c r="AC4" i="2"/>
  <c r="AC17" i="2"/>
  <c r="AB18" i="2"/>
  <c r="AB8" i="2"/>
  <c r="AB57" i="2" s="1"/>
  <c r="AB68" i="2" s="1"/>
  <c r="AB72" i="2" s="1"/>
  <c r="AD5" i="2" l="1"/>
  <c r="AD4" i="2" s="1"/>
  <c r="AD20" i="2"/>
  <c r="AL21" i="2"/>
  <c r="AK21" i="2"/>
  <c r="Z23" i="2"/>
  <c r="AA13" i="2"/>
  <c r="AD17" i="2"/>
  <c r="AC8" i="2"/>
  <c r="AC57" i="2" s="1"/>
  <c r="AC68" i="2" s="1"/>
  <c r="AC72" i="2" s="1"/>
  <c r="AC18" i="2"/>
  <c r="AB19" i="2"/>
  <c r="AB11" i="2"/>
  <c r="AE5" i="2" l="1"/>
  <c r="AE20" i="2"/>
  <c r="AB13" i="2"/>
  <c r="AA23" i="2"/>
  <c r="AA15" i="2"/>
  <c r="AC19" i="2"/>
  <c r="AC11" i="2"/>
  <c r="AE17" i="2"/>
  <c r="AD18" i="2"/>
  <c r="AD8" i="2"/>
  <c r="AD57" i="2" s="1"/>
  <c r="AD68" i="2" s="1"/>
  <c r="AD72" i="2" s="1"/>
  <c r="AF5" i="2" l="1"/>
  <c r="AB23" i="2"/>
  <c r="AF20" i="2"/>
  <c r="AC12" i="2"/>
  <c r="AC22" i="2" s="1"/>
  <c r="AB22" i="2"/>
  <c r="AB15" i="2"/>
  <c r="AF17" i="2"/>
  <c r="AE4" i="2"/>
  <c r="AE18" i="2"/>
  <c r="AE8" i="2"/>
  <c r="AE57" i="2" s="1"/>
  <c r="AE68" i="2" s="1"/>
  <c r="AE72" i="2" s="1"/>
  <c r="AD11" i="2"/>
  <c r="AD19" i="2"/>
  <c r="AG5" i="2" l="1"/>
  <c r="AG20" i="2"/>
  <c r="AC13" i="2"/>
  <c r="AD12" i="2"/>
  <c r="AD22" i="2" s="1"/>
  <c r="AF8" i="2"/>
  <c r="AF57" i="2" s="1"/>
  <c r="AF68" i="2" s="1"/>
  <c r="AF72" i="2" s="1"/>
  <c r="AF18" i="2"/>
  <c r="AE11" i="2"/>
  <c r="AE19" i="2"/>
  <c r="AF4" i="2"/>
  <c r="AG17" i="2"/>
  <c r="AH5" i="2" l="1"/>
  <c r="AH4" i="2" s="1"/>
  <c r="AC15" i="2"/>
  <c r="AH20" i="2"/>
  <c r="AH17" i="2"/>
  <c r="AD13" i="2"/>
  <c r="AD15" i="2" s="1"/>
  <c r="AC23" i="2"/>
  <c r="AE12" i="2"/>
  <c r="AE22" i="2" s="1"/>
  <c r="AG18" i="2"/>
  <c r="AG8" i="2"/>
  <c r="AG57" i="2" s="1"/>
  <c r="AG68" i="2" s="1"/>
  <c r="AG72" i="2" s="1"/>
  <c r="AG4" i="2"/>
  <c r="AF19" i="2"/>
  <c r="AF11" i="2"/>
  <c r="AI5" i="2" l="1"/>
  <c r="AI18" i="2" s="1"/>
  <c r="AI20" i="2"/>
  <c r="AH8" i="2"/>
  <c r="AD23" i="2"/>
  <c r="AI17" i="2"/>
  <c r="AH18" i="2"/>
  <c r="AF12" i="2"/>
  <c r="AF22" i="2" s="1"/>
  <c r="AE13" i="2"/>
  <c r="AG19" i="2"/>
  <c r="AG11" i="2"/>
  <c r="AI4" i="2" l="1"/>
  <c r="AJ5" i="2"/>
  <c r="AJ4" i="2" s="1"/>
  <c r="AJ20" i="2"/>
  <c r="AH11" i="2"/>
  <c r="AH12" i="2" s="1"/>
  <c r="AH22" i="2" s="1"/>
  <c r="AH57" i="2"/>
  <c r="AH68" i="2" s="1"/>
  <c r="AH72" i="2" s="1"/>
  <c r="AE15" i="2"/>
  <c r="AI8" i="2"/>
  <c r="AH19" i="2"/>
  <c r="AJ17" i="2"/>
  <c r="AF13" i="2"/>
  <c r="AF15" i="2" s="1"/>
  <c r="AG12" i="2"/>
  <c r="AG13" i="2" s="1"/>
  <c r="AG23" i="2" s="1"/>
  <c r="AE23" i="2"/>
  <c r="AK5" i="2" l="1"/>
  <c r="AK18" i="2" s="1"/>
  <c r="AK20" i="2"/>
  <c r="AI11" i="2"/>
  <c r="AI12" i="2" s="1"/>
  <c r="AI22" i="2" s="1"/>
  <c r="AI57" i="2"/>
  <c r="AI68" i="2" s="1"/>
  <c r="AI72" i="2" s="1"/>
  <c r="AJ18" i="2"/>
  <c r="AK17" i="2"/>
  <c r="AJ8" i="2"/>
  <c r="AI19" i="2"/>
  <c r="AF23" i="2"/>
  <c r="AG22" i="2"/>
  <c r="AG15" i="2"/>
  <c r="AH13" i="2"/>
  <c r="AK4" i="2" l="1"/>
  <c r="AL5" i="2"/>
  <c r="AK8" i="2"/>
  <c r="AK57" i="2" s="1"/>
  <c r="AK68" i="2" s="1"/>
  <c r="AK72" i="2" s="1"/>
  <c r="AJ11" i="2"/>
  <c r="AJ12" i="2" s="1"/>
  <c r="AJ22" i="2" s="1"/>
  <c r="AJ57" i="2"/>
  <c r="AJ68" i="2" s="1"/>
  <c r="AJ72" i="2" s="1"/>
  <c r="AI13" i="2"/>
  <c r="AI15" i="2" s="1"/>
  <c r="AL20" i="2"/>
  <c r="AL17" i="2"/>
  <c r="AJ19" i="2"/>
  <c r="AH15" i="2"/>
  <c r="AH23" i="2"/>
  <c r="AL4" i="2"/>
  <c r="AL18" i="2"/>
  <c r="AI23" i="2" l="1"/>
  <c r="AK19" i="2"/>
  <c r="AK11" i="2"/>
  <c r="AK12" i="2" s="1"/>
  <c r="AK22" i="2" s="1"/>
  <c r="AL8" i="2"/>
  <c r="AJ13" i="2"/>
  <c r="AL19" i="2" l="1"/>
  <c r="AL57" i="2"/>
  <c r="AL68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BU72" i="2" s="1"/>
  <c r="BV72" i="2" s="1"/>
  <c r="BW72" i="2" s="1"/>
  <c r="BX72" i="2" s="1"/>
  <c r="BY72" i="2" s="1"/>
  <c r="BZ72" i="2" s="1"/>
  <c r="CA72" i="2" s="1"/>
  <c r="CB72" i="2" s="1"/>
  <c r="CC72" i="2" s="1"/>
  <c r="CD72" i="2" s="1"/>
  <c r="CE72" i="2" s="1"/>
  <c r="CF72" i="2" s="1"/>
  <c r="CG72" i="2" s="1"/>
  <c r="CH72" i="2" s="1"/>
  <c r="CI72" i="2" s="1"/>
  <c r="CJ72" i="2" s="1"/>
  <c r="CK72" i="2" s="1"/>
  <c r="CL72" i="2" s="1"/>
  <c r="CM72" i="2" s="1"/>
  <c r="CN72" i="2" s="1"/>
  <c r="CO72" i="2" s="1"/>
  <c r="CP72" i="2" s="1"/>
  <c r="CQ72" i="2" s="1"/>
  <c r="CR72" i="2" s="1"/>
  <c r="CS72" i="2" s="1"/>
  <c r="CT72" i="2" s="1"/>
  <c r="CU72" i="2" s="1"/>
  <c r="CV72" i="2" s="1"/>
  <c r="CW72" i="2" s="1"/>
  <c r="CX72" i="2" s="1"/>
  <c r="CY72" i="2" s="1"/>
  <c r="CZ72" i="2" s="1"/>
  <c r="DA72" i="2" s="1"/>
  <c r="DB72" i="2" s="1"/>
  <c r="DC72" i="2" s="1"/>
  <c r="DD72" i="2" s="1"/>
  <c r="DE72" i="2" s="1"/>
  <c r="DF72" i="2" s="1"/>
  <c r="DG72" i="2" s="1"/>
  <c r="DH72" i="2" s="1"/>
  <c r="DI72" i="2" s="1"/>
  <c r="DJ72" i="2" s="1"/>
  <c r="DK72" i="2" s="1"/>
  <c r="DL72" i="2" s="1"/>
  <c r="DM72" i="2" s="1"/>
  <c r="DN72" i="2" s="1"/>
  <c r="DO72" i="2" s="1"/>
  <c r="DP72" i="2" s="1"/>
  <c r="DQ72" i="2" s="1"/>
  <c r="DR72" i="2" s="1"/>
  <c r="DS72" i="2" s="1"/>
  <c r="DT72" i="2" s="1"/>
  <c r="DU72" i="2" s="1"/>
  <c r="DV72" i="2" s="1"/>
  <c r="DW72" i="2" s="1"/>
  <c r="DX72" i="2" s="1"/>
  <c r="DY72" i="2" s="1"/>
  <c r="DZ72" i="2" s="1"/>
  <c r="EA72" i="2" s="1"/>
  <c r="EB72" i="2" s="1"/>
  <c r="EC72" i="2" s="1"/>
  <c r="ED72" i="2" s="1"/>
  <c r="EE72" i="2" s="1"/>
  <c r="EF72" i="2" s="1"/>
  <c r="EG72" i="2" s="1"/>
  <c r="AO75" i="2" s="1"/>
  <c r="AO77" i="2" s="1"/>
  <c r="AO78" i="2" s="1"/>
  <c r="AO80" i="2" s="1"/>
  <c r="AL11" i="2"/>
  <c r="AL12" i="2" s="1"/>
  <c r="AL22" i="2" s="1"/>
  <c r="AK13" i="2"/>
  <c r="AK15" i="2" s="1"/>
  <c r="AJ15" i="2"/>
  <c r="AJ23" i="2"/>
  <c r="AL13" i="2" l="1"/>
  <c r="AL15" i="2" s="1"/>
  <c r="AK23" i="2"/>
  <c r="AL23" i="2" l="1"/>
  <c r="AM13" i="2"/>
  <c r="AN13" i="2" l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AO21" i="2" l="1"/>
  <c r="AO23" i="2" s="1"/>
  <c r="AO24" i="2" s="1"/>
  <c r="AO26" i="2" s="1"/>
</calcChain>
</file>

<file path=xl/sharedStrings.xml><?xml version="1.0" encoding="utf-8"?>
<sst xmlns="http://schemas.openxmlformats.org/spreadsheetml/2006/main" count="127" uniqueCount="88">
  <si>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</si>
  <si>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</si>
  <si>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</si>
  <si>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</si>
  <si>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</si>
  <si>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</si>
  <si>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</si>
  <si>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</si>
  <si>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</si>
  <si>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</si>
  <si>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Revenue</t>
  </si>
  <si>
    <t>Cost of sales</t>
  </si>
  <si>
    <t>Gross profit</t>
  </si>
  <si>
    <t>Distribution expenses</t>
  </si>
  <si>
    <t>Administrative expenses</t>
  </si>
  <si>
    <t>Operating profit</t>
  </si>
  <si>
    <t>Finance income</t>
  </si>
  <si>
    <t>Finance expense</t>
  </si>
  <si>
    <t>Pretax profit</t>
  </si>
  <si>
    <t>Taxes</t>
  </si>
  <si>
    <t>Net profit</t>
  </si>
  <si>
    <t>EPS</t>
  </si>
  <si>
    <t>Gross Margin</t>
  </si>
  <si>
    <t>Revenue y/y</t>
  </si>
  <si>
    <t>Operating Margin</t>
  </si>
  <si>
    <t>Distribution Margin</t>
  </si>
  <si>
    <t>Administrative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</si>
  <si>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</si>
  <si>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</si>
  <si>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</si>
  <si>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</si>
  <si>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</si>
  <si>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</si>
  <si>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</si>
  <si>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</si>
  <si>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</si>
  <si>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H118</t>
  </si>
  <si>
    <t>H218</t>
  </si>
  <si>
    <t>H119</t>
  </si>
  <si>
    <t>H120</t>
  </si>
  <si>
    <t>H219</t>
  </si>
  <si>
    <t>H220</t>
  </si>
  <si>
    <t>H121</t>
  </si>
  <si>
    <t>H221</t>
  </si>
  <si>
    <t>Net Margin</t>
  </si>
  <si>
    <t>H122</t>
  </si>
  <si>
    <t>H222</t>
  </si>
  <si>
    <t>H123</t>
  </si>
  <si>
    <t>H223</t>
  </si>
  <si>
    <t>H124</t>
  </si>
  <si>
    <t>H224</t>
  </si>
  <si>
    <t>ASC</t>
  </si>
  <si>
    <t>Derivatives</t>
  </si>
  <si>
    <t>D/T</t>
  </si>
  <si>
    <t>A/R</t>
  </si>
  <si>
    <t>Inventories</t>
  </si>
  <si>
    <t>Investment properties</t>
  </si>
  <si>
    <t>Current assets</t>
  </si>
  <si>
    <t>Leases</t>
  </si>
  <si>
    <t>PP&amp;E</t>
  </si>
  <si>
    <t>Intangibles</t>
  </si>
  <si>
    <t>Non-current assets</t>
  </si>
  <si>
    <t>Provisions</t>
  </si>
  <si>
    <t>A/P</t>
  </si>
  <si>
    <t>Current liabilities</t>
  </si>
  <si>
    <t>Non-current liabilities</t>
  </si>
  <si>
    <t>S/E</t>
  </si>
  <si>
    <t>L+S/E</t>
  </si>
  <si>
    <t>Total assets</t>
  </si>
  <si>
    <t>Depreciation</t>
  </si>
  <si>
    <t>Amortisation</t>
  </si>
  <si>
    <t>Impairment</t>
  </si>
  <si>
    <t>SBC</t>
  </si>
  <si>
    <t>Other non-cash</t>
  </si>
  <si>
    <t>CFFO</t>
  </si>
  <si>
    <t>Income taxes</t>
  </si>
  <si>
    <t>H125</t>
  </si>
  <si>
    <t>H225</t>
  </si>
  <si>
    <t>FCF</t>
  </si>
  <si>
    <t>CapEx y/y</t>
  </si>
  <si>
    <t>Total CapEx</t>
  </si>
  <si>
    <t>PP&amp;E y/y</t>
  </si>
  <si>
    <t>Intangibles y/y</t>
  </si>
  <si>
    <t>NPV (FCF)</t>
  </si>
  <si>
    <t>hugely depends on revenue growth</t>
  </si>
  <si>
    <t>Investments</t>
  </si>
  <si>
    <t>Other</t>
  </si>
  <si>
    <t>Heavily 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</si>
</sst>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[$£-8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9" fontId="0" fillId="0" borderId="0" xfId="0" applyNumberFormat="1"/>
    <xf numFmtId="4" fontId="1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</xdr:colOff>
      <xdr:row>0</xdr:row>
      <xdr:rowOff>0</xdr:rowOff>
    </xdr:from>
    <xdr:to>
      <xdr:col>17</xdr:col>
      <xdr:colOff>22860</xdr:colOff>
      <xdr:row>84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3E91E37-A8BB-4D11-A699-6AD6AA18FFC5}"/>
            </a:ext>
          </a:extLst>
        </xdr:cNvPr>
        <xdr:cNvCxnSpPr/>
      </xdr:nvCxnSpPr>
      <xdr:spPr>
        <a:xfrm>
          <a:off x="12915900" y="0"/>
          <a:ext cx="0" cy="1546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22860</xdr:colOff>
      <xdr:row>0</xdr:row>
      <xdr:rowOff>0</xdr:rowOff>
    </xdr:from>
    <xdr:to>
      <xdr:col>27</xdr:col>
      <xdr:colOff>22860</xdr:colOff>
      <xdr:row>85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17D5FC5-C752-413D-AD1E-F3972C737C71}"/>
            </a:ext>
          </a:extLst>
        </xdr:cNvPr>
        <xdr:cNvCxnSpPr/>
      </xdr:nvCxnSpPr>
      <xdr:spPr>
        <a:xfrm>
          <a:off x="20040600" y="0"/>
          <a:ext cx="0" cy="1371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C1A-2B9E-4896-9C36-0D67B9E196E2}">
  <dimension ref="B2:G9"/>
  <sheetViews>
    <sheetView workbookViewId="0">
      <selection activeCell="D7" sqref="D7"/>
    </sheetView>
  </sheetViews>
  <sheetFormatPr defaultRowHeight="14.4" x14ac:dyDescent="0.3"/>
  <cols>
    <col min="5" max="7" width="15.77734375" style="5" customWidth="1"/>
  </cols>
  <sheetData>
    <row r="2" spans="2:7" x14ac:dyDescent="0.3">
      <c r="E2" s="5" t="s">
        <v>7</v>
      </c>
      <c r="F2" s="5" t="s">
        <v>8</v>
      </c>
      <c r="G2" s="5" t="s">
        <v>9</v>
      </c>
    </row>
    <row r="3" spans="2:7" x14ac:dyDescent="0.3">
      <c r="B3" s="1" t="s">
        <v>51</v>
      </c>
      <c r="C3" t="s">
        <v>0</v>
      </c>
      <c r="D3" s="4">
        <v>2.9350000000000001</v>
      </c>
      <c r="E3" s="6">
        <v>45773</v>
      </c>
      <c r="F3" s="6">
        <f ca="1">TODAY()</f>
        <v>45773</v>
      </c>
      <c r="G3" s="6">
        <v>45945</v>
      </c>
    </row>
    <row r="4" spans="2:7" x14ac:dyDescent="0.3">
      <c r="C4" t="s">
        <v>1</v>
      </c>
      <c r="D4" s="3">
        <f>119.2</f>
        <v>119.2</v>
      </c>
      <c r="E4" s="5" t="s">
        <v>76</v>
      </c>
    </row>
    <row r="5" spans="2:7" x14ac:dyDescent="0.3">
      <c r="C5" t="s">
        <v>2</v>
      </c>
      <c r="D5" s="3">
        <f>D3*D4</f>
        <v>349.85200000000003</v>
      </c>
    </row>
    <row r="6" spans="2:7" x14ac:dyDescent="0.3">
      <c r="C6" t="s">
        <v>3</v>
      </c>
      <c r="D6" s="3">
        <f>220.7+46.3</f>
        <v>267</v>
      </c>
      <c r="E6" s="5" t="s">
        <v>76</v>
      </c>
    </row>
    <row r="7" spans="2:7" x14ac:dyDescent="0.3">
      <c r="C7" t="s">
        <v>4</v>
      </c>
      <c r="D7" s="3">
        <f>18.5+478</f>
        <v>496.5</v>
      </c>
      <c r="E7" s="5" t="s">
        <v>76</v>
      </c>
    </row>
    <row r="8" spans="2:7" x14ac:dyDescent="0.3">
      <c r="C8" t="s">
        <v>5</v>
      </c>
      <c r="D8" s="3">
        <f>D6-D7</f>
        <v>-229.5</v>
      </c>
    </row>
    <row r="9" spans="2:7" x14ac:dyDescent="0.3">
      <c r="C9" t="s">
        <v>6</v>
      </c>
      <c r="D9" s="3">
        <f>D5-D8</f>
        <v>579.35200000000009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4206-2758-475B-B90B-BA1D8B0B41F9}">
  <dimension ref="B1:FH87"/>
  <sheetViews>
    <sheetView tabSelected="1"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AJ26" sqref="AJ26"/>
    </sheetView>
  </sheetViews>
  <sheetFormatPr defaultRowHeight="14.4" x14ac:dyDescent="0.3"/>
  <cols>
    <col min="2" max="2" width="20.77734375" bestFit="1" customWidth="1"/>
    <col min="3" max="18" width="10.5546875" customWidth="1"/>
    <col min="19" max="19" width="8.88671875" customWidth="1"/>
    <col min="20" max="38" width="10.5546875" bestFit="1" customWidth="1"/>
    <col min="40" max="40" width="11.88671875" bestFit="1" customWidth="1"/>
    <col min="41" max="41" width="17.5546875" bestFit="1" customWidth="1"/>
  </cols>
  <sheetData>
    <row r="1" spans="2:164" x14ac:dyDescent="0.3">
      <c r="C1" s="2">
        <v>43159</v>
      </c>
      <c r="D1" s="2">
        <v>43343</v>
      </c>
      <c r="E1" s="2">
        <v>43524</v>
      </c>
      <c r="F1" s="2">
        <v>43708</v>
      </c>
      <c r="G1" s="2">
        <v>43890</v>
      </c>
      <c r="H1" s="2">
        <v>44074</v>
      </c>
      <c r="I1" s="2">
        <v>44255</v>
      </c>
      <c r="J1" s="2">
        <v>44439</v>
      </c>
      <c r="K1" s="2">
        <v>44620</v>
      </c>
      <c r="L1" s="2">
        <v>44804</v>
      </c>
      <c r="M1" s="2">
        <v>44985</v>
      </c>
      <c r="N1" s="2">
        <v>45169</v>
      </c>
      <c r="O1" s="2">
        <v>45351</v>
      </c>
      <c r="P1" s="2">
        <v>45535</v>
      </c>
      <c r="Q1" s="2">
        <v>45716</v>
      </c>
      <c r="R1" s="2">
        <v>45900</v>
      </c>
      <c r="T1" s="2">
        <v>42978</v>
      </c>
      <c r="U1" s="2">
        <v>43343</v>
      </c>
      <c r="V1" s="2">
        <v>43708</v>
      </c>
      <c r="W1" s="2">
        <v>44074</v>
      </c>
      <c r="X1" s="2">
        <v>44439</v>
      </c>
      <c r="Y1" s="2">
        <v>44804</v>
      </c>
      <c r="Z1" s="2">
        <v>45169</v>
      </c>
      <c r="AA1" s="2">
        <v>45535</v>
      </c>
      <c r="AB1" s="2">
        <v>45900</v>
      </c>
      <c r="AC1" s="2">
        <v>46265</v>
      </c>
      <c r="AD1" s="2">
        <v>46630</v>
      </c>
      <c r="AE1" s="2">
        <v>46996</v>
      </c>
      <c r="AF1" s="2">
        <v>47361</v>
      </c>
      <c r="AG1" s="2">
        <v>47726</v>
      </c>
      <c r="AH1" s="2">
        <v>48091</v>
      </c>
      <c r="AI1" s="2">
        <v>48457</v>
      </c>
      <c r="AJ1" s="2">
        <v>48822</v>
      </c>
      <c r="AK1" s="2">
        <v>49187</v>
      </c>
      <c r="AL1" s="2">
        <v>49552</v>
      </c>
    </row>
    <row r="2" spans="2:164" x14ac:dyDescent="0.3">
      <c r="C2" s="11" t="s">
        <v>36</v>
      </c>
      <c r="D2" s="11" t="s">
        <v>37</v>
      </c>
      <c r="E2" s="11" t="s">
        <v>38</v>
      </c>
      <c r="F2" s="11" t="s">
        <v>40</v>
      </c>
      <c r="G2" s="11" t="s">
        <v>39</v>
      </c>
      <c r="H2" s="11" t="s">
        <v>41</v>
      </c>
      <c r="I2" s="11" t="s">
        <v>42</v>
      </c>
      <c r="J2" s="11" t="s">
        <v>43</v>
      </c>
      <c r="K2" s="11" t="s">
        <v>45</v>
      </c>
      <c r="L2" s="11" t="s">
        <v>46</v>
      </c>
      <c r="M2" s="11" t="s">
        <v>47</v>
      </c>
      <c r="N2" s="11" t="s">
        <v>48</v>
      </c>
      <c r="O2" s="11" t="s">
        <v>49</v>
      </c>
      <c r="P2" s="11" t="s">
        <v>50</v>
      </c>
      <c r="Q2" s="11" t="s">
        <v>76</v>
      </c>
      <c r="R2" s="11" t="s">
        <v>77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</row>
    <row r="3" spans="2:164" s="1" customFormat="1" x14ac:dyDescent="0.3">
      <c r="B3" s="1" t="s">
        <v>10</v>
      </c>
      <c r="C3" s="9">
        <v>1158.0999999999999</v>
      </c>
      <c r="D3" s="9">
        <f>U3-C3</f>
        <v>1259.2000000000003</v>
      </c>
      <c r="E3" s="9">
        <v>1314.5</v>
      </c>
      <c r="F3" s="9">
        <f>V3-E3</f>
        <v>1419</v>
      </c>
      <c r="G3" s="9">
        <v>1596.8</v>
      </c>
      <c r="H3" s="9">
        <f>W3-G3</f>
        <v>1666.7</v>
      </c>
      <c r="I3" s="9">
        <v>1975.9</v>
      </c>
      <c r="J3" s="9">
        <f>X3-I3</f>
        <v>1934.6</v>
      </c>
      <c r="K3" s="9">
        <v>2004.1</v>
      </c>
      <c r="L3" s="9">
        <f>Y3-K3</f>
        <v>1932.4</v>
      </c>
      <c r="M3" s="9">
        <v>1840.6</v>
      </c>
      <c r="N3" s="9">
        <f>Z3-M3</f>
        <v>1708.9</v>
      </c>
      <c r="O3" s="9">
        <v>1505.8</v>
      </c>
      <c r="P3" s="9">
        <f>AA3-O3</f>
        <v>1400.0000000000002</v>
      </c>
      <c r="Q3" s="9">
        <v>1299.4000000000001</v>
      </c>
      <c r="R3" s="9">
        <f>P3*1.01</f>
        <v>1414.0000000000002</v>
      </c>
      <c r="T3" s="9">
        <v>1923.6</v>
      </c>
      <c r="U3" s="9">
        <v>2417.3000000000002</v>
      </c>
      <c r="V3" s="9">
        <v>2733.5</v>
      </c>
      <c r="W3" s="9">
        <v>3263.5</v>
      </c>
      <c r="X3" s="9">
        <v>3910.5</v>
      </c>
      <c r="Y3" s="9">
        <v>3936.5</v>
      </c>
      <c r="Z3" s="9">
        <v>3549.5</v>
      </c>
      <c r="AA3" s="9">
        <v>2905.8</v>
      </c>
      <c r="AB3" s="9">
        <f>SUM(Q3:R3)</f>
        <v>2713.4000000000005</v>
      </c>
      <c r="AC3" s="9">
        <f>AB3*1.1</f>
        <v>2984.7400000000007</v>
      </c>
      <c r="AD3" s="9">
        <f>AC3*1.05</f>
        <v>3133.9770000000008</v>
      </c>
      <c r="AE3" s="9">
        <f>AD3*1.03</f>
        <v>3227.9963100000009</v>
      </c>
      <c r="AF3" s="9">
        <f>AE3*1.02</f>
        <v>3292.556236200001</v>
      </c>
      <c r="AG3" s="9">
        <f>AF3*1.02</f>
        <v>3358.4073609240008</v>
      </c>
      <c r="AH3" s="9">
        <f t="shared" ref="AH3:AL3" si="0">AG3*1.01</f>
        <v>3391.9914345332409</v>
      </c>
      <c r="AI3" s="9">
        <f t="shared" si="0"/>
        <v>3425.9113488785733</v>
      </c>
      <c r="AJ3" s="9">
        <f t="shared" si="0"/>
        <v>3460.1704623673591</v>
      </c>
      <c r="AK3" s="9">
        <f t="shared" si="0"/>
        <v>3494.7721669910325</v>
      </c>
      <c r="AL3" s="9">
        <f t="shared" si="0"/>
        <v>3529.7198886609426</v>
      </c>
    </row>
    <row r="4" spans="2:164" x14ac:dyDescent="0.3">
      <c r="B4" t="s">
        <v>11</v>
      </c>
      <c r="C4" s="3">
        <v>588.70000000000005</v>
      </c>
      <c r="D4" s="3">
        <f>U4-C4</f>
        <v>591.5</v>
      </c>
      <c r="E4" s="3">
        <v>674.6</v>
      </c>
      <c r="F4" s="3">
        <f>V4-E4</f>
        <v>724.6</v>
      </c>
      <c r="G4" s="3">
        <v>846.8</v>
      </c>
      <c r="H4" s="3">
        <f>W4-G4</f>
        <v>869.3</v>
      </c>
      <c r="I4" s="3">
        <v>1085.9000000000001</v>
      </c>
      <c r="J4" s="3">
        <f>X4-I4</f>
        <v>1048.1999999999998</v>
      </c>
      <c r="K4" s="3">
        <v>1140.9000000000001</v>
      </c>
      <c r="L4" s="3">
        <f>Y4-K4</f>
        <v>1078.0999999999999</v>
      </c>
      <c r="M4" s="3">
        <v>1175.9000000000001</v>
      </c>
      <c r="N4" s="3">
        <f>Z4-M4</f>
        <v>914.59999999999991</v>
      </c>
      <c r="O4" s="3">
        <v>903.5</v>
      </c>
      <c r="P4" s="3">
        <f>AA4-O4</f>
        <v>839.8</v>
      </c>
      <c r="Q4" s="3">
        <v>712.8</v>
      </c>
      <c r="R4" s="3">
        <f>R3-R5</f>
        <v>777.70000000000016</v>
      </c>
      <c r="S4" s="3"/>
      <c r="T4" s="3">
        <v>965.3</v>
      </c>
      <c r="U4" s="3">
        <v>1180.2</v>
      </c>
      <c r="V4" s="3">
        <v>1399.2</v>
      </c>
      <c r="W4" s="3">
        <v>1716.1</v>
      </c>
      <c r="X4" s="3">
        <v>2134.1</v>
      </c>
      <c r="Y4" s="3">
        <v>2219</v>
      </c>
      <c r="Z4" s="3">
        <v>2090.5</v>
      </c>
      <c r="AA4" s="3">
        <v>1743.3</v>
      </c>
      <c r="AB4" s="3">
        <f>SUM(Q4:R4)</f>
        <v>1490.5</v>
      </c>
      <c r="AC4" s="3">
        <f t="shared" ref="AC4:AG4" si="1">AC3-AC5</f>
        <v>1611.7596000000003</v>
      </c>
      <c r="AD4" s="3">
        <f t="shared" si="1"/>
        <v>1629.6680400000005</v>
      </c>
      <c r="AE4" s="3">
        <f t="shared" si="1"/>
        <v>1613.9981550000005</v>
      </c>
      <c r="AF4" s="3">
        <f t="shared" si="1"/>
        <v>1646.2781181000005</v>
      </c>
      <c r="AG4" s="3">
        <f t="shared" si="1"/>
        <v>1679.2036804620004</v>
      </c>
      <c r="AH4" s="3">
        <f t="shared" ref="AH4:AL4" si="2">AH3-AH5</f>
        <v>1695.9957172666204</v>
      </c>
      <c r="AI4" s="3">
        <f t="shared" si="2"/>
        <v>1712.9556744392867</v>
      </c>
      <c r="AJ4" s="3">
        <f t="shared" si="2"/>
        <v>1730.0852311836795</v>
      </c>
      <c r="AK4" s="3">
        <f t="shared" si="2"/>
        <v>1747.3860834955162</v>
      </c>
      <c r="AL4" s="3">
        <f t="shared" si="2"/>
        <v>1764.8599443304713</v>
      </c>
    </row>
    <row r="5" spans="2:164" s="1" customFormat="1" x14ac:dyDescent="0.3">
      <c r="B5" s="1" t="s">
        <v>12</v>
      </c>
      <c r="C5" s="9">
        <f t="shared" ref="C5:J5" si="3">C3-C4</f>
        <v>569.39999999999986</v>
      </c>
      <c r="D5" s="9">
        <f t="shared" si="3"/>
        <v>667.70000000000027</v>
      </c>
      <c r="E5" s="9">
        <f t="shared" si="3"/>
        <v>639.9</v>
      </c>
      <c r="F5" s="9">
        <f t="shared" si="3"/>
        <v>694.4</v>
      </c>
      <c r="G5" s="9">
        <f t="shared" si="3"/>
        <v>750</v>
      </c>
      <c r="H5" s="9">
        <f t="shared" si="3"/>
        <v>797.40000000000009</v>
      </c>
      <c r="I5" s="9">
        <f t="shared" si="3"/>
        <v>890</v>
      </c>
      <c r="J5" s="9">
        <f t="shared" si="3"/>
        <v>886.40000000000009</v>
      </c>
      <c r="K5" s="9">
        <f t="shared" ref="K5" si="4">K3-K4</f>
        <v>863.19999999999982</v>
      </c>
      <c r="L5" s="9">
        <f t="shared" ref="L5:N5" si="5">L3-L4</f>
        <v>854.30000000000018</v>
      </c>
      <c r="M5" s="9">
        <f t="shared" ref="M5:Q5" si="6">M3-M4</f>
        <v>664.69999999999982</v>
      </c>
      <c r="N5" s="9">
        <f t="shared" si="5"/>
        <v>794.30000000000018</v>
      </c>
      <c r="O5" s="9">
        <f t="shared" si="6"/>
        <v>602.29999999999995</v>
      </c>
      <c r="P5" s="9">
        <f t="shared" si="6"/>
        <v>560.20000000000027</v>
      </c>
      <c r="Q5" s="9">
        <f t="shared" si="6"/>
        <v>586.60000000000014</v>
      </c>
      <c r="R5" s="9">
        <f>R3*0.45</f>
        <v>636.30000000000007</v>
      </c>
      <c r="T5" s="9">
        <f>T3-T4</f>
        <v>958.3</v>
      </c>
      <c r="U5" s="9">
        <f>U3-U4</f>
        <v>1237.1000000000001</v>
      </c>
      <c r="V5" s="9">
        <f>V3-V4</f>
        <v>1334.3</v>
      </c>
      <c r="W5" s="9">
        <f>W3-W4</f>
        <v>1547.4</v>
      </c>
      <c r="X5" s="9">
        <f t="shared" ref="X5" si="7">X3-X4</f>
        <v>1776.4</v>
      </c>
      <c r="Y5" s="9">
        <f t="shared" ref="Y5:AB5" si="8">Y3-Y4</f>
        <v>1717.5</v>
      </c>
      <c r="Z5" s="9">
        <f t="shared" si="8"/>
        <v>1459</v>
      </c>
      <c r="AA5" s="9">
        <f t="shared" si="8"/>
        <v>1162.5000000000002</v>
      </c>
      <c r="AB5" s="9">
        <f t="shared" si="8"/>
        <v>1222.9000000000005</v>
      </c>
      <c r="AC5" s="9">
        <f>AC3*0.46</f>
        <v>1372.9804000000004</v>
      </c>
      <c r="AD5" s="9">
        <f>AD3*0.48</f>
        <v>1504.3089600000003</v>
      </c>
      <c r="AE5" s="9">
        <f>AE3*0.5</f>
        <v>1613.9981550000005</v>
      </c>
      <c r="AF5" s="9">
        <f t="shared" ref="AF5:AL5" si="9">AF3*0.5</f>
        <v>1646.2781181000005</v>
      </c>
      <c r="AG5" s="9">
        <f t="shared" si="9"/>
        <v>1679.2036804620004</v>
      </c>
      <c r="AH5" s="9">
        <f t="shared" si="9"/>
        <v>1695.9957172666204</v>
      </c>
      <c r="AI5" s="9">
        <f t="shared" si="9"/>
        <v>1712.9556744392867</v>
      </c>
      <c r="AJ5" s="9">
        <f t="shared" si="9"/>
        <v>1730.0852311836795</v>
      </c>
      <c r="AK5" s="9">
        <f t="shared" si="9"/>
        <v>1747.3860834955162</v>
      </c>
      <c r="AL5" s="9">
        <f t="shared" si="9"/>
        <v>1764.8599443304713</v>
      </c>
    </row>
    <row r="6" spans="2:164" x14ac:dyDescent="0.3">
      <c r="B6" t="s">
        <v>13</v>
      </c>
      <c r="C6" s="3">
        <v>178.5</v>
      </c>
      <c r="D6" s="3">
        <f>U6-C6</f>
        <v>202.3</v>
      </c>
      <c r="E6" s="3">
        <v>204.9</v>
      </c>
      <c r="F6" s="3">
        <f>V6-E6</f>
        <v>210.70000000000002</v>
      </c>
      <c r="G6" s="3">
        <v>223.5</v>
      </c>
      <c r="H6" s="3">
        <f>W6-G6</f>
        <v>221.10000000000002</v>
      </c>
      <c r="I6" s="3">
        <v>247.9</v>
      </c>
      <c r="J6" s="3">
        <f>X6-I6</f>
        <v>261.60000000000002</v>
      </c>
      <c r="K6" s="3">
        <v>255.9</v>
      </c>
      <c r="L6" s="3">
        <f>Y6-K6</f>
        <v>267.80000000000007</v>
      </c>
      <c r="M6" s="3">
        <v>229.8</v>
      </c>
      <c r="N6" s="3">
        <f>Z6-M6</f>
        <v>199.89999999999998</v>
      </c>
      <c r="O6" s="3">
        <v>172.6</v>
      </c>
      <c r="P6" s="3">
        <f>AA6-O6</f>
        <v>153.50000000000003</v>
      </c>
      <c r="Q6" s="3">
        <v>138.80000000000001</v>
      </c>
      <c r="R6" s="3">
        <f>R3*0.11</f>
        <v>155.54000000000002</v>
      </c>
      <c r="T6" s="3">
        <v>299.2</v>
      </c>
      <c r="U6" s="3">
        <v>380.8</v>
      </c>
      <c r="V6" s="3">
        <v>415.6</v>
      </c>
      <c r="W6" s="3">
        <v>444.6</v>
      </c>
      <c r="X6" s="3">
        <v>509.5</v>
      </c>
      <c r="Y6" s="3">
        <v>523.70000000000005</v>
      </c>
      <c r="Z6" s="3">
        <v>429.7</v>
      </c>
      <c r="AA6" s="3">
        <v>326.10000000000002</v>
      </c>
      <c r="AB6" s="3">
        <f>SUM(Q6:R6)</f>
        <v>294.34000000000003</v>
      </c>
      <c r="AC6" s="3">
        <f>AC3*0.11</f>
        <v>328.3214000000001</v>
      </c>
      <c r="AD6" s="3">
        <f t="shared" ref="AD6:AL6" si="10">AD3*0.11</f>
        <v>344.73747000000009</v>
      </c>
      <c r="AE6" s="3">
        <f t="shared" si="10"/>
        <v>355.07959410000012</v>
      </c>
      <c r="AF6" s="3">
        <f t="shared" si="10"/>
        <v>362.1811859820001</v>
      </c>
      <c r="AG6" s="3">
        <f t="shared" si="10"/>
        <v>369.42480970164007</v>
      </c>
      <c r="AH6" s="3">
        <f t="shared" si="10"/>
        <v>373.11905779865651</v>
      </c>
      <c r="AI6" s="3">
        <f t="shared" si="10"/>
        <v>376.85024837664309</v>
      </c>
      <c r="AJ6" s="3">
        <f t="shared" si="10"/>
        <v>380.61875086040948</v>
      </c>
      <c r="AK6" s="3">
        <f t="shared" si="10"/>
        <v>384.42493836901355</v>
      </c>
      <c r="AL6" s="3">
        <f t="shared" si="10"/>
        <v>388.26918775270371</v>
      </c>
    </row>
    <row r="7" spans="2:164" x14ac:dyDescent="0.3">
      <c r="B7" t="s">
        <v>14</v>
      </c>
      <c r="C7" s="3">
        <v>361.2</v>
      </c>
      <c r="D7" s="3">
        <f>U7-C7</f>
        <v>393.2</v>
      </c>
      <c r="E7" s="3">
        <v>430.5</v>
      </c>
      <c r="F7" s="3">
        <f>V7-E7</f>
        <v>453.1</v>
      </c>
      <c r="G7" s="3">
        <v>491.9</v>
      </c>
      <c r="H7" s="3">
        <f>W7-G7</f>
        <v>459.80000000000007</v>
      </c>
      <c r="I7" s="3">
        <v>532.4</v>
      </c>
      <c r="J7" s="3">
        <f>X7-I7</f>
        <v>544.4</v>
      </c>
      <c r="K7" s="3">
        <v>612</v>
      </c>
      <c r="L7" s="3">
        <f>Y7-K7</f>
        <v>612.20000000000005</v>
      </c>
      <c r="M7" s="3">
        <v>708.4</v>
      </c>
      <c r="N7" s="3">
        <f>Z7-M7</f>
        <v>571.4</v>
      </c>
      <c r="O7" s="3">
        <v>677.6</v>
      </c>
      <c r="P7" s="3">
        <f>AA7-O7</f>
        <v>492.69999999999993</v>
      </c>
      <c r="Q7" s="3">
        <v>674.2</v>
      </c>
      <c r="R7" s="3">
        <f>P7*0.95</f>
        <v>468.06499999999994</v>
      </c>
      <c r="T7" s="3">
        <v>579.5</v>
      </c>
      <c r="U7" s="3">
        <v>754.4</v>
      </c>
      <c r="V7" s="3">
        <v>883.6</v>
      </c>
      <c r="W7" s="3">
        <v>951.7</v>
      </c>
      <c r="X7" s="3">
        <v>1076.8</v>
      </c>
      <c r="Y7" s="3">
        <v>1224.2</v>
      </c>
      <c r="Z7" s="3">
        <v>1279.8</v>
      </c>
      <c r="AA7" s="3">
        <v>1170.3</v>
      </c>
      <c r="AB7" s="3">
        <f>SUM(Q7:R7)</f>
        <v>1142.2649999999999</v>
      </c>
      <c r="AC7" s="3">
        <f>AB7*0.98</f>
        <v>1119.4196999999999</v>
      </c>
      <c r="AD7" s="3">
        <f t="shared" ref="AD7:AL7" si="11">AC7*1.01</f>
        <v>1130.613897</v>
      </c>
      <c r="AE7" s="3">
        <f t="shared" si="11"/>
        <v>1141.9200359700001</v>
      </c>
      <c r="AF7" s="3">
        <f t="shared" si="11"/>
        <v>1153.3392363297</v>
      </c>
      <c r="AG7" s="3">
        <f t="shared" si="11"/>
        <v>1164.8726286929971</v>
      </c>
      <c r="AH7" s="3">
        <f t="shared" si="11"/>
        <v>1176.5213549799271</v>
      </c>
      <c r="AI7" s="3">
        <f t="shared" si="11"/>
        <v>1188.2865685297263</v>
      </c>
      <c r="AJ7" s="3">
        <f t="shared" si="11"/>
        <v>1200.1694342150236</v>
      </c>
      <c r="AK7" s="3">
        <f t="shared" si="11"/>
        <v>1212.1711285571739</v>
      </c>
      <c r="AL7" s="3">
        <f t="shared" si="11"/>
        <v>1224.2928398427457</v>
      </c>
    </row>
    <row r="8" spans="2:164" s="1" customFormat="1" x14ac:dyDescent="0.3">
      <c r="B8" s="1" t="s">
        <v>15</v>
      </c>
      <c r="C8" s="9">
        <f t="shared" ref="C8:H8" si="12">C5-C6-C7</f>
        <v>29.699999999999875</v>
      </c>
      <c r="D8" s="9">
        <f t="shared" si="12"/>
        <v>72.200000000000273</v>
      </c>
      <c r="E8" s="9">
        <f t="shared" si="12"/>
        <v>4.5</v>
      </c>
      <c r="F8" s="9">
        <f t="shared" si="12"/>
        <v>30.599999999999909</v>
      </c>
      <c r="G8" s="9">
        <f t="shared" si="12"/>
        <v>34.600000000000023</v>
      </c>
      <c r="H8" s="9">
        <f t="shared" si="12"/>
        <v>116.5</v>
      </c>
      <c r="I8" s="9">
        <f t="shared" ref="I8:K8" si="13">I5-I6-I7</f>
        <v>109.70000000000005</v>
      </c>
      <c r="J8" s="9">
        <f t="shared" si="13"/>
        <v>80.400000000000091</v>
      </c>
      <c r="K8" s="9">
        <f t="shared" si="13"/>
        <v>-4.7000000000001592</v>
      </c>
      <c r="L8" s="9">
        <f t="shared" ref="L8:N8" si="14">L5-L6-L7</f>
        <v>-25.699999999999932</v>
      </c>
      <c r="M8" s="9">
        <f t="shared" ref="M8:R8" si="15">M5-M6-M7</f>
        <v>-273.50000000000017</v>
      </c>
      <c r="N8" s="9">
        <f t="shared" si="14"/>
        <v>23.000000000000227</v>
      </c>
      <c r="O8" s="9">
        <f t="shared" si="15"/>
        <v>-247.90000000000009</v>
      </c>
      <c r="P8" s="9">
        <f t="shared" si="15"/>
        <v>-85.999999999999659</v>
      </c>
      <c r="Q8" s="9">
        <f t="shared" si="15"/>
        <v>-226.39999999999992</v>
      </c>
      <c r="R8" s="9">
        <f t="shared" si="15"/>
        <v>12.695000000000107</v>
      </c>
      <c r="T8" s="9">
        <f>T5-T6-T7</f>
        <v>79.599999999999909</v>
      </c>
      <c r="U8" s="9">
        <f>U5-U6-U7</f>
        <v>101.9000000000002</v>
      </c>
      <c r="V8" s="9">
        <f>V5-V6-V7</f>
        <v>35.099999999999909</v>
      </c>
      <c r="W8" s="9">
        <f>W5-W6-W7</f>
        <v>151.10000000000014</v>
      </c>
      <c r="X8" s="9">
        <f t="shared" ref="X8:Y8" si="16">X5-X6-X7</f>
        <v>190.10000000000014</v>
      </c>
      <c r="Y8" s="9">
        <f t="shared" si="16"/>
        <v>-30.400000000000091</v>
      </c>
      <c r="Z8" s="9">
        <f t="shared" ref="Z8:AG8" si="17">Z5-Z6-Z7</f>
        <v>-250.5</v>
      </c>
      <c r="AA8" s="9">
        <f t="shared" si="17"/>
        <v>-333.89999999999975</v>
      </c>
      <c r="AB8" s="9">
        <f t="shared" si="17"/>
        <v>-213.70499999999936</v>
      </c>
      <c r="AC8" s="9">
        <f t="shared" si="17"/>
        <v>-74.760699999999588</v>
      </c>
      <c r="AD8" s="9">
        <f t="shared" si="17"/>
        <v>28.957593000000315</v>
      </c>
      <c r="AE8" s="9">
        <f t="shared" si="17"/>
        <v>116.99852493000026</v>
      </c>
      <c r="AF8" s="9">
        <f t="shared" si="17"/>
        <v>130.75769578830045</v>
      </c>
      <c r="AG8" s="9">
        <f t="shared" si="17"/>
        <v>144.90624206736334</v>
      </c>
      <c r="AH8" s="9">
        <f t="shared" ref="AH8:AL8" si="18">AH5-AH6-AH7</f>
        <v>146.35530448803684</v>
      </c>
      <c r="AI8" s="9">
        <f t="shared" si="18"/>
        <v>147.81885753291726</v>
      </c>
      <c r="AJ8" s="9">
        <f t="shared" si="18"/>
        <v>149.29704610824638</v>
      </c>
      <c r="AK8" s="9">
        <f t="shared" si="18"/>
        <v>150.79001656932883</v>
      </c>
      <c r="AL8" s="9">
        <f t="shared" si="18"/>
        <v>152.29791673502177</v>
      </c>
    </row>
    <row r="9" spans="2:164" x14ac:dyDescent="0.3">
      <c r="B9" t="s">
        <v>16</v>
      </c>
      <c r="C9" s="3">
        <v>-0.2</v>
      </c>
      <c r="D9" s="3">
        <f>U9-C9</f>
        <v>-9.9999999999999978E-2</v>
      </c>
      <c r="E9" s="3">
        <v>0</v>
      </c>
      <c r="F9" s="3">
        <f>V9-E9</f>
        <v>0</v>
      </c>
      <c r="G9" s="3">
        <v>-0.2</v>
      </c>
      <c r="H9" s="3">
        <f>W9-G9</f>
        <v>-0.3</v>
      </c>
      <c r="I9" s="3">
        <v>-0.1</v>
      </c>
      <c r="J9" s="3">
        <f>X9-I9</f>
        <v>-0.1</v>
      </c>
      <c r="K9" s="3">
        <v>-0.1</v>
      </c>
      <c r="L9" s="3">
        <f>Y9-K9</f>
        <v>-21.4</v>
      </c>
      <c r="M9" s="3">
        <f>-1-2.5</f>
        <v>-3.5</v>
      </c>
      <c r="N9" s="3">
        <f>Z9-M9</f>
        <v>-3.5</v>
      </c>
      <c r="O9" s="3">
        <f>-1.1-5.4</f>
        <v>-6.5</v>
      </c>
      <c r="P9" s="3">
        <f>AA9-O9</f>
        <v>-7.5</v>
      </c>
      <c r="Q9" s="3">
        <f>-16.3-3.1</f>
        <v>-19.400000000000002</v>
      </c>
      <c r="R9" s="3">
        <v>-8</v>
      </c>
      <c r="T9" s="3">
        <v>-0.4</v>
      </c>
      <c r="U9" s="3">
        <v>-0.3</v>
      </c>
      <c r="V9" s="3">
        <v>0</v>
      </c>
      <c r="W9" s="3">
        <v>-0.5</v>
      </c>
      <c r="X9" s="3">
        <v>-0.2</v>
      </c>
      <c r="Y9" s="3">
        <f>-20.6-0.9</f>
        <v>-21.5</v>
      </c>
      <c r="Z9" s="3">
        <f>-2-5</f>
        <v>-7</v>
      </c>
      <c r="AA9" s="3">
        <f>-2-12</f>
        <v>-14</v>
      </c>
      <c r="AB9" s="3">
        <f>SUM(Q9:R9)</f>
        <v>-27.400000000000002</v>
      </c>
      <c r="AC9" s="3">
        <f t="shared" ref="AC9:AL9" si="19">AB9*1.05</f>
        <v>-28.770000000000003</v>
      </c>
      <c r="AD9" s="3">
        <f t="shared" si="19"/>
        <v>-30.208500000000004</v>
      </c>
      <c r="AE9" s="3">
        <f t="shared" si="19"/>
        <v>-31.718925000000006</v>
      </c>
      <c r="AF9" s="3">
        <f t="shared" si="19"/>
        <v>-33.304871250000005</v>
      </c>
      <c r="AG9" s="3">
        <f t="shared" si="19"/>
        <v>-34.970114812500007</v>
      </c>
      <c r="AH9" s="3">
        <f t="shared" si="19"/>
        <v>-36.718620553125007</v>
      </c>
      <c r="AI9" s="3">
        <f t="shared" si="19"/>
        <v>-38.554551580781258</v>
      </c>
      <c r="AJ9" s="3">
        <f t="shared" si="19"/>
        <v>-40.482279159820322</v>
      </c>
      <c r="AK9" s="3">
        <f t="shared" si="19"/>
        <v>-42.506393117811342</v>
      </c>
      <c r="AL9" s="3">
        <f t="shared" si="19"/>
        <v>-44.631712773701913</v>
      </c>
    </row>
    <row r="10" spans="2:164" x14ac:dyDescent="0.3">
      <c r="B10" t="s">
        <v>17</v>
      </c>
      <c r="C10" s="3">
        <v>0</v>
      </c>
      <c r="D10" s="3">
        <f>U10-C10</f>
        <v>0.2</v>
      </c>
      <c r="E10" s="3">
        <v>0.5</v>
      </c>
      <c r="F10" s="3">
        <f>V10-E10</f>
        <v>1.5</v>
      </c>
      <c r="G10" s="3">
        <v>4.7</v>
      </c>
      <c r="H10" s="3">
        <f>W10-G10</f>
        <v>4.8</v>
      </c>
      <c r="I10" s="3">
        <v>3.4</v>
      </c>
      <c r="J10" s="3">
        <f>X10-I10</f>
        <v>9.7999999999999989</v>
      </c>
      <c r="K10" s="3">
        <v>11.5</v>
      </c>
      <c r="L10" s="3">
        <f>Y10-K10</f>
        <v>11.5</v>
      </c>
      <c r="M10" s="3">
        <v>20.9</v>
      </c>
      <c r="N10" s="3">
        <f>Z10-M10</f>
        <v>32.300000000000004</v>
      </c>
      <c r="O10" s="3">
        <v>28.6</v>
      </c>
      <c r="P10" s="3">
        <f>AA10-O10</f>
        <v>30.799999999999997</v>
      </c>
      <c r="Q10" s="3">
        <v>34.5</v>
      </c>
      <c r="R10" s="3">
        <v>32</v>
      </c>
      <c r="T10" s="3">
        <v>0</v>
      </c>
      <c r="U10" s="3">
        <v>0.2</v>
      </c>
      <c r="V10" s="3">
        <v>2</v>
      </c>
      <c r="W10" s="3">
        <v>9.5</v>
      </c>
      <c r="X10" s="3">
        <v>13.2</v>
      </c>
      <c r="Y10" s="3">
        <v>23</v>
      </c>
      <c r="Z10" s="3">
        <v>53.2</v>
      </c>
      <c r="AA10" s="3">
        <v>59.4</v>
      </c>
      <c r="AB10" s="3">
        <f>SUM(Q10:R10)</f>
        <v>66.5</v>
      </c>
      <c r="AC10" s="3">
        <f t="shared" ref="AC10:AG10" si="20">AB10*1.01</f>
        <v>67.165000000000006</v>
      </c>
      <c r="AD10" s="3">
        <f t="shared" si="20"/>
        <v>67.836650000000006</v>
      </c>
      <c r="AE10" s="3">
        <f t="shared" si="20"/>
        <v>68.515016500000002</v>
      </c>
      <c r="AF10" s="3">
        <f t="shared" si="20"/>
        <v>69.200166664999998</v>
      </c>
      <c r="AG10" s="3">
        <f t="shared" si="20"/>
        <v>69.892168331649998</v>
      </c>
      <c r="AH10" s="3">
        <f t="shared" ref="AH10" si="21">AG10*1.01</f>
        <v>70.591090014966497</v>
      </c>
      <c r="AI10" s="3">
        <f t="shared" ref="AI10" si="22">AH10*1.01</f>
        <v>71.297000915116158</v>
      </c>
      <c r="AJ10" s="3">
        <f t="shared" ref="AJ10" si="23">AI10*1.01</f>
        <v>72.009970924267321</v>
      </c>
      <c r="AK10" s="3">
        <f t="shared" ref="AK10" si="24">AJ10*1.01</f>
        <v>72.730070633509996</v>
      </c>
      <c r="AL10" s="3">
        <f t="shared" ref="AL10" si="25">AK10*1.01</f>
        <v>73.457371339845096</v>
      </c>
    </row>
    <row r="11" spans="2:164" s="1" customFormat="1" x14ac:dyDescent="0.3">
      <c r="B11" s="1" t="s">
        <v>18</v>
      </c>
      <c r="C11" s="9">
        <f t="shared" ref="C11:K11" si="26">C8-C9-C10</f>
        <v>29.899999999999874</v>
      </c>
      <c r="D11" s="9">
        <f t="shared" si="26"/>
        <v>72.100000000000264</v>
      </c>
      <c r="E11" s="9">
        <f t="shared" si="26"/>
        <v>4</v>
      </c>
      <c r="F11" s="9">
        <f t="shared" si="26"/>
        <v>29.099999999999909</v>
      </c>
      <c r="G11" s="9">
        <f t="shared" si="26"/>
        <v>30.100000000000026</v>
      </c>
      <c r="H11" s="9">
        <f t="shared" si="26"/>
        <v>112</v>
      </c>
      <c r="I11" s="9">
        <f t="shared" si="26"/>
        <v>106.40000000000003</v>
      </c>
      <c r="J11" s="9">
        <f t="shared" si="26"/>
        <v>70.700000000000088</v>
      </c>
      <c r="K11" s="9">
        <f t="shared" si="26"/>
        <v>-16.100000000000158</v>
      </c>
      <c r="L11" s="9">
        <f t="shared" ref="L11:N11" si="27">L8-L9-L10</f>
        <v>-15.799999999999933</v>
      </c>
      <c r="M11" s="9">
        <f t="shared" ref="M11:R11" si="28">M8-M9-M10</f>
        <v>-290.90000000000015</v>
      </c>
      <c r="N11" s="9">
        <f t="shared" si="27"/>
        <v>-5.7999999999997769</v>
      </c>
      <c r="O11" s="9">
        <f t="shared" si="28"/>
        <v>-270.00000000000011</v>
      </c>
      <c r="P11" s="9">
        <f t="shared" si="28"/>
        <v>-109.29999999999966</v>
      </c>
      <c r="Q11" s="9">
        <f t="shared" si="28"/>
        <v>-241.49999999999991</v>
      </c>
      <c r="R11" s="9">
        <f t="shared" si="28"/>
        <v>-11.304999999999893</v>
      </c>
      <c r="T11" s="9">
        <f>T8-T9-T10</f>
        <v>79.999999999999915</v>
      </c>
      <c r="U11" s="9">
        <f>U8-U9-U10</f>
        <v>102.0000000000002</v>
      </c>
      <c r="V11" s="9">
        <f>V8-V9-V10</f>
        <v>33.099999999999909</v>
      </c>
      <c r="W11" s="9">
        <f>W8-W9-W10</f>
        <v>142.10000000000014</v>
      </c>
      <c r="X11" s="9">
        <f t="shared" ref="X11:Y11" si="29">X8-X9-X10</f>
        <v>177.10000000000014</v>
      </c>
      <c r="Y11" s="9">
        <f t="shared" si="29"/>
        <v>-31.900000000000091</v>
      </c>
      <c r="Z11" s="9">
        <f t="shared" ref="Z11:AG11" si="30">Z8-Z9-Z10</f>
        <v>-296.7</v>
      </c>
      <c r="AA11" s="9">
        <f t="shared" si="30"/>
        <v>-379.29999999999973</v>
      </c>
      <c r="AB11" s="9">
        <f t="shared" si="30"/>
        <v>-252.80499999999935</v>
      </c>
      <c r="AC11" s="9">
        <f t="shared" si="30"/>
        <v>-113.1556999999996</v>
      </c>
      <c r="AD11" s="9">
        <f t="shared" si="30"/>
        <v>-8.6705569999996897</v>
      </c>
      <c r="AE11" s="9">
        <f t="shared" si="30"/>
        <v>80.202433430000269</v>
      </c>
      <c r="AF11" s="9">
        <f t="shared" si="30"/>
        <v>94.862400373300474</v>
      </c>
      <c r="AG11" s="9">
        <f t="shared" si="30"/>
        <v>109.98418854821335</v>
      </c>
      <c r="AH11" s="9">
        <f t="shared" ref="AH11:AL11" si="31">AH8-AH9-AH10</f>
        <v>112.48283502619533</v>
      </c>
      <c r="AI11" s="9">
        <f t="shared" si="31"/>
        <v>115.07640819858237</v>
      </c>
      <c r="AJ11" s="9">
        <f t="shared" si="31"/>
        <v>117.76935434379939</v>
      </c>
      <c r="AK11" s="9">
        <f t="shared" si="31"/>
        <v>120.56633905363017</v>
      </c>
      <c r="AL11" s="9">
        <f t="shared" si="31"/>
        <v>123.47225816887858</v>
      </c>
    </row>
    <row r="12" spans="2:164" x14ac:dyDescent="0.3">
      <c r="B12" t="s">
        <v>19</v>
      </c>
      <c r="C12" s="3">
        <v>5.4</v>
      </c>
      <c r="D12" s="3">
        <f>U12-C12</f>
        <v>14.200000000000001</v>
      </c>
      <c r="E12" s="3">
        <v>1</v>
      </c>
      <c r="F12" s="3">
        <f>V12-E12</f>
        <v>7.5</v>
      </c>
      <c r="G12" s="3">
        <v>7</v>
      </c>
      <c r="H12" s="3">
        <f>W12-G12</f>
        <v>21.8</v>
      </c>
      <c r="I12" s="3">
        <v>24.6</v>
      </c>
      <c r="J12" s="3">
        <f>X12-I12</f>
        <v>24.1</v>
      </c>
      <c r="K12" s="3">
        <v>-2.2999999999999998</v>
      </c>
      <c r="L12" s="3">
        <f>Y12-K12</f>
        <v>1.1999999999999997</v>
      </c>
      <c r="M12" s="3">
        <v>-72.7</v>
      </c>
      <c r="N12" s="3">
        <f>Z12-M12</f>
        <v>-0.89999999999999147</v>
      </c>
      <c r="O12" s="3">
        <v>-26.8</v>
      </c>
      <c r="P12" s="3">
        <f>AA12-O12</f>
        <v>-13.8</v>
      </c>
      <c r="Q12" s="3">
        <v>-42.7</v>
      </c>
      <c r="R12" s="3">
        <f>R11*0.12</f>
        <v>-1.3565999999999871</v>
      </c>
      <c r="T12" s="3">
        <v>15.9</v>
      </c>
      <c r="U12" s="3">
        <v>19.600000000000001</v>
      </c>
      <c r="V12" s="3">
        <v>8.5</v>
      </c>
      <c r="W12" s="3">
        <v>28.8</v>
      </c>
      <c r="X12" s="3">
        <v>48.7</v>
      </c>
      <c r="Y12" s="3">
        <v>-1.1000000000000001</v>
      </c>
      <c r="Z12" s="3">
        <v>-73.599999999999994</v>
      </c>
      <c r="AA12" s="3">
        <v>-40.6</v>
      </c>
      <c r="AB12" s="3">
        <f>SUM(Q12:R12)</f>
        <v>-44.056599999999989</v>
      </c>
      <c r="AC12" s="3">
        <f t="shared" ref="AC12:AL12" si="32">AC11*0.2</f>
        <v>-22.63113999999992</v>
      </c>
      <c r="AD12" s="3">
        <f t="shared" si="32"/>
        <v>-1.734111399999938</v>
      </c>
      <c r="AE12" s="3">
        <f t="shared" si="32"/>
        <v>16.040486686000055</v>
      </c>
      <c r="AF12" s="3">
        <f t="shared" si="32"/>
        <v>18.972480074660094</v>
      </c>
      <c r="AG12" s="3">
        <f t="shared" si="32"/>
        <v>21.996837709642673</v>
      </c>
      <c r="AH12" s="3">
        <f t="shared" si="32"/>
        <v>22.496567005239068</v>
      </c>
      <c r="AI12" s="3">
        <f t="shared" si="32"/>
        <v>23.015281639716477</v>
      </c>
      <c r="AJ12" s="3">
        <f t="shared" si="32"/>
        <v>23.55387086875988</v>
      </c>
      <c r="AK12" s="3">
        <f t="shared" si="32"/>
        <v>24.113267810726036</v>
      </c>
      <c r="AL12" s="3">
        <f t="shared" si="32"/>
        <v>24.694451633775717</v>
      </c>
    </row>
    <row r="13" spans="2:164" s="1" customFormat="1" x14ac:dyDescent="0.3">
      <c r="B13" s="1" t="s">
        <v>20</v>
      </c>
      <c r="C13" s="9">
        <f t="shared" ref="C13:H13" si="33">C11-C12</f>
        <v>24.499999999999872</v>
      </c>
      <c r="D13" s="9">
        <f t="shared" si="33"/>
        <v>57.900000000000261</v>
      </c>
      <c r="E13" s="9">
        <f t="shared" si="33"/>
        <v>3</v>
      </c>
      <c r="F13" s="9">
        <f t="shared" si="33"/>
        <v>21.599999999999909</v>
      </c>
      <c r="G13" s="9">
        <f t="shared" si="33"/>
        <v>23.100000000000026</v>
      </c>
      <c r="H13" s="9">
        <f t="shared" si="33"/>
        <v>90.2</v>
      </c>
      <c r="I13" s="9">
        <f t="shared" ref="I13:K13" si="34">I11-I12</f>
        <v>81.80000000000004</v>
      </c>
      <c r="J13" s="9">
        <f t="shared" si="34"/>
        <v>46.600000000000087</v>
      </c>
      <c r="K13" s="9">
        <f t="shared" si="34"/>
        <v>-13.800000000000157</v>
      </c>
      <c r="L13" s="9">
        <f t="shared" ref="L13:N13" si="35">L11-L12</f>
        <v>-16.999999999999932</v>
      </c>
      <c r="M13" s="9">
        <f t="shared" ref="M13:O13" si="36">M11-M12</f>
        <v>-218.20000000000016</v>
      </c>
      <c r="N13" s="9">
        <f t="shared" si="35"/>
        <v>-4.8999999999997854</v>
      </c>
      <c r="O13" s="9">
        <f t="shared" si="36"/>
        <v>-243.2000000000001</v>
      </c>
      <c r="P13" s="9">
        <f t="shared" ref="P13:R13" si="37">P11-P12</f>
        <v>-95.499999999999659</v>
      </c>
      <c r="Q13" s="9">
        <f t="shared" si="37"/>
        <v>-198.7999999999999</v>
      </c>
      <c r="R13" s="9">
        <f t="shared" si="37"/>
        <v>-9.9483999999999053</v>
      </c>
      <c r="T13" s="9">
        <f>T11-T12</f>
        <v>64.099999999999909</v>
      </c>
      <c r="U13" s="9">
        <f>U11-U12</f>
        <v>82.400000000000205</v>
      </c>
      <c r="V13" s="9">
        <f>V11-V12</f>
        <v>24.599999999999909</v>
      </c>
      <c r="W13" s="9">
        <f>W11-W12</f>
        <v>113.30000000000014</v>
      </c>
      <c r="X13" s="9">
        <f t="shared" ref="X13:Y13" si="38">X11-X12</f>
        <v>128.40000000000015</v>
      </c>
      <c r="Y13" s="9">
        <f t="shared" si="38"/>
        <v>-30.80000000000009</v>
      </c>
      <c r="Z13" s="9">
        <f t="shared" ref="Z13:AG13" si="39">Z11-Z12</f>
        <v>-223.1</v>
      </c>
      <c r="AA13" s="9">
        <f t="shared" si="39"/>
        <v>-338.6999999999997</v>
      </c>
      <c r="AB13" s="9">
        <f t="shared" si="39"/>
        <v>-208.74839999999938</v>
      </c>
      <c r="AC13" s="9">
        <f t="shared" si="39"/>
        <v>-90.524559999999681</v>
      </c>
      <c r="AD13" s="9">
        <f t="shared" si="39"/>
        <v>-6.9364455999997521</v>
      </c>
      <c r="AE13" s="9">
        <f t="shared" si="39"/>
        <v>64.161946744000218</v>
      </c>
      <c r="AF13" s="9">
        <f t="shared" si="39"/>
        <v>75.889920298640376</v>
      </c>
      <c r="AG13" s="9">
        <f t="shared" si="39"/>
        <v>87.987350838570677</v>
      </c>
      <c r="AH13" s="9">
        <f t="shared" ref="AH13:AL13" si="40">AH11-AH12</f>
        <v>89.98626802095626</v>
      </c>
      <c r="AI13" s="9">
        <f t="shared" si="40"/>
        <v>92.061126558865894</v>
      </c>
      <c r="AJ13" s="9">
        <f t="shared" si="40"/>
        <v>94.21548347503952</v>
      </c>
      <c r="AK13" s="9">
        <f t="shared" si="40"/>
        <v>96.453071242904144</v>
      </c>
      <c r="AL13" s="9">
        <f t="shared" si="40"/>
        <v>98.777806535102869</v>
      </c>
      <c r="AM13" s="1">
        <f>AL13*(1+$AO$19)</f>
        <v>97.790028469751846</v>
      </c>
      <c r="AN13" s="1">
        <f t="shared" ref="AN13:CY13" si="41">AM13*(1+$AO$19)</f>
        <v>96.81212818505432</v>
      </c>
      <c r="AO13" s="1">
        <f t="shared" si="41"/>
        <v>95.844006903203777</v>
      </c>
      <c r="AP13" s="1">
        <f t="shared" si="41"/>
        <v>94.88556683417174</v>
      </c>
      <c r="AQ13" s="1">
        <f t="shared" si="41"/>
        <v>93.936711165830019</v>
      </c>
      <c r="AR13" s="1">
        <f t="shared" si="41"/>
        <v>92.99734405417172</v>
      </c>
      <c r="AS13" s="1">
        <f t="shared" si="41"/>
        <v>92.067370613630004</v>
      </c>
      <c r="AT13" s="1">
        <f t="shared" si="41"/>
        <v>91.146696907493705</v>
      </c>
      <c r="AU13" s="1">
        <f t="shared" si="41"/>
        <v>90.235229938418769</v>
      </c>
      <c r="AV13" s="1">
        <f t="shared" si="41"/>
        <v>89.332877639034578</v>
      </c>
      <c r="AW13" s="1">
        <f t="shared" si="41"/>
        <v>88.43954886264423</v>
      </c>
      <c r="AX13" s="1">
        <f t="shared" si="41"/>
        <v>87.555153374017792</v>
      </c>
      <c r="AY13" s="1">
        <f t="shared" si="41"/>
        <v>86.679601840277613</v>
      </c>
      <c r="AZ13" s="1">
        <f t="shared" si="41"/>
        <v>85.812805821874832</v>
      </c>
      <c r="BA13" s="1">
        <f t="shared" si="41"/>
        <v>84.954677763656079</v>
      </c>
      <c r="BB13" s="1">
        <f t="shared" si="41"/>
        <v>84.105130986019518</v>
      </c>
      <c r="BC13" s="1">
        <f t="shared" si="41"/>
        <v>83.264079676159326</v>
      </c>
      <c r="BD13" s="1">
        <f t="shared" si="41"/>
        <v>82.431438879397732</v>
      </c>
      <c r="BE13" s="1">
        <f t="shared" si="41"/>
        <v>81.607124490603752</v>
      </c>
      <c r="BF13" s="1">
        <f t="shared" si="41"/>
        <v>80.791053245697711</v>
      </c>
      <c r="BG13" s="1">
        <f t="shared" si="41"/>
        <v>79.983142713240738</v>
      </c>
      <c r="BH13" s="1">
        <f t="shared" si="41"/>
        <v>79.183311286108335</v>
      </c>
      <c r="BI13" s="1">
        <f t="shared" si="41"/>
        <v>78.391478173247251</v>
      </c>
      <c r="BJ13" s="1">
        <f t="shared" si="41"/>
        <v>77.607563391514773</v>
      </c>
      <c r="BK13" s="1">
        <f t="shared" si="41"/>
        <v>76.831487757599632</v>
      </c>
      <c r="BL13" s="1">
        <f t="shared" si="41"/>
        <v>76.063172880023629</v>
      </c>
      <c r="BM13" s="1">
        <f t="shared" si="41"/>
        <v>75.302541151223394</v>
      </c>
      <c r="BN13" s="1">
        <f t="shared" si="41"/>
        <v>74.549515739711154</v>
      </c>
      <c r="BO13" s="1">
        <f t="shared" si="41"/>
        <v>73.804020582314038</v>
      </c>
      <c r="BP13" s="1">
        <f t="shared" si="41"/>
        <v>73.065980376490899</v>
      </c>
      <c r="BQ13" s="1">
        <f t="shared" si="41"/>
        <v>72.33532057272599</v>
      </c>
      <c r="BR13" s="1">
        <f t="shared" si="41"/>
        <v>71.611967366998726</v>
      </c>
      <c r="BS13" s="1">
        <f t="shared" si="41"/>
        <v>70.895847693328733</v>
      </c>
      <c r="BT13" s="1">
        <f t="shared" si="41"/>
        <v>70.186889216395443</v>
      </c>
      <c r="BU13" s="1">
        <f t="shared" si="41"/>
        <v>69.485020324231485</v>
      </c>
      <c r="BV13" s="1">
        <f t="shared" si="41"/>
        <v>68.790170120989174</v>
      </c>
      <c r="BW13" s="1">
        <f t="shared" si="41"/>
        <v>68.102268419779278</v>
      </c>
      <c r="BX13" s="1">
        <f t="shared" si="41"/>
        <v>67.421245735581479</v>
      </c>
      <c r="BY13" s="1">
        <f t="shared" si="41"/>
        <v>66.747033278225658</v>
      </c>
      <c r="BZ13" s="1">
        <f t="shared" si="41"/>
        <v>66.079562945443399</v>
      </c>
      <c r="CA13" s="1">
        <f t="shared" si="41"/>
        <v>65.418767315988958</v>
      </c>
      <c r="CB13" s="1">
        <f t="shared" si="41"/>
        <v>64.764579642829062</v>
      </c>
      <c r="CC13" s="1">
        <f t="shared" si="41"/>
        <v>64.116933846400769</v>
      </c>
      <c r="CD13" s="1">
        <f t="shared" si="41"/>
        <v>63.475764507936759</v>
      </c>
      <c r="CE13" s="1">
        <f t="shared" si="41"/>
        <v>62.841006862857391</v>
      </c>
      <c r="CF13" s="1">
        <f t="shared" si="41"/>
        <v>62.212596794228816</v>
      </c>
      <c r="CG13" s="1">
        <f t="shared" si="41"/>
        <v>61.590470826286527</v>
      </c>
      <c r="CH13" s="1">
        <f t="shared" si="41"/>
        <v>60.97456611802366</v>
      </c>
      <c r="CI13" s="1">
        <f t="shared" si="41"/>
        <v>60.364820456843425</v>
      </c>
      <c r="CJ13" s="1">
        <f t="shared" si="41"/>
        <v>59.761172252274989</v>
      </c>
      <c r="CK13" s="1">
        <f t="shared" si="41"/>
        <v>59.163560529752239</v>
      </c>
      <c r="CL13" s="1">
        <f t="shared" si="41"/>
        <v>58.571924924454713</v>
      </c>
      <c r="CM13" s="1">
        <f t="shared" si="41"/>
        <v>57.986205675210165</v>
      </c>
      <c r="CN13" s="1">
        <f t="shared" si="41"/>
        <v>57.40634361845806</v>
      </c>
      <c r="CO13" s="1">
        <f t="shared" si="41"/>
        <v>56.832280182273479</v>
      </c>
      <c r="CP13" s="1">
        <f t="shared" si="41"/>
        <v>56.263957380450741</v>
      </c>
      <c r="CQ13" s="1">
        <f t="shared" si="41"/>
        <v>55.70131780664623</v>
      </c>
      <c r="CR13" s="1">
        <f t="shared" si="41"/>
        <v>55.144304628579768</v>
      </c>
      <c r="CS13" s="1">
        <f t="shared" si="41"/>
        <v>54.59286158229397</v>
      </c>
      <c r="CT13" s="1">
        <f t="shared" si="41"/>
        <v>54.046932966471033</v>
      </c>
      <c r="CU13" s="1">
        <f t="shared" si="41"/>
        <v>53.506463636806323</v>
      </c>
      <c r="CV13" s="1">
        <f t="shared" si="41"/>
        <v>52.971399000438261</v>
      </c>
      <c r="CW13" s="1">
        <f t="shared" si="41"/>
        <v>52.441685010433879</v>
      </c>
      <c r="CX13" s="1">
        <f t="shared" si="41"/>
        <v>51.917268160329542</v>
      </c>
      <c r="CY13" s="1">
        <f t="shared" si="41"/>
        <v>51.398095478726248</v>
      </c>
      <c r="CZ13" s="1">
        <f t="shared" ref="CZ13:FH13" si="42">CY13*(1+$AO$19)</f>
        <v>50.884114523938983</v>
      </c>
      <c r="DA13" s="1">
        <f t="shared" si="42"/>
        <v>50.375273378699596</v>
      </c>
      <c r="DB13" s="1">
        <f t="shared" si="42"/>
        <v>49.8715206449126</v>
      </c>
      <c r="DC13" s="1">
        <f t="shared" si="42"/>
        <v>49.372805438463473</v>
      </c>
      <c r="DD13" s="1">
        <f t="shared" si="42"/>
        <v>48.87907738407884</v>
      </c>
      <c r="DE13" s="1">
        <f t="shared" si="42"/>
        <v>48.39028661023805</v>
      </c>
      <c r="DF13" s="1">
        <f t="shared" si="42"/>
        <v>47.906383744135667</v>
      </c>
      <c r="DG13" s="1">
        <f t="shared" si="42"/>
        <v>47.427319906694308</v>
      </c>
      <c r="DH13" s="1">
        <f t="shared" si="42"/>
        <v>46.953046707627365</v>
      </c>
      <c r="DI13" s="1">
        <f t="shared" si="42"/>
        <v>46.48351624055109</v>
      </c>
      <c r="DJ13" s="1">
        <f t="shared" si="42"/>
        <v>46.018681078145576</v>
      </c>
      <c r="DK13" s="1">
        <f t="shared" si="42"/>
        <v>45.558494267364118</v>
      </c>
      <c r="DL13" s="1">
        <f t="shared" si="42"/>
        <v>45.102909324690479</v>
      </c>
      <c r="DM13" s="1">
        <f t="shared" si="42"/>
        <v>44.651880231443577</v>
      </c>
      <c r="DN13" s="1">
        <f t="shared" si="42"/>
        <v>44.205361429129141</v>
      </c>
      <c r="DO13" s="1">
        <f t="shared" si="42"/>
        <v>43.763307814837852</v>
      </c>
      <c r="DP13" s="1">
        <f t="shared" si="42"/>
        <v>43.325674736689471</v>
      </c>
      <c r="DQ13" s="1">
        <f t="shared" si="42"/>
        <v>42.892417989322574</v>
      </c>
      <c r="DR13" s="1">
        <f t="shared" si="42"/>
        <v>42.463493809429345</v>
      </c>
      <c r="DS13" s="1">
        <f t="shared" si="42"/>
        <v>42.038858871335052</v>
      </c>
      <c r="DT13" s="1">
        <f t="shared" si="42"/>
        <v>41.618470282621701</v>
      </c>
      <c r="DU13" s="1">
        <f t="shared" si="42"/>
        <v>41.202285579795486</v>
      </c>
      <c r="DV13" s="1">
        <f t="shared" si="42"/>
        <v>40.790262723997529</v>
      </c>
      <c r="DW13" s="1">
        <f t="shared" si="42"/>
        <v>40.382360096757552</v>
      </c>
      <c r="DX13" s="1">
        <f t="shared" si="42"/>
        <v>39.978536495789974</v>
      </c>
      <c r="DY13" s="1">
        <f t="shared" si="42"/>
        <v>39.578751130832075</v>
      </c>
      <c r="DZ13" s="1">
        <f t="shared" si="42"/>
        <v>39.182963619523754</v>
      </c>
      <c r="EA13" s="1">
        <f t="shared" si="42"/>
        <v>38.791133983328514</v>
      </c>
      <c r="EB13" s="1">
        <f t="shared" si="42"/>
        <v>38.403222643495226</v>
      </c>
      <c r="EC13" s="1">
        <f t="shared" si="42"/>
        <v>38.019190417060273</v>
      </c>
      <c r="ED13" s="1">
        <f t="shared" si="42"/>
        <v>37.638998512889671</v>
      </c>
      <c r="EE13" s="1">
        <f t="shared" si="42"/>
        <v>37.262608527760776</v>
      </c>
      <c r="EF13" s="1">
        <f t="shared" si="42"/>
        <v>36.889982442483166</v>
      </c>
      <c r="EG13" s="1">
        <f t="shared" si="42"/>
        <v>36.521082618058337</v>
      </c>
      <c r="EH13" s="1">
        <f t="shared" si="42"/>
        <v>36.15587179187775</v>
      </c>
      <c r="EI13" s="1">
        <f t="shared" si="42"/>
        <v>35.794313073958975</v>
      </c>
      <c r="EJ13" s="1">
        <f t="shared" si="42"/>
        <v>35.436369943219383</v>
      </c>
      <c r="EK13" s="1">
        <f t="shared" si="42"/>
        <v>35.082006243787191</v>
      </c>
      <c r="EL13" s="1">
        <f t="shared" si="42"/>
        <v>34.731186181349322</v>
      </c>
      <c r="EM13" s="1">
        <f t="shared" si="42"/>
        <v>34.383874319535828</v>
      </c>
      <c r="EN13" s="1">
        <f t="shared" si="42"/>
        <v>34.040035576340472</v>
      </c>
      <c r="EO13" s="1">
        <f t="shared" si="42"/>
        <v>33.699635220577065</v>
      </c>
      <c r="EP13" s="1">
        <f t="shared" si="42"/>
        <v>33.362638868371292</v>
      </c>
      <c r="EQ13" s="1">
        <f t="shared" si="42"/>
        <v>33.02901247968758</v>
      </c>
      <c r="ER13" s="1">
        <f t="shared" si="42"/>
        <v>32.698722354890705</v>
      </c>
      <c r="ES13" s="1">
        <f t="shared" si="42"/>
        <v>32.371735131341801</v>
      </c>
      <c r="ET13" s="1">
        <f t="shared" si="42"/>
        <v>32.048017780028381</v>
      </c>
      <c r="EU13" s="1">
        <f t="shared" si="42"/>
        <v>31.727537602228097</v>
      </c>
      <c r="EV13" s="1">
        <f t="shared" si="42"/>
        <v>31.410262226205816</v>
      </c>
      <c r="EW13" s="1">
        <f t="shared" si="42"/>
        <v>31.096159603943757</v>
      </c>
      <c r="EX13" s="1">
        <f t="shared" si="42"/>
        <v>30.78519800790432</v>
      </c>
      <c r="EY13" s="1">
        <f t="shared" si="42"/>
        <v>30.477346027825277</v>
      </c>
      <c r="EZ13" s="1">
        <f t="shared" si="42"/>
        <v>30.172572567547025</v>
      </c>
      <c r="FA13" s="1">
        <f t="shared" si="42"/>
        <v>29.870846841871554</v>
      </c>
      <c r="FB13" s="1">
        <f t="shared" si="42"/>
        <v>29.572138373452837</v>
      </c>
      <c r="FC13" s="1">
        <f t="shared" si="42"/>
        <v>29.27641698971831</v>
      </c>
      <c r="FD13" s="1">
        <f t="shared" si="42"/>
        <v>28.983652819821128</v>
      </c>
      <c r="FE13" s="1">
        <f t="shared" si="42"/>
        <v>28.693816291622916</v>
      </c>
      <c r="FF13" s="1">
        <f t="shared" si="42"/>
        <v>28.406878128706687</v>
      </c>
      <c r="FG13" s="1">
        <f t="shared" si="42"/>
        <v>28.122809347419619</v>
      </c>
      <c r="FH13" s="1">
        <f t="shared" si="42"/>
        <v>27.841581253945421</v>
      </c>
    </row>
    <row r="14" spans="2:164" x14ac:dyDescent="0.3">
      <c r="B14" t="s">
        <v>1</v>
      </c>
      <c r="C14" s="3">
        <v>90</v>
      </c>
      <c r="D14" s="3">
        <v>90</v>
      </c>
      <c r="E14" s="3">
        <v>90</v>
      </c>
      <c r="F14" s="3">
        <v>90</v>
      </c>
      <c r="G14" s="3">
        <v>90</v>
      </c>
      <c r="H14" s="3">
        <v>90</v>
      </c>
      <c r="I14" s="3">
        <v>90</v>
      </c>
      <c r="J14" s="3">
        <v>90</v>
      </c>
      <c r="K14" s="3">
        <v>90</v>
      </c>
      <c r="L14" s="3">
        <v>90</v>
      </c>
      <c r="M14" s="3">
        <v>90</v>
      </c>
      <c r="N14" s="3">
        <v>90</v>
      </c>
      <c r="O14" s="3">
        <v>90</v>
      </c>
      <c r="P14" s="3">
        <v>119.1</v>
      </c>
      <c r="Q14" s="3">
        <f>119.2</f>
        <v>119.2</v>
      </c>
      <c r="R14" s="3">
        <f>119.2</f>
        <v>119.2</v>
      </c>
      <c r="T14" s="3">
        <v>90</v>
      </c>
      <c r="U14" s="3">
        <v>90</v>
      </c>
      <c r="V14" s="3">
        <v>90</v>
      </c>
      <c r="W14" s="3">
        <v>90</v>
      </c>
      <c r="X14" s="3">
        <v>90</v>
      </c>
      <c r="Y14" s="3">
        <v>90</v>
      </c>
      <c r="Z14" s="3">
        <v>90</v>
      </c>
      <c r="AA14" s="3">
        <v>119.1</v>
      </c>
      <c r="AB14" s="3">
        <f t="shared" ref="AB14:AL14" si="43">119.2</f>
        <v>119.2</v>
      </c>
      <c r="AC14" s="3">
        <f t="shared" si="43"/>
        <v>119.2</v>
      </c>
      <c r="AD14" s="3">
        <f t="shared" si="43"/>
        <v>119.2</v>
      </c>
      <c r="AE14" s="3">
        <f t="shared" si="43"/>
        <v>119.2</v>
      </c>
      <c r="AF14" s="3">
        <f t="shared" si="43"/>
        <v>119.2</v>
      </c>
      <c r="AG14" s="3">
        <f t="shared" si="43"/>
        <v>119.2</v>
      </c>
      <c r="AH14" s="3">
        <f t="shared" si="43"/>
        <v>119.2</v>
      </c>
      <c r="AI14" s="3">
        <f t="shared" si="43"/>
        <v>119.2</v>
      </c>
      <c r="AJ14" s="3">
        <f t="shared" si="43"/>
        <v>119.2</v>
      </c>
      <c r="AK14" s="3">
        <f t="shared" si="43"/>
        <v>119.2</v>
      </c>
      <c r="AL14" s="3">
        <f t="shared" si="43"/>
        <v>119.2</v>
      </c>
    </row>
    <row r="15" spans="2:164" s="1" customFormat="1" x14ac:dyDescent="0.3">
      <c r="B15" s="1" t="s">
        <v>21</v>
      </c>
      <c r="C15" s="8">
        <f t="shared" ref="C15:H15" si="44">C13/C14</f>
        <v>0.27222222222222081</v>
      </c>
      <c r="D15" s="8">
        <f t="shared" si="44"/>
        <v>0.6433333333333362</v>
      </c>
      <c r="E15" s="8">
        <f t="shared" si="44"/>
        <v>3.3333333333333333E-2</v>
      </c>
      <c r="F15" s="8">
        <f t="shared" si="44"/>
        <v>0.23999999999999899</v>
      </c>
      <c r="G15" s="8">
        <f t="shared" si="44"/>
        <v>0.25666666666666693</v>
      </c>
      <c r="H15" s="8">
        <f t="shared" si="44"/>
        <v>1.0022222222222223</v>
      </c>
      <c r="I15" s="8">
        <f t="shared" ref="I15:K15" si="45">I13/I14</f>
        <v>0.9088888888888893</v>
      </c>
      <c r="J15" s="8">
        <f t="shared" si="45"/>
        <v>0.51777777777777878</v>
      </c>
      <c r="K15" s="8">
        <f t="shared" si="45"/>
        <v>-0.15333333333333507</v>
      </c>
      <c r="L15" s="8">
        <f t="shared" ref="L15:N15" si="46">L13/L14</f>
        <v>-0.18888888888888813</v>
      </c>
      <c r="M15" s="8">
        <f t="shared" ref="M15:O15" si="47">M13/M14</f>
        <v>-2.4244444444444464</v>
      </c>
      <c r="N15" s="8">
        <f t="shared" si="46"/>
        <v>-5.4444444444442061E-2</v>
      </c>
      <c r="O15" s="8">
        <f t="shared" si="47"/>
        <v>-2.7022222222222232</v>
      </c>
      <c r="P15" s="8">
        <f t="shared" ref="P15:R15" si="48">P13/P14</f>
        <v>-0.80184718723761261</v>
      </c>
      <c r="Q15" s="8">
        <f t="shared" si="48"/>
        <v>-1.6677852348993281</v>
      </c>
      <c r="R15" s="8">
        <f t="shared" si="48"/>
        <v>-8.3459731543623364E-2</v>
      </c>
      <c r="T15" s="8">
        <f>T13/T14</f>
        <v>0.7122222222222212</v>
      </c>
      <c r="U15" s="8">
        <f>U13/U14</f>
        <v>0.91555555555555779</v>
      </c>
      <c r="V15" s="8">
        <f>V13/V14</f>
        <v>0.27333333333333232</v>
      </c>
      <c r="W15" s="8">
        <f>W13/W14</f>
        <v>1.2588888888888905</v>
      </c>
      <c r="X15" s="8">
        <f t="shared" ref="X15:Y15" si="49">X13/X14</f>
        <v>1.4266666666666683</v>
      </c>
      <c r="Y15" s="8">
        <f t="shared" si="49"/>
        <v>-0.3422222222222232</v>
      </c>
      <c r="Z15" s="8">
        <f t="shared" ref="Z15:AG15" si="50">Z13/Z14</f>
        <v>-2.4788888888888887</v>
      </c>
      <c r="AA15" s="8">
        <f t="shared" si="50"/>
        <v>-2.8438287153652371</v>
      </c>
      <c r="AB15" s="8">
        <f t="shared" si="50"/>
        <v>-1.7512449664429477</v>
      </c>
      <c r="AC15" s="8">
        <f t="shared" si="50"/>
        <v>-0.75943422818791673</v>
      </c>
      <c r="AD15" s="8">
        <f t="shared" si="50"/>
        <v>-5.8191657718118725E-2</v>
      </c>
      <c r="AE15" s="8">
        <f t="shared" si="50"/>
        <v>0.53827136530201525</v>
      </c>
      <c r="AF15" s="8">
        <f t="shared" si="50"/>
        <v>0.63666040518993605</v>
      </c>
      <c r="AG15" s="8">
        <f t="shared" si="50"/>
        <v>0.73814891643096203</v>
      </c>
      <c r="AH15" s="8">
        <f t="shared" ref="AH15:AL15" si="51">AH13/AH14</f>
        <v>0.75491835588050549</v>
      </c>
      <c r="AI15" s="8">
        <f t="shared" si="51"/>
        <v>0.77232488723880777</v>
      </c>
      <c r="AJ15" s="8">
        <f t="shared" si="51"/>
        <v>0.79039835130066705</v>
      </c>
      <c r="AK15" s="8">
        <f t="shared" si="51"/>
        <v>0.80917006076261866</v>
      </c>
      <c r="AL15" s="8">
        <f t="shared" si="51"/>
        <v>0.82867287361663478</v>
      </c>
    </row>
    <row r="17" spans="2:41" x14ac:dyDescent="0.3">
      <c r="B17" s="1" t="s">
        <v>23</v>
      </c>
      <c r="C17" s="1"/>
      <c r="D17" s="7"/>
      <c r="E17" s="7">
        <f t="shared" ref="E17:G17" si="52">E3/C3-1</f>
        <v>0.13504878680597532</v>
      </c>
      <c r="F17" s="7">
        <f t="shared" si="52"/>
        <v>0.12690597204574305</v>
      </c>
      <c r="G17" s="7">
        <f t="shared" si="52"/>
        <v>0.21475846329402803</v>
      </c>
      <c r="H17" s="7">
        <f>H3/F3-1</f>
        <v>0.17455954897815373</v>
      </c>
      <c r="I17" s="7">
        <f t="shared" ref="I17:J17" si="53">I3/G3-1</f>
        <v>0.23741232464929873</v>
      </c>
      <c r="J17" s="7">
        <f t="shared" si="53"/>
        <v>0.16073678526429469</v>
      </c>
      <c r="K17" s="7">
        <f t="shared" ref="K17" si="54">K3/I3-1</f>
        <v>1.4271977326787644E-2</v>
      </c>
      <c r="L17" s="7">
        <f t="shared" ref="L17" si="55">L3/J3-1</f>
        <v>-1.1371859815981766E-3</v>
      </c>
      <c r="M17" s="7">
        <f t="shared" ref="M17" si="56">M3/K3-1</f>
        <v>-8.1582755351529368E-2</v>
      </c>
      <c r="N17" s="7">
        <f t="shared" ref="N17" si="57">N3/L3-1</f>
        <v>-0.11565928379217549</v>
      </c>
      <c r="O17" s="7">
        <f t="shared" ref="O17" si="58">O3/M3-1</f>
        <v>-0.18189720743235904</v>
      </c>
      <c r="P17" s="7">
        <f t="shared" ref="P17" si="59">P3/N3-1</f>
        <v>-0.18075955292878454</v>
      </c>
      <c r="Q17" s="7">
        <f t="shared" ref="Q17" si="60">Q3/O3-1</f>
        <v>-0.13706999601540704</v>
      </c>
      <c r="R17" s="7">
        <f t="shared" ref="R17" si="61">R3/P3-1</f>
        <v>1.0000000000000009E-2</v>
      </c>
      <c r="S17" s="1"/>
      <c r="U17" s="7">
        <f t="shared" ref="U17:V17" si="62">U3/T3-1</f>
        <v>0.25665419006030366</v>
      </c>
      <c r="V17" s="7">
        <f t="shared" si="62"/>
        <v>0.13080709882927222</v>
      </c>
      <c r="W17" s="7">
        <f>W3/V3-1</f>
        <v>0.19389061642582761</v>
      </c>
      <c r="X17" s="7">
        <f t="shared" ref="X17:AG17" si="63">X3/W3-1</f>
        <v>0.19825340891680709</v>
      </c>
      <c r="Y17" s="7">
        <f t="shared" si="63"/>
        <v>6.6487661424370348E-3</v>
      </c>
      <c r="Z17" s="7">
        <f t="shared" si="63"/>
        <v>-9.8310682077988099E-2</v>
      </c>
      <c r="AA17" s="7">
        <f t="shared" si="63"/>
        <v>-0.18134948584307642</v>
      </c>
      <c r="AB17" s="7">
        <f t="shared" si="63"/>
        <v>-6.6212402780645441E-2</v>
      </c>
      <c r="AC17" s="7">
        <f t="shared" si="63"/>
        <v>0.10000000000000009</v>
      </c>
      <c r="AD17" s="7">
        <f t="shared" si="63"/>
        <v>5.0000000000000044E-2</v>
      </c>
      <c r="AE17" s="7">
        <f t="shared" si="63"/>
        <v>3.0000000000000027E-2</v>
      </c>
      <c r="AF17" s="7">
        <f t="shared" si="63"/>
        <v>2.0000000000000018E-2</v>
      </c>
      <c r="AG17" s="7">
        <f t="shared" si="63"/>
        <v>2.0000000000000018E-2</v>
      </c>
      <c r="AH17" s="7">
        <f t="shared" ref="AH17" si="64">AH3/AG3-1</f>
        <v>1.0000000000000009E-2</v>
      </c>
      <c r="AI17" s="7">
        <f t="shared" ref="AI17" si="65">AI3/AH3-1</f>
        <v>1.0000000000000009E-2</v>
      </c>
      <c r="AJ17" s="7">
        <f t="shared" ref="AJ17" si="66">AJ3/AI3-1</f>
        <v>1.0000000000000009E-2</v>
      </c>
      <c r="AK17" s="7">
        <f t="shared" ref="AK17" si="67">AK3/AJ3-1</f>
        <v>1.0000000000000009E-2</v>
      </c>
      <c r="AL17" s="7">
        <f t="shared" ref="AL17" si="68">AL3/AK3-1</f>
        <v>1.0000000000000009E-2</v>
      </c>
    </row>
    <row r="18" spans="2:41" x14ac:dyDescent="0.3">
      <c r="B18" s="1" t="s">
        <v>22</v>
      </c>
      <c r="C18" s="7">
        <f t="shared" ref="C18:H18" si="69">C5/C3</f>
        <v>0.49166738623607625</v>
      </c>
      <c r="D18" s="7">
        <f t="shared" si="69"/>
        <v>0.53025730622617551</v>
      </c>
      <c r="E18" s="7">
        <f t="shared" si="69"/>
        <v>0.48680106504374288</v>
      </c>
      <c r="F18" s="7">
        <f t="shared" si="69"/>
        <v>0.48935870331219167</v>
      </c>
      <c r="G18" s="7">
        <f t="shared" si="69"/>
        <v>0.46968937875751504</v>
      </c>
      <c r="H18" s="7">
        <f t="shared" si="69"/>
        <v>0.4784304313913722</v>
      </c>
      <c r="I18" s="7">
        <f t="shared" ref="I18:J18" si="70">I5/I3</f>
        <v>0.45042765322131684</v>
      </c>
      <c r="J18" s="7">
        <f t="shared" si="70"/>
        <v>0.45818257004031848</v>
      </c>
      <c r="K18" s="7">
        <f t="shared" ref="K18:P18" si="71">K5/K3</f>
        <v>0.43071703008831885</v>
      </c>
      <c r="L18" s="7">
        <f t="shared" si="71"/>
        <v>0.44209273442351488</v>
      </c>
      <c r="M18" s="7">
        <f t="shared" si="71"/>
        <v>0.3611322394871237</v>
      </c>
      <c r="N18" s="7">
        <f t="shared" si="71"/>
        <v>0.4648019193633332</v>
      </c>
      <c r="O18" s="7">
        <f t="shared" si="71"/>
        <v>0.39998671802364189</v>
      </c>
      <c r="P18" s="7">
        <f t="shared" si="71"/>
        <v>0.4001428571428573</v>
      </c>
      <c r="Q18" s="7">
        <f t="shared" ref="Q18:R18" si="72">Q5/Q3</f>
        <v>0.45143912575034639</v>
      </c>
      <c r="R18" s="7">
        <f t="shared" si="72"/>
        <v>0.44999999999999996</v>
      </c>
      <c r="S18" s="1"/>
      <c r="T18" s="7">
        <f>T5/T3</f>
        <v>0.49818049490538574</v>
      </c>
      <c r="U18" s="7">
        <f t="shared" ref="U18:W18" si="73">U5/U3</f>
        <v>0.51176932941711828</v>
      </c>
      <c r="V18" s="7">
        <f t="shared" si="73"/>
        <v>0.48812877263581489</v>
      </c>
      <c r="W18" s="7">
        <f t="shared" si="73"/>
        <v>0.47415351616362805</v>
      </c>
      <c r="X18" s="7">
        <f t="shared" ref="X18:AG18" si="74">X5/X3</f>
        <v>0.45426416059327451</v>
      </c>
      <c r="Y18" s="7">
        <f t="shared" si="74"/>
        <v>0.43630128286548964</v>
      </c>
      <c r="Z18" s="7">
        <f t="shared" si="74"/>
        <v>0.41104380898718129</v>
      </c>
      <c r="AA18" s="7">
        <f t="shared" si="74"/>
        <v>0.40006194507536658</v>
      </c>
      <c r="AB18" s="7">
        <f t="shared" si="74"/>
        <v>0.45068917225621002</v>
      </c>
      <c r="AC18" s="7">
        <f t="shared" si="74"/>
        <v>0.46</v>
      </c>
      <c r="AD18" s="7">
        <f t="shared" si="74"/>
        <v>0.48</v>
      </c>
      <c r="AE18" s="7">
        <f t="shared" si="74"/>
        <v>0.5</v>
      </c>
      <c r="AF18" s="7">
        <f t="shared" si="74"/>
        <v>0.5</v>
      </c>
      <c r="AG18" s="7">
        <f t="shared" si="74"/>
        <v>0.5</v>
      </c>
      <c r="AH18" s="7">
        <f t="shared" ref="AH18:AL18" si="75">AH5/AH3</f>
        <v>0.5</v>
      </c>
      <c r="AI18" s="7">
        <f t="shared" si="75"/>
        <v>0.5</v>
      </c>
      <c r="AJ18" s="7">
        <f t="shared" si="75"/>
        <v>0.5</v>
      </c>
      <c r="AK18" s="7">
        <f t="shared" si="75"/>
        <v>0.5</v>
      </c>
      <c r="AL18" s="7">
        <f t="shared" si="75"/>
        <v>0.5</v>
      </c>
    </row>
    <row r="19" spans="2:41" x14ac:dyDescent="0.3">
      <c r="B19" t="s">
        <v>24</v>
      </c>
      <c r="C19" s="7">
        <f t="shared" ref="C19:H19" si="76">C8/C3</f>
        <v>2.564545376046963E-2</v>
      </c>
      <c r="D19" s="7">
        <f t="shared" si="76"/>
        <v>5.7337992376112021E-2</v>
      </c>
      <c r="E19" s="7">
        <f t="shared" si="76"/>
        <v>3.4233548877900342E-3</v>
      </c>
      <c r="F19" s="7">
        <f t="shared" si="76"/>
        <v>2.1564482029598243E-2</v>
      </c>
      <c r="G19" s="7">
        <f t="shared" si="76"/>
        <v>2.1668336673346708E-2</v>
      </c>
      <c r="H19" s="7">
        <f t="shared" si="76"/>
        <v>6.9898602027959444E-2</v>
      </c>
      <c r="I19" s="7">
        <f t="shared" ref="I19:J19" si="77">I8/I3</f>
        <v>5.5519003998178065E-2</v>
      </c>
      <c r="J19" s="7">
        <f t="shared" si="77"/>
        <v>4.1558978600227489E-2</v>
      </c>
      <c r="K19" s="7">
        <f t="shared" ref="K19:P19" si="78">K8/K3</f>
        <v>-2.3451923556709543E-3</v>
      </c>
      <c r="L19" s="7">
        <f t="shared" si="78"/>
        <v>-1.3299523908093526E-2</v>
      </c>
      <c r="M19" s="7">
        <f t="shared" si="78"/>
        <v>-0.14859285015755741</v>
      </c>
      <c r="N19" s="7">
        <f t="shared" si="78"/>
        <v>1.3458950201884385E-2</v>
      </c>
      <c r="O19" s="7">
        <f t="shared" si="78"/>
        <v>-0.16463009695842748</v>
      </c>
      <c r="P19" s="7">
        <f t="shared" si="78"/>
        <v>-6.1428571428571173E-2</v>
      </c>
      <c r="Q19" s="7">
        <f t="shared" ref="Q19:R19" si="79">Q8/Q3</f>
        <v>-0.17423426196706165</v>
      </c>
      <c r="R19" s="7">
        <f t="shared" si="79"/>
        <v>8.9780763790665522E-3</v>
      </c>
      <c r="T19" s="7">
        <f>T8/T3</f>
        <v>4.1380744437512954E-2</v>
      </c>
      <c r="U19" s="7">
        <f t="shared" ref="U19:W19" si="80">U8/U3</f>
        <v>4.2154469863070448E-2</v>
      </c>
      <c r="V19" s="7">
        <f t="shared" si="80"/>
        <v>1.2840680446314217E-2</v>
      </c>
      <c r="W19" s="7">
        <f t="shared" si="80"/>
        <v>4.629998467902563E-2</v>
      </c>
      <c r="X19" s="7">
        <f t="shared" ref="X19:AG19" si="81">X8/X3</f>
        <v>4.8612709372203078E-2</v>
      </c>
      <c r="Y19" s="7">
        <f t="shared" si="81"/>
        <v>-7.7225962149117464E-3</v>
      </c>
      <c r="Z19" s="7">
        <f t="shared" si="81"/>
        <v>-7.0573320185941688E-2</v>
      </c>
      <c r="AA19" s="7">
        <f t="shared" si="81"/>
        <v>-0.11490811480487292</v>
      </c>
      <c r="AB19" s="7">
        <f t="shared" si="81"/>
        <v>-7.8759121397508403E-2</v>
      </c>
      <c r="AC19" s="7">
        <f t="shared" si="81"/>
        <v>-2.504764234070625E-2</v>
      </c>
      <c r="AD19" s="7">
        <f t="shared" si="81"/>
        <v>9.2398868913206155E-3</v>
      </c>
      <c r="AE19" s="7">
        <f t="shared" si="81"/>
        <v>3.6244937631294945E-2</v>
      </c>
      <c r="AF19" s="7">
        <f t="shared" si="81"/>
        <v>3.97131245172627E-2</v>
      </c>
      <c r="AG19" s="7">
        <f t="shared" si="81"/>
        <v>4.3147309571014987E-2</v>
      </c>
      <c r="AH19" s="7">
        <f t="shared" ref="AH19:AL19" si="82">AH8/AH3</f>
        <v>4.3147309571014952E-2</v>
      </c>
      <c r="AI19" s="7">
        <f t="shared" si="82"/>
        <v>4.3147309571014966E-2</v>
      </c>
      <c r="AJ19" s="7">
        <f t="shared" si="82"/>
        <v>4.3147309571014952E-2</v>
      </c>
      <c r="AK19" s="7">
        <f t="shared" si="82"/>
        <v>4.3147309571014945E-2</v>
      </c>
      <c r="AL19" s="7">
        <f t="shared" si="82"/>
        <v>4.3147309571014855E-2</v>
      </c>
      <c r="AN19" t="s">
        <v>27</v>
      </c>
      <c r="AO19" s="7">
        <v>-0.01</v>
      </c>
    </row>
    <row r="20" spans="2:41" x14ac:dyDescent="0.3">
      <c r="B20" t="s">
        <v>25</v>
      </c>
      <c r="C20" s="7">
        <f t="shared" ref="C20:H20" si="83">C6/C3</f>
        <v>0.15413176755029792</v>
      </c>
      <c r="D20" s="7">
        <f t="shared" si="83"/>
        <v>0.16065756035578141</v>
      </c>
      <c r="E20" s="7">
        <f t="shared" si="83"/>
        <v>0.15587675922403957</v>
      </c>
      <c r="F20" s="7">
        <f t="shared" si="83"/>
        <v>0.1484848484848485</v>
      </c>
      <c r="G20" s="7">
        <f t="shared" si="83"/>
        <v>0.13996743486973948</v>
      </c>
      <c r="H20" s="7">
        <f t="shared" si="83"/>
        <v>0.13265734685306294</v>
      </c>
      <c r="I20" s="7">
        <f t="shared" ref="I20:J20" si="84">I6/I3</f>
        <v>0.12546181486917354</v>
      </c>
      <c r="J20" s="7">
        <f t="shared" si="84"/>
        <v>0.13522175126641167</v>
      </c>
      <c r="K20" s="7">
        <f t="shared" ref="K20:P20" si="85">K6/K3</f>
        <v>0.12768823910982488</v>
      </c>
      <c r="L20" s="7">
        <f t="shared" si="85"/>
        <v>0.13858414406955086</v>
      </c>
      <c r="M20" s="7">
        <f t="shared" si="85"/>
        <v>0.12485059219819625</v>
      </c>
      <c r="N20" s="7">
        <f t="shared" si="85"/>
        <v>0.11697583240681138</v>
      </c>
      <c r="O20" s="7">
        <f t="shared" si="85"/>
        <v>0.11462345597024837</v>
      </c>
      <c r="P20" s="7">
        <f t="shared" si="85"/>
        <v>0.10964285714285714</v>
      </c>
      <c r="Q20" s="7">
        <f t="shared" ref="Q20:R20" si="86">Q6/Q3</f>
        <v>0.10681853162998307</v>
      </c>
      <c r="R20" s="7">
        <f t="shared" si="86"/>
        <v>0.11</v>
      </c>
      <c r="T20" s="7">
        <f>T6/T3</f>
        <v>0.15554169265959658</v>
      </c>
      <c r="U20" s="7">
        <f t="shared" ref="U20:W20" si="87">U6/U3</f>
        <v>0.15753112977288711</v>
      </c>
      <c r="V20" s="7">
        <f t="shared" si="87"/>
        <v>0.15203950978598868</v>
      </c>
      <c r="W20" s="7">
        <f t="shared" si="87"/>
        <v>0.13623410448904552</v>
      </c>
      <c r="X20" s="7">
        <f t="shared" ref="X20:AG20" si="88">X6/X3</f>
        <v>0.13029024421429486</v>
      </c>
      <c r="Y20" s="7">
        <f t="shared" si="88"/>
        <v>0.13303696176806809</v>
      </c>
      <c r="Z20" s="7">
        <f t="shared" si="88"/>
        <v>0.12105930412734188</v>
      </c>
      <c r="AA20" s="7">
        <f t="shared" si="88"/>
        <v>0.11222382820565766</v>
      </c>
      <c r="AB20" s="7">
        <f t="shared" si="88"/>
        <v>0.10847645021006853</v>
      </c>
      <c r="AC20" s="7">
        <f t="shared" si="88"/>
        <v>0.11</v>
      </c>
      <c r="AD20" s="7">
        <f t="shared" si="88"/>
        <v>0.11</v>
      </c>
      <c r="AE20" s="7">
        <f t="shared" si="88"/>
        <v>0.11</v>
      </c>
      <c r="AF20" s="7">
        <f t="shared" si="88"/>
        <v>0.11</v>
      </c>
      <c r="AG20" s="7">
        <f t="shared" si="88"/>
        <v>0.11</v>
      </c>
      <c r="AH20" s="7">
        <f t="shared" ref="AH20:AL20" si="89">AH6/AH3</f>
        <v>0.11</v>
      </c>
      <c r="AI20" s="7">
        <f t="shared" si="89"/>
        <v>0.11000000000000001</v>
      </c>
      <c r="AJ20" s="7">
        <f t="shared" si="89"/>
        <v>0.11</v>
      </c>
      <c r="AK20" s="7">
        <f t="shared" si="89"/>
        <v>0.10999999999999999</v>
      </c>
      <c r="AL20" s="7">
        <f t="shared" si="89"/>
        <v>0.11000000000000001</v>
      </c>
      <c r="AN20" t="s">
        <v>28</v>
      </c>
      <c r="AO20" s="7">
        <v>0.1</v>
      </c>
    </row>
    <row r="21" spans="2:41" x14ac:dyDescent="0.3">
      <c r="B21" t="s">
        <v>26</v>
      </c>
      <c r="D21" s="7"/>
      <c r="E21" s="7">
        <f t="shared" ref="E21" si="90">E7/C7-1</f>
        <v>0.19186046511627919</v>
      </c>
      <c r="F21" s="7">
        <f t="shared" ref="F21" si="91">F7/D7-1</f>
        <v>0.15233977619532046</v>
      </c>
      <c r="G21" s="7">
        <f t="shared" ref="G21" si="92">G7/E7-1</f>
        <v>0.14262485481997667</v>
      </c>
      <c r="H21" s="7">
        <f t="shared" ref="H21" si="93">H7/F7-1</f>
        <v>1.4787022732288824E-2</v>
      </c>
      <c r="I21" s="7">
        <f t="shared" ref="I21" si="94">I7/G7-1</f>
        <v>8.2333807684488614E-2</v>
      </c>
      <c r="J21" s="7">
        <f t="shared" ref="J21" si="95">J7/H7-1</f>
        <v>0.18399304045237042</v>
      </c>
      <c r="K21" s="7">
        <f t="shared" ref="K21" si="96">K7/I7-1</f>
        <v>0.14951164537941408</v>
      </c>
      <c r="L21" s="7">
        <f t="shared" ref="L21" si="97">L7/J7-1</f>
        <v>0.12454077883908909</v>
      </c>
      <c r="M21" s="7">
        <f t="shared" ref="M21" si="98">M7/K7-1</f>
        <v>0.15751633986928093</v>
      </c>
      <c r="N21" s="7">
        <f t="shared" ref="N21" si="99">N7/L7-1</f>
        <v>-6.6644887291734789E-2</v>
      </c>
      <c r="O21" s="7">
        <f t="shared" ref="O21" si="100">O7/M7-1</f>
        <v>-4.3478260869565188E-2</v>
      </c>
      <c r="P21" s="7">
        <f t="shared" ref="P21" si="101">P7/N7-1</f>
        <v>-0.13773188659432978</v>
      </c>
      <c r="Q21" s="7">
        <f t="shared" ref="Q21" si="102">Q7/O7-1</f>
        <v>-5.0177095631640523E-3</v>
      </c>
      <c r="R21" s="7">
        <f t="shared" ref="R21" si="103">R7/P7-1</f>
        <v>-4.9999999999999933E-2</v>
      </c>
      <c r="T21" s="7"/>
      <c r="U21" s="7">
        <f t="shared" ref="U21:AG21" si="104">U7/T7-1</f>
        <v>0.30181190681622083</v>
      </c>
      <c r="V21" s="7">
        <f t="shared" si="104"/>
        <v>0.17126193001060441</v>
      </c>
      <c r="W21" s="7">
        <f t="shared" si="104"/>
        <v>7.7071072883657887E-2</v>
      </c>
      <c r="X21" s="7">
        <f t="shared" si="104"/>
        <v>0.13144898602500787</v>
      </c>
      <c r="Y21" s="7">
        <f t="shared" si="104"/>
        <v>0.13688707280832113</v>
      </c>
      <c r="Z21" s="7">
        <f t="shared" si="104"/>
        <v>4.5417415454990895E-2</v>
      </c>
      <c r="AA21" s="7">
        <f t="shared" si="104"/>
        <v>-8.5560243788091905E-2</v>
      </c>
      <c r="AB21" s="7">
        <f t="shared" si="104"/>
        <v>-2.3955396052294353E-2</v>
      </c>
      <c r="AC21" s="7">
        <f t="shared" si="104"/>
        <v>-1.9999999999999907E-2</v>
      </c>
      <c r="AD21" s="7">
        <f t="shared" si="104"/>
        <v>1.0000000000000009E-2</v>
      </c>
      <c r="AE21" s="7">
        <f t="shared" si="104"/>
        <v>1.0000000000000009E-2</v>
      </c>
      <c r="AF21" s="7">
        <f t="shared" si="104"/>
        <v>1.0000000000000009E-2</v>
      </c>
      <c r="AG21" s="7">
        <f t="shared" si="104"/>
        <v>1.0000000000000009E-2</v>
      </c>
      <c r="AH21" s="7">
        <f t="shared" ref="AH21" si="105">AH7/AG7-1</f>
        <v>1.0000000000000009E-2</v>
      </c>
      <c r="AI21" s="7">
        <f t="shared" ref="AI21" si="106">AI7/AH7-1</f>
        <v>1.0000000000000009E-2</v>
      </c>
      <c r="AJ21" s="7">
        <f t="shared" ref="AJ21" si="107">AJ7/AI7-1</f>
        <v>1.0000000000000009E-2</v>
      </c>
      <c r="AK21" s="7">
        <f t="shared" ref="AK21" si="108">AK7/AJ7-1</f>
        <v>1.0000000000000009E-2</v>
      </c>
      <c r="AL21" s="7">
        <f t="shared" ref="AL21" si="109">AL7/AK7-1</f>
        <v>1.0000000000000009E-2</v>
      </c>
      <c r="AN21" t="s">
        <v>29</v>
      </c>
      <c r="AO21" s="3">
        <f>NPV(AO20,AB13:FH13)</f>
        <v>383.29272213218178</v>
      </c>
    </row>
    <row r="22" spans="2:41" x14ac:dyDescent="0.3">
      <c r="B22" t="s">
        <v>19</v>
      </c>
      <c r="C22" s="7">
        <f t="shared" ref="C22:H22" si="110">C12/C11</f>
        <v>0.18060200668896398</v>
      </c>
      <c r="D22" s="7">
        <f t="shared" si="110"/>
        <v>0.19694868238557489</v>
      </c>
      <c r="E22" s="7">
        <f t="shared" si="110"/>
        <v>0.25</v>
      </c>
      <c r="F22" s="7">
        <f t="shared" si="110"/>
        <v>0.2577319587628874</v>
      </c>
      <c r="G22" s="7">
        <f t="shared" si="110"/>
        <v>0.23255813953488352</v>
      </c>
      <c r="H22" s="7">
        <f t="shared" si="110"/>
        <v>0.19464285714285715</v>
      </c>
      <c r="I22" s="7">
        <f t="shared" ref="I22:J22" si="111">I12/I11</f>
        <v>0.23120300751879694</v>
      </c>
      <c r="J22" s="7">
        <f t="shared" si="111"/>
        <v>0.34087694483734049</v>
      </c>
      <c r="K22" s="7">
        <f t="shared" ref="K22:P22" si="112">K12/K11</f>
        <v>0.14285714285714143</v>
      </c>
      <c r="L22" s="7">
        <f t="shared" si="112"/>
        <v>-7.5949367088607903E-2</v>
      </c>
      <c r="M22" s="7">
        <f t="shared" si="112"/>
        <v>0.24991405981436909</v>
      </c>
      <c r="N22" s="7">
        <f t="shared" si="112"/>
        <v>0.15517241379310795</v>
      </c>
      <c r="O22" s="7">
        <f t="shared" si="112"/>
        <v>9.9259259259259214E-2</v>
      </c>
      <c r="P22" s="7">
        <f t="shared" si="112"/>
        <v>0.12625800548947891</v>
      </c>
      <c r="Q22" s="7">
        <f t="shared" ref="Q22:R22" si="113">Q12/Q11</f>
        <v>0.17681159420289863</v>
      </c>
      <c r="R22" s="7">
        <f t="shared" si="113"/>
        <v>0.12</v>
      </c>
      <c r="T22" s="7">
        <f>T12/T11</f>
        <v>0.1987500000000002</v>
      </c>
      <c r="U22" s="7">
        <f t="shared" ref="U22:W22" si="114">U12/U11</f>
        <v>0.19215686274509769</v>
      </c>
      <c r="V22" s="7">
        <f t="shared" si="114"/>
        <v>0.25679758308157169</v>
      </c>
      <c r="W22" s="7">
        <f t="shared" si="114"/>
        <v>0.20267417311752267</v>
      </c>
      <c r="X22" s="7">
        <f t="shared" ref="X22:AG22" si="115">X12/X11</f>
        <v>0.27498588368153565</v>
      </c>
      <c r="Y22" s="7">
        <f t="shared" si="115"/>
        <v>3.4482758620689558E-2</v>
      </c>
      <c r="Z22" s="7">
        <f t="shared" si="115"/>
        <v>0.24806201550387597</v>
      </c>
      <c r="AA22" s="7">
        <f t="shared" si="115"/>
        <v>0.10703928288953343</v>
      </c>
      <c r="AB22" s="7">
        <f t="shared" si="115"/>
        <v>0.17427107849923895</v>
      </c>
      <c r="AC22" s="7">
        <f t="shared" si="115"/>
        <v>0.2</v>
      </c>
      <c r="AD22" s="7">
        <f t="shared" si="115"/>
        <v>0.2</v>
      </c>
      <c r="AE22" s="7">
        <f t="shared" si="115"/>
        <v>0.2</v>
      </c>
      <c r="AF22" s="7">
        <f t="shared" si="115"/>
        <v>0.19999999999999998</v>
      </c>
      <c r="AG22" s="7">
        <f t="shared" si="115"/>
        <v>0.2</v>
      </c>
      <c r="AH22" s="7">
        <f t="shared" ref="AH22:AL22" si="116">AH12/AH11</f>
        <v>0.2</v>
      </c>
      <c r="AI22" s="7">
        <f t="shared" si="116"/>
        <v>0.2</v>
      </c>
      <c r="AJ22" s="7">
        <f t="shared" si="116"/>
        <v>0.2</v>
      </c>
      <c r="AK22" s="7">
        <f t="shared" si="116"/>
        <v>0.2</v>
      </c>
      <c r="AL22" s="7">
        <f t="shared" si="116"/>
        <v>0.2</v>
      </c>
      <c r="AN22" t="s">
        <v>30</v>
      </c>
      <c r="AO22" s="3">
        <f>Main!D8</f>
        <v>-229.5</v>
      </c>
    </row>
    <row r="23" spans="2:41" x14ac:dyDescent="0.3">
      <c r="B23" t="s">
        <v>44</v>
      </c>
      <c r="C23" s="7">
        <f>C13/C3</f>
        <v>2.1155340644158426E-2</v>
      </c>
      <c r="D23" s="7">
        <f t="shared" ref="D23:J23" si="117">D13/D3</f>
        <v>4.5981575603558013E-2</v>
      </c>
      <c r="E23" s="7">
        <f t="shared" si="117"/>
        <v>2.2822365918600228E-3</v>
      </c>
      <c r="F23" s="7">
        <f t="shared" si="117"/>
        <v>1.5221987315010507E-2</v>
      </c>
      <c r="G23" s="7">
        <f t="shared" si="117"/>
        <v>1.4466432865731479E-2</v>
      </c>
      <c r="H23" s="7">
        <f t="shared" si="117"/>
        <v>5.4118917621647569E-2</v>
      </c>
      <c r="I23" s="7">
        <f t="shared" si="117"/>
        <v>4.1398856217419927E-2</v>
      </c>
      <c r="J23" s="7">
        <f t="shared" si="117"/>
        <v>2.4087666701126893E-2</v>
      </c>
      <c r="K23" s="7">
        <f t="shared" ref="K23:P23" si="118">K13/K3</f>
        <v>-6.8858839379273276E-3</v>
      </c>
      <c r="L23" s="7">
        <f t="shared" si="118"/>
        <v>-8.7973504450423994E-3</v>
      </c>
      <c r="M23" s="7">
        <f t="shared" si="118"/>
        <v>-0.11854829946756501</v>
      </c>
      <c r="N23" s="7">
        <f t="shared" si="118"/>
        <v>-2.8673415647491284E-3</v>
      </c>
      <c r="O23" s="7">
        <f t="shared" si="118"/>
        <v>-0.16150883251427819</v>
      </c>
      <c r="P23" s="7">
        <f t="shared" si="118"/>
        <v>-6.8214285714285464E-2</v>
      </c>
      <c r="Q23" s="7">
        <f t="shared" ref="Q23:R23" si="119">Q13/Q3</f>
        <v>-0.15299368939510535</v>
      </c>
      <c r="R23" s="7">
        <f t="shared" si="119"/>
        <v>-7.0356435643563675E-3</v>
      </c>
      <c r="T23" s="7">
        <f t="shared" ref="T23:AG23" si="120">T13/T3</f>
        <v>3.3322936161364065E-2</v>
      </c>
      <c r="U23" s="7">
        <f t="shared" si="120"/>
        <v>3.4087618417242463E-2</v>
      </c>
      <c r="V23" s="7">
        <f t="shared" si="120"/>
        <v>8.9994512529723465E-3</v>
      </c>
      <c r="W23" s="7">
        <f t="shared" si="120"/>
        <v>3.4717328022062247E-2</v>
      </c>
      <c r="X23" s="7">
        <f t="shared" si="120"/>
        <v>3.2834675872650591E-2</v>
      </c>
      <c r="Y23" s="7">
        <f t="shared" si="120"/>
        <v>-7.8242093230026909E-3</v>
      </c>
      <c r="Z23" s="7">
        <f t="shared" si="120"/>
        <v>-6.2853923087758834E-2</v>
      </c>
      <c r="AA23" s="7">
        <f t="shared" si="120"/>
        <v>-0.11655998348131312</v>
      </c>
      <c r="AB23" s="7">
        <f t="shared" si="120"/>
        <v>-7.6932409523107301E-2</v>
      </c>
      <c r="AC23" s="7">
        <f t="shared" si="120"/>
        <v>-3.0329127495192097E-2</v>
      </c>
      <c r="AD23" s="7">
        <f t="shared" si="120"/>
        <v>-2.2133045647749648E-3</v>
      </c>
      <c r="AE23" s="7">
        <f t="shared" si="120"/>
        <v>1.9876710064764665E-2</v>
      </c>
      <c r="AF23" s="7">
        <f t="shared" si="120"/>
        <v>2.3048936708891663E-2</v>
      </c>
      <c r="AG23" s="7">
        <f t="shared" si="120"/>
        <v>2.6199129939484964E-2</v>
      </c>
      <c r="AH23" s="7">
        <f t="shared" ref="AH23:AL23" si="121">AH13/AH3</f>
        <v>2.6529037516080559E-2</v>
      </c>
      <c r="AI23" s="7">
        <f t="shared" si="121"/>
        <v>2.6872010739274057E-2</v>
      </c>
      <c r="AJ23" s="7">
        <f t="shared" si="121"/>
        <v>2.7228567060415782E-2</v>
      </c>
      <c r="AK23" s="7">
        <f t="shared" si="121"/>
        <v>2.7599244423978968E-2</v>
      </c>
      <c r="AL23" s="7">
        <f t="shared" si="121"/>
        <v>2.7984602079168343E-2</v>
      </c>
      <c r="AN23" t="s">
        <v>31</v>
      </c>
      <c r="AO23" s="3">
        <f>AO21+AO22</f>
        <v>153.79272213218178</v>
      </c>
    </row>
    <row r="24" spans="2:41" x14ac:dyDescent="0.3">
      <c r="AN24" t="s">
        <v>32</v>
      </c>
      <c r="AO24" s="12">
        <f>AO23/AG14</f>
        <v>1.2902074004377666</v>
      </c>
    </row>
    <row r="25" spans="2:41" x14ac:dyDescent="0.3">
      <c r="B25" s="1" t="s">
        <v>5</v>
      </c>
      <c r="C25" s="1"/>
      <c r="D25" s="1"/>
      <c r="E25" s="1"/>
      <c r="F25" s="1"/>
      <c r="G25" s="1"/>
      <c r="H25" s="1"/>
      <c r="I25" s="1"/>
      <c r="J25" s="9">
        <f t="shared" ref="J25:K25" si="122">J27+J28+J33+J36-J46-J52</f>
        <v>-84.5</v>
      </c>
      <c r="K25" s="9">
        <f t="shared" si="122"/>
        <v>-21.799999999999955</v>
      </c>
      <c r="L25" s="9">
        <f t="shared" ref="L25" si="123">L27+L28+L33+L36-L46-L52</f>
        <v>-282.09999999999997</v>
      </c>
      <c r="M25" s="9">
        <f t="shared" ref="M25:N25" si="124">M27+M28+M33+M36-M46-M52</f>
        <v>-384</v>
      </c>
      <c r="N25" s="9">
        <f t="shared" si="124"/>
        <v>-282.09999999999997</v>
      </c>
      <c r="O25" s="9">
        <f>O27+O28+O33+O36-O46-O52</f>
        <v>-326.10000000000002</v>
      </c>
      <c r="P25" s="9">
        <f>P27+P28+P33+P36-P46-P52</f>
        <v>-114.70000000000005</v>
      </c>
      <c r="Q25" s="9">
        <f>Q27+Q28+Q33+Q36-Q46-Q52</f>
        <v>-258.3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N25" t="s">
        <v>33</v>
      </c>
      <c r="AO25" s="12">
        <f>Main!D3</f>
        <v>2.9350000000000001</v>
      </c>
    </row>
    <row r="26" spans="2:41" x14ac:dyDescent="0.3">
      <c r="B26" t="s">
        <v>53</v>
      </c>
      <c r="J26" s="3">
        <v>23</v>
      </c>
      <c r="K26" s="3">
        <v>8.6999999999999993</v>
      </c>
      <c r="L26" s="3">
        <v>9.4</v>
      </c>
      <c r="M26" s="3">
        <v>3.9</v>
      </c>
      <c r="N26" s="3">
        <v>9.4</v>
      </c>
      <c r="O26" s="3">
        <v>3.5</v>
      </c>
      <c r="P26" s="3">
        <v>6.7</v>
      </c>
      <c r="Q26" s="3">
        <v>7.8</v>
      </c>
      <c r="AN26" s="1" t="s">
        <v>34</v>
      </c>
      <c r="AO26" s="10">
        <f>AO24/AO25-1</f>
        <v>-0.56040633715919363</v>
      </c>
    </row>
    <row r="27" spans="2:41" x14ac:dyDescent="0.3">
      <c r="B27" t="s">
        <v>3</v>
      </c>
      <c r="J27" s="3">
        <v>323</v>
      </c>
      <c r="K27" s="3">
        <v>406.7</v>
      </c>
      <c r="L27" s="3">
        <v>353.3</v>
      </c>
      <c r="M27" s="3">
        <v>308.60000000000002</v>
      </c>
      <c r="N27" s="3">
        <v>353.3</v>
      </c>
      <c r="O27" s="3">
        <v>332.3</v>
      </c>
      <c r="P27" s="3">
        <f>391+165.5</f>
        <v>556.5</v>
      </c>
      <c r="Q27" s="3">
        <v>220.7</v>
      </c>
      <c r="AN27" t="s">
        <v>35</v>
      </c>
      <c r="AO27" s="11" t="s">
        <v>87</v>
      </c>
    </row>
    <row r="28" spans="2:41" x14ac:dyDescent="0.3">
      <c r="B28" t="s">
        <v>52</v>
      </c>
      <c r="J28" s="3">
        <v>41.4</v>
      </c>
      <c r="K28" s="3">
        <v>40.799999999999997</v>
      </c>
      <c r="L28" s="3">
        <v>22.4</v>
      </c>
      <c r="M28" s="3">
        <v>25.2</v>
      </c>
      <c r="N28" s="3">
        <v>22.4</v>
      </c>
      <c r="O28" s="3">
        <v>12.9</v>
      </c>
      <c r="P28" s="3">
        <v>9.5</v>
      </c>
      <c r="Q28" s="3">
        <v>10.4</v>
      </c>
    </row>
    <row r="29" spans="2:41" x14ac:dyDescent="0.3">
      <c r="B29" t="s">
        <v>54</v>
      </c>
      <c r="J29" s="3">
        <v>88.2</v>
      </c>
      <c r="K29" s="3">
        <v>87.4</v>
      </c>
      <c r="L29" s="3">
        <v>81.400000000000006</v>
      </c>
      <c r="M29" s="3">
        <v>63.4</v>
      </c>
      <c r="N29" s="3">
        <v>81.400000000000006</v>
      </c>
      <c r="O29" s="3">
        <v>81.8</v>
      </c>
      <c r="P29" s="3">
        <v>53.4</v>
      </c>
      <c r="Q29" s="3">
        <v>63.7</v>
      </c>
      <c r="AO29" t="s">
        <v>84</v>
      </c>
    </row>
    <row r="30" spans="2:41" s="1" customFormat="1" x14ac:dyDescent="0.3">
      <c r="B30" t="s">
        <v>55</v>
      </c>
      <c r="C30"/>
      <c r="D30"/>
      <c r="E30"/>
      <c r="F30"/>
      <c r="G30"/>
      <c r="H30"/>
      <c r="I30"/>
      <c r="J30" s="3">
        <v>1078.4000000000001</v>
      </c>
      <c r="K30" s="3">
        <v>986.4</v>
      </c>
      <c r="L30" s="3">
        <v>768</v>
      </c>
      <c r="M30" s="3">
        <v>978.4</v>
      </c>
      <c r="N30" s="3">
        <v>768</v>
      </c>
      <c r="O30" s="3">
        <v>592.5</v>
      </c>
      <c r="P30" s="3">
        <v>520.29999999999995</v>
      </c>
      <c r="Q30" s="3">
        <v>411.7</v>
      </c>
    </row>
    <row r="31" spans="2:41" x14ac:dyDescent="0.3">
      <c r="B31" s="1" t="s">
        <v>57</v>
      </c>
      <c r="C31" s="1"/>
      <c r="D31" s="1"/>
      <c r="E31" s="1"/>
      <c r="F31" s="1"/>
      <c r="G31" s="1"/>
      <c r="H31" s="1"/>
      <c r="I31" s="1"/>
      <c r="J31" s="9">
        <f t="shared" ref="J31:P31" si="125">SUM(J26:J30)</f>
        <v>1554</v>
      </c>
      <c r="K31" s="9">
        <f t="shared" si="125"/>
        <v>1530</v>
      </c>
      <c r="L31" s="9">
        <f t="shared" si="125"/>
        <v>1234.5</v>
      </c>
      <c r="M31" s="9">
        <f t="shared" si="125"/>
        <v>1379.5</v>
      </c>
      <c r="N31" s="9">
        <f t="shared" si="125"/>
        <v>1234.5</v>
      </c>
      <c r="O31" s="9">
        <f t="shared" si="125"/>
        <v>1023</v>
      </c>
      <c r="P31" s="9">
        <f t="shared" si="125"/>
        <v>1146.4000000000001</v>
      </c>
      <c r="Q31" s="9">
        <f t="shared" ref="Q31" si="126">SUM(Q26:Q30)</f>
        <v>714.3</v>
      </c>
    </row>
    <row r="32" spans="2:41" x14ac:dyDescent="0.3">
      <c r="B32" t="s">
        <v>53</v>
      </c>
      <c r="J32" s="3">
        <v>0</v>
      </c>
      <c r="K32" s="3">
        <v>14.7</v>
      </c>
      <c r="L32" s="3">
        <v>17.8</v>
      </c>
      <c r="M32" s="3">
        <v>15.2</v>
      </c>
      <c r="N32" s="3">
        <v>17.8</v>
      </c>
      <c r="O32" s="3">
        <v>50.9</v>
      </c>
      <c r="P32" s="3">
        <v>62.5</v>
      </c>
      <c r="Q32" s="3">
        <v>104.7</v>
      </c>
    </row>
    <row r="33" spans="2:17" x14ac:dyDescent="0.3">
      <c r="B33" t="s">
        <v>52</v>
      </c>
      <c r="J33" s="3">
        <v>27</v>
      </c>
      <c r="K33" s="3">
        <v>0</v>
      </c>
      <c r="L33" s="3">
        <v>4.0999999999999996</v>
      </c>
      <c r="M33" s="3">
        <v>9.6999999999999993</v>
      </c>
      <c r="N33" s="3">
        <v>4.0999999999999996</v>
      </c>
      <c r="O33" s="3">
        <v>0.4</v>
      </c>
      <c r="P33" s="3">
        <v>0.3</v>
      </c>
      <c r="Q33" s="3">
        <v>0.5</v>
      </c>
    </row>
    <row r="34" spans="2:17" x14ac:dyDescent="0.3">
      <c r="B34" t="s">
        <v>54</v>
      </c>
      <c r="J34" s="3"/>
      <c r="K34" s="3"/>
      <c r="L34" s="3"/>
      <c r="M34" s="3"/>
      <c r="N34" s="3"/>
      <c r="O34" s="3"/>
      <c r="P34" s="3">
        <v>3.7</v>
      </c>
      <c r="Q34" s="3">
        <v>2.9</v>
      </c>
    </row>
    <row r="35" spans="2:17" x14ac:dyDescent="0.3">
      <c r="B35" t="s">
        <v>85</v>
      </c>
      <c r="J35" s="3"/>
      <c r="K35" s="3"/>
      <c r="L35" s="3"/>
      <c r="M35" s="3"/>
      <c r="N35" s="3"/>
      <c r="O35" s="3"/>
      <c r="P35" s="3">
        <v>0</v>
      </c>
      <c r="Q35" s="3">
        <v>46.3</v>
      </c>
    </row>
    <row r="36" spans="2:17" x14ac:dyDescent="0.3">
      <c r="B36" t="s">
        <v>56</v>
      </c>
      <c r="J36" s="3">
        <v>0</v>
      </c>
      <c r="K36" s="3">
        <v>0</v>
      </c>
      <c r="L36" s="3">
        <v>10.9</v>
      </c>
      <c r="M36" s="3">
        <v>12.8</v>
      </c>
      <c r="N36" s="3">
        <v>10.9</v>
      </c>
      <c r="O36" s="3">
        <v>9.4</v>
      </c>
      <c r="P36" s="3">
        <v>7.1</v>
      </c>
      <c r="Q36" s="3">
        <v>6.6</v>
      </c>
    </row>
    <row r="37" spans="2:17" x14ac:dyDescent="0.3">
      <c r="B37" t="s">
        <v>58</v>
      </c>
      <c r="J37" s="3">
        <v>380.3</v>
      </c>
      <c r="K37" s="3">
        <v>354.7</v>
      </c>
      <c r="L37" s="3">
        <v>295.2</v>
      </c>
      <c r="M37" s="3">
        <v>299.89999999999998</v>
      </c>
      <c r="N37" s="3">
        <v>295.2</v>
      </c>
      <c r="O37" s="3">
        <v>265.8</v>
      </c>
      <c r="P37" s="3">
        <v>254</v>
      </c>
      <c r="Q37" s="3">
        <v>180.2</v>
      </c>
    </row>
    <row r="38" spans="2:17" x14ac:dyDescent="0.3">
      <c r="B38" t="s">
        <v>59</v>
      </c>
      <c r="J38" s="3">
        <v>351.7</v>
      </c>
      <c r="K38" s="3">
        <v>324.7</v>
      </c>
      <c r="L38" s="3">
        <v>362.6</v>
      </c>
      <c r="M38" s="3">
        <v>367.4</v>
      </c>
      <c r="N38" s="3">
        <v>362.6</v>
      </c>
      <c r="O38" s="3">
        <v>289</v>
      </c>
      <c r="P38" s="3">
        <v>283.2</v>
      </c>
      <c r="Q38" s="3">
        <v>168.2</v>
      </c>
    </row>
    <row r="39" spans="2:17" s="1" customFormat="1" x14ac:dyDescent="0.3">
      <c r="B39" t="s">
        <v>60</v>
      </c>
      <c r="C39"/>
      <c r="D39"/>
      <c r="E39"/>
      <c r="F39"/>
      <c r="G39"/>
      <c r="H39"/>
      <c r="I39"/>
      <c r="J39" s="3">
        <v>683.9</v>
      </c>
      <c r="K39" s="3">
        <v>664.3</v>
      </c>
      <c r="L39" s="3">
        <v>700.5</v>
      </c>
      <c r="M39" s="3">
        <v>703.6</v>
      </c>
      <c r="N39" s="3">
        <v>700.5</v>
      </c>
      <c r="O39" s="3">
        <v>691.7</v>
      </c>
      <c r="P39" s="3">
        <v>514</v>
      </c>
      <c r="Q39" s="3">
        <v>492.4</v>
      </c>
    </row>
    <row r="40" spans="2:17" s="1" customFormat="1" x14ac:dyDescent="0.3">
      <c r="B40" s="1" t="s">
        <v>61</v>
      </c>
      <c r="J40" s="9">
        <f t="shared" ref="J40:P40" si="127">SUM(J32:J39)</f>
        <v>1442.9</v>
      </c>
      <c r="K40" s="9">
        <f t="shared" si="127"/>
        <v>1358.3999999999999</v>
      </c>
      <c r="L40" s="9">
        <f t="shared" si="127"/>
        <v>1391.1</v>
      </c>
      <c r="M40" s="9">
        <f t="shared" si="127"/>
        <v>1408.6</v>
      </c>
      <c r="N40" s="9">
        <f t="shared" si="127"/>
        <v>1391.1</v>
      </c>
      <c r="O40" s="9">
        <f t="shared" si="127"/>
        <v>1307.2</v>
      </c>
      <c r="P40" s="9">
        <f t="shared" si="127"/>
        <v>1124.8</v>
      </c>
      <c r="Q40" s="9">
        <f t="shared" ref="Q40" si="128">SUM(Q32:Q39)</f>
        <v>1001.8</v>
      </c>
    </row>
    <row r="41" spans="2:17" x14ac:dyDescent="0.3">
      <c r="B41" s="1" t="s">
        <v>68</v>
      </c>
      <c r="C41" s="1"/>
      <c r="D41" s="1"/>
      <c r="E41" s="1"/>
      <c r="F41" s="1"/>
      <c r="G41" s="1"/>
      <c r="H41" s="1"/>
      <c r="I41" s="1"/>
      <c r="J41" s="13">
        <f t="shared" ref="J41:P41" si="129">J31+J40</f>
        <v>2996.9</v>
      </c>
      <c r="K41" s="13">
        <f t="shared" si="129"/>
        <v>2888.3999999999996</v>
      </c>
      <c r="L41" s="13">
        <f t="shared" si="129"/>
        <v>2625.6</v>
      </c>
      <c r="M41" s="13">
        <f t="shared" si="129"/>
        <v>2788.1</v>
      </c>
      <c r="N41" s="13">
        <f t="shared" si="129"/>
        <v>2625.6</v>
      </c>
      <c r="O41" s="13">
        <f t="shared" si="129"/>
        <v>2330.1999999999998</v>
      </c>
      <c r="P41" s="13">
        <f t="shared" si="129"/>
        <v>2271.1999999999998</v>
      </c>
      <c r="Q41" s="13">
        <f t="shared" ref="Q41" si="130">Q31+Q40</f>
        <v>1716.1</v>
      </c>
    </row>
    <row r="42" spans="2:17" x14ac:dyDescent="0.3">
      <c r="B42" t="s">
        <v>53</v>
      </c>
      <c r="C42" s="1"/>
      <c r="D42" s="1"/>
      <c r="E42" s="1"/>
      <c r="F42" s="1"/>
      <c r="G42" s="1"/>
      <c r="H42" s="1"/>
      <c r="I42" s="1"/>
      <c r="J42" s="13"/>
      <c r="K42" s="13"/>
      <c r="L42" s="13"/>
      <c r="M42" s="13"/>
      <c r="N42" s="13"/>
      <c r="O42" s="13"/>
      <c r="P42" s="3">
        <v>4.2</v>
      </c>
      <c r="Q42" s="3">
        <v>4.5</v>
      </c>
    </row>
    <row r="43" spans="2:17" x14ac:dyDescent="0.3">
      <c r="B43" t="s">
        <v>62</v>
      </c>
      <c r="J43" s="3">
        <v>0</v>
      </c>
      <c r="K43" s="3">
        <v>0</v>
      </c>
      <c r="L43" s="3">
        <v>2</v>
      </c>
      <c r="M43" s="3">
        <v>1.7</v>
      </c>
      <c r="N43" s="3">
        <v>2</v>
      </c>
      <c r="O43" s="3">
        <v>3</v>
      </c>
      <c r="P43" s="3">
        <v>2.7</v>
      </c>
      <c r="Q43" s="3">
        <v>4.9000000000000004</v>
      </c>
    </row>
    <row r="44" spans="2:17" x14ac:dyDescent="0.3">
      <c r="B44" t="s">
        <v>52</v>
      </c>
      <c r="J44" s="3">
        <v>21</v>
      </c>
      <c r="K44" s="3">
        <v>6.5</v>
      </c>
      <c r="L44" s="3">
        <v>6</v>
      </c>
      <c r="M44" s="3">
        <v>11.2</v>
      </c>
      <c r="N44" s="3">
        <v>6</v>
      </c>
      <c r="O44" s="3">
        <v>3.3</v>
      </c>
      <c r="P44" s="3">
        <v>6.6</v>
      </c>
      <c r="Q44" s="3">
        <v>4.3</v>
      </c>
    </row>
    <row r="45" spans="2:17" x14ac:dyDescent="0.3">
      <c r="B45" t="s">
        <v>58</v>
      </c>
      <c r="J45" s="3">
        <v>24.3</v>
      </c>
      <c r="K45" s="3">
        <v>24.9</v>
      </c>
      <c r="L45" s="3">
        <v>25.3</v>
      </c>
      <c r="M45" s="3">
        <v>29.8</v>
      </c>
      <c r="N45" s="3">
        <v>25.3</v>
      </c>
      <c r="O45" s="3">
        <v>34.799999999999997</v>
      </c>
      <c r="P45" s="3">
        <v>27.2</v>
      </c>
      <c r="Q45" s="3">
        <v>26.4</v>
      </c>
    </row>
    <row r="46" spans="2:17" x14ac:dyDescent="0.3">
      <c r="B46" t="s">
        <v>4</v>
      </c>
      <c r="J46" s="3">
        <v>1.4</v>
      </c>
      <c r="K46" s="3">
        <v>1.4</v>
      </c>
      <c r="L46" s="3">
        <v>1.5</v>
      </c>
      <c r="M46" s="3">
        <v>9.3000000000000007</v>
      </c>
      <c r="N46" s="3">
        <v>1.5</v>
      </c>
      <c r="O46" s="3">
        <v>2.2999999999999998</v>
      </c>
      <c r="P46" s="3">
        <v>1.6</v>
      </c>
      <c r="Q46" s="3">
        <v>18.5</v>
      </c>
    </row>
    <row r="47" spans="2:17" s="1" customFormat="1" x14ac:dyDescent="0.3">
      <c r="B47" t="s">
        <v>63</v>
      </c>
      <c r="C47"/>
      <c r="D47"/>
      <c r="E47"/>
      <c r="F47"/>
      <c r="G47"/>
      <c r="H47"/>
      <c r="I47"/>
      <c r="J47" s="3">
        <v>993.3</v>
      </c>
      <c r="K47" s="3">
        <v>927</v>
      </c>
      <c r="L47" s="3">
        <v>680.4</v>
      </c>
      <c r="M47" s="3">
        <v>837.3</v>
      </c>
      <c r="N47" s="3">
        <v>680.4</v>
      </c>
      <c r="O47" s="3">
        <v>633</v>
      </c>
      <c r="P47" s="3">
        <v>671.7</v>
      </c>
      <c r="Q47" s="3">
        <v>546.70000000000005</v>
      </c>
    </row>
    <row r="48" spans="2:17" x14ac:dyDescent="0.3">
      <c r="B48" s="1" t="s">
        <v>64</v>
      </c>
      <c r="C48" s="1"/>
      <c r="D48" s="1"/>
      <c r="E48" s="1"/>
      <c r="F48" s="1"/>
      <c r="G48" s="1"/>
      <c r="H48" s="1"/>
      <c r="I48" s="1"/>
      <c r="J48" s="9">
        <f t="shared" ref="J48:O48" si="131">SUM(J43:J47)</f>
        <v>1040</v>
      </c>
      <c r="K48" s="9">
        <f t="shared" si="131"/>
        <v>959.8</v>
      </c>
      <c r="L48" s="9">
        <f t="shared" si="131"/>
        <v>715.19999999999993</v>
      </c>
      <c r="M48" s="9">
        <f t="shared" si="131"/>
        <v>889.3</v>
      </c>
      <c r="N48" s="9">
        <f t="shared" si="131"/>
        <v>715.19999999999993</v>
      </c>
      <c r="O48" s="9">
        <f t="shared" si="131"/>
        <v>676.4</v>
      </c>
      <c r="P48" s="9">
        <f>SUM(P42:P47)</f>
        <v>714</v>
      </c>
      <c r="Q48" s="9">
        <f>SUM(Q42:Q47)</f>
        <v>605.30000000000007</v>
      </c>
    </row>
    <row r="49" spans="2:38" x14ac:dyDescent="0.3">
      <c r="B49" t="s">
        <v>62</v>
      </c>
      <c r="J49" s="3">
        <f>41.9+58.2</f>
        <v>100.1</v>
      </c>
      <c r="K49" s="3">
        <f>45.9+45.6</f>
        <v>91.5</v>
      </c>
      <c r="L49" s="3">
        <v>68.2</v>
      </c>
      <c r="M49" s="3">
        <v>54.2</v>
      </c>
      <c r="N49" s="3">
        <v>68.2</v>
      </c>
      <c r="O49" s="3">
        <v>86.6</v>
      </c>
      <c r="P49" s="3">
        <v>86.5</v>
      </c>
      <c r="Q49" s="3">
        <v>102.9</v>
      </c>
    </row>
    <row r="50" spans="2:38" x14ac:dyDescent="0.3">
      <c r="B50" t="s">
        <v>52</v>
      </c>
      <c r="J50" s="3">
        <v>11.6</v>
      </c>
      <c r="K50" s="3">
        <v>1.8</v>
      </c>
      <c r="L50" s="3">
        <v>0.5</v>
      </c>
      <c r="M50" s="3">
        <v>3.8</v>
      </c>
      <c r="N50" s="3">
        <v>0.5</v>
      </c>
      <c r="O50" s="3">
        <v>0.5</v>
      </c>
      <c r="P50" s="3">
        <v>0.5</v>
      </c>
      <c r="Q50" s="3">
        <v>0.2</v>
      </c>
    </row>
    <row r="51" spans="2:38" x14ac:dyDescent="0.3">
      <c r="B51" t="s">
        <v>58</v>
      </c>
      <c r="J51" s="3">
        <v>355.8</v>
      </c>
      <c r="K51" s="3">
        <v>320.2</v>
      </c>
      <c r="L51" s="3">
        <v>303.7</v>
      </c>
      <c r="M51" s="3">
        <v>316.10000000000002</v>
      </c>
      <c r="N51" s="3">
        <v>303.7</v>
      </c>
      <c r="O51" s="3">
        <v>268.3</v>
      </c>
      <c r="P51" s="3">
        <v>262.39999999999998</v>
      </c>
      <c r="Q51" s="3">
        <v>208.9</v>
      </c>
    </row>
    <row r="52" spans="2:38" s="1" customFormat="1" x14ac:dyDescent="0.3">
      <c r="B52" t="s">
        <v>4</v>
      </c>
      <c r="C52"/>
      <c r="D52"/>
      <c r="E52"/>
      <c r="F52"/>
      <c r="G52"/>
      <c r="H52"/>
      <c r="I52"/>
      <c r="J52" s="3">
        <v>474.5</v>
      </c>
      <c r="K52" s="3">
        <v>467.9</v>
      </c>
      <c r="L52" s="3">
        <v>671.3</v>
      </c>
      <c r="M52" s="3">
        <v>731</v>
      </c>
      <c r="N52" s="3">
        <v>671.3</v>
      </c>
      <c r="O52" s="3">
        <v>678.8</v>
      </c>
      <c r="P52" s="3">
        <v>686.5</v>
      </c>
      <c r="Q52" s="3">
        <v>478</v>
      </c>
    </row>
    <row r="53" spans="2:38" s="1" customFormat="1" x14ac:dyDescent="0.3">
      <c r="B53" s="1" t="s">
        <v>65</v>
      </c>
      <c r="J53" s="9">
        <f t="shared" ref="J53:P53" si="132">SUM(J49:J52)</f>
        <v>942</v>
      </c>
      <c r="K53" s="9">
        <f t="shared" si="132"/>
        <v>881.4</v>
      </c>
      <c r="L53" s="9">
        <f t="shared" si="132"/>
        <v>1043.6999999999998</v>
      </c>
      <c r="M53" s="9">
        <f t="shared" si="132"/>
        <v>1105.0999999999999</v>
      </c>
      <c r="N53" s="9">
        <f t="shared" si="132"/>
        <v>1043.6999999999998</v>
      </c>
      <c r="O53" s="9">
        <f t="shared" si="132"/>
        <v>1034.1999999999998</v>
      </c>
      <c r="P53" s="9">
        <f t="shared" si="132"/>
        <v>1035.9000000000001</v>
      </c>
      <c r="Q53" s="9">
        <f t="shared" ref="Q53" si="133">SUM(Q49:Q52)</f>
        <v>790</v>
      </c>
    </row>
    <row r="54" spans="2:38" s="1" customFormat="1" x14ac:dyDescent="0.3">
      <c r="B54" s="1" t="s">
        <v>66</v>
      </c>
      <c r="J54" s="9">
        <v>1014.9</v>
      </c>
      <c r="K54" s="9">
        <v>1047.2</v>
      </c>
      <c r="L54" s="9">
        <v>866.7</v>
      </c>
      <c r="M54" s="9">
        <v>793.7</v>
      </c>
      <c r="N54" s="9">
        <v>866.7</v>
      </c>
      <c r="O54" s="9">
        <v>619.6</v>
      </c>
      <c r="P54" s="9">
        <v>521.29999999999995</v>
      </c>
      <c r="Q54" s="9">
        <v>320.8</v>
      </c>
    </row>
    <row r="55" spans="2:38" x14ac:dyDescent="0.3">
      <c r="B55" s="1" t="s">
        <v>67</v>
      </c>
      <c r="C55" s="1"/>
      <c r="D55" s="1"/>
      <c r="E55" s="1"/>
      <c r="F55" s="1"/>
      <c r="G55" s="1"/>
      <c r="H55" s="1"/>
      <c r="I55" s="1"/>
      <c r="J55" s="13">
        <f t="shared" ref="J55:P55" si="134">J48+J53+J54</f>
        <v>2996.9</v>
      </c>
      <c r="K55" s="13">
        <f t="shared" si="134"/>
        <v>2888.3999999999996</v>
      </c>
      <c r="L55" s="13">
        <f t="shared" si="134"/>
        <v>2625.5999999999995</v>
      </c>
      <c r="M55" s="13">
        <f t="shared" si="134"/>
        <v>2788.1</v>
      </c>
      <c r="N55" s="13">
        <f t="shared" si="134"/>
        <v>2625.5999999999995</v>
      </c>
      <c r="O55" s="13">
        <f t="shared" si="134"/>
        <v>2330.1999999999998</v>
      </c>
      <c r="P55" s="13">
        <f t="shared" si="134"/>
        <v>2271.1999999999998</v>
      </c>
      <c r="Q55" s="13">
        <f t="shared" ref="Q55" si="135">Q48+Q53+Q54</f>
        <v>1716.1000000000001</v>
      </c>
    </row>
    <row r="56" spans="2:38" x14ac:dyDescent="0.3">
      <c r="N56" s="3"/>
    </row>
    <row r="57" spans="2:38" s="1" customFormat="1" x14ac:dyDescent="0.3">
      <c r="B57" s="1" t="s">
        <v>15</v>
      </c>
      <c r="H57" s="9"/>
      <c r="I57" s="9"/>
      <c r="J57" s="9"/>
      <c r="K57" s="9">
        <f t="shared" ref="K57:L57" si="136">K8</f>
        <v>-4.7000000000001592</v>
      </c>
      <c r="L57" s="9">
        <f t="shared" si="136"/>
        <v>-25.699999999999932</v>
      </c>
      <c r="M57" s="9">
        <f>M8</f>
        <v>-273.50000000000017</v>
      </c>
      <c r="N57" s="9">
        <f>N8</f>
        <v>23.000000000000227</v>
      </c>
      <c r="O57" s="9">
        <f>O8</f>
        <v>-247.90000000000009</v>
      </c>
      <c r="P57" s="9">
        <f>P8</f>
        <v>-85.999999999999659</v>
      </c>
      <c r="Q57" s="9">
        <f t="shared" ref="Q57:R57" si="137">Q8</f>
        <v>-226.39999999999992</v>
      </c>
      <c r="R57" s="9">
        <f t="shared" si="137"/>
        <v>12.695000000000107</v>
      </c>
      <c r="Y57" s="9">
        <f>Y8</f>
        <v>-30.400000000000091</v>
      </c>
      <c r="Z57" s="9">
        <f>Z8</f>
        <v>-250.5</v>
      </c>
      <c r="AA57" s="9">
        <f>AA8</f>
        <v>-333.89999999999975</v>
      </c>
      <c r="AB57" s="9">
        <f>AB8</f>
        <v>-213.70499999999936</v>
      </c>
      <c r="AC57" s="9">
        <f t="shared" ref="AC57:AL57" si="138">AC8</f>
        <v>-74.760699999999588</v>
      </c>
      <c r="AD57" s="9">
        <f t="shared" si="138"/>
        <v>28.957593000000315</v>
      </c>
      <c r="AE57" s="9">
        <f t="shared" si="138"/>
        <v>116.99852493000026</v>
      </c>
      <c r="AF57" s="9">
        <f t="shared" si="138"/>
        <v>130.75769578830045</v>
      </c>
      <c r="AG57" s="9">
        <f t="shared" si="138"/>
        <v>144.90624206736334</v>
      </c>
      <c r="AH57" s="9">
        <f t="shared" si="138"/>
        <v>146.35530448803684</v>
      </c>
      <c r="AI57" s="9">
        <f t="shared" si="138"/>
        <v>147.81885753291726</v>
      </c>
      <c r="AJ57" s="9">
        <f t="shared" si="138"/>
        <v>149.29704610824638</v>
      </c>
      <c r="AK57" s="9">
        <f t="shared" si="138"/>
        <v>150.79001656932883</v>
      </c>
      <c r="AL57" s="9">
        <f t="shared" si="138"/>
        <v>152.29791673502177</v>
      </c>
    </row>
    <row r="58" spans="2:38" x14ac:dyDescent="0.3">
      <c r="B58" t="s">
        <v>69</v>
      </c>
      <c r="I58" s="3"/>
      <c r="J58" s="3"/>
      <c r="K58" s="3">
        <v>30</v>
      </c>
      <c r="L58" s="3">
        <f t="shared" ref="L58:L67" si="139">L78-K58</f>
        <v>31</v>
      </c>
      <c r="M58" s="3">
        <v>34.5</v>
      </c>
      <c r="N58" s="3">
        <f t="shared" ref="N58:N67" si="140">N78-M58</f>
        <v>33.299999999999997</v>
      </c>
      <c r="O58" s="3">
        <v>28.9</v>
      </c>
      <c r="P58" s="3">
        <f t="shared" ref="P58:P67" si="141">P78-O58</f>
        <v>26.1</v>
      </c>
      <c r="Q58" s="3">
        <v>26.2</v>
      </c>
      <c r="R58" s="3">
        <v>25</v>
      </c>
      <c r="Y58" s="3">
        <v>61</v>
      </c>
      <c r="Z58" s="3">
        <v>67.8</v>
      </c>
      <c r="AA58" s="3">
        <f>SUM(O58:P58)</f>
        <v>55</v>
      </c>
      <c r="AB58" s="3">
        <f>SUM(Q58:R58)</f>
        <v>51.2</v>
      </c>
      <c r="AC58" s="3">
        <f>AB58*0.98</f>
        <v>50.176000000000002</v>
      </c>
      <c r="AD58" s="3">
        <f t="shared" ref="AD58:AE58" si="142">AC58*0.98</f>
        <v>49.17248</v>
      </c>
      <c r="AE58" s="3">
        <f t="shared" si="142"/>
        <v>48.1890304</v>
      </c>
      <c r="AF58" s="3">
        <f>AE58*1.02</f>
        <v>49.152811008</v>
      </c>
      <c r="AG58" s="3">
        <f t="shared" ref="AG58:AL58" si="143">AF58*1.02</f>
        <v>50.135867228160002</v>
      </c>
      <c r="AH58" s="3">
        <f t="shared" si="143"/>
        <v>51.138584572723204</v>
      </c>
      <c r="AI58" s="3">
        <f t="shared" si="143"/>
        <v>52.16135626417767</v>
      </c>
      <c r="AJ58" s="3">
        <f t="shared" si="143"/>
        <v>53.204583389461227</v>
      </c>
      <c r="AK58" s="3">
        <f t="shared" si="143"/>
        <v>54.268675057250455</v>
      </c>
      <c r="AL58" s="3">
        <f t="shared" si="143"/>
        <v>55.354048558395462</v>
      </c>
    </row>
    <row r="59" spans="2:38" x14ac:dyDescent="0.3">
      <c r="B59" t="s">
        <v>70</v>
      </c>
      <c r="I59" s="3"/>
      <c r="J59" s="3"/>
      <c r="K59" s="3">
        <v>43.7</v>
      </c>
      <c r="L59" s="3">
        <f t="shared" si="139"/>
        <v>45.099999999999994</v>
      </c>
      <c r="M59" s="3">
        <v>48.8</v>
      </c>
      <c r="N59" s="3">
        <f t="shared" si="140"/>
        <v>55.900000000000006</v>
      </c>
      <c r="O59" s="3">
        <v>58.3</v>
      </c>
      <c r="P59" s="3">
        <f t="shared" si="141"/>
        <v>59</v>
      </c>
      <c r="Q59" s="3">
        <v>57.8</v>
      </c>
      <c r="R59" s="3">
        <v>59</v>
      </c>
      <c r="Y59" s="3">
        <v>88.8</v>
      </c>
      <c r="Z59" s="3">
        <v>104.7</v>
      </c>
      <c r="AA59" s="3">
        <f t="shared" ref="AA59:AA67" si="144">SUM(O59:P59)</f>
        <v>117.3</v>
      </c>
      <c r="AB59" s="3">
        <f t="shared" ref="AB59:AB67" si="145">SUM(Q59:R59)</f>
        <v>116.8</v>
      </c>
      <c r="AC59" s="3">
        <f>AB59*0.9</f>
        <v>105.12</v>
      </c>
      <c r="AD59" s="3">
        <f t="shared" ref="AD59:AF59" si="146">AC59*0.9</f>
        <v>94.608000000000004</v>
      </c>
      <c r="AE59" s="3">
        <f t="shared" si="146"/>
        <v>85.147200000000012</v>
      </c>
      <c r="AF59" s="3">
        <f t="shared" si="146"/>
        <v>76.632480000000015</v>
      </c>
      <c r="AG59" s="3">
        <f>AF59*1.02</f>
        <v>78.165129600000014</v>
      </c>
      <c r="AH59" s="3">
        <f t="shared" ref="AH59:AL59" si="147">AG59*1.02</f>
        <v>79.728432192000014</v>
      </c>
      <c r="AI59" s="3">
        <f t="shared" si="147"/>
        <v>81.32300083584002</v>
      </c>
      <c r="AJ59" s="3">
        <f t="shared" si="147"/>
        <v>82.949460852556825</v>
      </c>
      <c r="AK59" s="3">
        <f t="shared" si="147"/>
        <v>84.608450069607969</v>
      </c>
      <c r="AL59" s="3">
        <f t="shared" si="147"/>
        <v>86.300619071000128</v>
      </c>
    </row>
    <row r="60" spans="2:38" x14ac:dyDescent="0.3">
      <c r="B60" t="s">
        <v>71</v>
      </c>
      <c r="I60" s="3"/>
      <c r="J60" s="3"/>
      <c r="K60" s="3">
        <v>18.899999999999999</v>
      </c>
      <c r="L60" s="3">
        <f t="shared" si="139"/>
        <v>0.30000000000000071</v>
      </c>
      <c r="M60" s="3">
        <v>28.9</v>
      </c>
      <c r="N60" s="3">
        <f t="shared" si="140"/>
        <v>3.2000000000000028</v>
      </c>
      <c r="O60" s="3">
        <v>115.8</v>
      </c>
      <c r="P60" s="3">
        <f t="shared" si="141"/>
        <v>3.5</v>
      </c>
      <c r="Q60" s="3">
        <v>142.5</v>
      </c>
      <c r="R60" s="3">
        <v>0</v>
      </c>
      <c r="Y60" s="3">
        <v>19.2</v>
      </c>
      <c r="Z60" s="3">
        <v>32.1</v>
      </c>
      <c r="AA60" s="3">
        <f t="shared" si="144"/>
        <v>119.3</v>
      </c>
      <c r="AB60" s="3">
        <f t="shared" si="145"/>
        <v>142.5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2:38" x14ac:dyDescent="0.3">
      <c r="B61" t="s">
        <v>72</v>
      </c>
      <c r="I61" s="3"/>
      <c r="J61" s="3"/>
      <c r="K61" s="3">
        <v>1.5</v>
      </c>
      <c r="L61" s="3">
        <f t="shared" si="139"/>
        <v>-260.2</v>
      </c>
      <c r="M61" s="3">
        <v>3.3</v>
      </c>
      <c r="N61" s="3">
        <f t="shared" si="140"/>
        <v>1.9000000000000004</v>
      </c>
      <c r="O61" s="3">
        <v>3.2</v>
      </c>
      <c r="P61" s="3">
        <f t="shared" si="141"/>
        <v>0.19999999999999973</v>
      </c>
      <c r="Q61" s="3">
        <v>2.1</v>
      </c>
      <c r="R61" s="3">
        <v>0</v>
      </c>
      <c r="Y61" s="3">
        <f>0.6-6</f>
        <v>-5.4</v>
      </c>
      <c r="Z61" s="3">
        <v>5.2</v>
      </c>
      <c r="AA61" s="3">
        <f t="shared" si="144"/>
        <v>3.4</v>
      </c>
      <c r="AB61" s="3">
        <f t="shared" si="145"/>
        <v>2.1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2:38" x14ac:dyDescent="0.3">
      <c r="B62" t="s">
        <v>86</v>
      </c>
      <c r="I62" s="3"/>
      <c r="J62" s="3"/>
      <c r="K62" s="3">
        <v>0.3</v>
      </c>
      <c r="L62" s="3">
        <f t="shared" si="139"/>
        <v>-34.5</v>
      </c>
      <c r="M62" s="3">
        <v>4.5999999999999996</v>
      </c>
      <c r="N62" s="3">
        <f t="shared" si="140"/>
        <v>-2.8</v>
      </c>
      <c r="O62" s="3">
        <v>0</v>
      </c>
      <c r="P62" s="3">
        <f t="shared" si="141"/>
        <v>-0.8</v>
      </c>
      <c r="Q62" s="3">
        <f>-1.3-13.8-2.6-2.5</f>
        <v>-20.200000000000003</v>
      </c>
      <c r="R62" s="3">
        <v>0</v>
      </c>
      <c r="Y62" s="3">
        <v>-4.9000000000000004</v>
      </c>
      <c r="Z62" s="3">
        <v>1.8</v>
      </c>
      <c r="AA62" s="3">
        <f t="shared" si="144"/>
        <v>-0.8</v>
      </c>
      <c r="AB62" s="3">
        <f t="shared" si="145"/>
        <v>-20.200000000000003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2:38" x14ac:dyDescent="0.3">
      <c r="B63" t="s">
        <v>55</v>
      </c>
      <c r="I63" s="3"/>
      <c r="J63" s="3"/>
      <c r="K63" s="3">
        <v>-181.3</v>
      </c>
      <c r="L63" s="3">
        <f t="shared" si="139"/>
        <v>201.5</v>
      </c>
      <c r="M63" s="3">
        <v>99.9</v>
      </c>
      <c r="N63" s="3">
        <f t="shared" si="140"/>
        <v>210.49999999999997</v>
      </c>
      <c r="O63" s="3">
        <v>175.5</v>
      </c>
      <c r="P63" s="3">
        <f t="shared" si="141"/>
        <v>72.199999999999989</v>
      </c>
      <c r="Q63" s="3">
        <v>108.6</v>
      </c>
      <c r="R63" s="3">
        <v>65</v>
      </c>
      <c r="Y63" s="3">
        <v>-258.7</v>
      </c>
      <c r="Z63" s="3">
        <v>310.39999999999998</v>
      </c>
      <c r="AA63" s="3">
        <f t="shared" si="144"/>
        <v>247.7</v>
      </c>
      <c r="AB63" s="3">
        <f t="shared" si="145"/>
        <v>173.6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2:38" x14ac:dyDescent="0.3">
      <c r="B64" t="s">
        <v>54</v>
      </c>
      <c r="I64" s="3"/>
      <c r="J64" s="3"/>
      <c r="K64" s="3">
        <v>-30.2</v>
      </c>
      <c r="L64" s="3">
        <f t="shared" si="139"/>
        <v>24.2</v>
      </c>
      <c r="M64" s="3">
        <v>28.8</v>
      </c>
      <c r="N64" s="3">
        <f t="shared" si="140"/>
        <v>-16.100000000000001</v>
      </c>
      <c r="O64" s="3">
        <v>-0.4</v>
      </c>
      <c r="P64" s="3">
        <f t="shared" si="141"/>
        <v>23.299999999999997</v>
      </c>
      <c r="Q64" s="3">
        <v>-10.8</v>
      </c>
      <c r="R64" s="3">
        <v>0</v>
      </c>
      <c r="Y64" s="3">
        <v>-34.200000000000003</v>
      </c>
      <c r="Z64" s="3">
        <v>12.7</v>
      </c>
      <c r="AA64" s="3">
        <f t="shared" si="144"/>
        <v>22.9</v>
      </c>
      <c r="AB64" s="3">
        <f t="shared" si="145"/>
        <v>-10.8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137" x14ac:dyDescent="0.3">
      <c r="B65" t="s">
        <v>63</v>
      </c>
      <c r="I65" s="3"/>
      <c r="J65" s="3"/>
      <c r="K65" s="3">
        <v>-34.4</v>
      </c>
      <c r="L65" s="3">
        <f t="shared" si="139"/>
        <v>35</v>
      </c>
      <c r="M65" s="3">
        <v>-142</v>
      </c>
      <c r="N65" s="3">
        <f t="shared" si="140"/>
        <v>-162.89999999999998</v>
      </c>
      <c r="O65" s="3">
        <v>-52.8</v>
      </c>
      <c r="P65" s="3">
        <f t="shared" si="141"/>
        <v>34.599999999999994</v>
      </c>
      <c r="Q65" s="3">
        <v>-127</v>
      </c>
      <c r="R65" s="3">
        <v>0</v>
      </c>
      <c r="Y65" s="3">
        <v>21.5</v>
      </c>
      <c r="Z65" s="3">
        <v>-304.89999999999998</v>
      </c>
      <c r="AA65" s="3">
        <f t="shared" si="144"/>
        <v>-18.200000000000003</v>
      </c>
      <c r="AB65" s="3">
        <f t="shared" si="145"/>
        <v>-127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137" x14ac:dyDescent="0.3">
      <c r="B66" t="s">
        <v>62</v>
      </c>
      <c r="I66" s="3"/>
      <c r="J66" s="3"/>
      <c r="K66" s="3">
        <v>2.7</v>
      </c>
      <c r="L66" s="3">
        <f t="shared" si="139"/>
        <v>-7.6000000000000005</v>
      </c>
      <c r="M66" s="3">
        <v>14</v>
      </c>
      <c r="N66" s="3">
        <f t="shared" si="140"/>
        <v>2.8000000000000007</v>
      </c>
      <c r="O66" s="3">
        <v>6.3</v>
      </c>
      <c r="P66" s="3">
        <f t="shared" si="141"/>
        <v>-3.9</v>
      </c>
      <c r="Q66" s="3">
        <v>13.9</v>
      </c>
      <c r="R66" s="3">
        <v>0</v>
      </c>
      <c r="Y66" s="3">
        <v>-1.3</v>
      </c>
      <c r="Z66" s="3">
        <v>16.8</v>
      </c>
      <c r="AA66" s="3">
        <f t="shared" si="144"/>
        <v>2.4</v>
      </c>
      <c r="AB66" s="3">
        <f t="shared" si="145"/>
        <v>13.9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137" x14ac:dyDescent="0.3">
      <c r="B67" t="s">
        <v>75</v>
      </c>
      <c r="I67" s="3"/>
      <c r="J67" s="3"/>
      <c r="K67" s="3">
        <v>2</v>
      </c>
      <c r="L67" s="3">
        <f t="shared" si="139"/>
        <v>1.4</v>
      </c>
      <c r="M67" s="3">
        <v>23.5</v>
      </c>
      <c r="N67" s="3">
        <f t="shared" si="140"/>
        <v>-5.1999999999999993</v>
      </c>
      <c r="O67" s="3">
        <v>5.2</v>
      </c>
      <c r="P67" s="3">
        <f t="shared" si="141"/>
        <v>5.1000000000000005</v>
      </c>
      <c r="Q67" s="3">
        <v>0</v>
      </c>
      <c r="R67" s="3">
        <v>0</v>
      </c>
      <c r="Y67" s="3">
        <v>3.4</v>
      </c>
      <c r="Z67" s="3">
        <v>18.3</v>
      </c>
      <c r="AA67" s="3">
        <f t="shared" si="144"/>
        <v>10.3</v>
      </c>
      <c r="AB67" s="3">
        <f t="shared" si="145"/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2:137" s="1" customFormat="1" x14ac:dyDescent="0.3">
      <c r="B68" s="1" t="s">
        <v>74</v>
      </c>
      <c r="K68" s="9">
        <f t="shared" ref="K68:L68" si="148">K57+SUM(K58:K67)</f>
        <v>-151.5000000000002</v>
      </c>
      <c r="L68" s="9">
        <f t="shared" si="148"/>
        <v>10.500000000000057</v>
      </c>
      <c r="M68" s="9">
        <f>M57+SUM(M58:M67)</f>
        <v>-129.20000000000016</v>
      </c>
      <c r="N68" s="9">
        <f>N57+SUM(N58:N67)</f>
        <v>143.60000000000022</v>
      </c>
      <c r="O68" s="9">
        <f>O57+SUM(O58:O67)</f>
        <v>92.099999999999909</v>
      </c>
      <c r="P68" s="9">
        <f>P57+SUM(P58:P67)</f>
        <v>133.30000000000032</v>
      </c>
      <c r="Q68" s="9">
        <f t="shared" ref="Q68:R68" si="149">Q57+SUM(Q58:Q67)</f>
        <v>-33.299999999999926</v>
      </c>
      <c r="R68" s="9">
        <f t="shared" si="149"/>
        <v>161.69500000000011</v>
      </c>
      <c r="Y68" s="9">
        <f>Y57+SUM(Y58:Y67)</f>
        <v>-141.00000000000006</v>
      </c>
      <c r="Z68" s="9">
        <f>Z57+SUM(Z58:Z67)</f>
        <v>14.400000000000091</v>
      </c>
      <c r="AA68" s="9">
        <f>AA57+SUM(AA58:AA67)</f>
        <v>225.40000000000009</v>
      </c>
      <c r="AB68" s="9">
        <f>AB57+SUM(AB58:AB67)</f>
        <v>128.39500000000061</v>
      </c>
      <c r="AC68" s="9">
        <f>AC57+SUM(AC58:AC67)</f>
        <v>80.535300000000404</v>
      </c>
      <c r="AD68" s="9">
        <f t="shared" ref="AD68:AL68" si="150">AD57+SUM(AD58:AD67)</f>
        <v>172.73807300000033</v>
      </c>
      <c r="AE68" s="9">
        <f t="shared" si="150"/>
        <v>250.33475533000026</v>
      </c>
      <c r="AF68" s="9">
        <f t="shared" si="150"/>
        <v>256.54298679630045</v>
      </c>
      <c r="AG68" s="9">
        <f t="shared" si="150"/>
        <v>273.20723889552335</v>
      </c>
      <c r="AH68" s="9">
        <f t="shared" si="150"/>
        <v>277.22232125276003</v>
      </c>
      <c r="AI68" s="9">
        <f t="shared" si="150"/>
        <v>281.30321463293495</v>
      </c>
      <c r="AJ68" s="9">
        <f t="shared" si="150"/>
        <v>285.45109035026439</v>
      </c>
      <c r="AK68" s="9">
        <f t="shared" si="150"/>
        <v>289.66714169618729</v>
      </c>
      <c r="AL68" s="9">
        <f t="shared" si="150"/>
        <v>293.95258436441736</v>
      </c>
    </row>
    <row r="69" spans="2:137" s="1" customFormat="1" x14ac:dyDescent="0.3">
      <c r="B69" t="s">
        <v>60</v>
      </c>
      <c r="K69" s="3">
        <v>53.4</v>
      </c>
      <c r="L69" s="3">
        <f>109.2-K69</f>
        <v>55.800000000000004</v>
      </c>
      <c r="M69" s="3">
        <v>68.8</v>
      </c>
      <c r="N69" s="3">
        <f>136.2-M69</f>
        <v>67.399999999999991</v>
      </c>
      <c r="O69" s="3">
        <v>53.4</v>
      </c>
      <c r="P69" s="3">
        <f>97.1-O69</f>
        <v>43.699999999999996</v>
      </c>
      <c r="Q69" s="3">
        <v>42</v>
      </c>
      <c r="R69" s="3">
        <v>40</v>
      </c>
      <c r="Y69" s="3">
        <f t="shared" ref="Y69:Y70" si="151">SUM(K69:L69)</f>
        <v>109.2</v>
      </c>
      <c r="Z69" s="3">
        <f t="shared" ref="Z69:Z70" si="152">SUM(M69:N69)</f>
        <v>136.19999999999999</v>
      </c>
      <c r="AA69" s="3">
        <f t="shared" ref="AA69:AA70" si="153">SUM(O69:P69)</f>
        <v>97.1</v>
      </c>
      <c r="AB69" s="3">
        <f>SUM(Q69:R69)</f>
        <v>82</v>
      </c>
      <c r="AC69" s="3">
        <f>AB69*0.93</f>
        <v>76.260000000000005</v>
      </c>
      <c r="AD69" s="3">
        <f>AC69*0.99</f>
        <v>75.497399999999999</v>
      </c>
      <c r="AE69" s="3">
        <f>AD69*1.05</f>
        <v>79.272270000000006</v>
      </c>
      <c r="AF69" s="3">
        <f t="shared" ref="AF69:AL69" si="154">AE69*1.05</f>
        <v>83.235883500000014</v>
      </c>
      <c r="AG69" s="3">
        <f t="shared" si="154"/>
        <v>87.397677675000025</v>
      </c>
      <c r="AH69" s="3">
        <f t="shared" si="154"/>
        <v>91.767561558750032</v>
      </c>
      <c r="AI69" s="3">
        <f t="shared" si="154"/>
        <v>96.355939636687538</v>
      </c>
      <c r="AJ69" s="3">
        <f t="shared" si="154"/>
        <v>101.17373661852191</v>
      </c>
      <c r="AK69" s="3">
        <f t="shared" si="154"/>
        <v>106.23242344944802</v>
      </c>
      <c r="AL69" s="3">
        <f t="shared" si="154"/>
        <v>111.54404462192042</v>
      </c>
    </row>
    <row r="70" spans="2:137" s="1" customFormat="1" x14ac:dyDescent="0.3">
      <c r="B70" t="s">
        <v>59</v>
      </c>
      <c r="K70" s="3">
        <v>33.1</v>
      </c>
      <c r="L70" s="3">
        <f>73.7-K70</f>
        <v>40.6</v>
      </c>
      <c r="M70" s="3">
        <v>46.2</v>
      </c>
      <c r="N70" s="3">
        <f>41.7-M70</f>
        <v>-4.5</v>
      </c>
      <c r="O70" s="3">
        <v>32.700000000000003</v>
      </c>
      <c r="P70" s="3">
        <f>36.4-O70</f>
        <v>3.6999999999999957</v>
      </c>
      <c r="Q70" s="3">
        <v>5.4</v>
      </c>
      <c r="R70" s="3">
        <v>5</v>
      </c>
      <c r="Y70" s="3">
        <f t="shared" si="151"/>
        <v>73.7</v>
      </c>
      <c r="Z70" s="3">
        <f t="shared" si="152"/>
        <v>41.7</v>
      </c>
      <c r="AA70" s="3">
        <f t="shared" si="153"/>
        <v>36.4</v>
      </c>
      <c r="AB70" s="3">
        <f t="shared" ref="AB70:AB71" si="155">SUM(Q70:R70)</f>
        <v>10.4</v>
      </c>
      <c r="AC70" s="3">
        <f>AB70*0.93</f>
        <v>9.6720000000000006</v>
      </c>
      <c r="AD70" s="3">
        <f>AC70*1.03</f>
        <v>9.9621600000000008</v>
      </c>
      <c r="AE70" s="3">
        <f t="shared" ref="AE70:AL70" si="156">AD70*1.03</f>
        <v>10.261024800000001</v>
      </c>
      <c r="AF70" s="3">
        <f t="shared" si="156"/>
        <v>10.568855544000002</v>
      </c>
      <c r="AG70" s="3">
        <f t="shared" si="156"/>
        <v>10.885921210320001</v>
      </c>
      <c r="AH70" s="3">
        <f t="shared" si="156"/>
        <v>11.212498846629602</v>
      </c>
      <c r="AI70" s="3">
        <f t="shared" si="156"/>
        <v>11.548873812028491</v>
      </c>
      <c r="AJ70" s="3">
        <f t="shared" si="156"/>
        <v>11.895340026389347</v>
      </c>
      <c r="AK70" s="3">
        <f t="shared" si="156"/>
        <v>12.252200227181028</v>
      </c>
      <c r="AL70" s="3">
        <f t="shared" si="156"/>
        <v>12.61976623399646</v>
      </c>
    </row>
    <row r="71" spans="2:137" x14ac:dyDescent="0.3">
      <c r="B71" t="s">
        <v>80</v>
      </c>
      <c r="J71" s="3"/>
      <c r="K71" s="3">
        <f>K69+K70</f>
        <v>86.5</v>
      </c>
      <c r="L71" s="3">
        <f t="shared" ref="L71:P71" si="157">L69+L70</f>
        <v>96.4</v>
      </c>
      <c r="M71" s="3">
        <f t="shared" si="157"/>
        <v>115</v>
      </c>
      <c r="N71" s="3">
        <f t="shared" si="157"/>
        <v>62.899999999999991</v>
      </c>
      <c r="O71" s="3">
        <f t="shared" si="157"/>
        <v>86.1</v>
      </c>
      <c r="P71" s="3">
        <f t="shared" si="157"/>
        <v>47.399999999999991</v>
      </c>
      <c r="Q71" s="3">
        <f t="shared" ref="Q71" si="158">Q69+Q70</f>
        <v>47.4</v>
      </c>
      <c r="R71" s="3">
        <f t="shared" ref="R71" si="159">R69+R70</f>
        <v>45</v>
      </c>
      <c r="Y71" s="3">
        <f>SUM(K71:L71)</f>
        <v>182.9</v>
      </c>
      <c r="Z71" s="3">
        <f>SUM(M71:N71)</f>
        <v>177.89999999999998</v>
      </c>
      <c r="AA71" s="3">
        <f>SUM(O71:P71)</f>
        <v>133.5</v>
      </c>
      <c r="AB71" s="3">
        <f t="shared" si="155"/>
        <v>92.4</v>
      </c>
      <c r="AC71" s="3">
        <f>AC69+AC70</f>
        <v>85.932000000000002</v>
      </c>
      <c r="AD71" s="3">
        <f t="shared" ref="AD71:AL71" si="160">AD69+AD70</f>
        <v>85.459559999999996</v>
      </c>
      <c r="AE71" s="3">
        <f t="shared" si="160"/>
        <v>89.533294800000007</v>
      </c>
      <c r="AF71" s="3">
        <f t="shared" si="160"/>
        <v>93.804739044000016</v>
      </c>
      <c r="AG71" s="3">
        <f t="shared" si="160"/>
        <v>98.283598885320032</v>
      </c>
      <c r="AH71" s="3">
        <f t="shared" si="160"/>
        <v>102.98006040537963</v>
      </c>
      <c r="AI71" s="3">
        <f t="shared" si="160"/>
        <v>107.90481344871603</v>
      </c>
      <c r="AJ71" s="3">
        <f t="shared" si="160"/>
        <v>113.06907664491126</v>
      </c>
      <c r="AK71" s="3">
        <f t="shared" si="160"/>
        <v>118.48462367662904</v>
      </c>
      <c r="AL71" s="3">
        <f t="shared" si="160"/>
        <v>124.16381085591688</v>
      </c>
    </row>
    <row r="72" spans="2:137" s="1" customFormat="1" x14ac:dyDescent="0.3">
      <c r="B72" s="1" t="s">
        <v>78</v>
      </c>
      <c r="J72" s="9"/>
      <c r="K72" s="9">
        <f t="shared" ref="K72:P72" si="161">K68-K71</f>
        <v>-238.0000000000002</v>
      </c>
      <c r="L72" s="9">
        <f t="shared" si="161"/>
        <v>-85.899999999999949</v>
      </c>
      <c r="M72" s="9">
        <f t="shared" si="161"/>
        <v>-244.20000000000016</v>
      </c>
      <c r="N72" s="9">
        <f t="shared" si="161"/>
        <v>80.70000000000023</v>
      </c>
      <c r="O72" s="9">
        <f t="shared" si="161"/>
        <v>5.9999999999999147</v>
      </c>
      <c r="P72" s="9">
        <f t="shared" si="161"/>
        <v>85.900000000000333</v>
      </c>
      <c r="Q72" s="9">
        <f t="shared" ref="Q72:R72" si="162">Q68-Q71</f>
        <v>-80.699999999999932</v>
      </c>
      <c r="R72" s="9">
        <f t="shared" si="162"/>
        <v>116.69500000000011</v>
      </c>
      <c r="Y72" s="9">
        <f t="shared" ref="Y72" si="163">Y68-Y71</f>
        <v>-323.90000000000009</v>
      </c>
      <c r="Z72" s="9">
        <f t="shared" ref="Z72" si="164">Z68-Z71</f>
        <v>-163.49999999999989</v>
      </c>
      <c r="AA72" s="9">
        <f t="shared" ref="AA72" si="165">AA68-AA71</f>
        <v>91.900000000000091</v>
      </c>
      <c r="AB72" s="9">
        <f t="shared" ref="AB72" si="166">AB68-AB71</f>
        <v>35.995000000000601</v>
      </c>
      <c r="AC72" s="9">
        <f t="shared" ref="AC72" si="167">AC68-AC71</f>
        <v>-5.3966999999995977</v>
      </c>
      <c r="AD72" s="9">
        <f t="shared" ref="AD72" si="168">AD68-AD71</f>
        <v>87.278513000000331</v>
      </c>
      <c r="AE72" s="9">
        <f t="shared" ref="AE72" si="169">AE68-AE71</f>
        <v>160.80146053000027</v>
      </c>
      <c r="AF72" s="9">
        <f t="shared" ref="AF72" si="170">AF68-AF71</f>
        <v>162.73824775230042</v>
      </c>
      <c r="AG72" s="9">
        <f t="shared" ref="AG72" si="171">AG68-AG71</f>
        <v>174.92364001020331</v>
      </c>
      <c r="AH72" s="9">
        <f t="shared" ref="AH72" si="172">AH68-AH71</f>
        <v>174.24226084738041</v>
      </c>
      <c r="AI72" s="9">
        <f t="shared" ref="AI72" si="173">AI68-AI71</f>
        <v>173.39840118421893</v>
      </c>
      <c r="AJ72" s="9">
        <f t="shared" ref="AJ72" si="174">AJ68-AJ71</f>
        <v>172.38201370535313</v>
      </c>
      <c r="AK72" s="9">
        <f t="shared" ref="AK72" si="175">AK68-AK71</f>
        <v>171.18251801955824</v>
      </c>
      <c r="AL72" s="9">
        <f t="shared" ref="AL72" si="176">AL68-AL71</f>
        <v>169.78877350850047</v>
      </c>
      <c r="AM72" s="1">
        <f>AL72*(1+$AO$19)</f>
        <v>168.09088577341547</v>
      </c>
      <c r="AN72" s="1">
        <f t="shared" ref="AN72:CY72" si="177">AM72*(1+$AO$19)</f>
        <v>166.40997691568131</v>
      </c>
      <c r="AO72" s="1">
        <f t="shared" si="177"/>
        <v>164.74587714652449</v>
      </c>
      <c r="AP72" s="1">
        <f t="shared" si="177"/>
        <v>163.09841837505925</v>
      </c>
      <c r="AQ72" s="1">
        <f t="shared" si="177"/>
        <v>161.46743419130866</v>
      </c>
      <c r="AR72" s="1">
        <f t="shared" si="177"/>
        <v>159.85275984939557</v>
      </c>
      <c r="AS72" s="1">
        <f t="shared" si="177"/>
        <v>158.25423225090162</v>
      </c>
      <c r="AT72" s="1">
        <f t="shared" si="177"/>
        <v>156.6716899283926</v>
      </c>
      <c r="AU72" s="1">
        <f t="shared" si="177"/>
        <v>155.10497302910866</v>
      </c>
      <c r="AV72" s="1">
        <f t="shared" si="177"/>
        <v>153.55392329881758</v>
      </c>
      <c r="AW72" s="1">
        <f t="shared" si="177"/>
        <v>152.01838406582939</v>
      </c>
      <c r="AX72" s="1">
        <f t="shared" si="177"/>
        <v>150.4982002251711</v>
      </c>
      <c r="AY72" s="1">
        <f t="shared" si="177"/>
        <v>148.99321822291938</v>
      </c>
      <c r="AZ72" s="1">
        <f t="shared" si="177"/>
        <v>147.5032860406902</v>
      </c>
      <c r="BA72" s="1">
        <f t="shared" si="177"/>
        <v>146.02825318028329</v>
      </c>
      <c r="BB72" s="1">
        <f t="shared" si="177"/>
        <v>144.56797064848044</v>
      </c>
      <c r="BC72" s="1">
        <f t="shared" si="177"/>
        <v>143.12229094199563</v>
      </c>
      <c r="BD72" s="1">
        <f t="shared" si="177"/>
        <v>141.69106803257569</v>
      </c>
      <c r="BE72" s="1">
        <f t="shared" si="177"/>
        <v>140.27415735224992</v>
      </c>
      <c r="BF72" s="1">
        <f t="shared" si="177"/>
        <v>138.87141577872742</v>
      </c>
      <c r="BG72" s="1">
        <f t="shared" si="177"/>
        <v>137.48270162094016</v>
      </c>
      <c r="BH72" s="1">
        <f t="shared" si="177"/>
        <v>136.10787460473077</v>
      </c>
      <c r="BI72" s="1">
        <f t="shared" si="177"/>
        <v>134.74679585868347</v>
      </c>
      <c r="BJ72" s="1">
        <f t="shared" si="177"/>
        <v>133.39932790009664</v>
      </c>
      <c r="BK72" s="1">
        <f t="shared" si="177"/>
        <v>132.06533462109567</v>
      </c>
      <c r="BL72" s="1">
        <f t="shared" si="177"/>
        <v>130.74468127488473</v>
      </c>
      <c r="BM72" s="1">
        <f t="shared" si="177"/>
        <v>129.43723446213588</v>
      </c>
      <c r="BN72" s="1">
        <f t="shared" si="177"/>
        <v>128.14286211751451</v>
      </c>
      <c r="BO72" s="1">
        <f t="shared" si="177"/>
        <v>126.86143349633936</v>
      </c>
      <c r="BP72" s="1">
        <f t="shared" si="177"/>
        <v>125.59281916137597</v>
      </c>
      <c r="BQ72" s="1">
        <f t="shared" si="177"/>
        <v>124.33689096976221</v>
      </c>
      <c r="BR72" s="1">
        <f t="shared" si="177"/>
        <v>123.09352206006459</v>
      </c>
      <c r="BS72" s="1">
        <f t="shared" si="177"/>
        <v>121.86258683946394</v>
      </c>
      <c r="BT72" s="1">
        <f t="shared" si="177"/>
        <v>120.6439609710693</v>
      </c>
      <c r="BU72" s="1">
        <f t="shared" si="177"/>
        <v>119.43752136135861</v>
      </c>
      <c r="BV72" s="1">
        <f t="shared" si="177"/>
        <v>118.24314614774502</v>
      </c>
      <c r="BW72" s="1">
        <f t="shared" si="177"/>
        <v>117.06071468626757</v>
      </c>
      <c r="BX72" s="1">
        <f t="shared" si="177"/>
        <v>115.89010753940489</v>
      </c>
      <c r="BY72" s="1">
        <f t="shared" si="177"/>
        <v>114.73120646401084</v>
      </c>
      <c r="BZ72" s="1">
        <f t="shared" si="177"/>
        <v>113.58389439937073</v>
      </c>
      <c r="CA72" s="1">
        <f t="shared" si="177"/>
        <v>112.44805545537703</v>
      </c>
      <c r="CB72" s="1">
        <f t="shared" si="177"/>
        <v>111.32357490082326</v>
      </c>
      <c r="CC72" s="1">
        <f t="shared" si="177"/>
        <v>110.21033915181502</v>
      </c>
      <c r="CD72" s="1">
        <f t="shared" si="177"/>
        <v>109.10823576029686</v>
      </c>
      <c r="CE72" s="1">
        <f t="shared" si="177"/>
        <v>108.01715340269389</v>
      </c>
      <c r="CF72" s="1">
        <f t="shared" si="177"/>
        <v>106.93698186866695</v>
      </c>
      <c r="CG72" s="1">
        <f t="shared" si="177"/>
        <v>105.86761204998028</v>
      </c>
      <c r="CH72" s="1">
        <f t="shared" si="177"/>
        <v>104.80893592948048</v>
      </c>
      <c r="CI72" s="1">
        <f t="shared" si="177"/>
        <v>103.76084657018568</v>
      </c>
      <c r="CJ72" s="1">
        <f t="shared" si="177"/>
        <v>102.72323810448383</v>
      </c>
      <c r="CK72" s="1">
        <f t="shared" si="177"/>
        <v>101.69600572343899</v>
      </c>
      <c r="CL72" s="1">
        <f t="shared" si="177"/>
        <v>100.6790456662046</v>
      </c>
      <c r="CM72" s="1">
        <f t="shared" si="177"/>
        <v>99.672255209542556</v>
      </c>
      <c r="CN72" s="1">
        <f t="shared" si="177"/>
        <v>98.675532657447135</v>
      </c>
      <c r="CO72" s="1">
        <f t="shared" si="177"/>
        <v>97.688777330872668</v>
      </c>
      <c r="CP72" s="1">
        <f t="shared" si="177"/>
        <v>96.711889557563936</v>
      </c>
      <c r="CQ72" s="1">
        <f t="shared" si="177"/>
        <v>95.744770661988298</v>
      </c>
      <c r="CR72" s="1">
        <f t="shared" si="177"/>
        <v>94.78732295536841</v>
      </c>
      <c r="CS72" s="1">
        <f t="shared" si="177"/>
        <v>93.839449725814731</v>
      </c>
      <c r="CT72" s="1">
        <f t="shared" si="177"/>
        <v>92.901055228556586</v>
      </c>
      <c r="CU72" s="1">
        <f t="shared" si="177"/>
        <v>91.972044676271025</v>
      </c>
      <c r="CV72" s="1">
        <f t="shared" si="177"/>
        <v>91.052324229508315</v>
      </c>
      <c r="CW72" s="1">
        <f t="shared" si="177"/>
        <v>90.14180098721323</v>
      </c>
      <c r="CX72" s="1">
        <f t="shared" si="177"/>
        <v>89.240382977341099</v>
      </c>
      <c r="CY72" s="1">
        <f t="shared" si="177"/>
        <v>88.347979147567685</v>
      </c>
      <c r="CZ72" s="1">
        <f t="shared" ref="CZ72:EG72" si="178">CY72*(1+$AO$19)</f>
        <v>87.464499356092006</v>
      </c>
      <c r="DA72" s="1">
        <f t="shared" si="178"/>
        <v>86.589854362531085</v>
      </c>
      <c r="DB72" s="1">
        <f t="shared" si="178"/>
        <v>85.723955818905779</v>
      </c>
      <c r="DC72" s="1">
        <f t="shared" si="178"/>
        <v>84.866716260716714</v>
      </c>
      <c r="DD72" s="1">
        <f t="shared" si="178"/>
        <v>84.018049098109543</v>
      </c>
      <c r="DE72" s="1">
        <f t="shared" si="178"/>
        <v>83.177868607128445</v>
      </c>
      <c r="DF72" s="1">
        <f t="shared" si="178"/>
        <v>82.346089921057157</v>
      </c>
      <c r="DG72" s="1">
        <f t="shared" si="178"/>
        <v>81.522629021846583</v>
      </c>
      <c r="DH72" s="1">
        <f t="shared" si="178"/>
        <v>80.707402731628122</v>
      </c>
      <c r="DI72" s="1">
        <f t="shared" si="178"/>
        <v>79.900328704311846</v>
      </c>
      <c r="DJ72" s="1">
        <f t="shared" si="178"/>
        <v>79.101325417268725</v>
      </c>
      <c r="DK72" s="1">
        <f t="shared" si="178"/>
        <v>78.310312163096043</v>
      </c>
      <c r="DL72" s="1">
        <f t="shared" si="178"/>
        <v>77.527209041465085</v>
      </c>
      <c r="DM72" s="1">
        <f t="shared" si="178"/>
        <v>76.751936951050439</v>
      </c>
      <c r="DN72" s="1">
        <f t="shared" si="178"/>
        <v>75.98441758153993</v>
      </c>
      <c r="DO72" s="1">
        <f t="shared" si="178"/>
        <v>75.224573405724527</v>
      </c>
      <c r="DP72" s="1">
        <f t="shared" si="178"/>
        <v>74.472327671667287</v>
      </c>
      <c r="DQ72" s="1">
        <f t="shared" si="178"/>
        <v>73.727604394950617</v>
      </c>
      <c r="DR72" s="1">
        <f t="shared" si="178"/>
        <v>72.990328351001111</v>
      </c>
      <c r="DS72" s="1">
        <f t="shared" si="178"/>
        <v>72.260425067491099</v>
      </c>
      <c r="DT72" s="1">
        <f t="shared" si="178"/>
        <v>71.537820816816193</v>
      </c>
      <c r="DU72" s="1">
        <f t="shared" si="178"/>
        <v>70.822442608648032</v>
      </c>
      <c r="DV72" s="1">
        <f t="shared" si="178"/>
        <v>70.114218182561558</v>
      </c>
      <c r="DW72" s="1">
        <f t="shared" si="178"/>
        <v>69.413076000735941</v>
      </c>
      <c r="DX72" s="1">
        <f t="shared" si="178"/>
        <v>68.718945240728587</v>
      </c>
      <c r="DY72" s="1">
        <f t="shared" si="178"/>
        <v>68.031755788321306</v>
      </c>
      <c r="DZ72" s="1">
        <f t="shared" si="178"/>
        <v>67.351438230438092</v>
      </c>
      <c r="EA72" s="1">
        <f t="shared" si="178"/>
        <v>66.677923848133716</v>
      </c>
      <c r="EB72" s="1">
        <f t="shared" si="178"/>
        <v>66.011144609652376</v>
      </c>
      <c r="EC72" s="1">
        <f t="shared" si="178"/>
        <v>65.351033163555854</v>
      </c>
      <c r="ED72" s="1">
        <f t="shared" si="178"/>
        <v>64.697522831920296</v>
      </c>
      <c r="EE72" s="1">
        <f t="shared" si="178"/>
        <v>64.050547603601089</v>
      </c>
      <c r="EF72" s="1">
        <f t="shared" si="178"/>
        <v>63.410042127565077</v>
      </c>
      <c r="EG72" s="1">
        <f t="shared" si="178"/>
        <v>62.775941706289423</v>
      </c>
    </row>
    <row r="74" spans="2:137" x14ac:dyDescent="0.3">
      <c r="B74" t="s">
        <v>82</v>
      </c>
      <c r="M74" s="7">
        <f t="shared" ref="M74:M75" si="179">M69/K69-1</f>
        <v>0.28838951310861427</v>
      </c>
      <c r="N74" s="7">
        <f t="shared" ref="N74:N76" si="180">N69/L69-1</f>
        <v>0.20788530465949795</v>
      </c>
      <c r="O74" s="7">
        <f t="shared" ref="O74:O76" si="181">O69/M69-1</f>
        <v>-0.22383720930232553</v>
      </c>
      <c r="P74" s="7">
        <f t="shared" ref="P74:P76" si="182">P69/N69-1</f>
        <v>-0.35163204747774479</v>
      </c>
      <c r="Q74" s="7">
        <f t="shared" ref="Q74:Q76" si="183">Q69/O69-1</f>
        <v>-0.2134831460674157</v>
      </c>
      <c r="R74" s="7">
        <f t="shared" ref="R74:R76" si="184">R69/P69-1</f>
        <v>-8.4668192219679583E-2</v>
      </c>
      <c r="Z74" s="7">
        <f>Z69/Y69-1</f>
        <v>0.24725274725274704</v>
      </c>
      <c r="AA74" s="7">
        <f t="shared" ref="AA74:AL74" si="185">AA69/Z69-1</f>
        <v>-0.28707782672540383</v>
      </c>
      <c r="AB74" s="7">
        <f t="shared" si="185"/>
        <v>-0.1555097837281153</v>
      </c>
      <c r="AC74" s="7">
        <f t="shared" si="185"/>
        <v>-6.9999999999999951E-2</v>
      </c>
      <c r="AD74" s="7">
        <f t="shared" si="185"/>
        <v>-1.000000000000012E-2</v>
      </c>
      <c r="AE74" s="7">
        <f t="shared" si="185"/>
        <v>5.0000000000000044E-2</v>
      </c>
      <c r="AF74" s="7">
        <f t="shared" si="185"/>
        <v>5.0000000000000044E-2</v>
      </c>
      <c r="AG74" s="7">
        <f t="shared" si="185"/>
        <v>5.0000000000000044E-2</v>
      </c>
      <c r="AH74" s="7">
        <f t="shared" si="185"/>
        <v>5.0000000000000044E-2</v>
      </c>
      <c r="AI74" s="7">
        <f t="shared" si="185"/>
        <v>5.0000000000000044E-2</v>
      </c>
      <c r="AJ74" s="7">
        <f t="shared" si="185"/>
        <v>5.0000000000000044E-2</v>
      </c>
      <c r="AK74" s="7">
        <f t="shared" si="185"/>
        <v>5.0000000000000044E-2</v>
      </c>
      <c r="AL74" s="7">
        <f t="shared" si="185"/>
        <v>5.0000000000000044E-2</v>
      </c>
    </row>
    <row r="75" spans="2:137" x14ac:dyDescent="0.3">
      <c r="B75" t="s">
        <v>81</v>
      </c>
      <c r="M75" s="7">
        <f t="shared" si="179"/>
        <v>0.39577039274924464</v>
      </c>
      <c r="N75" s="7">
        <f t="shared" si="180"/>
        <v>-1.1108374384236452</v>
      </c>
      <c r="O75" s="7">
        <f t="shared" si="181"/>
        <v>-0.29220779220779214</v>
      </c>
      <c r="P75" s="7">
        <f t="shared" si="182"/>
        <v>-1.8222222222222213</v>
      </c>
      <c r="Q75" s="7">
        <f t="shared" si="183"/>
        <v>-0.83486238532110091</v>
      </c>
      <c r="R75" s="7">
        <f t="shared" si="184"/>
        <v>0.35135135135135287</v>
      </c>
      <c r="Z75" s="7">
        <f t="shared" ref="Z75:Z76" si="186">Z70/Y70-1</f>
        <v>-0.43419267299864317</v>
      </c>
      <c r="AA75" s="7">
        <f t="shared" ref="AA75:AL75" si="187">AA70/Z70-1</f>
        <v>-0.12709832134292576</v>
      </c>
      <c r="AB75" s="7">
        <f t="shared" si="187"/>
        <v>-0.71428571428571419</v>
      </c>
      <c r="AC75" s="7">
        <f t="shared" si="187"/>
        <v>-6.9999999999999951E-2</v>
      </c>
      <c r="AD75" s="7">
        <f t="shared" si="187"/>
        <v>3.0000000000000027E-2</v>
      </c>
      <c r="AE75" s="7">
        <f t="shared" si="187"/>
        <v>3.0000000000000027E-2</v>
      </c>
      <c r="AF75" s="7">
        <f t="shared" si="187"/>
        <v>3.0000000000000027E-2</v>
      </c>
      <c r="AG75" s="7">
        <f t="shared" si="187"/>
        <v>3.0000000000000027E-2</v>
      </c>
      <c r="AH75" s="7">
        <f t="shared" si="187"/>
        <v>3.0000000000000027E-2</v>
      </c>
      <c r="AI75" s="7">
        <f t="shared" si="187"/>
        <v>3.0000000000000027E-2</v>
      </c>
      <c r="AJ75" s="7">
        <f t="shared" si="187"/>
        <v>3.0000000000000027E-2</v>
      </c>
      <c r="AK75" s="7">
        <f t="shared" si="187"/>
        <v>3.0000000000000027E-2</v>
      </c>
      <c r="AL75" s="7">
        <f t="shared" si="187"/>
        <v>3.0000000000000027E-2</v>
      </c>
      <c r="AN75" t="s">
        <v>83</v>
      </c>
      <c r="AO75" s="3">
        <f>NPV(AO20,AB72:EG72)</f>
        <v>1307.947350668949</v>
      </c>
    </row>
    <row r="76" spans="2:137" x14ac:dyDescent="0.3">
      <c r="B76" t="s">
        <v>79</v>
      </c>
      <c r="M76" s="7">
        <f t="shared" ref="M76" si="188">M71/K71-1</f>
        <v>0.32947976878612706</v>
      </c>
      <c r="N76" s="7">
        <f t="shared" si="180"/>
        <v>-0.3475103734439835</v>
      </c>
      <c r="O76" s="7">
        <f t="shared" si="181"/>
        <v>-0.25130434782608702</v>
      </c>
      <c r="P76" s="7">
        <f t="shared" si="182"/>
        <v>-0.24642289348171709</v>
      </c>
      <c r="Q76" s="7">
        <f t="shared" si="183"/>
        <v>-0.44947735191637628</v>
      </c>
      <c r="R76" s="7">
        <f t="shared" si="184"/>
        <v>-5.0632911392404889E-2</v>
      </c>
      <c r="Z76" s="7">
        <f t="shared" si="186"/>
        <v>-2.7337342810278997E-2</v>
      </c>
      <c r="AA76" s="7">
        <f t="shared" ref="AA76:AL76" si="189">AA71/Z71-1</f>
        <v>-0.24957841483979759</v>
      </c>
      <c r="AB76" s="7">
        <f t="shared" si="189"/>
        <v>-0.30786516853932577</v>
      </c>
      <c r="AC76" s="7">
        <f t="shared" si="189"/>
        <v>-7.0000000000000062E-2</v>
      </c>
      <c r="AD76" s="7">
        <f t="shared" si="189"/>
        <v>-5.497835497835557E-3</v>
      </c>
      <c r="AE76" s="7">
        <f t="shared" si="189"/>
        <v>4.7668567448744259E-2</v>
      </c>
      <c r="AF76" s="7">
        <f t="shared" si="189"/>
        <v>4.7707886251048714E-2</v>
      </c>
      <c r="AG76" s="7">
        <f t="shared" si="189"/>
        <v>4.7746626524051816E-2</v>
      </c>
      <c r="AH76" s="7">
        <f t="shared" si="189"/>
        <v>4.7784793936367365E-2</v>
      </c>
      <c r="AI76" s="7">
        <f t="shared" si="189"/>
        <v>4.7822394198936857E-2</v>
      </c>
      <c r="AJ76" s="7">
        <f t="shared" si="189"/>
        <v>4.785943306087681E-2</v>
      </c>
      <c r="AK76" s="7">
        <f t="shared" si="189"/>
        <v>4.7895916305437547E-2</v>
      </c>
      <c r="AL76" s="7">
        <f t="shared" si="189"/>
        <v>4.7931849746070121E-2</v>
      </c>
      <c r="AN76" t="s">
        <v>30</v>
      </c>
      <c r="AO76" s="3">
        <f>AO22</f>
        <v>-229.5</v>
      </c>
    </row>
    <row r="77" spans="2:137" x14ac:dyDescent="0.3">
      <c r="AN77" t="s">
        <v>31</v>
      </c>
      <c r="AO77" s="3">
        <f>AO75+AO76</f>
        <v>1078.447350668949</v>
      </c>
    </row>
    <row r="78" spans="2:137" x14ac:dyDescent="0.3">
      <c r="B78" t="s">
        <v>69</v>
      </c>
      <c r="L78" s="3">
        <v>61</v>
      </c>
      <c r="N78" s="3">
        <v>67.8</v>
      </c>
      <c r="P78" s="3">
        <v>55</v>
      </c>
      <c r="AN78" t="s">
        <v>32</v>
      </c>
      <c r="AO78" s="12">
        <f>AO77/AL14</f>
        <v>9.0473771029274239</v>
      </c>
    </row>
    <row r="79" spans="2:137" x14ac:dyDescent="0.3">
      <c r="B79" t="s">
        <v>70</v>
      </c>
      <c r="L79" s="3">
        <v>88.8</v>
      </c>
      <c r="N79" s="3">
        <v>104.7</v>
      </c>
      <c r="P79" s="3">
        <v>117.3</v>
      </c>
      <c r="AN79" t="s">
        <v>33</v>
      </c>
      <c r="AO79" s="12">
        <f>Main!D3</f>
        <v>2.9350000000000001</v>
      </c>
    </row>
    <row r="80" spans="2:137" x14ac:dyDescent="0.3">
      <c r="B80" t="s">
        <v>71</v>
      </c>
      <c r="L80" s="3">
        <v>19.2</v>
      </c>
      <c r="N80" s="3">
        <v>32.1</v>
      </c>
      <c r="P80" s="3">
        <v>119.3</v>
      </c>
      <c r="AN80" s="1" t="s">
        <v>34</v>
      </c>
      <c r="AO80" s="10">
        <f>AO78/AO79-1</f>
        <v>2.082581636431831</v>
      </c>
    </row>
    <row r="81" spans="2:16" x14ac:dyDescent="0.3">
      <c r="B81" t="s">
        <v>72</v>
      </c>
      <c r="L81" s="3">
        <v>-258.7</v>
      </c>
      <c r="N81" s="3">
        <v>5.2</v>
      </c>
      <c r="P81" s="3">
        <v>3.4</v>
      </c>
    </row>
    <row r="82" spans="2:16" x14ac:dyDescent="0.3">
      <c r="B82" t="s">
        <v>73</v>
      </c>
      <c r="L82" s="3">
        <v>-34.200000000000003</v>
      </c>
      <c r="N82" s="3">
        <v>1.8</v>
      </c>
      <c r="P82" s="3">
        <v>-0.8</v>
      </c>
    </row>
    <row r="83" spans="2:16" x14ac:dyDescent="0.3">
      <c r="B83" t="s">
        <v>55</v>
      </c>
      <c r="L83" s="3">
        <v>20.2</v>
      </c>
      <c r="N83" s="3">
        <v>310.39999999999998</v>
      </c>
      <c r="P83" s="3">
        <v>247.7</v>
      </c>
    </row>
    <row r="84" spans="2:16" x14ac:dyDescent="0.3">
      <c r="B84" t="s">
        <v>54</v>
      </c>
      <c r="L84" s="3">
        <v>-6</v>
      </c>
      <c r="N84" s="3">
        <v>12.7</v>
      </c>
      <c r="P84" s="3">
        <v>22.9</v>
      </c>
    </row>
    <row r="85" spans="2:16" x14ac:dyDescent="0.3">
      <c r="B85" t="s">
        <v>63</v>
      </c>
      <c r="L85" s="3">
        <v>0.6</v>
      </c>
      <c r="N85" s="3">
        <v>-304.89999999999998</v>
      </c>
      <c r="P85" s="3">
        <v>-18.2</v>
      </c>
    </row>
    <row r="86" spans="2:16" x14ac:dyDescent="0.3">
      <c r="B86" t="s">
        <v>62</v>
      </c>
      <c r="L86" s="3">
        <v>-4.9000000000000004</v>
      </c>
      <c r="N86" s="3">
        <v>16.8</v>
      </c>
      <c r="P86" s="3">
        <v>2.4</v>
      </c>
    </row>
    <row r="87" spans="2:16" x14ac:dyDescent="0.3">
      <c r="B87" t="s">
        <v>75</v>
      </c>
      <c r="L87" s="3">
        <v>3.4</v>
      </c>
      <c r="N87" s="3">
        <v>18.3</v>
      </c>
      <c r="P87" s="3">
        <v>10.3</v>
      </c>
    </row>
  </sheetData>
  <phoneticPr fontId="3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2020-12-05T16:19:14Z</dcterms:created>
  <dcterms:modified xsi:type="dcterms:W3CDTF">2025-04-26T08:54:29Z</dcterms:modified>
</cp:coreProperties>
</file>