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78284C57-A201-4F91-B84A-6F58B23C8A11}" xr6:coauthVersionLast="46" xr6:coauthVersionMax="46" xr10:uidLastSave="{00000000-0000-0000-0000-000000000000}"/>
  <bookViews>
    <workbookView xWindow="-108" yWindow="-108" windowWidth="23256" windowHeight="12576" xr2:uid="{AAAC6935-A8B2-459F-ACD8-2B0BDFB0FA7F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4" i="2" l="1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D4" i="2"/>
  <c r="AC4" i="2"/>
  <c r="AC5" i="2" s="1"/>
  <c r="AC25" i="2" s="1"/>
  <c r="AB4" i="2"/>
  <c r="AC7" i="2"/>
  <c r="AC27" i="2" s="1"/>
  <c r="AN3" i="2"/>
  <c r="AD5" i="2"/>
  <c r="AD11" i="2" s="1"/>
  <c r="AD31" i="2" s="1"/>
  <c r="AA7" i="2"/>
  <c r="AA27" i="2" s="1"/>
  <c r="AA6" i="2"/>
  <c r="AM3" i="2"/>
  <c r="AM6" i="2" s="1"/>
  <c r="AD3" i="2"/>
  <c r="AD26" i="2" s="1"/>
  <c r="AB3" i="2"/>
  <c r="AL3" i="2" s="1"/>
  <c r="AL23" i="2" s="1"/>
  <c r="AC3" i="2"/>
  <c r="AM12" i="2"/>
  <c r="AN12" i="2" s="1"/>
  <c r="AY32" i="2"/>
  <c r="AY29" i="2"/>
  <c r="AL16" i="2"/>
  <c r="AL15" i="2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L13" i="2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L12" i="2"/>
  <c r="AL10" i="2"/>
  <c r="AM10" i="2" s="1"/>
  <c r="AN10" i="2" s="1"/>
  <c r="AD12" i="2"/>
  <c r="AD32" i="2" s="1"/>
  <c r="AC12" i="2"/>
  <c r="AC32" i="2" s="1"/>
  <c r="AB12" i="2"/>
  <c r="AB32" i="2" s="1"/>
  <c r="AC10" i="2"/>
  <c r="AD10" i="2"/>
  <c r="AC30" i="2"/>
  <c r="AB10" i="2"/>
  <c r="AD6" i="2"/>
  <c r="AC6" i="2"/>
  <c r="AB6" i="2"/>
  <c r="AA26" i="2"/>
  <c r="AA5" i="2"/>
  <c r="AA31" i="2" s="1"/>
  <c r="AD24" i="2"/>
  <c r="AK32" i="2"/>
  <c r="AJ32" i="2"/>
  <c r="AI32" i="2"/>
  <c r="AH32" i="2"/>
  <c r="AK30" i="2"/>
  <c r="AJ30" i="2"/>
  <c r="AI30" i="2"/>
  <c r="AH30" i="2"/>
  <c r="AK25" i="2"/>
  <c r="AJ25" i="2"/>
  <c r="AI25" i="2"/>
  <c r="AH25" i="2"/>
  <c r="AK24" i="2"/>
  <c r="AJ24" i="2"/>
  <c r="AI24" i="2"/>
  <c r="AH24" i="2"/>
  <c r="AK23" i="2"/>
  <c r="AJ23" i="2"/>
  <c r="AI23" i="2"/>
  <c r="AH23" i="2"/>
  <c r="AG30" i="2"/>
  <c r="AG32" i="2"/>
  <c r="AG25" i="2"/>
  <c r="AG24" i="2"/>
  <c r="AG23" i="2"/>
  <c r="AK33" i="2"/>
  <c r="AJ33" i="2"/>
  <c r="AI33" i="2"/>
  <c r="AH33" i="2"/>
  <c r="AG33" i="2"/>
  <c r="AF33" i="2"/>
  <c r="AK31" i="2"/>
  <c r="AJ31" i="2"/>
  <c r="AI31" i="2"/>
  <c r="AH31" i="2"/>
  <c r="AG31" i="2"/>
  <c r="AF31" i="2"/>
  <c r="AK29" i="2"/>
  <c r="AJ29" i="2"/>
  <c r="AI29" i="2"/>
  <c r="AH29" i="2"/>
  <c r="AG29" i="2"/>
  <c r="AF29" i="2"/>
  <c r="AK28" i="2"/>
  <c r="AJ28" i="2"/>
  <c r="AI28" i="2"/>
  <c r="AH28" i="2"/>
  <c r="AG28" i="2"/>
  <c r="AF28" i="2"/>
  <c r="AK27" i="2"/>
  <c r="AJ27" i="2"/>
  <c r="AI27" i="2"/>
  <c r="AH27" i="2"/>
  <c r="AG27" i="2"/>
  <c r="AF27" i="2"/>
  <c r="AK26" i="2"/>
  <c r="AJ26" i="2"/>
  <c r="AI26" i="2"/>
  <c r="AH26" i="2"/>
  <c r="AG26" i="2"/>
  <c r="AF26" i="2"/>
  <c r="AK18" i="2"/>
  <c r="AK16" i="2"/>
  <c r="AK15" i="2"/>
  <c r="AK13" i="2"/>
  <c r="AK12" i="2"/>
  <c r="AK11" i="2"/>
  <c r="AK10" i="2"/>
  <c r="AK7" i="2"/>
  <c r="AK6" i="2"/>
  <c r="AK4" i="2"/>
  <c r="AK3" i="2"/>
  <c r="AK5" i="2" s="1"/>
  <c r="AJ18" i="2"/>
  <c r="AJ16" i="2"/>
  <c r="AJ15" i="2"/>
  <c r="AJ13" i="2"/>
  <c r="AJ12" i="2"/>
  <c r="AJ11" i="2"/>
  <c r="AJ10" i="2"/>
  <c r="AJ8" i="2"/>
  <c r="AI8" i="2"/>
  <c r="AH8" i="2"/>
  <c r="AG8" i="2"/>
  <c r="AJ7" i="2"/>
  <c r="AJ6" i="2"/>
  <c r="AJ4" i="2"/>
  <c r="AJ3" i="2"/>
  <c r="AI18" i="2"/>
  <c r="AI16" i="2"/>
  <c r="AI15" i="2"/>
  <c r="AI13" i="2"/>
  <c r="AI12" i="2"/>
  <c r="AI11" i="2"/>
  <c r="AI10" i="2"/>
  <c r="AI7" i="2"/>
  <c r="AI6" i="2"/>
  <c r="AI4" i="2"/>
  <c r="AI5" i="2" s="1"/>
  <c r="AI3" i="2"/>
  <c r="AH18" i="2"/>
  <c r="AH15" i="2"/>
  <c r="AH16" i="2"/>
  <c r="AH13" i="2"/>
  <c r="AH12" i="2"/>
  <c r="AH11" i="2"/>
  <c r="AH10" i="2"/>
  <c r="AH7" i="2"/>
  <c r="AH6" i="2"/>
  <c r="AH4" i="2"/>
  <c r="AH3" i="2"/>
  <c r="AH5" i="2" s="1"/>
  <c r="AG18" i="2"/>
  <c r="AG16" i="2"/>
  <c r="AG15" i="2"/>
  <c r="AG13" i="2"/>
  <c r="AG12" i="2"/>
  <c r="AG11" i="2"/>
  <c r="AG10" i="2"/>
  <c r="AG7" i="2"/>
  <c r="AG6" i="2"/>
  <c r="AG4" i="2"/>
  <c r="AG3" i="2"/>
  <c r="AG5" i="2" s="1"/>
  <c r="AF18" i="2"/>
  <c r="AF16" i="2"/>
  <c r="AF15" i="2"/>
  <c r="AF13" i="2"/>
  <c r="AF12" i="2"/>
  <c r="AF11" i="2"/>
  <c r="AF10" i="2"/>
  <c r="AF7" i="2"/>
  <c r="AF8" i="2" s="1"/>
  <c r="AF6" i="2"/>
  <c r="AF5" i="2"/>
  <c r="AF4" i="2"/>
  <c r="AF3" i="2"/>
  <c r="AA32" i="2"/>
  <c r="AB30" i="2"/>
  <c r="AA30" i="2"/>
  <c r="AA25" i="2"/>
  <c r="AA24" i="2"/>
  <c r="AD23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Y24" i="2"/>
  <c r="X24" i="2"/>
  <c r="W24" i="2"/>
  <c r="V24" i="2"/>
  <c r="U24" i="2"/>
  <c r="T24" i="2"/>
  <c r="Y23" i="2"/>
  <c r="X23" i="2"/>
  <c r="W23" i="2"/>
  <c r="V23" i="2"/>
  <c r="U23" i="2"/>
  <c r="T23" i="2"/>
  <c r="C7" i="2"/>
  <c r="C6" i="2"/>
  <c r="C5" i="2"/>
  <c r="G7" i="2"/>
  <c r="G8" i="2" s="1"/>
  <c r="G6" i="2"/>
  <c r="G5" i="2"/>
  <c r="D7" i="2"/>
  <c r="D8" i="2" s="1"/>
  <c r="D6" i="2"/>
  <c r="D5" i="2"/>
  <c r="H7" i="2"/>
  <c r="H6" i="2"/>
  <c r="H5" i="2"/>
  <c r="E7" i="2"/>
  <c r="E6" i="2"/>
  <c r="E8" i="2"/>
  <c r="E5" i="2"/>
  <c r="I7" i="2"/>
  <c r="I6" i="2"/>
  <c r="I5" i="2"/>
  <c r="F7" i="2"/>
  <c r="F6" i="2"/>
  <c r="F8" i="2"/>
  <c r="F5" i="2"/>
  <c r="J7" i="2"/>
  <c r="J6" i="2"/>
  <c r="J5" i="2"/>
  <c r="K7" i="2"/>
  <c r="K6" i="2"/>
  <c r="K8" i="2"/>
  <c r="K5" i="2"/>
  <c r="O7" i="2"/>
  <c r="O6" i="2"/>
  <c r="O5" i="2"/>
  <c r="L7" i="2"/>
  <c r="L6" i="2"/>
  <c r="L5" i="2"/>
  <c r="P7" i="2"/>
  <c r="P6" i="2"/>
  <c r="P8" i="2"/>
  <c r="P5" i="2"/>
  <c r="M7" i="2"/>
  <c r="M6" i="2"/>
  <c r="M5" i="2"/>
  <c r="Q7" i="2"/>
  <c r="Q8" i="2" s="1"/>
  <c r="Q6" i="2"/>
  <c r="Q5" i="2"/>
  <c r="N18" i="2"/>
  <c r="N7" i="2"/>
  <c r="N6" i="2"/>
  <c r="N5" i="2"/>
  <c r="R7" i="2"/>
  <c r="R6" i="2"/>
  <c r="R8" i="2"/>
  <c r="R5" i="2"/>
  <c r="S7" i="2"/>
  <c r="S6" i="2"/>
  <c r="S5" i="2"/>
  <c r="W7" i="2"/>
  <c r="W6" i="2"/>
  <c r="W8" i="2"/>
  <c r="W5" i="2"/>
  <c r="X7" i="2"/>
  <c r="X6" i="2"/>
  <c r="T7" i="2"/>
  <c r="T6" i="2"/>
  <c r="T8" i="2"/>
  <c r="T5" i="2"/>
  <c r="X5" i="2"/>
  <c r="U7" i="2"/>
  <c r="U8" i="2" s="1"/>
  <c r="U6" i="2"/>
  <c r="U5" i="2"/>
  <c r="Y7" i="2"/>
  <c r="Y6" i="2"/>
  <c r="Y5" i="2"/>
  <c r="Z31" i="2"/>
  <c r="Z32" i="2"/>
  <c r="Z30" i="2"/>
  <c r="Z27" i="2"/>
  <c r="Z26" i="2"/>
  <c r="Z24" i="2"/>
  <c r="Z23" i="2"/>
  <c r="V6" i="2"/>
  <c r="V7" i="2"/>
  <c r="V5" i="2"/>
  <c r="Z7" i="2"/>
  <c r="Z6" i="2"/>
  <c r="Z5" i="2"/>
  <c r="D8" i="1"/>
  <c r="D5" i="1"/>
  <c r="F3" i="1"/>
  <c r="AL4" i="2" l="1"/>
  <c r="AM4" i="2" s="1"/>
  <c r="AN4" i="2" s="1"/>
  <c r="AO4" i="2" s="1"/>
  <c r="AP4" i="2" s="1"/>
  <c r="AQ4" i="2" s="1"/>
  <c r="AR4" i="2" s="1"/>
  <c r="AC24" i="2"/>
  <c r="AD7" i="2"/>
  <c r="AD27" i="2" s="1"/>
  <c r="AB7" i="2"/>
  <c r="AB27" i="2" s="1"/>
  <c r="AB24" i="2"/>
  <c r="AB5" i="2"/>
  <c r="AB11" i="2" s="1"/>
  <c r="AB31" i="2" s="1"/>
  <c r="AN32" i="2"/>
  <c r="AO12" i="2"/>
  <c r="AO32" i="2" s="1"/>
  <c r="AN30" i="2"/>
  <c r="AO10" i="2"/>
  <c r="AP10" i="2" s="1"/>
  <c r="AQ10" i="2" s="1"/>
  <c r="AR10" i="2" s="1"/>
  <c r="AS10" i="2" s="1"/>
  <c r="AT10" i="2" s="1"/>
  <c r="AU10" i="2" s="1"/>
  <c r="AV10" i="2" s="1"/>
  <c r="D9" i="1"/>
  <c r="AD25" i="2"/>
  <c r="AB26" i="2"/>
  <c r="AO3" i="2"/>
  <c r="AP3" i="2" s="1"/>
  <c r="AQ3" i="2" s="1"/>
  <c r="AR3" i="2" s="1"/>
  <c r="AS3" i="2" s="1"/>
  <c r="AT3" i="2" s="1"/>
  <c r="AU3" i="2" s="1"/>
  <c r="AV3" i="2" s="1"/>
  <c r="AL6" i="2"/>
  <c r="AL26" i="2" s="1"/>
  <c r="AA8" i="2"/>
  <c r="AA9" i="2" s="1"/>
  <c r="AC8" i="2"/>
  <c r="AC9" i="2" s="1"/>
  <c r="AC11" i="2"/>
  <c r="AC31" i="2" s="1"/>
  <c r="AM32" i="2"/>
  <c r="AM30" i="2"/>
  <c r="AD30" i="2"/>
  <c r="AC26" i="2"/>
  <c r="AB23" i="2"/>
  <c r="AC23" i="2"/>
  <c r="AA23" i="2"/>
  <c r="AK8" i="2"/>
  <c r="AK9" i="2" s="1"/>
  <c r="AK14" i="2" s="1"/>
  <c r="AK17" i="2" s="1"/>
  <c r="AK19" i="2" s="1"/>
  <c r="AK21" i="2" s="1"/>
  <c r="AJ5" i="2"/>
  <c r="AJ9" i="2" s="1"/>
  <c r="AJ14" i="2" s="1"/>
  <c r="AJ17" i="2" s="1"/>
  <c r="AJ19" i="2" s="1"/>
  <c r="AJ21" i="2" s="1"/>
  <c r="AI9" i="2"/>
  <c r="AI14" i="2" s="1"/>
  <c r="AI17" i="2" s="1"/>
  <c r="AI19" i="2" s="1"/>
  <c r="AI21" i="2" s="1"/>
  <c r="AH9" i="2"/>
  <c r="AH14" i="2" s="1"/>
  <c r="AH17" i="2" s="1"/>
  <c r="AH19" i="2" s="1"/>
  <c r="AH21" i="2" s="1"/>
  <c r="AG9" i="2"/>
  <c r="AG14" i="2" s="1"/>
  <c r="AG17" i="2" s="1"/>
  <c r="AG19" i="2" s="1"/>
  <c r="AG21" i="2" s="1"/>
  <c r="AF9" i="2"/>
  <c r="AF14" i="2" s="1"/>
  <c r="AF17" i="2" s="1"/>
  <c r="AF19" i="2" s="1"/>
  <c r="AF21" i="2" s="1"/>
  <c r="C8" i="2"/>
  <c r="C9" i="2"/>
  <c r="C14" i="2" s="1"/>
  <c r="C17" i="2" s="1"/>
  <c r="C19" i="2" s="1"/>
  <c r="C21" i="2" s="1"/>
  <c r="G9" i="2"/>
  <c r="G14" i="2" s="1"/>
  <c r="G17" i="2" s="1"/>
  <c r="G19" i="2" s="1"/>
  <c r="G21" i="2" s="1"/>
  <c r="D9" i="2"/>
  <c r="D14" i="2" s="1"/>
  <c r="D17" i="2" s="1"/>
  <c r="D19" i="2" s="1"/>
  <c r="D21" i="2" s="1"/>
  <c r="H8" i="2"/>
  <c r="H9" i="2"/>
  <c r="H14" i="2" s="1"/>
  <c r="H17" i="2" s="1"/>
  <c r="H19" i="2" s="1"/>
  <c r="H21" i="2" s="1"/>
  <c r="E9" i="2"/>
  <c r="E14" i="2" s="1"/>
  <c r="E17" i="2" s="1"/>
  <c r="E19" i="2" s="1"/>
  <c r="E21" i="2" s="1"/>
  <c r="I8" i="2"/>
  <c r="I9" i="2"/>
  <c r="I14" i="2" s="1"/>
  <c r="I17" i="2" s="1"/>
  <c r="I19" i="2" s="1"/>
  <c r="I21" i="2" s="1"/>
  <c r="F9" i="2"/>
  <c r="F14" i="2" s="1"/>
  <c r="F17" i="2" s="1"/>
  <c r="F19" i="2" s="1"/>
  <c r="F21" i="2" s="1"/>
  <c r="J8" i="2"/>
  <c r="J9" i="2"/>
  <c r="J14" i="2" s="1"/>
  <c r="J17" i="2" s="1"/>
  <c r="J19" i="2" s="1"/>
  <c r="J21" i="2" s="1"/>
  <c r="K9" i="2"/>
  <c r="K14" i="2" s="1"/>
  <c r="K17" i="2" s="1"/>
  <c r="K19" i="2" s="1"/>
  <c r="K21" i="2" s="1"/>
  <c r="O8" i="2"/>
  <c r="O9" i="2"/>
  <c r="O14" i="2" s="1"/>
  <c r="O17" i="2" s="1"/>
  <c r="O19" i="2" s="1"/>
  <c r="O21" i="2" s="1"/>
  <c r="L8" i="2"/>
  <c r="L9" i="2"/>
  <c r="L14" i="2" s="1"/>
  <c r="L17" i="2" s="1"/>
  <c r="L19" i="2" s="1"/>
  <c r="L21" i="2" s="1"/>
  <c r="P9" i="2"/>
  <c r="P14" i="2" s="1"/>
  <c r="P17" i="2" s="1"/>
  <c r="P19" i="2" s="1"/>
  <c r="P21" i="2" s="1"/>
  <c r="M8" i="2"/>
  <c r="M9" i="2"/>
  <c r="M14" i="2" s="1"/>
  <c r="M17" i="2" s="1"/>
  <c r="M19" i="2" s="1"/>
  <c r="M21" i="2" s="1"/>
  <c r="Q9" i="2"/>
  <c r="Q14" i="2" s="1"/>
  <c r="Q17" i="2" s="1"/>
  <c r="Q19" i="2" s="1"/>
  <c r="Q21" i="2" s="1"/>
  <c r="N8" i="2"/>
  <c r="N9" i="2"/>
  <c r="N14" i="2" s="1"/>
  <c r="N17" i="2" s="1"/>
  <c r="N19" i="2" s="1"/>
  <c r="N21" i="2" s="1"/>
  <c r="R9" i="2"/>
  <c r="R14" i="2" s="1"/>
  <c r="R17" i="2" s="1"/>
  <c r="R19" i="2" s="1"/>
  <c r="R21" i="2" s="1"/>
  <c r="S8" i="2"/>
  <c r="S9" i="2"/>
  <c r="S14" i="2" s="1"/>
  <c r="S17" i="2" s="1"/>
  <c r="S19" i="2" s="1"/>
  <c r="S21" i="2" s="1"/>
  <c r="W9" i="2"/>
  <c r="W14" i="2" s="1"/>
  <c r="W17" i="2" s="1"/>
  <c r="W19" i="2" s="1"/>
  <c r="W21" i="2" s="1"/>
  <c r="T9" i="2"/>
  <c r="T14" i="2" s="1"/>
  <c r="T17" i="2" s="1"/>
  <c r="T19" i="2" s="1"/>
  <c r="T21" i="2" s="1"/>
  <c r="X8" i="2"/>
  <c r="X9" i="2" s="1"/>
  <c r="X14" i="2" s="1"/>
  <c r="X17" i="2" s="1"/>
  <c r="X19" i="2" s="1"/>
  <c r="X21" i="2" s="1"/>
  <c r="U9" i="2"/>
  <c r="U14" i="2" s="1"/>
  <c r="U17" i="2" s="1"/>
  <c r="U19" i="2" s="1"/>
  <c r="U21" i="2" s="1"/>
  <c r="Y8" i="2"/>
  <c r="Y9" i="2"/>
  <c r="Y14" i="2" s="1"/>
  <c r="Y17" i="2" s="1"/>
  <c r="Y19" i="2" s="1"/>
  <c r="Y21" i="2" s="1"/>
  <c r="V8" i="2"/>
  <c r="V9" i="2" s="1"/>
  <c r="V14" i="2" s="1"/>
  <c r="V17" i="2" s="1"/>
  <c r="V19" i="2" s="1"/>
  <c r="V21" i="2" s="1"/>
  <c r="Z25" i="2"/>
  <c r="Z8" i="2"/>
  <c r="AD8" i="2" l="1"/>
  <c r="AD9" i="2" s="1"/>
  <c r="AD28" i="2" s="1"/>
  <c r="AB25" i="2"/>
  <c r="AM24" i="2"/>
  <c r="AL11" i="2"/>
  <c r="AL5" i="2"/>
  <c r="AM7" i="2"/>
  <c r="AM27" i="2" s="1"/>
  <c r="AL24" i="2"/>
  <c r="AB8" i="2"/>
  <c r="AB9" i="2" s="1"/>
  <c r="AB28" i="2" s="1"/>
  <c r="AL7" i="2"/>
  <c r="AL27" i="2" s="1"/>
  <c r="AP12" i="2"/>
  <c r="AO30" i="2"/>
  <c r="AP30" i="2"/>
  <c r="AD14" i="2"/>
  <c r="AD17" i="2" s="1"/>
  <c r="AN6" i="2"/>
  <c r="AN26" i="2" s="1"/>
  <c r="AO23" i="2"/>
  <c r="AA28" i="2"/>
  <c r="AA14" i="2"/>
  <c r="AM23" i="2"/>
  <c r="AM26" i="2"/>
  <c r="AM5" i="2"/>
  <c r="AQ30" i="2"/>
  <c r="AC28" i="2"/>
  <c r="AC14" i="2"/>
  <c r="AL25" i="2"/>
  <c r="AN7" i="2"/>
  <c r="AN27" i="2" s="1"/>
  <c r="AN5" i="2"/>
  <c r="AN11" i="2" s="1"/>
  <c r="AN23" i="2"/>
  <c r="AL32" i="2"/>
  <c r="AO6" i="2"/>
  <c r="AO26" i="2" s="1"/>
  <c r="AL30" i="2"/>
  <c r="AN24" i="2"/>
  <c r="AP23" i="2"/>
  <c r="Z9" i="2"/>
  <c r="AL31" i="2" l="1"/>
  <c r="AM11" i="2"/>
  <c r="AM31" i="2" s="1"/>
  <c r="AL8" i="2"/>
  <c r="AL9" i="2" s="1"/>
  <c r="AL14" i="2" s="1"/>
  <c r="AL17" i="2" s="1"/>
  <c r="AB14" i="2"/>
  <c r="AB17" i="2" s="1"/>
  <c r="AQ12" i="2"/>
  <c r="AP32" i="2"/>
  <c r="AM8" i="2"/>
  <c r="AM9" i="2" s="1"/>
  <c r="AM28" i="2" s="1"/>
  <c r="AD29" i="2"/>
  <c r="AN8" i="2"/>
  <c r="AN9" i="2" s="1"/>
  <c r="AM25" i="2"/>
  <c r="AA17" i="2"/>
  <c r="AA29" i="2"/>
  <c r="AP6" i="2"/>
  <c r="AP26" i="2" s="1"/>
  <c r="AR30" i="2"/>
  <c r="AD18" i="2"/>
  <c r="AD33" i="2" s="1"/>
  <c r="AC17" i="2"/>
  <c r="AC29" i="2"/>
  <c r="AO7" i="2"/>
  <c r="AO8" i="2" s="1"/>
  <c r="AO5" i="2"/>
  <c r="AN31" i="2"/>
  <c r="AN25" i="2"/>
  <c r="AQ6" i="2"/>
  <c r="AQ26" i="2" s="1"/>
  <c r="AO24" i="2"/>
  <c r="AQ23" i="2"/>
  <c r="Z14" i="2"/>
  <c r="Z28" i="2"/>
  <c r="AL29" i="2" l="1"/>
  <c r="AL28" i="2"/>
  <c r="AB29" i="2"/>
  <c r="AR12" i="2"/>
  <c r="AQ32" i="2"/>
  <c r="AM14" i="2"/>
  <c r="AM17" i="2" s="1"/>
  <c r="AM18" i="2" s="1"/>
  <c r="AM33" i="2" s="1"/>
  <c r="AA33" i="2"/>
  <c r="AN28" i="2"/>
  <c r="AN14" i="2"/>
  <c r="AO25" i="2"/>
  <c r="AO11" i="2"/>
  <c r="AO31" i="2" s="1"/>
  <c r="AS30" i="2"/>
  <c r="AD19" i="2"/>
  <c r="AD21" i="2" s="1"/>
  <c r="AC18" i="2"/>
  <c r="AC33" i="2" s="1"/>
  <c r="AB18" i="2"/>
  <c r="AO9" i="2"/>
  <c r="AO27" i="2"/>
  <c r="AP7" i="2"/>
  <c r="AP8" i="2" s="1"/>
  <c r="AP5" i="2"/>
  <c r="AP11" i="2" s="1"/>
  <c r="AR6" i="2"/>
  <c r="AR26" i="2" s="1"/>
  <c r="Z17" i="2"/>
  <c r="Z29" i="2"/>
  <c r="AP24" i="2"/>
  <c r="AR23" i="2"/>
  <c r="AS12" i="2" l="1"/>
  <c r="AR32" i="2"/>
  <c r="AA19" i="2"/>
  <c r="AA21" i="2" s="1"/>
  <c r="AM29" i="2"/>
  <c r="AM19" i="2"/>
  <c r="AM21" i="2" s="1"/>
  <c r="AO28" i="2"/>
  <c r="AO14" i="2"/>
  <c r="AN17" i="2"/>
  <c r="AN29" i="2"/>
  <c r="AT30" i="2"/>
  <c r="AC19" i="2"/>
  <c r="AC21" i="2" s="1"/>
  <c r="AL18" i="2"/>
  <c r="AB33" i="2"/>
  <c r="AB19" i="2"/>
  <c r="AB21" i="2" s="1"/>
  <c r="AQ7" i="2"/>
  <c r="AQ8" i="2" s="1"/>
  <c r="AQ5" i="2"/>
  <c r="AQ11" i="2" s="1"/>
  <c r="AP27" i="2"/>
  <c r="AP25" i="2"/>
  <c r="AP31" i="2"/>
  <c r="AP9" i="2"/>
  <c r="AS6" i="2"/>
  <c r="AS26" i="2" s="1"/>
  <c r="Z19" i="2"/>
  <c r="Z21" i="2" s="1"/>
  <c r="Z33" i="2"/>
  <c r="AQ24" i="2"/>
  <c r="AS23" i="2"/>
  <c r="AT12" i="2" l="1"/>
  <c r="AS32" i="2"/>
  <c r="AN18" i="2"/>
  <c r="AN33" i="2" s="1"/>
  <c r="AO17" i="2"/>
  <c r="AO29" i="2"/>
  <c r="AP28" i="2"/>
  <c r="AP14" i="2"/>
  <c r="AU30" i="2"/>
  <c r="AV30" i="2"/>
  <c r="AL19" i="2"/>
  <c r="AL21" i="2" s="1"/>
  <c r="AL33" i="2"/>
  <c r="AQ27" i="2"/>
  <c r="AQ31" i="2"/>
  <c r="AQ9" i="2"/>
  <c r="AQ25" i="2"/>
  <c r="AS4" i="2"/>
  <c r="AT4" i="2" s="1"/>
  <c r="AU4" i="2" s="1"/>
  <c r="AV4" i="2" s="1"/>
  <c r="AR7" i="2"/>
  <c r="AR8" i="2" s="1"/>
  <c r="AR5" i="2"/>
  <c r="AR11" i="2" s="1"/>
  <c r="AT6" i="2"/>
  <c r="AR24" i="2"/>
  <c r="AT23" i="2"/>
  <c r="AU12" i="2" l="1"/>
  <c r="AT32" i="2"/>
  <c r="AN19" i="2"/>
  <c r="AN21" i="2" s="1"/>
  <c r="AO18" i="2"/>
  <c r="AO33" i="2" s="1"/>
  <c r="AQ28" i="2"/>
  <c r="AQ14" i="2"/>
  <c r="AP17" i="2"/>
  <c r="AP29" i="2"/>
  <c r="AR31" i="2"/>
  <c r="AR25" i="2"/>
  <c r="AR9" i="2"/>
  <c r="AR27" i="2"/>
  <c r="AS7" i="2"/>
  <c r="AS8" i="2" s="1"/>
  <c r="AS5" i="2"/>
  <c r="AS11" i="2" s="1"/>
  <c r="AT26" i="2"/>
  <c r="AU6" i="2"/>
  <c r="AS24" i="2"/>
  <c r="AU23" i="2"/>
  <c r="AV12" i="2" l="1"/>
  <c r="AV32" i="2" s="1"/>
  <c r="AU32" i="2"/>
  <c r="AO19" i="2"/>
  <c r="AO21" i="2" s="1"/>
  <c r="AR28" i="2"/>
  <c r="AR14" i="2"/>
  <c r="AP18" i="2"/>
  <c r="AP33" i="2" s="1"/>
  <c r="AQ17" i="2"/>
  <c r="AQ29" i="2"/>
  <c r="AT7" i="2"/>
  <c r="AT8" i="2" s="1"/>
  <c r="AT5" i="2"/>
  <c r="AT11" i="2" s="1"/>
  <c r="AS27" i="2"/>
  <c r="AS9" i="2"/>
  <c r="AS31" i="2"/>
  <c r="AS25" i="2"/>
  <c r="AV6" i="2"/>
  <c r="AU26" i="2"/>
  <c r="AT24" i="2"/>
  <c r="AV23" i="2"/>
  <c r="AQ18" i="2" l="1"/>
  <c r="AQ33" i="2" s="1"/>
  <c r="AS28" i="2"/>
  <c r="AS14" i="2"/>
  <c r="AP19" i="2"/>
  <c r="AR17" i="2"/>
  <c r="AR29" i="2"/>
  <c r="AT27" i="2"/>
  <c r="AU7" i="2"/>
  <c r="AU8" i="2" s="1"/>
  <c r="AU5" i="2"/>
  <c r="AU11" i="2" s="1"/>
  <c r="AT9" i="2"/>
  <c r="AT25" i="2"/>
  <c r="AT31" i="2"/>
  <c r="AV26" i="2"/>
  <c r="AU24" i="2"/>
  <c r="AQ19" i="2" l="1"/>
  <c r="AQ21" i="2" s="1"/>
  <c r="AR18" i="2"/>
  <c r="AR33" i="2" s="1"/>
  <c r="AP21" i="2"/>
  <c r="AT28" i="2"/>
  <c r="AT14" i="2"/>
  <c r="AS17" i="2"/>
  <c r="AS29" i="2"/>
  <c r="AU9" i="2"/>
  <c r="AV7" i="2"/>
  <c r="AV8" i="2" s="1"/>
  <c r="AV5" i="2"/>
  <c r="AV11" i="2" s="1"/>
  <c r="AU27" i="2"/>
  <c r="AU25" i="2"/>
  <c r="AU31" i="2"/>
  <c r="AV24" i="2"/>
  <c r="AR19" i="2" l="1"/>
  <c r="AR21" i="2" s="1"/>
  <c r="AS18" i="2"/>
  <c r="AS33" i="2" s="1"/>
  <c r="AT17" i="2"/>
  <c r="AT29" i="2"/>
  <c r="AU28" i="2"/>
  <c r="AU14" i="2"/>
  <c r="AV27" i="2"/>
  <c r="AV25" i="2"/>
  <c r="AV31" i="2"/>
  <c r="AV9" i="2"/>
  <c r="AU17" i="2" l="1"/>
  <c r="AU29" i="2"/>
  <c r="AV28" i="2"/>
  <c r="AV14" i="2"/>
  <c r="AT18" i="2"/>
  <c r="AT33" i="2" s="1"/>
  <c r="AS19" i="2"/>
  <c r="AS21" i="2" l="1"/>
  <c r="AV17" i="2"/>
  <c r="AV29" i="2"/>
  <c r="AT19" i="2"/>
  <c r="AT21" i="2" s="1"/>
  <c r="AU18" i="2"/>
  <c r="AU33" i="2" s="1"/>
  <c r="AU19" i="2" l="1"/>
  <c r="AU21" i="2" s="1"/>
  <c r="AV18" i="2"/>
  <c r="AV33" i="2" s="1"/>
  <c r="AV19" i="2" l="1"/>
  <c r="AW19" i="2" s="1"/>
  <c r="AV21" i="2" l="1"/>
  <c r="AX19" i="2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AY28" i="2" l="1"/>
  <c r="AY30" i="2" s="1"/>
  <c r="AY31" i="2" s="1"/>
  <c r="AY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N18" authorId="0" shapeId="0" xr:uid="{F5144299-96C7-4457-8DD7-BE0094BA532D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tax legislation</t>
        </r>
      </text>
    </comment>
  </commentList>
</comments>
</file>

<file path=xl/sharedStrings.xml><?xml version="1.0" encoding="utf-8"?>
<sst xmlns="http://schemas.openxmlformats.org/spreadsheetml/2006/main" count="84" uniqueCount="79">
  <si>
    <t>ATVI</t>
  </si>
  <si>
    <t>Price</t>
  </si>
  <si>
    <t>Time last checked</t>
  </si>
  <si>
    <t>Today</t>
  </si>
  <si>
    <t>Earnings</t>
  </si>
  <si>
    <t>Shares</t>
  </si>
  <si>
    <t>MC</t>
  </si>
  <si>
    <t>Cash</t>
  </si>
  <si>
    <t>Debt</t>
  </si>
  <si>
    <t>Net Cash</t>
  </si>
  <si>
    <t>EV</t>
  </si>
  <si>
    <t>Q420</t>
  </si>
  <si>
    <t>Revenue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</si>
  <si>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</si>
  <si>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</si>
  <si>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</si>
  <si>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</si>
  <si>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</si>
  <si>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</si>
  <si>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</si>
  <si>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</si>
  <si>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</si>
  <si>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</si>
  <si>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</si>
  <si>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</si>
  <si>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</si>
  <si>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</si>
  <si>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</si>
  <si>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</si>
  <si>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</si>
  <si>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</si>
  <si>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</si>
  <si>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</si>
  <si>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</si>
  <si>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</si>
  <si>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</si>
  <si>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Q121</t>
  </si>
  <si>
    <t>Q221</t>
  </si>
  <si>
    <t>Q321</t>
  </si>
  <si>
    <t>Q421</t>
  </si>
  <si>
    <t>Product sales</t>
  </si>
  <si>
    <t>In-game, subscription and other</t>
  </si>
  <si>
    <t>Product sales cost</t>
  </si>
  <si>
    <t>Total cost of sales</t>
  </si>
  <si>
    <t>Gross profit</t>
  </si>
  <si>
    <t>R&amp;D</t>
  </si>
  <si>
    <t>S&amp;M</t>
  </si>
  <si>
    <t>G&amp;A</t>
  </si>
  <si>
    <t>Restructuring</t>
  </si>
  <si>
    <t>Operating profit</t>
  </si>
  <si>
    <t>Finance expense</t>
  </si>
  <si>
    <t>Pretax profit</t>
  </si>
  <si>
    <t>Taxes</t>
  </si>
  <si>
    <t>Net profit</t>
  </si>
  <si>
    <t>EPS</t>
  </si>
  <si>
    <t>Other cost</t>
  </si>
  <si>
    <t>Interest expense</t>
  </si>
  <si>
    <t>Revenue y/y</t>
  </si>
  <si>
    <t>Product revenue</t>
  </si>
  <si>
    <t>Other revenue</t>
  </si>
  <si>
    <t>Gross Margin</t>
  </si>
  <si>
    <t>Operating Margin</t>
  </si>
  <si>
    <t>R&amp;D y/y</t>
  </si>
  <si>
    <t>S&amp;M Margin</t>
  </si>
  <si>
    <t>G&amp;A y/y</t>
  </si>
  <si>
    <t>Product Margin</t>
  </si>
  <si>
    <t>Other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</si>
  <si>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</si>
  <si>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</si>
  <si>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</si>
  <si>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</si>
  <si>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</si>
  <si>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</si>
  <si>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</si>
  <si>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</si>
  <si>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</si>
  <si>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Slightly undervalued</t>
  </si>
  <si>
    <t>Net Margin</t>
  </si>
  <si>
    <t>August?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</si>
</sst>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4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0</xdr:row>
      <xdr:rowOff>0</xdr:rowOff>
    </xdr:from>
    <xdr:to>
      <xdr:col>27</xdr:col>
      <xdr:colOff>38100</xdr:colOff>
      <xdr:row>37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339787-C146-4DB4-A568-09E59101F0B7}"/>
            </a:ext>
          </a:extLst>
        </xdr:cNvPr>
        <xdr:cNvCxnSpPr/>
      </xdr:nvCxnSpPr>
      <xdr:spPr>
        <a:xfrm>
          <a:off x="17746980" y="0"/>
          <a:ext cx="0" cy="6804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22860</xdr:colOff>
      <xdr:row>0</xdr:row>
      <xdr:rowOff>7620</xdr:rowOff>
    </xdr:from>
    <xdr:to>
      <xdr:col>38</xdr:col>
      <xdr:colOff>22860</xdr:colOff>
      <xdr:row>38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D278E70-3EBB-4D21-81FD-F343EC1AD2FE}"/>
            </a:ext>
          </a:extLst>
        </xdr:cNvPr>
        <xdr:cNvCxnSpPr/>
      </xdr:nvCxnSpPr>
      <xdr:spPr>
        <a:xfrm>
          <a:off x="24437340" y="7620"/>
          <a:ext cx="0" cy="7048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EA09-3F17-4C4E-AC42-6984E5CF5AEB}">
  <dimension ref="B2:G9"/>
  <sheetViews>
    <sheetView tabSelected="1" workbookViewId="0">
      <selection activeCell="E3" sqref="E3"/>
    </sheetView>
  </sheetViews>
  <sheetFormatPr defaultRowHeight="14.4" x14ac:dyDescent="0.3"/>
  <cols>
    <col min="4" max="4" width="10" bestFit="1" customWidth="1"/>
    <col min="5" max="7" width="15.77734375" style="2" customWidth="1"/>
  </cols>
  <sheetData>
    <row r="2" spans="2:7" x14ac:dyDescent="0.3">
      <c r="E2" s="2" t="s">
        <v>2</v>
      </c>
      <c r="F2" s="2" t="s">
        <v>3</v>
      </c>
      <c r="G2" s="2" t="s">
        <v>4</v>
      </c>
    </row>
    <row r="3" spans="2:7" x14ac:dyDescent="0.3">
      <c r="B3" s="1" t="s">
        <v>0</v>
      </c>
      <c r="C3" t="s">
        <v>1</v>
      </c>
      <c r="D3" s="4">
        <v>91.92</v>
      </c>
      <c r="E3" s="3">
        <v>44321</v>
      </c>
      <c r="F3" s="3">
        <f ca="1">TODAY()</f>
        <v>44328</v>
      </c>
      <c r="G3" s="3" t="s">
        <v>78</v>
      </c>
    </row>
    <row r="4" spans="2:7" x14ac:dyDescent="0.3">
      <c r="C4" t="s">
        <v>5</v>
      </c>
      <c r="D4" s="5">
        <v>777</v>
      </c>
      <c r="E4" s="2" t="s">
        <v>36</v>
      </c>
    </row>
    <row r="5" spans="2:7" x14ac:dyDescent="0.3">
      <c r="C5" t="s">
        <v>6</v>
      </c>
      <c r="D5" s="5">
        <f>D3*D4</f>
        <v>71421.84</v>
      </c>
    </row>
    <row r="6" spans="2:7" x14ac:dyDescent="0.3">
      <c r="C6" t="s">
        <v>7</v>
      </c>
      <c r="D6" s="5">
        <v>9281</v>
      </c>
      <c r="E6" s="2" t="s">
        <v>36</v>
      </c>
    </row>
    <row r="7" spans="2:7" x14ac:dyDescent="0.3">
      <c r="C7" t="s">
        <v>8</v>
      </c>
      <c r="D7" s="5">
        <v>3606</v>
      </c>
      <c r="E7" s="2" t="s">
        <v>36</v>
      </c>
    </row>
    <row r="8" spans="2:7" x14ac:dyDescent="0.3">
      <c r="C8" t="s">
        <v>9</v>
      </c>
      <c r="D8" s="5">
        <f>D6-D7</f>
        <v>5675</v>
      </c>
    </row>
    <row r="9" spans="2:7" x14ac:dyDescent="0.3">
      <c r="C9" t="s">
        <v>10</v>
      </c>
      <c r="D9" s="5">
        <f>D5-D8</f>
        <v>65746.84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EFC5-6C40-499C-83E9-B090CD3D1EED}">
  <dimension ref="B2:EZ34"/>
  <sheetViews>
    <sheetView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L5" sqref="AL5"/>
    </sheetView>
  </sheetViews>
  <sheetFormatPr defaultRowHeight="14.4" x14ac:dyDescent="0.3"/>
  <cols>
    <col min="2" max="2" width="27.109375" bestFit="1" customWidth="1"/>
    <col min="50" max="50" width="12" bestFit="1" customWidth="1"/>
    <col min="51" max="51" width="17.33203125" bestFit="1" customWidth="1"/>
  </cols>
  <sheetData>
    <row r="2" spans="2:48" x14ac:dyDescent="0.3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31</v>
      </c>
      <c r="V2" s="6" t="s">
        <v>32</v>
      </c>
      <c r="W2" s="6" t="s">
        <v>33</v>
      </c>
      <c r="X2" s="6" t="s">
        <v>34</v>
      </c>
      <c r="Y2" s="6" t="s">
        <v>35</v>
      </c>
      <c r="Z2" s="6" t="s">
        <v>11</v>
      </c>
      <c r="AA2" s="6" t="s">
        <v>36</v>
      </c>
      <c r="AB2" s="6" t="s">
        <v>37</v>
      </c>
      <c r="AC2" s="6" t="s">
        <v>38</v>
      </c>
      <c r="AD2" s="6" t="s">
        <v>39</v>
      </c>
      <c r="AF2">
        <v>2015</v>
      </c>
      <c r="AG2">
        <v>2016</v>
      </c>
      <c r="AH2">
        <v>2017</v>
      </c>
      <c r="AI2">
        <v>2018</v>
      </c>
      <c r="AJ2">
        <v>2019</v>
      </c>
      <c r="AK2">
        <v>2020</v>
      </c>
      <c r="AL2">
        <v>2021</v>
      </c>
      <c r="AM2">
        <v>2022</v>
      </c>
      <c r="AN2">
        <v>2023</v>
      </c>
      <c r="AO2">
        <v>2024</v>
      </c>
      <c r="AP2">
        <v>2025</v>
      </c>
      <c r="AQ2">
        <v>2026</v>
      </c>
      <c r="AR2">
        <v>2027</v>
      </c>
      <c r="AS2">
        <v>2028</v>
      </c>
      <c r="AT2">
        <v>2029</v>
      </c>
      <c r="AU2">
        <v>2030</v>
      </c>
      <c r="AV2">
        <v>2031</v>
      </c>
    </row>
    <row r="3" spans="2:48" x14ac:dyDescent="0.3">
      <c r="B3" t="s">
        <v>40</v>
      </c>
      <c r="C3" s="9">
        <v>784</v>
      </c>
      <c r="D3" s="9">
        <v>528</v>
      </c>
      <c r="E3" s="9">
        <v>425</v>
      </c>
      <c r="F3" s="9">
        <v>711</v>
      </c>
      <c r="G3" s="9">
        <v>645</v>
      </c>
      <c r="H3" s="9">
        <v>501</v>
      </c>
      <c r="I3" s="9">
        <v>355</v>
      </c>
      <c r="J3" s="9">
        <v>696</v>
      </c>
      <c r="K3" s="9">
        <v>509</v>
      </c>
      <c r="L3" s="9">
        <v>481</v>
      </c>
      <c r="M3" s="9">
        <v>384</v>
      </c>
      <c r="N3" s="9">
        <v>737</v>
      </c>
      <c r="O3" s="9">
        <v>720</v>
      </c>
      <c r="P3" s="9">
        <v>464</v>
      </c>
      <c r="Q3" s="9">
        <v>263</v>
      </c>
      <c r="R3" s="9">
        <v>808</v>
      </c>
      <c r="S3" s="9">
        <v>656</v>
      </c>
      <c r="T3" s="9">
        <v>359</v>
      </c>
      <c r="U3" s="9">
        <v>260</v>
      </c>
      <c r="V3" s="9">
        <v>699</v>
      </c>
      <c r="W3" s="9">
        <v>543</v>
      </c>
      <c r="X3" s="9">
        <v>533</v>
      </c>
      <c r="Y3" s="9">
        <v>408</v>
      </c>
      <c r="Z3" s="9">
        <v>866</v>
      </c>
      <c r="AA3" s="9">
        <v>675</v>
      </c>
      <c r="AB3" s="9">
        <f>X3*1.02</f>
        <v>543.66</v>
      </c>
      <c r="AC3" s="9">
        <f>Y3*1.02</f>
        <v>416.16</v>
      </c>
      <c r="AD3" s="9">
        <f>Z3*0.97</f>
        <v>840.02</v>
      </c>
      <c r="AF3" s="9">
        <f>SUM(C3:F3)</f>
        <v>2448</v>
      </c>
      <c r="AG3" s="9">
        <f>SUM(G3:J3)</f>
        <v>2197</v>
      </c>
      <c r="AH3" s="9">
        <f>SUM(K3:N3)</f>
        <v>2111</v>
      </c>
      <c r="AI3" s="9">
        <f>SUM(O3:R3)</f>
        <v>2255</v>
      </c>
      <c r="AJ3" s="9">
        <f>SUM(S3:V3)</f>
        <v>1974</v>
      </c>
      <c r="AK3" s="9">
        <f>SUM(W3:Z3)</f>
        <v>2350</v>
      </c>
      <c r="AL3" s="9">
        <f>SUM(AA3:AD3)</f>
        <v>2474.84</v>
      </c>
      <c r="AM3" s="9">
        <f>AL3*1.2</f>
        <v>2969.808</v>
      </c>
      <c r="AN3" s="9">
        <f>AM3*0.95</f>
        <v>2821.3175999999999</v>
      </c>
      <c r="AO3" s="9">
        <f>AN3*1.02</f>
        <v>2877.7439519999998</v>
      </c>
      <c r="AP3" s="9">
        <f t="shared" ref="AP3:AV4" si="0">AO3*1.02</f>
        <v>2935.2988310399996</v>
      </c>
      <c r="AQ3" s="9">
        <f t="shared" si="0"/>
        <v>2994.0048076607995</v>
      </c>
      <c r="AR3" s="9">
        <f t="shared" si="0"/>
        <v>3053.8849038140156</v>
      </c>
      <c r="AS3" s="9">
        <f t="shared" si="0"/>
        <v>3114.9626018902959</v>
      </c>
      <c r="AT3" s="9">
        <f t="shared" ref="AT3" si="1">AS3*1.02</f>
        <v>3177.261853928102</v>
      </c>
      <c r="AU3" s="9">
        <f t="shared" ref="AU3" si="2">AT3*1.02</f>
        <v>3240.807091006664</v>
      </c>
      <c r="AV3" s="9">
        <f t="shared" ref="AV3" si="3">AU3*1.02</f>
        <v>3305.6232328267974</v>
      </c>
    </row>
    <row r="4" spans="2:48" x14ac:dyDescent="0.3">
      <c r="B4" t="s">
        <v>41</v>
      </c>
      <c r="C4" s="9">
        <v>494</v>
      </c>
      <c r="D4" s="9">
        <v>516</v>
      </c>
      <c r="E4" s="9">
        <v>565</v>
      </c>
      <c r="F4" s="9">
        <v>642</v>
      </c>
      <c r="G4" s="9">
        <v>810</v>
      </c>
      <c r="H4" s="9">
        <v>1069</v>
      </c>
      <c r="I4" s="9">
        <v>1213</v>
      </c>
      <c r="J4" s="9">
        <v>1318</v>
      </c>
      <c r="K4" s="9">
        <v>1217</v>
      </c>
      <c r="L4" s="9">
        <v>1150</v>
      </c>
      <c r="M4" s="9">
        <v>1234</v>
      </c>
      <c r="N4" s="9">
        <v>1306</v>
      </c>
      <c r="O4" s="9">
        <v>1245</v>
      </c>
      <c r="P4" s="9">
        <v>1177</v>
      </c>
      <c r="Q4" s="9">
        <v>1249</v>
      </c>
      <c r="R4" s="9">
        <v>1573</v>
      </c>
      <c r="S4" s="9">
        <v>1169</v>
      </c>
      <c r="T4" s="9">
        <v>1037</v>
      </c>
      <c r="U4" s="9">
        <v>1022</v>
      </c>
      <c r="V4" s="9">
        <v>1287</v>
      </c>
      <c r="W4" s="9">
        <v>1245</v>
      </c>
      <c r="X4" s="9">
        <v>1399</v>
      </c>
      <c r="Y4" s="9">
        <v>1546</v>
      </c>
      <c r="Z4" s="9">
        <v>1547</v>
      </c>
      <c r="AA4" s="9">
        <v>1600</v>
      </c>
      <c r="AB4" s="9">
        <f>X4*1.17</f>
        <v>1636.83</v>
      </c>
      <c r="AC4" s="9">
        <f>Y4*1.14</f>
        <v>1762.4399999999998</v>
      </c>
      <c r="AD4" s="9">
        <f>Z4*1.2</f>
        <v>1856.3999999999999</v>
      </c>
      <c r="AF4" s="9">
        <f>SUM(C4:F4)</f>
        <v>2217</v>
      </c>
      <c r="AG4" s="9">
        <f>SUM(G4:J4)</f>
        <v>4410</v>
      </c>
      <c r="AH4" s="9">
        <f>SUM(K4:N4)</f>
        <v>4907</v>
      </c>
      <c r="AI4" s="9">
        <f>SUM(O4:R4)</f>
        <v>5244</v>
      </c>
      <c r="AJ4" s="9">
        <f>SUM(S4:V4)</f>
        <v>4515</v>
      </c>
      <c r="AK4" s="9">
        <f>SUM(W4:Z4)</f>
        <v>5737</v>
      </c>
      <c r="AL4" s="9">
        <f>SUM(AA4:AD4)</f>
        <v>6855.6699999999992</v>
      </c>
      <c r="AM4" s="9">
        <f>AL4*1.25</f>
        <v>8569.5874999999996</v>
      </c>
      <c r="AN4" s="9">
        <f>AM4*1.12</f>
        <v>9597.9380000000001</v>
      </c>
      <c r="AO4" s="9">
        <f>AN4*1.06</f>
        <v>10173.814280000001</v>
      </c>
      <c r="AP4" s="9">
        <f>AO4*1.05</f>
        <v>10682.504994000001</v>
      </c>
      <c r="AQ4" s="9">
        <f>AP4*1.04</f>
        <v>11109.805193760001</v>
      </c>
      <c r="AR4" s="9">
        <f>AQ4*1.03</f>
        <v>11443.099349572802</v>
      </c>
      <c r="AS4" s="9">
        <f t="shared" ref="AS4" si="4">AR4*1.02</f>
        <v>11671.961336564258</v>
      </c>
      <c r="AT4" s="9">
        <f t="shared" si="0"/>
        <v>11905.400563295543</v>
      </c>
      <c r="AU4" s="9">
        <f t="shared" si="0"/>
        <v>12143.508574561454</v>
      </c>
      <c r="AV4" s="9">
        <f t="shared" si="0"/>
        <v>12386.378746052684</v>
      </c>
    </row>
    <row r="5" spans="2:48" s="1" customFormat="1" x14ac:dyDescent="0.3">
      <c r="B5" s="1" t="s">
        <v>12</v>
      </c>
      <c r="C5" s="10">
        <f t="shared" ref="C5:AD5" si="5">C3+C4</f>
        <v>1278</v>
      </c>
      <c r="D5" s="10">
        <f t="shared" si="5"/>
        <v>1044</v>
      </c>
      <c r="E5" s="10">
        <f t="shared" si="5"/>
        <v>990</v>
      </c>
      <c r="F5" s="10">
        <f t="shared" si="5"/>
        <v>1353</v>
      </c>
      <c r="G5" s="10">
        <f t="shared" si="5"/>
        <v>1455</v>
      </c>
      <c r="H5" s="10">
        <f t="shared" si="5"/>
        <v>1570</v>
      </c>
      <c r="I5" s="10">
        <f t="shared" si="5"/>
        <v>1568</v>
      </c>
      <c r="J5" s="10">
        <f t="shared" si="5"/>
        <v>2014</v>
      </c>
      <c r="K5" s="10">
        <f t="shared" si="5"/>
        <v>1726</v>
      </c>
      <c r="L5" s="10">
        <f t="shared" si="5"/>
        <v>1631</v>
      </c>
      <c r="M5" s="10">
        <f t="shared" si="5"/>
        <v>1618</v>
      </c>
      <c r="N5" s="10">
        <f t="shared" si="5"/>
        <v>2043</v>
      </c>
      <c r="O5" s="10">
        <f t="shared" si="5"/>
        <v>1965</v>
      </c>
      <c r="P5" s="10">
        <f t="shared" si="5"/>
        <v>1641</v>
      </c>
      <c r="Q5" s="10">
        <f t="shared" si="5"/>
        <v>1512</v>
      </c>
      <c r="R5" s="10">
        <f t="shared" si="5"/>
        <v>2381</v>
      </c>
      <c r="S5" s="10">
        <f t="shared" si="5"/>
        <v>1825</v>
      </c>
      <c r="T5" s="10">
        <f t="shared" si="5"/>
        <v>1396</v>
      </c>
      <c r="U5" s="10">
        <f t="shared" si="5"/>
        <v>1282</v>
      </c>
      <c r="V5" s="10">
        <f t="shared" si="5"/>
        <v>1986</v>
      </c>
      <c r="W5" s="10">
        <f t="shared" si="5"/>
        <v>1788</v>
      </c>
      <c r="X5" s="10">
        <f t="shared" si="5"/>
        <v>1932</v>
      </c>
      <c r="Y5" s="10">
        <f t="shared" si="5"/>
        <v>1954</v>
      </c>
      <c r="Z5" s="10">
        <f t="shared" si="5"/>
        <v>2413</v>
      </c>
      <c r="AA5" s="10">
        <f t="shared" si="5"/>
        <v>2275</v>
      </c>
      <c r="AB5" s="10">
        <f t="shared" si="5"/>
        <v>2180.4899999999998</v>
      </c>
      <c r="AC5" s="10">
        <f t="shared" si="5"/>
        <v>2178.6</v>
      </c>
      <c r="AD5" s="10">
        <f t="shared" si="5"/>
        <v>2696.42</v>
      </c>
      <c r="AF5" s="10">
        <f t="shared" ref="AF5:AL5" si="6">AF3+AF4</f>
        <v>4665</v>
      </c>
      <c r="AG5" s="10">
        <f t="shared" si="6"/>
        <v>6607</v>
      </c>
      <c r="AH5" s="10">
        <f t="shared" si="6"/>
        <v>7018</v>
      </c>
      <c r="AI5" s="10">
        <f t="shared" si="6"/>
        <v>7499</v>
      </c>
      <c r="AJ5" s="10">
        <f t="shared" si="6"/>
        <v>6489</v>
      </c>
      <c r="AK5" s="10">
        <f t="shared" si="6"/>
        <v>8087</v>
      </c>
      <c r="AL5" s="10">
        <f t="shared" si="6"/>
        <v>9330.5099999999984</v>
      </c>
      <c r="AM5" s="10">
        <f t="shared" ref="AM5" si="7">AM3+AM4</f>
        <v>11539.395499999999</v>
      </c>
      <c r="AN5" s="10">
        <f t="shared" ref="AN5" si="8">AN3+AN4</f>
        <v>12419.2556</v>
      </c>
      <c r="AO5" s="10">
        <f t="shared" ref="AO5" si="9">AO3+AO4</f>
        <v>13051.558231999999</v>
      </c>
      <c r="AP5" s="10">
        <f t="shared" ref="AP5" si="10">AP3+AP4</f>
        <v>13617.80382504</v>
      </c>
      <c r="AQ5" s="10">
        <f t="shared" ref="AQ5" si="11">AQ3+AQ4</f>
        <v>14103.810001420801</v>
      </c>
      <c r="AR5" s="10">
        <f t="shared" ref="AR5" si="12">AR3+AR4</f>
        <v>14496.984253386818</v>
      </c>
      <c r="AS5" s="10">
        <f t="shared" ref="AS5" si="13">AS3+AS4</f>
        <v>14786.923938454554</v>
      </c>
      <c r="AT5" s="10">
        <f t="shared" ref="AT5" si="14">AT3+AT4</f>
        <v>15082.662417223644</v>
      </c>
      <c r="AU5" s="10">
        <f t="shared" ref="AU5" si="15">AU3+AU4</f>
        <v>15384.315665568118</v>
      </c>
      <c r="AV5" s="10">
        <f t="shared" ref="AV5" si="16">AV3+AV4</f>
        <v>15692.001978879482</v>
      </c>
    </row>
    <row r="6" spans="2:48" x14ac:dyDescent="0.3">
      <c r="B6" t="s">
        <v>42</v>
      </c>
      <c r="C6" s="5">
        <f>209+53</f>
        <v>262</v>
      </c>
      <c r="D6" s="5">
        <f>147+70</f>
        <v>217</v>
      </c>
      <c r="E6" s="5">
        <f>179+62</f>
        <v>241</v>
      </c>
      <c r="F6" s="5">
        <f>343+98</f>
        <v>441</v>
      </c>
      <c r="G6" s="5">
        <f>247+64</f>
        <v>311</v>
      </c>
      <c r="H6" s="5">
        <f>149+80</f>
        <v>229</v>
      </c>
      <c r="I6" s="5">
        <f>111+42</f>
        <v>153</v>
      </c>
      <c r="J6" s="5">
        <f>313+80</f>
        <v>393</v>
      </c>
      <c r="K6" s="5">
        <f>143+88</f>
        <v>231</v>
      </c>
      <c r="L6" s="5">
        <f>130+75</f>
        <v>205</v>
      </c>
      <c r="M6" s="5">
        <f>149+37</f>
        <v>186</v>
      </c>
      <c r="N6" s="5">
        <f>310+101</f>
        <v>411</v>
      </c>
      <c r="O6" s="5">
        <f>162+146</f>
        <v>308</v>
      </c>
      <c r="P6" s="5">
        <f>126+49</f>
        <v>175</v>
      </c>
      <c r="Q6" s="5">
        <f>127+20</f>
        <v>147</v>
      </c>
      <c r="R6" s="5">
        <f>303+157</f>
        <v>460</v>
      </c>
      <c r="S6" s="5">
        <f>152+111</f>
        <v>263</v>
      </c>
      <c r="T6" s="5">
        <f>99+51</f>
        <v>150</v>
      </c>
      <c r="U6" s="5">
        <f>137+9</f>
        <v>146</v>
      </c>
      <c r="V6" s="5">
        <f>268+69</f>
        <v>337</v>
      </c>
      <c r="W6" s="5">
        <f>119+82</f>
        <v>201</v>
      </c>
      <c r="X6" s="5">
        <f>137+33</f>
        <v>170</v>
      </c>
      <c r="Y6" s="5">
        <f>101+37</f>
        <v>138</v>
      </c>
      <c r="Z6" s="5">
        <f>349+117</f>
        <v>466</v>
      </c>
      <c r="AA6" s="5">
        <f>140+112</f>
        <v>252</v>
      </c>
      <c r="AB6" s="5">
        <f t="shared" ref="AB6:AC6" si="17">AB3*0.35</f>
        <v>190.28099999999998</v>
      </c>
      <c r="AC6" s="5">
        <f t="shared" si="17"/>
        <v>145.65600000000001</v>
      </c>
      <c r="AD6" s="5">
        <f>AD3*0.5</f>
        <v>420.01</v>
      </c>
      <c r="AF6" s="9">
        <f>SUM(C6:F6)</f>
        <v>1161</v>
      </c>
      <c r="AG6" s="9">
        <f>SUM(G6:J6)</f>
        <v>1086</v>
      </c>
      <c r="AH6" s="9">
        <f>SUM(K6:N6)</f>
        <v>1033</v>
      </c>
      <c r="AI6" s="9">
        <f>SUM(O6:R6)</f>
        <v>1090</v>
      </c>
      <c r="AJ6" s="9">
        <f>SUM(S6:V6)</f>
        <v>896</v>
      </c>
      <c r="AK6" s="9">
        <f>SUM(W6:Z6)</f>
        <v>975</v>
      </c>
      <c r="AL6" s="9">
        <f>SUM(AA6:AD6)</f>
        <v>1007.9469999999999</v>
      </c>
      <c r="AM6" s="9">
        <f>AM3*0.45</f>
        <v>1336.4136000000001</v>
      </c>
      <c r="AN6" s="9">
        <f t="shared" ref="AN6:AV6" si="18">AN3*0.4</f>
        <v>1128.5270399999999</v>
      </c>
      <c r="AO6" s="9">
        <f t="shared" si="18"/>
        <v>1151.0975808000001</v>
      </c>
      <c r="AP6" s="9">
        <f t="shared" si="18"/>
        <v>1174.1195324159999</v>
      </c>
      <c r="AQ6" s="9">
        <f t="shared" si="18"/>
        <v>1197.6019230643199</v>
      </c>
      <c r="AR6" s="9">
        <f t="shared" si="18"/>
        <v>1221.5539615256064</v>
      </c>
      <c r="AS6" s="9">
        <f t="shared" si="18"/>
        <v>1245.9850407561185</v>
      </c>
      <c r="AT6" s="9">
        <f t="shared" si="18"/>
        <v>1270.9047415712409</v>
      </c>
      <c r="AU6" s="9">
        <f t="shared" si="18"/>
        <v>1296.3228364026656</v>
      </c>
      <c r="AV6" s="9">
        <f t="shared" si="18"/>
        <v>1322.249293130719</v>
      </c>
    </row>
    <row r="7" spans="2:48" x14ac:dyDescent="0.3">
      <c r="B7" t="s">
        <v>55</v>
      </c>
      <c r="C7" s="5">
        <f>148+3</f>
        <v>151</v>
      </c>
      <c r="D7" s="5">
        <f>61+19</f>
        <v>80</v>
      </c>
      <c r="E7" s="5">
        <f>71+25</f>
        <v>96</v>
      </c>
      <c r="F7" s="5">
        <f>82+15</f>
        <v>97</v>
      </c>
      <c r="G7" s="5">
        <f>144+36</f>
        <v>180</v>
      </c>
      <c r="H7" s="5">
        <f>241+128</f>
        <v>369</v>
      </c>
      <c r="I7" s="5">
        <f>237+139</f>
        <v>376</v>
      </c>
      <c r="J7" s="5">
        <f>230+153</f>
        <v>383</v>
      </c>
      <c r="K7" s="5">
        <f>232+122</f>
        <v>354</v>
      </c>
      <c r="L7" s="5">
        <f>236+120</f>
        <v>356</v>
      </c>
      <c r="M7" s="5">
        <f>249+117</f>
        <v>366</v>
      </c>
      <c r="N7" s="5">
        <f>268+124</f>
        <v>392</v>
      </c>
      <c r="O7" s="5">
        <f>270+84</f>
        <v>354</v>
      </c>
      <c r="P7" s="5">
        <f>250+85</f>
        <v>335</v>
      </c>
      <c r="Q7" s="5">
        <f>257+109</f>
        <v>366</v>
      </c>
      <c r="R7" s="5">
        <f>251+121</f>
        <v>372</v>
      </c>
      <c r="S7" s="5">
        <f>239+61</f>
        <v>300</v>
      </c>
      <c r="T7" s="5">
        <f>230+53</f>
        <v>283</v>
      </c>
      <c r="U7" s="5">
        <f>246+50</f>
        <v>296</v>
      </c>
      <c r="V7" s="5">
        <f>251+68</f>
        <v>319</v>
      </c>
      <c r="W7" s="5">
        <f>258+46</f>
        <v>304</v>
      </c>
      <c r="X7" s="5">
        <f>271+28</f>
        <v>299</v>
      </c>
      <c r="Y7" s="5">
        <f>290+41</f>
        <v>331</v>
      </c>
      <c r="Z7" s="5">
        <f>313+39</f>
        <v>352</v>
      </c>
      <c r="AA7" s="5">
        <f>296+30</f>
        <v>326</v>
      </c>
      <c r="AB7" s="5">
        <f t="shared" ref="AB7:AD7" si="19">AB4*0.22</f>
        <v>360.1026</v>
      </c>
      <c r="AC7" s="5">
        <f t="shared" si="19"/>
        <v>387.73679999999996</v>
      </c>
      <c r="AD7" s="5">
        <f t="shared" si="19"/>
        <v>408.40799999999996</v>
      </c>
      <c r="AF7" s="9">
        <f>SUM(C7:F7)</f>
        <v>424</v>
      </c>
      <c r="AG7" s="9">
        <f>SUM(G7:J7)</f>
        <v>1308</v>
      </c>
      <c r="AH7" s="9">
        <f>SUM(K7:N7)</f>
        <v>1468</v>
      </c>
      <c r="AI7" s="9">
        <f>SUM(O7:R7)</f>
        <v>1427</v>
      </c>
      <c r="AJ7" s="9">
        <f>SUM(S7:V7)</f>
        <v>1198</v>
      </c>
      <c r="AK7" s="9">
        <f>SUM(W7:Z7)</f>
        <v>1286</v>
      </c>
      <c r="AL7" s="9">
        <f>SUM(AA7:AD7)</f>
        <v>1482.2473999999997</v>
      </c>
      <c r="AM7" s="9">
        <f t="shared" ref="AM7:AV7" si="20">AM4*0.22</f>
        <v>1885.30925</v>
      </c>
      <c r="AN7" s="9">
        <f t="shared" si="20"/>
        <v>2111.5463599999998</v>
      </c>
      <c r="AO7" s="9">
        <f t="shared" si="20"/>
        <v>2238.2391416</v>
      </c>
      <c r="AP7" s="9">
        <f t="shared" si="20"/>
        <v>2350.1510986800004</v>
      </c>
      <c r="AQ7" s="9">
        <f t="shared" si="20"/>
        <v>2444.1571426272003</v>
      </c>
      <c r="AR7" s="9">
        <f t="shared" si="20"/>
        <v>2517.4818569060162</v>
      </c>
      <c r="AS7" s="9">
        <f t="shared" si="20"/>
        <v>2567.8314940441369</v>
      </c>
      <c r="AT7" s="9">
        <f t="shared" si="20"/>
        <v>2619.1881239250197</v>
      </c>
      <c r="AU7" s="9">
        <f t="shared" si="20"/>
        <v>2671.5718864035198</v>
      </c>
      <c r="AV7" s="9">
        <f t="shared" si="20"/>
        <v>2725.0033241315905</v>
      </c>
    </row>
    <row r="8" spans="2:48" x14ac:dyDescent="0.3">
      <c r="B8" t="s">
        <v>43</v>
      </c>
      <c r="C8" s="5">
        <f t="shared" ref="C8:AD8" si="21">C6+C7</f>
        <v>413</v>
      </c>
      <c r="D8" s="5">
        <f t="shared" si="21"/>
        <v>297</v>
      </c>
      <c r="E8" s="5">
        <f t="shared" si="21"/>
        <v>337</v>
      </c>
      <c r="F8" s="5">
        <f t="shared" si="21"/>
        <v>538</v>
      </c>
      <c r="G8" s="5">
        <f t="shared" si="21"/>
        <v>491</v>
      </c>
      <c r="H8" s="5">
        <f t="shared" si="21"/>
        <v>598</v>
      </c>
      <c r="I8" s="5">
        <f t="shared" si="21"/>
        <v>529</v>
      </c>
      <c r="J8" s="5">
        <f t="shared" si="21"/>
        <v>776</v>
      </c>
      <c r="K8" s="5">
        <f t="shared" si="21"/>
        <v>585</v>
      </c>
      <c r="L8" s="5">
        <f t="shared" si="21"/>
        <v>561</v>
      </c>
      <c r="M8" s="5">
        <f t="shared" si="21"/>
        <v>552</v>
      </c>
      <c r="N8" s="5">
        <f t="shared" si="21"/>
        <v>803</v>
      </c>
      <c r="O8" s="5">
        <f t="shared" si="21"/>
        <v>662</v>
      </c>
      <c r="P8" s="5">
        <f t="shared" si="21"/>
        <v>510</v>
      </c>
      <c r="Q8" s="5">
        <f t="shared" si="21"/>
        <v>513</v>
      </c>
      <c r="R8" s="5">
        <f t="shared" si="21"/>
        <v>832</v>
      </c>
      <c r="S8" s="5">
        <f t="shared" si="21"/>
        <v>563</v>
      </c>
      <c r="T8" s="5">
        <f t="shared" si="21"/>
        <v>433</v>
      </c>
      <c r="U8" s="5">
        <f t="shared" si="21"/>
        <v>442</v>
      </c>
      <c r="V8" s="5">
        <f t="shared" si="21"/>
        <v>656</v>
      </c>
      <c r="W8" s="5">
        <f t="shared" si="21"/>
        <v>505</v>
      </c>
      <c r="X8" s="5">
        <f t="shared" si="21"/>
        <v>469</v>
      </c>
      <c r="Y8" s="5">
        <f t="shared" si="21"/>
        <v>469</v>
      </c>
      <c r="Z8" s="5">
        <f t="shared" si="21"/>
        <v>818</v>
      </c>
      <c r="AA8" s="5">
        <f t="shared" si="21"/>
        <v>578</v>
      </c>
      <c r="AB8" s="5">
        <f t="shared" si="21"/>
        <v>550.3836</v>
      </c>
      <c r="AC8" s="5">
        <f t="shared" si="21"/>
        <v>533.39279999999997</v>
      </c>
      <c r="AD8" s="5">
        <f t="shared" si="21"/>
        <v>828.41799999999989</v>
      </c>
      <c r="AF8" s="5">
        <f>AF6+AF7</f>
        <v>1585</v>
      </c>
      <c r="AG8" s="5">
        <f t="shared" ref="AG8:AL8" si="22">AG6+AG7</f>
        <v>2394</v>
      </c>
      <c r="AH8" s="5">
        <f t="shared" si="22"/>
        <v>2501</v>
      </c>
      <c r="AI8" s="5">
        <f t="shared" si="22"/>
        <v>2517</v>
      </c>
      <c r="AJ8" s="5">
        <f t="shared" si="22"/>
        <v>2094</v>
      </c>
      <c r="AK8" s="5">
        <f t="shared" si="22"/>
        <v>2261</v>
      </c>
      <c r="AL8" s="5">
        <f t="shared" si="22"/>
        <v>2490.1943999999994</v>
      </c>
      <c r="AM8" s="5">
        <f t="shared" ref="AM8:AV8" si="23">AM6+AM7</f>
        <v>3221.7228500000001</v>
      </c>
      <c r="AN8" s="5">
        <f t="shared" si="23"/>
        <v>3240.0733999999998</v>
      </c>
      <c r="AO8" s="5">
        <f t="shared" si="23"/>
        <v>3389.3367224000003</v>
      </c>
      <c r="AP8" s="5">
        <f t="shared" si="23"/>
        <v>3524.2706310960002</v>
      </c>
      <c r="AQ8" s="5">
        <f t="shared" si="23"/>
        <v>3641.7590656915199</v>
      </c>
      <c r="AR8" s="5">
        <f t="shared" si="23"/>
        <v>3739.0358184316228</v>
      </c>
      <c r="AS8" s="5">
        <f t="shared" si="23"/>
        <v>3813.8165348002553</v>
      </c>
      <c r="AT8" s="5">
        <f t="shared" si="23"/>
        <v>3890.0928654962609</v>
      </c>
      <c r="AU8" s="5">
        <f t="shared" si="23"/>
        <v>3967.8947228061852</v>
      </c>
      <c r="AV8" s="5">
        <f t="shared" si="23"/>
        <v>4047.2526172623093</v>
      </c>
    </row>
    <row r="9" spans="2:48" s="1" customFormat="1" x14ac:dyDescent="0.3">
      <c r="B9" s="1" t="s">
        <v>44</v>
      </c>
      <c r="C9" s="10">
        <f t="shared" ref="C9:AD9" si="24">C5-C8</f>
        <v>865</v>
      </c>
      <c r="D9" s="10">
        <f t="shared" si="24"/>
        <v>747</v>
      </c>
      <c r="E9" s="10">
        <f t="shared" si="24"/>
        <v>653</v>
      </c>
      <c r="F9" s="10">
        <f t="shared" si="24"/>
        <v>815</v>
      </c>
      <c r="G9" s="10">
        <f t="shared" si="24"/>
        <v>964</v>
      </c>
      <c r="H9" s="10">
        <f t="shared" si="24"/>
        <v>972</v>
      </c>
      <c r="I9" s="10">
        <f t="shared" si="24"/>
        <v>1039</v>
      </c>
      <c r="J9" s="10">
        <f t="shared" si="24"/>
        <v>1238</v>
      </c>
      <c r="K9" s="10">
        <f t="shared" si="24"/>
        <v>1141</v>
      </c>
      <c r="L9" s="10">
        <f t="shared" si="24"/>
        <v>1070</v>
      </c>
      <c r="M9" s="10">
        <f t="shared" si="24"/>
        <v>1066</v>
      </c>
      <c r="N9" s="10">
        <f t="shared" si="24"/>
        <v>1240</v>
      </c>
      <c r="O9" s="10">
        <f t="shared" si="24"/>
        <v>1303</v>
      </c>
      <c r="P9" s="10">
        <f t="shared" si="24"/>
        <v>1131</v>
      </c>
      <c r="Q9" s="10">
        <f t="shared" si="24"/>
        <v>999</v>
      </c>
      <c r="R9" s="10">
        <f t="shared" si="24"/>
        <v>1549</v>
      </c>
      <c r="S9" s="10">
        <f t="shared" si="24"/>
        <v>1262</v>
      </c>
      <c r="T9" s="10">
        <f t="shared" si="24"/>
        <v>963</v>
      </c>
      <c r="U9" s="10">
        <f t="shared" si="24"/>
        <v>840</v>
      </c>
      <c r="V9" s="10">
        <f t="shared" si="24"/>
        <v>1330</v>
      </c>
      <c r="W9" s="10">
        <f t="shared" si="24"/>
        <v>1283</v>
      </c>
      <c r="X9" s="10">
        <f t="shared" si="24"/>
        <v>1463</v>
      </c>
      <c r="Y9" s="10">
        <f t="shared" si="24"/>
        <v>1485</v>
      </c>
      <c r="Z9" s="10">
        <f t="shared" si="24"/>
        <v>1595</v>
      </c>
      <c r="AA9" s="10">
        <f t="shared" si="24"/>
        <v>1697</v>
      </c>
      <c r="AB9" s="10">
        <f t="shared" si="24"/>
        <v>1630.1063999999997</v>
      </c>
      <c r="AC9" s="10">
        <f t="shared" si="24"/>
        <v>1645.2071999999998</v>
      </c>
      <c r="AD9" s="10">
        <f t="shared" si="24"/>
        <v>1868.0020000000002</v>
      </c>
      <c r="AF9" s="10">
        <f t="shared" ref="AF9:AL9" si="25">AF5-AF8</f>
        <v>3080</v>
      </c>
      <c r="AG9" s="10">
        <f t="shared" si="25"/>
        <v>4213</v>
      </c>
      <c r="AH9" s="10">
        <f t="shared" si="25"/>
        <v>4517</v>
      </c>
      <c r="AI9" s="10">
        <f t="shared" si="25"/>
        <v>4982</v>
      </c>
      <c r="AJ9" s="10">
        <f t="shared" si="25"/>
        <v>4395</v>
      </c>
      <c r="AK9" s="10">
        <f t="shared" si="25"/>
        <v>5826</v>
      </c>
      <c r="AL9" s="10">
        <f t="shared" si="25"/>
        <v>6840.315599999999</v>
      </c>
      <c r="AM9" s="10">
        <f t="shared" ref="AM9:AV9" si="26">AM5-AM8</f>
        <v>8317.6726499999986</v>
      </c>
      <c r="AN9" s="10">
        <f t="shared" si="26"/>
        <v>9179.1822000000011</v>
      </c>
      <c r="AO9" s="10">
        <f t="shared" si="26"/>
        <v>9662.2215096</v>
      </c>
      <c r="AP9" s="10">
        <f t="shared" si="26"/>
        <v>10093.533193944</v>
      </c>
      <c r="AQ9" s="10">
        <f t="shared" si="26"/>
        <v>10462.050935729281</v>
      </c>
      <c r="AR9" s="10">
        <f t="shared" si="26"/>
        <v>10757.948434955195</v>
      </c>
      <c r="AS9" s="10">
        <f t="shared" si="26"/>
        <v>10973.1074036543</v>
      </c>
      <c r="AT9" s="10">
        <f t="shared" si="26"/>
        <v>11192.569551727383</v>
      </c>
      <c r="AU9" s="10">
        <f t="shared" si="26"/>
        <v>11416.420942761932</v>
      </c>
      <c r="AV9" s="10">
        <f t="shared" si="26"/>
        <v>11644.749361617172</v>
      </c>
    </row>
    <row r="10" spans="2:48" x14ac:dyDescent="0.3">
      <c r="B10" t="s">
        <v>45</v>
      </c>
      <c r="C10" s="5">
        <v>145</v>
      </c>
      <c r="D10" s="5">
        <v>149</v>
      </c>
      <c r="E10" s="5">
        <v>159</v>
      </c>
      <c r="F10" s="5">
        <v>193</v>
      </c>
      <c r="G10" s="5">
        <v>175</v>
      </c>
      <c r="H10" s="5">
        <v>249</v>
      </c>
      <c r="I10" s="5">
        <v>249</v>
      </c>
      <c r="J10" s="5">
        <v>285</v>
      </c>
      <c r="K10" s="5">
        <v>225</v>
      </c>
      <c r="L10" s="5">
        <v>252</v>
      </c>
      <c r="M10" s="5">
        <v>273</v>
      </c>
      <c r="N10" s="5">
        <v>318</v>
      </c>
      <c r="O10" s="5">
        <v>259</v>
      </c>
      <c r="P10" s="5">
        <v>255</v>
      </c>
      <c r="Q10" s="5">
        <v>263</v>
      </c>
      <c r="R10" s="5">
        <v>325</v>
      </c>
      <c r="S10" s="5">
        <v>249</v>
      </c>
      <c r="T10" s="5">
        <v>244</v>
      </c>
      <c r="U10" s="5">
        <v>210</v>
      </c>
      <c r="V10" s="5">
        <v>296</v>
      </c>
      <c r="W10" s="5">
        <v>238</v>
      </c>
      <c r="X10" s="5">
        <v>291</v>
      </c>
      <c r="Y10" s="5">
        <v>274</v>
      </c>
      <c r="Z10" s="5">
        <v>350</v>
      </c>
      <c r="AA10" s="5">
        <v>353</v>
      </c>
      <c r="AB10" s="5">
        <f>X10*1.1</f>
        <v>320.10000000000002</v>
      </c>
      <c r="AC10" s="5">
        <f>Y10*1.15</f>
        <v>315.09999999999997</v>
      </c>
      <c r="AD10" s="5">
        <f>Z10*1.1</f>
        <v>385.00000000000006</v>
      </c>
      <c r="AF10" s="9">
        <f>SUM(C10:F10)</f>
        <v>646</v>
      </c>
      <c r="AG10" s="9">
        <f>SUM(G10:J10)</f>
        <v>958</v>
      </c>
      <c r="AH10" s="9">
        <f>SUM(K10:N10)</f>
        <v>1068</v>
      </c>
      <c r="AI10" s="9">
        <f>SUM(O10:R10)</f>
        <v>1102</v>
      </c>
      <c r="AJ10" s="9">
        <f>SUM(S10:V10)</f>
        <v>999</v>
      </c>
      <c r="AK10" s="9">
        <f>SUM(W10:Z10)</f>
        <v>1153</v>
      </c>
      <c r="AL10" s="9">
        <f>SUM(AA10:AD10)</f>
        <v>1373.2</v>
      </c>
      <c r="AM10" s="5">
        <f>AL10*1.08</f>
        <v>1483.056</v>
      </c>
      <c r="AN10" s="5">
        <f>AM10*1.05</f>
        <v>1557.2088000000001</v>
      </c>
      <c r="AO10" s="5">
        <f>AN10*1.04</f>
        <v>1619.4971520000001</v>
      </c>
      <c r="AP10" s="5">
        <f>AO10*1.03</f>
        <v>1668.0820665600002</v>
      </c>
      <c r="AQ10" s="5">
        <f>AP10*1.02</f>
        <v>1701.4437078912001</v>
      </c>
      <c r="AR10" s="5">
        <f t="shared" ref="AR10:AV10" si="27">AQ10*1.02</f>
        <v>1735.4725820490241</v>
      </c>
      <c r="AS10" s="5">
        <f t="shared" si="27"/>
        <v>1770.1820336900046</v>
      </c>
      <c r="AT10" s="5">
        <f t="shared" si="27"/>
        <v>1805.5856743638046</v>
      </c>
      <c r="AU10" s="5">
        <f t="shared" si="27"/>
        <v>1841.6973878510807</v>
      </c>
      <c r="AV10" s="5">
        <f t="shared" si="27"/>
        <v>1878.5313356081024</v>
      </c>
    </row>
    <row r="11" spans="2:48" x14ac:dyDescent="0.3">
      <c r="B11" t="s">
        <v>46</v>
      </c>
      <c r="C11" s="5">
        <v>92</v>
      </c>
      <c r="D11" s="5">
        <v>164</v>
      </c>
      <c r="E11" s="5">
        <v>189</v>
      </c>
      <c r="F11" s="5">
        <v>289</v>
      </c>
      <c r="G11" s="5">
        <v>168</v>
      </c>
      <c r="H11" s="5">
        <v>322</v>
      </c>
      <c r="I11" s="5">
        <v>340</v>
      </c>
      <c r="J11" s="5">
        <v>380</v>
      </c>
      <c r="K11" s="5">
        <v>246</v>
      </c>
      <c r="L11" s="5">
        <v>308</v>
      </c>
      <c r="M11" s="5">
        <v>345</v>
      </c>
      <c r="N11" s="5">
        <v>479</v>
      </c>
      <c r="O11" s="5">
        <v>251</v>
      </c>
      <c r="P11" s="5">
        <v>226</v>
      </c>
      <c r="Q11" s="5">
        <v>263</v>
      </c>
      <c r="R11" s="5">
        <v>321</v>
      </c>
      <c r="S11" s="5">
        <v>207</v>
      </c>
      <c r="T11" s="5">
        <v>191</v>
      </c>
      <c r="U11" s="5">
        <v>182</v>
      </c>
      <c r="V11" s="5">
        <v>346</v>
      </c>
      <c r="W11" s="5">
        <v>243</v>
      </c>
      <c r="X11" s="5">
        <v>242</v>
      </c>
      <c r="Y11" s="5">
        <v>238</v>
      </c>
      <c r="Z11" s="5">
        <v>341</v>
      </c>
      <c r="AA11" s="5">
        <v>237</v>
      </c>
      <c r="AB11" s="5">
        <f>AB5*0.12</f>
        <v>261.65879999999999</v>
      </c>
      <c r="AC11" s="5">
        <f>AC5*0.11</f>
        <v>239.64599999999999</v>
      </c>
      <c r="AD11" s="5">
        <f t="shared" ref="AD11" si="28">AD5*0.13</f>
        <v>350.53460000000001</v>
      </c>
      <c r="AF11" s="9">
        <f>SUM(C11:F11)</f>
        <v>734</v>
      </c>
      <c r="AG11" s="9">
        <f>SUM(G11:J11)</f>
        <v>1210</v>
      </c>
      <c r="AH11" s="9">
        <f>SUM(K11:N11)</f>
        <v>1378</v>
      </c>
      <c r="AI11" s="9">
        <f>SUM(O11:R11)</f>
        <v>1061</v>
      </c>
      <c r="AJ11" s="9">
        <f>SUM(S11:V11)</f>
        <v>926</v>
      </c>
      <c r="AK11" s="9">
        <f>SUM(W11:Z11)</f>
        <v>1064</v>
      </c>
      <c r="AL11" s="9">
        <f>SUM(AA11:AD11)</f>
        <v>1088.8394000000001</v>
      </c>
      <c r="AM11" s="5">
        <f>AM5*0.18</f>
        <v>2077.0911899999996</v>
      </c>
      <c r="AN11" s="5">
        <f>AN5*0.15</f>
        <v>1862.88834</v>
      </c>
      <c r="AO11" s="5">
        <f>AO5*0.13</f>
        <v>1696.7025701600001</v>
      </c>
      <c r="AP11" s="5">
        <f>AP5*0.12</f>
        <v>1634.1364590047999</v>
      </c>
      <c r="AQ11" s="5">
        <f>AQ5*0.12</f>
        <v>1692.457200170496</v>
      </c>
      <c r="AR11" s="5">
        <f t="shared" ref="AR11:AV11" si="29">AR5*0.12</f>
        <v>1739.638110406418</v>
      </c>
      <c r="AS11" s="5">
        <f t="shared" si="29"/>
        <v>1774.4308726145464</v>
      </c>
      <c r="AT11" s="5">
        <f t="shared" si="29"/>
        <v>1809.9194900668372</v>
      </c>
      <c r="AU11" s="5">
        <f t="shared" si="29"/>
        <v>1846.117879868174</v>
      </c>
      <c r="AV11" s="5">
        <f t="shared" si="29"/>
        <v>1883.0402374655378</v>
      </c>
    </row>
    <row r="12" spans="2:48" x14ac:dyDescent="0.3">
      <c r="B12" t="s">
        <v>47</v>
      </c>
      <c r="C12" s="5">
        <v>86</v>
      </c>
      <c r="D12" s="5">
        <v>102</v>
      </c>
      <c r="E12" s="5">
        <v>109</v>
      </c>
      <c r="F12" s="5">
        <v>83</v>
      </c>
      <c r="G12" s="5">
        <v>160</v>
      </c>
      <c r="H12" s="5">
        <v>169</v>
      </c>
      <c r="I12" s="5">
        <v>156</v>
      </c>
      <c r="J12" s="5">
        <v>148</v>
      </c>
      <c r="K12" s="5">
        <v>177</v>
      </c>
      <c r="L12" s="5">
        <v>171</v>
      </c>
      <c r="M12" s="5">
        <v>191</v>
      </c>
      <c r="N12" s="5">
        <v>222</v>
      </c>
      <c r="O12" s="5">
        <v>198</v>
      </c>
      <c r="P12" s="5">
        <v>216</v>
      </c>
      <c r="Q12" s="5">
        <v>208</v>
      </c>
      <c r="R12" s="5">
        <v>209</v>
      </c>
      <c r="S12" s="5">
        <v>179</v>
      </c>
      <c r="T12" s="5">
        <v>170</v>
      </c>
      <c r="U12" s="5">
        <v>177</v>
      </c>
      <c r="V12" s="5">
        <v>205</v>
      </c>
      <c r="W12" s="5">
        <v>167</v>
      </c>
      <c r="X12" s="5">
        <v>175</v>
      </c>
      <c r="Y12" s="5">
        <v>186</v>
      </c>
      <c r="Z12" s="5">
        <v>255</v>
      </c>
      <c r="AA12" s="5">
        <v>282</v>
      </c>
      <c r="AB12" s="5">
        <f>X12*1.03</f>
        <v>180.25</v>
      </c>
      <c r="AC12" s="5">
        <f>Y12*1.02</f>
        <v>189.72</v>
      </c>
      <c r="AD12" s="5">
        <f>Z12*1.05</f>
        <v>267.75</v>
      </c>
      <c r="AF12" s="9">
        <f>SUM(C12:F12)</f>
        <v>380</v>
      </c>
      <c r="AG12" s="9">
        <f>SUM(G12:J12)</f>
        <v>633</v>
      </c>
      <c r="AH12" s="9">
        <f>SUM(K12:N12)</f>
        <v>761</v>
      </c>
      <c r="AI12" s="9">
        <f>SUM(O12:R12)</f>
        <v>831</v>
      </c>
      <c r="AJ12" s="9">
        <f>SUM(S12:V12)</f>
        <v>731</v>
      </c>
      <c r="AK12" s="9">
        <f>SUM(W12:Z12)</f>
        <v>783</v>
      </c>
      <c r="AL12" s="9">
        <f>SUM(AA12:AD12)</f>
        <v>919.72</v>
      </c>
      <c r="AM12" s="5">
        <f>AL12*1.05</f>
        <v>965.70600000000002</v>
      </c>
      <c r="AN12" s="5">
        <f>AM12*1.04</f>
        <v>1004.33424</v>
      </c>
      <c r="AO12" s="5">
        <f>AN12*1.03</f>
        <v>1034.4642672</v>
      </c>
      <c r="AP12" s="5">
        <f>AO12*1.02</f>
        <v>1055.1535525439999</v>
      </c>
      <c r="AQ12" s="5">
        <f>AP12*1.01</f>
        <v>1065.7050880694399</v>
      </c>
      <c r="AR12" s="5">
        <f t="shared" ref="AR12:AV12" si="30">AQ12*1.01</f>
        <v>1076.3621389501343</v>
      </c>
      <c r="AS12" s="5">
        <f t="shared" si="30"/>
        <v>1087.1257603396357</v>
      </c>
      <c r="AT12" s="5">
        <f t="shared" si="30"/>
        <v>1097.997017943032</v>
      </c>
      <c r="AU12" s="5">
        <f t="shared" si="30"/>
        <v>1108.9769881224624</v>
      </c>
      <c r="AV12" s="5">
        <f t="shared" si="30"/>
        <v>1120.066758003687</v>
      </c>
    </row>
    <row r="13" spans="2:48" x14ac:dyDescent="0.3">
      <c r="B13" t="s">
        <v>48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57</v>
      </c>
      <c r="T13" s="5">
        <v>22</v>
      </c>
      <c r="U13" s="5">
        <v>24</v>
      </c>
      <c r="V13" s="5">
        <v>29</v>
      </c>
      <c r="W13" s="5">
        <v>23</v>
      </c>
      <c r="X13" s="5">
        <v>6</v>
      </c>
      <c r="Y13" s="5">
        <v>9</v>
      </c>
      <c r="Z13" s="5">
        <v>55</v>
      </c>
      <c r="AA13" s="5">
        <v>30</v>
      </c>
      <c r="AB13" s="5">
        <v>15</v>
      </c>
      <c r="AC13" s="5">
        <v>15</v>
      </c>
      <c r="AD13" s="5">
        <v>15</v>
      </c>
      <c r="AF13" s="9">
        <f>SUM(C13:F13)</f>
        <v>0</v>
      </c>
      <c r="AG13" s="9">
        <f>SUM(G13:J13)</f>
        <v>0</v>
      </c>
      <c r="AH13" s="9">
        <f>SUM(K13:N13)</f>
        <v>0</v>
      </c>
      <c r="AI13" s="9">
        <f>SUM(O13:R13)</f>
        <v>0</v>
      </c>
      <c r="AJ13" s="9">
        <f>SUM(S13:V13)</f>
        <v>132</v>
      </c>
      <c r="AK13" s="9">
        <f>SUM(W13:Z13)</f>
        <v>93</v>
      </c>
      <c r="AL13" s="9">
        <f>SUM(AA13:AD13)</f>
        <v>75</v>
      </c>
      <c r="AM13" s="5">
        <f>AL13*0.8</f>
        <v>60</v>
      </c>
      <c r="AN13" s="5">
        <f t="shared" ref="AN13:AV13" si="31">AM13*0.8</f>
        <v>48</v>
      </c>
      <c r="AO13" s="5">
        <f t="shared" si="31"/>
        <v>38.400000000000006</v>
      </c>
      <c r="AP13" s="5">
        <f t="shared" si="31"/>
        <v>30.720000000000006</v>
      </c>
      <c r="AQ13" s="5">
        <f t="shared" si="31"/>
        <v>24.576000000000008</v>
      </c>
      <c r="AR13" s="5">
        <f t="shared" si="31"/>
        <v>19.660800000000009</v>
      </c>
      <c r="AS13" s="5">
        <f t="shared" si="31"/>
        <v>15.728640000000008</v>
      </c>
      <c r="AT13" s="5">
        <f t="shared" si="31"/>
        <v>12.582912000000007</v>
      </c>
      <c r="AU13" s="5">
        <f t="shared" si="31"/>
        <v>10.066329600000007</v>
      </c>
      <c r="AV13" s="5">
        <f t="shared" si="31"/>
        <v>8.0530636800000064</v>
      </c>
    </row>
    <row r="14" spans="2:48" s="1" customFormat="1" x14ac:dyDescent="0.3">
      <c r="B14" s="1" t="s">
        <v>49</v>
      </c>
      <c r="C14" s="10">
        <f t="shared" ref="C14:AD14" si="32">C9-SUM(C10:C13)</f>
        <v>542</v>
      </c>
      <c r="D14" s="10">
        <f t="shared" si="32"/>
        <v>332</v>
      </c>
      <c r="E14" s="10">
        <f t="shared" si="32"/>
        <v>196</v>
      </c>
      <c r="F14" s="10">
        <f t="shared" si="32"/>
        <v>250</v>
      </c>
      <c r="G14" s="10">
        <f t="shared" si="32"/>
        <v>461</v>
      </c>
      <c r="H14" s="10">
        <f t="shared" si="32"/>
        <v>232</v>
      </c>
      <c r="I14" s="10">
        <f t="shared" si="32"/>
        <v>294</v>
      </c>
      <c r="J14" s="10">
        <f t="shared" si="32"/>
        <v>425</v>
      </c>
      <c r="K14" s="10">
        <f t="shared" si="32"/>
        <v>493</v>
      </c>
      <c r="L14" s="10">
        <f t="shared" si="32"/>
        <v>339</v>
      </c>
      <c r="M14" s="10">
        <f t="shared" si="32"/>
        <v>257</v>
      </c>
      <c r="N14" s="10">
        <f t="shared" si="32"/>
        <v>221</v>
      </c>
      <c r="O14" s="10">
        <f t="shared" si="32"/>
        <v>595</v>
      </c>
      <c r="P14" s="10">
        <f t="shared" si="32"/>
        <v>434</v>
      </c>
      <c r="Q14" s="10">
        <f t="shared" si="32"/>
        <v>265</v>
      </c>
      <c r="R14" s="10">
        <f t="shared" si="32"/>
        <v>694</v>
      </c>
      <c r="S14" s="10">
        <f t="shared" si="32"/>
        <v>570</v>
      </c>
      <c r="T14" s="10">
        <f t="shared" si="32"/>
        <v>336</v>
      </c>
      <c r="U14" s="10">
        <f t="shared" si="32"/>
        <v>247</v>
      </c>
      <c r="V14" s="10">
        <f t="shared" si="32"/>
        <v>454</v>
      </c>
      <c r="W14" s="10">
        <f t="shared" si="32"/>
        <v>612</v>
      </c>
      <c r="X14" s="10">
        <f t="shared" si="32"/>
        <v>749</v>
      </c>
      <c r="Y14" s="10">
        <f t="shared" si="32"/>
        <v>778</v>
      </c>
      <c r="Z14" s="10">
        <f t="shared" si="32"/>
        <v>594</v>
      </c>
      <c r="AA14" s="10">
        <f t="shared" si="32"/>
        <v>795</v>
      </c>
      <c r="AB14" s="10">
        <f t="shared" si="32"/>
        <v>853.0975999999996</v>
      </c>
      <c r="AC14" s="10">
        <f t="shared" si="32"/>
        <v>885.74119999999982</v>
      </c>
      <c r="AD14" s="10">
        <f t="shared" si="32"/>
        <v>849.71740000000011</v>
      </c>
      <c r="AF14" s="10">
        <f t="shared" ref="AF14:AV14" si="33">AF9-SUM(AF10:AF13)</f>
        <v>1320</v>
      </c>
      <c r="AG14" s="10">
        <f t="shared" si="33"/>
        <v>1412</v>
      </c>
      <c r="AH14" s="10">
        <f t="shared" si="33"/>
        <v>1310</v>
      </c>
      <c r="AI14" s="10">
        <f t="shared" si="33"/>
        <v>1988</v>
      </c>
      <c r="AJ14" s="10">
        <f t="shared" si="33"/>
        <v>1607</v>
      </c>
      <c r="AK14" s="10">
        <f t="shared" si="33"/>
        <v>2733</v>
      </c>
      <c r="AL14" s="10">
        <f t="shared" si="33"/>
        <v>3383.5561999999991</v>
      </c>
      <c r="AM14" s="10">
        <f t="shared" si="33"/>
        <v>3731.8194599999988</v>
      </c>
      <c r="AN14" s="10">
        <f t="shared" si="33"/>
        <v>4706.7508200000011</v>
      </c>
      <c r="AO14" s="10">
        <f t="shared" si="33"/>
        <v>5273.1575202399999</v>
      </c>
      <c r="AP14" s="10">
        <f t="shared" si="33"/>
        <v>5705.4411158352004</v>
      </c>
      <c r="AQ14" s="10">
        <f t="shared" si="33"/>
        <v>5977.8689395981455</v>
      </c>
      <c r="AR14" s="10">
        <f t="shared" si="33"/>
        <v>6186.8148035496188</v>
      </c>
      <c r="AS14" s="10">
        <f t="shared" si="33"/>
        <v>6325.6400970101122</v>
      </c>
      <c r="AT14" s="10">
        <f t="shared" si="33"/>
        <v>6466.4844573537102</v>
      </c>
      <c r="AU14" s="10">
        <f t="shared" si="33"/>
        <v>6609.5623573202138</v>
      </c>
      <c r="AV14" s="10">
        <f t="shared" si="33"/>
        <v>6755.0579668598448</v>
      </c>
    </row>
    <row r="15" spans="2:48" x14ac:dyDescent="0.3">
      <c r="B15" t="s">
        <v>56</v>
      </c>
      <c r="C15" s="5">
        <v>50</v>
      </c>
      <c r="D15" s="5">
        <v>50</v>
      </c>
      <c r="E15" s="5">
        <v>51</v>
      </c>
      <c r="F15" s="5">
        <v>49</v>
      </c>
      <c r="G15" s="5">
        <v>52</v>
      </c>
      <c r="H15" s="5">
        <v>65</v>
      </c>
      <c r="I15" s="5">
        <v>63</v>
      </c>
      <c r="J15" s="5">
        <v>43</v>
      </c>
      <c r="K15" s="5">
        <v>40</v>
      </c>
      <c r="L15" s="5">
        <v>46</v>
      </c>
      <c r="M15" s="5">
        <v>37</v>
      </c>
      <c r="N15" s="5">
        <v>36</v>
      </c>
      <c r="O15" s="5">
        <v>28</v>
      </c>
      <c r="P15" s="5">
        <v>26</v>
      </c>
      <c r="Q15" s="5">
        <v>13</v>
      </c>
      <c r="R15" s="5">
        <v>4</v>
      </c>
      <c r="S15" s="5">
        <v>3</v>
      </c>
      <c r="T15" s="5">
        <v>-34</v>
      </c>
      <c r="U15" s="5">
        <v>-2</v>
      </c>
      <c r="V15" s="5">
        <v>7</v>
      </c>
      <c r="W15" s="5">
        <v>8</v>
      </c>
      <c r="X15" s="5">
        <v>22</v>
      </c>
      <c r="Y15" s="5">
        <v>25</v>
      </c>
      <c r="Z15" s="5">
        <v>31</v>
      </c>
      <c r="AA15" s="5">
        <v>30</v>
      </c>
      <c r="AB15" s="5">
        <v>30</v>
      </c>
      <c r="AC15" s="5">
        <v>30</v>
      </c>
      <c r="AD15" s="5">
        <v>30</v>
      </c>
      <c r="AF15" s="9">
        <f>SUM(C15:F15)</f>
        <v>200</v>
      </c>
      <c r="AG15" s="9">
        <f>SUM(G15:J15)</f>
        <v>223</v>
      </c>
      <c r="AH15" s="9">
        <f>SUM(K15:N15)</f>
        <v>159</v>
      </c>
      <c r="AI15" s="9">
        <f>SUM(O15:R15)</f>
        <v>71</v>
      </c>
      <c r="AJ15" s="9">
        <f>SUM(S15:V15)</f>
        <v>-26</v>
      </c>
      <c r="AK15" s="9">
        <f>SUM(W15:Z15)</f>
        <v>86</v>
      </c>
      <c r="AL15" s="9">
        <f>SUM(AA15:AD15)</f>
        <v>120</v>
      </c>
      <c r="AM15" s="5">
        <f>AL15*0.8</f>
        <v>96</v>
      </c>
      <c r="AN15" s="5">
        <f t="shared" ref="AN15:AV15" si="34">AM15*0.8</f>
        <v>76.800000000000011</v>
      </c>
      <c r="AO15" s="5">
        <f t="shared" si="34"/>
        <v>61.440000000000012</v>
      </c>
      <c r="AP15" s="5">
        <f t="shared" si="34"/>
        <v>49.152000000000015</v>
      </c>
      <c r="AQ15" s="5">
        <f t="shared" si="34"/>
        <v>39.321600000000018</v>
      </c>
      <c r="AR15" s="5">
        <f t="shared" si="34"/>
        <v>31.457280000000015</v>
      </c>
      <c r="AS15" s="5">
        <f t="shared" si="34"/>
        <v>25.165824000000015</v>
      </c>
      <c r="AT15" s="5">
        <f t="shared" si="34"/>
        <v>20.132659200000013</v>
      </c>
      <c r="AU15" s="5">
        <f t="shared" si="34"/>
        <v>16.106127360000013</v>
      </c>
      <c r="AV15" s="5">
        <f t="shared" si="34"/>
        <v>12.884901888000011</v>
      </c>
    </row>
    <row r="16" spans="2:48" x14ac:dyDescent="0.3">
      <c r="B16" t="s">
        <v>50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82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40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31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F16" s="9">
        <f>SUM(C16:F16)</f>
        <v>0</v>
      </c>
      <c r="AG16" s="9">
        <f>SUM(G16:J16)</f>
        <v>82</v>
      </c>
      <c r="AH16" s="9">
        <f>SUM(K16:N16)</f>
        <v>0</v>
      </c>
      <c r="AI16" s="9">
        <f>SUM(O16:R16)</f>
        <v>40</v>
      </c>
      <c r="AJ16" s="9">
        <f>SUM(S16:V16)</f>
        <v>0</v>
      </c>
      <c r="AK16" s="9">
        <f>SUM(W16:Z16)</f>
        <v>31</v>
      </c>
      <c r="AL16" s="9">
        <f>SUM(AA16:AD16)</f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</row>
    <row r="17" spans="2:156" s="1" customFormat="1" x14ac:dyDescent="0.3">
      <c r="B17" s="1" t="s">
        <v>51</v>
      </c>
      <c r="C17" s="10">
        <f t="shared" ref="C17:AD17" si="35">C14-C15-C16</f>
        <v>492</v>
      </c>
      <c r="D17" s="10">
        <f t="shared" si="35"/>
        <v>282</v>
      </c>
      <c r="E17" s="10">
        <f t="shared" si="35"/>
        <v>145</v>
      </c>
      <c r="F17" s="10">
        <f t="shared" si="35"/>
        <v>201</v>
      </c>
      <c r="G17" s="10">
        <f t="shared" si="35"/>
        <v>409</v>
      </c>
      <c r="H17" s="10">
        <f t="shared" si="35"/>
        <v>167</v>
      </c>
      <c r="I17" s="10">
        <f t="shared" si="35"/>
        <v>231</v>
      </c>
      <c r="J17" s="10">
        <f t="shared" si="35"/>
        <v>300</v>
      </c>
      <c r="K17" s="10">
        <f t="shared" si="35"/>
        <v>453</v>
      </c>
      <c r="L17" s="10">
        <f t="shared" si="35"/>
        <v>293</v>
      </c>
      <c r="M17" s="10">
        <f t="shared" si="35"/>
        <v>220</v>
      </c>
      <c r="N17" s="10">
        <f t="shared" si="35"/>
        <v>185</v>
      </c>
      <c r="O17" s="10">
        <f t="shared" si="35"/>
        <v>567</v>
      </c>
      <c r="P17" s="10">
        <f t="shared" si="35"/>
        <v>408</v>
      </c>
      <c r="Q17" s="10">
        <f t="shared" si="35"/>
        <v>212</v>
      </c>
      <c r="R17" s="10">
        <f t="shared" si="35"/>
        <v>690</v>
      </c>
      <c r="S17" s="10">
        <f t="shared" si="35"/>
        <v>567</v>
      </c>
      <c r="T17" s="10">
        <f t="shared" si="35"/>
        <v>370</v>
      </c>
      <c r="U17" s="10">
        <f t="shared" si="35"/>
        <v>249</v>
      </c>
      <c r="V17" s="10">
        <f t="shared" si="35"/>
        <v>447</v>
      </c>
      <c r="W17" s="10">
        <f t="shared" si="35"/>
        <v>604</v>
      </c>
      <c r="X17" s="10">
        <f t="shared" si="35"/>
        <v>727</v>
      </c>
      <c r="Y17" s="10">
        <f t="shared" si="35"/>
        <v>722</v>
      </c>
      <c r="Z17" s="10">
        <f t="shared" si="35"/>
        <v>563</v>
      </c>
      <c r="AA17" s="10">
        <f t="shared" si="35"/>
        <v>765</v>
      </c>
      <c r="AB17" s="10">
        <f t="shared" si="35"/>
        <v>823.0975999999996</v>
      </c>
      <c r="AC17" s="10">
        <f t="shared" si="35"/>
        <v>855.74119999999982</v>
      </c>
      <c r="AD17" s="10">
        <f t="shared" si="35"/>
        <v>819.71740000000011</v>
      </c>
      <c r="AF17" s="10">
        <f t="shared" ref="AF17:AV17" si="36">AF14-AF15-AF16</f>
        <v>1120</v>
      </c>
      <c r="AG17" s="10">
        <f t="shared" si="36"/>
        <v>1107</v>
      </c>
      <c r="AH17" s="10">
        <f t="shared" si="36"/>
        <v>1151</v>
      </c>
      <c r="AI17" s="10">
        <f t="shared" si="36"/>
        <v>1877</v>
      </c>
      <c r="AJ17" s="10">
        <f t="shared" si="36"/>
        <v>1633</v>
      </c>
      <c r="AK17" s="10">
        <f t="shared" si="36"/>
        <v>2616</v>
      </c>
      <c r="AL17" s="10">
        <f t="shared" si="36"/>
        <v>3263.5561999999991</v>
      </c>
      <c r="AM17" s="10">
        <f t="shared" si="36"/>
        <v>3635.8194599999988</v>
      </c>
      <c r="AN17" s="10">
        <f t="shared" si="36"/>
        <v>4629.9508200000009</v>
      </c>
      <c r="AO17" s="10">
        <f t="shared" si="36"/>
        <v>5211.7175202400003</v>
      </c>
      <c r="AP17" s="10">
        <f t="shared" si="36"/>
        <v>5656.2891158352004</v>
      </c>
      <c r="AQ17" s="10">
        <f t="shared" si="36"/>
        <v>5938.5473395981453</v>
      </c>
      <c r="AR17" s="10">
        <f t="shared" si="36"/>
        <v>6155.3575235496191</v>
      </c>
      <c r="AS17" s="10">
        <f t="shared" si="36"/>
        <v>6300.4742730101125</v>
      </c>
      <c r="AT17" s="10">
        <f t="shared" si="36"/>
        <v>6446.3517981537107</v>
      </c>
      <c r="AU17" s="10">
        <f t="shared" si="36"/>
        <v>6593.4562299602139</v>
      </c>
      <c r="AV17" s="10">
        <f t="shared" si="36"/>
        <v>6742.1730649718447</v>
      </c>
    </row>
    <row r="18" spans="2:156" x14ac:dyDescent="0.3">
      <c r="B18" t="s">
        <v>52</v>
      </c>
      <c r="C18" s="5">
        <v>98</v>
      </c>
      <c r="D18" s="5">
        <v>70</v>
      </c>
      <c r="E18" s="5">
        <v>18</v>
      </c>
      <c r="F18" s="5">
        <v>42</v>
      </c>
      <c r="G18" s="5">
        <v>73</v>
      </c>
      <c r="H18" s="5">
        <v>40</v>
      </c>
      <c r="I18" s="5">
        <v>32</v>
      </c>
      <c r="J18" s="5">
        <v>46</v>
      </c>
      <c r="K18" s="5">
        <v>27</v>
      </c>
      <c r="L18" s="5">
        <v>50</v>
      </c>
      <c r="M18" s="5">
        <v>32</v>
      </c>
      <c r="N18" s="5">
        <f>-25+794</f>
        <v>769</v>
      </c>
      <c r="O18" s="5">
        <v>67</v>
      </c>
      <c r="P18" s="5">
        <v>6</v>
      </c>
      <c r="Q18" s="5">
        <v>-48</v>
      </c>
      <c r="R18" s="5">
        <v>40</v>
      </c>
      <c r="S18" s="5">
        <v>120</v>
      </c>
      <c r="T18" s="5">
        <v>42</v>
      </c>
      <c r="U18" s="5">
        <v>45</v>
      </c>
      <c r="V18" s="5">
        <v>-78</v>
      </c>
      <c r="W18" s="5">
        <v>99</v>
      </c>
      <c r="X18" s="5">
        <v>147</v>
      </c>
      <c r="Y18" s="5">
        <v>118</v>
      </c>
      <c r="Z18" s="5">
        <v>55</v>
      </c>
      <c r="AA18" s="5">
        <v>146</v>
      </c>
      <c r="AB18" s="5">
        <f t="shared" ref="AB18:AD18" si="37">AB17*0.18</f>
        <v>148.15756799999991</v>
      </c>
      <c r="AC18" s="5">
        <f t="shared" si="37"/>
        <v>154.03341599999996</v>
      </c>
      <c r="AD18" s="5">
        <f t="shared" si="37"/>
        <v>147.54913200000001</v>
      </c>
      <c r="AF18" s="9">
        <f>SUM(C18:F18)</f>
        <v>228</v>
      </c>
      <c r="AG18" s="9">
        <f>SUM(G18:J18)</f>
        <v>191</v>
      </c>
      <c r="AH18" s="9">
        <f>SUM(K18:N18)</f>
        <v>878</v>
      </c>
      <c r="AI18" s="9">
        <f>SUM(O18:R18)</f>
        <v>65</v>
      </c>
      <c r="AJ18" s="9">
        <f>SUM(S18:V18)</f>
        <v>129</v>
      </c>
      <c r="AK18" s="9">
        <f>SUM(W18:Z18)</f>
        <v>419</v>
      </c>
      <c r="AL18" s="9">
        <f>SUM(AA18:AD18)</f>
        <v>595.74011599999983</v>
      </c>
      <c r="AM18" s="5">
        <f>AM17*0.2</f>
        <v>727.16389199999981</v>
      </c>
      <c r="AN18" s="5">
        <f t="shared" ref="AN18:AV18" si="38">AN17*0.2</f>
        <v>925.99016400000028</v>
      </c>
      <c r="AO18" s="5">
        <f t="shared" si="38"/>
        <v>1042.3435040480001</v>
      </c>
      <c r="AP18" s="5">
        <f t="shared" si="38"/>
        <v>1131.2578231670402</v>
      </c>
      <c r="AQ18" s="5">
        <f t="shared" si="38"/>
        <v>1187.7094679196291</v>
      </c>
      <c r="AR18" s="5">
        <f t="shared" si="38"/>
        <v>1231.0715047099238</v>
      </c>
      <c r="AS18" s="5">
        <f t="shared" si="38"/>
        <v>1260.0948546020227</v>
      </c>
      <c r="AT18" s="5">
        <f t="shared" si="38"/>
        <v>1289.2703596307422</v>
      </c>
      <c r="AU18" s="5">
        <f t="shared" si="38"/>
        <v>1318.6912459920429</v>
      </c>
      <c r="AV18" s="5">
        <f t="shared" si="38"/>
        <v>1348.434612994369</v>
      </c>
    </row>
    <row r="19" spans="2:156" s="1" customFormat="1" x14ac:dyDescent="0.3">
      <c r="B19" s="1" t="s">
        <v>53</v>
      </c>
      <c r="C19" s="10">
        <f t="shared" ref="C19:Z19" si="39">C17-C18</f>
        <v>394</v>
      </c>
      <c r="D19" s="10">
        <f t="shared" si="39"/>
        <v>212</v>
      </c>
      <c r="E19" s="10">
        <f t="shared" si="39"/>
        <v>127</v>
      </c>
      <c r="F19" s="10">
        <f t="shared" si="39"/>
        <v>159</v>
      </c>
      <c r="G19" s="10">
        <f t="shared" si="39"/>
        <v>336</v>
      </c>
      <c r="H19" s="10">
        <f t="shared" si="39"/>
        <v>127</v>
      </c>
      <c r="I19" s="10">
        <f t="shared" si="39"/>
        <v>199</v>
      </c>
      <c r="J19" s="10">
        <f t="shared" si="39"/>
        <v>254</v>
      </c>
      <c r="K19" s="10">
        <f t="shared" si="39"/>
        <v>426</v>
      </c>
      <c r="L19" s="10">
        <f t="shared" si="39"/>
        <v>243</v>
      </c>
      <c r="M19" s="10">
        <f t="shared" si="39"/>
        <v>188</v>
      </c>
      <c r="N19" s="10">
        <f t="shared" si="39"/>
        <v>-584</v>
      </c>
      <c r="O19" s="10">
        <f t="shared" si="39"/>
        <v>500</v>
      </c>
      <c r="P19" s="10">
        <f t="shared" si="39"/>
        <v>402</v>
      </c>
      <c r="Q19" s="10">
        <f t="shared" si="39"/>
        <v>260</v>
      </c>
      <c r="R19" s="10">
        <f t="shared" si="39"/>
        <v>650</v>
      </c>
      <c r="S19" s="10">
        <f t="shared" si="39"/>
        <v>447</v>
      </c>
      <c r="T19" s="10">
        <f t="shared" si="39"/>
        <v>328</v>
      </c>
      <c r="U19" s="10">
        <f t="shared" si="39"/>
        <v>204</v>
      </c>
      <c r="V19" s="10">
        <f t="shared" si="39"/>
        <v>525</v>
      </c>
      <c r="W19" s="10">
        <f t="shared" si="39"/>
        <v>505</v>
      </c>
      <c r="X19" s="10">
        <f t="shared" si="39"/>
        <v>580</v>
      </c>
      <c r="Y19" s="10">
        <f t="shared" si="39"/>
        <v>604</v>
      </c>
      <c r="Z19" s="10">
        <f t="shared" si="39"/>
        <v>508</v>
      </c>
      <c r="AA19" s="10">
        <f t="shared" ref="AA19:AD19" si="40">AA17-AA18</f>
        <v>619</v>
      </c>
      <c r="AB19" s="10">
        <f t="shared" si="40"/>
        <v>674.94003199999975</v>
      </c>
      <c r="AC19" s="10">
        <f t="shared" si="40"/>
        <v>701.70778399999983</v>
      </c>
      <c r="AD19" s="10">
        <f t="shared" si="40"/>
        <v>672.16826800000013</v>
      </c>
      <c r="AF19" s="10">
        <f t="shared" ref="AF19:AL19" si="41">AF17-AF18</f>
        <v>892</v>
      </c>
      <c r="AG19" s="10">
        <f t="shared" si="41"/>
        <v>916</v>
      </c>
      <c r="AH19" s="10">
        <f t="shared" si="41"/>
        <v>273</v>
      </c>
      <c r="AI19" s="10">
        <f t="shared" si="41"/>
        <v>1812</v>
      </c>
      <c r="AJ19" s="10">
        <f t="shared" si="41"/>
        <v>1504</v>
      </c>
      <c r="AK19" s="10">
        <f t="shared" si="41"/>
        <v>2197</v>
      </c>
      <c r="AL19" s="10">
        <f t="shared" si="41"/>
        <v>2667.8160839999991</v>
      </c>
      <c r="AM19" s="10">
        <f t="shared" ref="AM19:AV19" si="42">AM17-AM18</f>
        <v>2908.6555679999992</v>
      </c>
      <c r="AN19" s="10">
        <f t="shared" si="42"/>
        <v>3703.9606560000007</v>
      </c>
      <c r="AO19" s="10">
        <f t="shared" si="42"/>
        <v>4169.3740161920005</v>
      </c>
      <c r="AP19" s="10">
        <f t="shared" si="42"/>
        <v>4525.0312926681599</v>
      </c>
      <c r="AQ19" s="10">
        <f t="shared" si="42"/>
        <v>4750.8378716785164</v>
      </c>
      <c r="AR19" s="10">
        <f t="shared" si="42"/>
        <v>4924.2860188396953</v>
      </c>
      <c r="AS19" s="10">
        <f t="shared" si="42"/>
        <v>5040.3794184080898</v>
      </c>
      <c r="AT19" s="10">
        <f t="shared" si="42"/>
        <v>5157.0814385229687</v>
      </c>
      <c r="AU19" s="10">
        <f t="shared" si="42"/>
        <v>5274.7649839681708</v>
      </c>
      <c r="AV19" s="10">
        <f t="shared" si="42"/>
        <v>5393.738451977476</v>
      </c>
      <c r="AW19" s="1">
        <f>AV19*(1+$AY$26)</f>
        <v>5339.8010674577008</v>
      </c>
      <c r="AX19" s="1">
        <f t="shared" ref="AX19:DI19" si="43">AW19*(1+$AY$26)</f>
        <v>5286.4030567831242</v>
      </c>
      <c r="AY19" s="1">
        <f t="shared" si="43"/>
        <v>5233.5390262152932</v>
      </c>
      <c r="AZ19" s="1">
        <f t="shared" si="43"/>
        <v>5181.2036359531403</v>
      </c>
      <c r="BA19" s="1">
        <f t="shared" si="43"/>
        <v>5129.3915995936086</v>
      </c>
      <c r="BB19" s="1">
        <f t="shared" si="43"/>
        <v>5078.0976835976726</v>
      </c>
      <c r="BC19" s="1">
        <f t="shared" si="43"/>
        <v>5027.316706761696</v>
      </c>
      <c r="BD19" s="1">
        <f t="shared" si="43"/>
        <v>4977.0435396940793</v>
      </c>
      <c r="BE19" s="1">
        <f t="shared" si="43"/>
        <v>4927.2731042971382</v>
      </c>
      <c r="BF19" s="1">
        <f t="shared" si="43"/>
        <v>4878.0003732541663</v>
      </c>
      <c r="BG19" s="1">
        <f t="shared" si="43"/>
        <v>4829.2203695216249</v>
      </c>
      <c r="BH19" s="1">
        <f t="shared" si="43"/>
        <v>4780.928165826409</v>
      </c>
      <c r="BI19" s="1">
        <f t="shared" si="43"/>
        <v>4733.1188841681451</v>
      </c>
      <c r="BJ19" s="1">
        <f t="shared" si="43"/>
        <v>4685.787695326464</v>
      </c>
      <c r="BK19" s="1">
        <f t="shared" si="43"/>
        <v>4638.9298183731989</v>
      </c>
      <c r="BL19" s="1">
        <f t="shared" si="43"/>
        <v>4592.5405201894673</v>
      </c>
      <c r="BM19" s="1">
        <f t="shared" si="43"/>
        <v>4546.6151149875723</v>
      </c>
      <c r="BN19" s="1">
        <f t="shared" si="43"/>
        <v>4501.1489638376961</v>
      </c>
      <c r="BO19" s="1">
        <f t="shared" si="43"/>
        <v>4456.1374741993195</v>
      </c>
      <c r="BP19" s="1">
        <f t="shared" si="43"/>
        <v>4411.5760994573266</v>
      </c>
      <c r="BQ19" s="1">
        <f t="shared" si="43"/>
        <v>4367.4603384627535</v>
      </c>
      <c r="BR19" s="1">
        <f t="shared" si="43"/>
        <v>4323.785735078126</v>
      </c>
      <c r="BS19" s="1">
        <f t="shared" si="43"/>
        <v>4280.5478777273447</v>
      </c>
      <c r="BT19" s="1">
        <f t="shared" si="43"/>
        <v>4237.7423989500712</v>
      </c>
      <c r="BU19" s="1">
        <f t="shared" si="43"/>
        <v>4195.3649749605702</v>
      </c>
      <c r="BV19" s="1">
        <f t="shared" si="43"/>
        <v>4153.4113252109646</v>
      </c>
      <c r="BW19" s="1">
        <f t="shared" si="43"/>
        <v>4111.8772119588548</v>
      </c>
      <c r="BX19" s="1">
        <f t="shared" si="43"/>
        <v>4070.758439839266</v>
      </c>
      <c r="BY19" s="1">
        <f t="shared" si="43"/>
        <v>4030.0508554408734</v>
      </c>
      <c r="BZ19" s="1">
        <f t="shared" si="43"/>
        <v>3989.7503468864647</v>
      </c>
      <c r="CA19" s="1">
        <f t="shared" si="43"/>
        <v>3949.8528434176001</v>
      </c>
      <c r="CB19" s="1">
        <f t="shared" si="43"/>
        <v>3910.354314983424</v>
      </c>
      <c r="CC19" s="1">
        <f t="shared" si="43"/>
        <v>3871.2507718335896</v>
      </c>
      <c r="CD19" s="1">
        <f t="shared" si="43"/>
        <v>3832.5382641152537</v>
      </c>
      <c r="CE19" s="1">
        <f t="shared" si="43"/>
        <v>3794.2128814741013</v>
      </c>
      <c r="CF19" s="1">
        <f t="shared" si="43"/>
        <v>3756.2707526593604</v>
      </c>
      <c r="CG19" s="1">
        <f t="shared" si="43"/>
        <v>3718.7080451327665</v>
      </c>
      <c r="CH19" s="1">
        <f t="shared" si="43"/>
        <v>3681.5209646814387</v>
      </c>
      <c r="CI19" s="1">
        <f t="shared" si="43"/>
        <v>3644.7057550346244</v>
      </c>
      <c r="CJ19" s="1">
        <f t="shared" si="43"/>
        <v>3608.2586974842779</v>
      </c>
      <c r="CK19" s="1">
        <f t="shared" si="43"/>
        <v>3572.1761105094351</v>
      </c>
      <c r="CL19" s="1">
        <f t="shared" si="43"/>
        <v>3536.454349404341</v>
      </c>
      <c r="CM19" s="1">
        <f t="shared" si="43"/>
        <v>3501.0898059102974</v>
      </c>
      <c r="CN19" s="1">
        <f t="shared" si="43"/>
        <v>3466.0789078511943</v>
      </c>
      <c r="CO19" s="1">
        <f t="shared" si="43"/>
        <v>3431.4181187726822</v>
      </c>
      <c r="CP19" s="1">
        <f t="shared" si="43"/>
        <v>3397.1039375849555</v>
      </c>
      <c r="CQ19" s="1">
        <f t="shared" si="43"/>
        <v>3363.1328982091059</v>
      </c>
      <c r="CR19" s="1">
        <f t="shared" si="43"/>
        <v>3329.5015692270149</v>
      </c>
      <c r="CS19" s="1">
        <f t="shared" si="43"/>
        <v>3296.2065535347447</v>
      </c>
      <c r="CT19" s="1">
        <f t="shared" si="43"/>
        <v>3263.2444879993973</v>
      </c>
      <c r="CU19" s="1">
        <f t="shared" si="43"/>
        <v>3230.6120431194031</v>
      </c>
      <c r="CV19" s="1">
        <f t="shared" si="43"/>
        <v>3198.3059226882092</v>
      </c>
      <c r="CW19" s="1">
        <f t="shared" si="43"/>
        <v>3166.322863461327</v>
      </c>
      <c r="CX19" s="1">
        <f t="shared" si="43"/>
        <v>3134.6596348267135</v>
      </c>
      <c r="CY19" s="1">
        <f t="shared" si="43"/>
        <v>3103.3130384784463</v>
      </c>
      <c r="CZ19" s="1">
        <f t="shared" si="43"/>
        <v>3072.279908093662</v>
      </c>
      <c r="DA19" s="1">
        <f t="shared" si="43"/>
        <v>3041.5571090127255</v>
      </c>
      <c r="DB19" s="1">
        <f t="shared" si="43"/>
        <v>3011.1415379225982</v>
      </c>
      <c r="DC19" s="1">
        <f t="shared" si="43"/>
        <v>2981.0301225433723</v>
      </c>
      <c r="DD19" s="1">
        <f t="shared" si="43"/>
        <v>2951.2198213179386</v>
      </c>
      <c r="DE19" s="1">
        <f t="shared" si="43"/>
        <v>2921.707623104759</v>
      </c>
      <c r="DF19" s="1">
        <f t="shared" si="43"/>
        <v>2892.4905468737115</v>
      </c>
      <c r="DG19" s="1">
        <f t="shared" si="43"/>
        <v>2863.5656414049745</v>
      </c>
      <c r="DH19" s="1">
        <f t="shared" si="43"/>
        <v>2834.9299849909248</v>
      </c>
      <c r="DI19" s="1">
        <f t="shared" si="43"/>
        <v>2806.5806851410157</v>
      </c>
      <c r="DJ19" s="1">
        <f t="shared" ref="DJ19:EZ19" si="44">DI19*(1+$AY$26)</f>
        <v>2778.5148782896053</v>
      </c>
      <c r="DK19" s="1">
        <f t="shared" si="44"/>
        <v>2750.7297295067092</v>
      </c>
      <c r="DL19" s="1">
        <f t="shared" si="44"/>
        <v>2723.2224322116422</v>
      </c>
      <c r="DM19" s="1">
        <f t="shared" si="44"/>
        <v>2695.9902078895257</v>
      </c>
      <c r="DN19" s="1">
        <f t="shared" si="44"/>
        <v>2669.0303058106306</v>
      </c>
      <c r="DO19" s="1">
        <f t="shared" si="44"/>
        <v>2642.3400027525245</v>
      </c>
      <c r="DP19" s="1">
        <f t="shared" si="44"/>
        <v>2615.9166027249994</v>
      </c>
      <c r="DQ19" s="1">
        <f t="shared" si="44"/>
        <v>2589.7574366977492</v>
      </c>
      <c r="DR19" s="1">
        <f t="shared" si="44"/>
        <v>2563.8598623307716</v>
      </c>
      <c r="DS19" s="1">
        <f t="shared" si="44"/>
        <v>2538.221263707464</v>
      </c>
      <c r="DT19" s="1">
        <f t="shared" si="44"/>
        <v>2512.8390510703894</v>
      </c>
      <c r="DU19" s="1">
        <f t="shared" si="44"/>
        <v>2487.7106605596855</v>
      </c>
      <c r="DV19" s="1">
        <f t="shared" si="44"/>
        <v>2462.8335539540885</v>
      </c>
      <c r="DW19" s="1">
        <f t="shared" si="44"/>
        <v>2438.2052184145477</v>
      </c>
      <c r="DX19" s="1">
        <f t="shared" si="44"/>
        <v>2413.8231662304024</v>
      </c>
      <c r="DY19" s="1">
        <f t="shared" si="44"/>
        <v>2389.6849345680985</v>
      </c>
      <c r="DZ19" s="1">
        <f t="shared" si="44"/>
        <v>2365.7880852224175</v>
      </c>
      <c r="EA19" s="1">
        <f t="shared" si="44"/>
        <v>2342.1302043701935</v>
      </c>
      <c r="EB19" s="1">
        <f t="shared" si="44"/>
        <v>2318.7089023264916</v>
      </c>
      <c r="EC19" s="1">
        <f t="shared" si="44"/>
        <v>2295.5218133032267</v>
      </c>
      <c r="ED19" s="1">
        <f t="shared" si="44"/>
        <v>2272.5665951701944</v>
      </c>
      <c r="EE19" s="1">
        <f t="shared" si="44"/>
        <v>2249.8409292184924</v>
      </c>
      <c r="EF19" s="1">
        <f t="shared" si="44"/>
        <v>2227.3425199263074</v>
      </c>
      <c r="EG19" s="1">
        <f t="shared" si="44"/>
        <v>2205.0690947270446</v>
      </c>
      <c r="EH19" s="1">
        <f t="shared" si="44"/>
        <v>2183.018403779774</v>
      </c>
      <c r="EI19" s="1">
        <f t="shared" si="44"/>
        <v>2161.1882197419764</v>
      </c>
      <c r="EJ19" s="1">
        <f t="shared" si="44"/>
        <v>2139.5763375445567</v>
      </c>
      <c r="EK19" s="1">
        <f t="shared" si="44"/>
        <v>2118.180574169111</v>
      </c>
      <c r="EL19" s="1">
        <f t="shared" si="44"/>
        <v>2096.9987684274197</v>
      </c>
      <c r="EM19" s="1">
        <f t="shared" si="44"/>
        <v>2076.0287807431455</v>
      </c>
      <c r="EN19" s="1">
        <f t="shared" si="44"/>
        <v>2055.2684929357142</v>
      </c>
      <c r="EO19" s="1">
        <f t="shared" si="44"/>
        <v>2034.7158080063571</v>
      </c>
      <c r="EP19" s="1">
        <f t="shared" si="44"/>
        <v>2014.3686499262935</v>
      </c>
      <c r="EQ19" s="1">
        <f t="shared" si="44"/>
        <v>1994.2249634270306</v>
      </c>
      <c r="ER19" s="1">
        <f t="shared" si="44"/>
        <v>1974.2827137927602</v>
      </c>
      <c r="ES19" s="1">
        <f t="shared" si="44"/>
        <v>1954.5398866548326</v>
      </c>
      <c r="ET19" s="1">
        <f t="shared" si="44"/>
        <v>1934.9944877882842</v>
      </c>
      <c r="EU19" s="1">
        <f t="shared" si="44"/>
        <v>1915.6445429104015</v>
      </c>
      <c r="EV19" s="1">
        <f t="shared" si="44"/>
        <v>1896.4880974812975</v>
      </c>
      <c r="EW19" s="1">
        <f t="shared" si="44"/>
        <v>1877.5232165064845</v>
      </c>
      <c r="EX19" s="1">
        <f t="shared" si="44"/>
        <v>1858.7479843414196</v>
      </c>
      <c r="EY19" s="1">
        <f t="shared" si="44"/>
        <v>1840.1605044980054</v>
      </c>
      <c r="EZ19" s="1">
        <f t="shared" si="44"/>
        <v>1821.7588994530254</v>
      </c>
    </row>
    <row r="20" spans="2:156" x14ac:dyDescent="0.3">
      <c r="B20" t="s">
        <v>5</v>
      </c>
      <c r="C20" s="5">
        <v>773</v>
      </c>
      <c r="D20" s="5">
        <v>773</v>
      </c>
      <c r="E20" s="5">
        <v>773</v>
      </c>
      <c r="F20" s="5">
        <v>773</v>
      </c>
      <c r="G20" s="5">
        <v>773</v>
      </c>
      <c r="H20" s="5">
        <v>773</v>
      </c>
      <c r="I20" s="5">
        <v>773</v>
      </c>
      <c r="J20" s="5">
        <v>773</v>
      </c>
      <c r="K20" s="5">
        <v>773</v>
      </c>
      <c r="L20" s="5">
        <v>773</v>
      </c>
      <c r="M20" s="5">
        <v>773</v>
      </c>
      <c r="N20" s="5">
        <v>773</v>
      </c>
      <c r="O20" s="5">
        <v>773</v>
      </c>
      <c r="P20" s="5">
        <v>773</v>
      </c>
      <c r="Q20" s="5">
        <v>773</v>
      </c>
      <c r="R20" s="5">
        <v>773</v>
      </c>
      <c r="S20" s="5">
        <v>773</v>
      </c>
      <c r="T20" s="5">
        <v>773</v>
      </c>
      <c r="U20" s="5">
        <v>773</v>
      </c>
      <c r="V20" s="5">
        <v>773</v>
      </c>
      <c r="W20" s="5">
        <v>773</v>
      </c>
      <c r="X20" s="5">
        <v>773</v>
      </c>
      <c r="Y20" s="5">
        <v>773</v>
      </c>
      <c r="Z20" s="5">
        <v>773</v>
      </c>
      <c r="AA20" s="5">
        <v>773</v>
      </c>
      <c r="AB20" s="5">
        <v>773</v>
      </c>
      <c r="AC20" s="5">
        <v>773</v>
      </c>
      <c r="AD20" s="5">
        <v>773</v>
      </c>
      <c r="AF20" s="5">
        <v>773</v>
      </c>
      <c r="AG20" s="5">
        <v>773</v>
      </c>
      <c r="AH20" s="5">
        <v>773</v>
      </c>
      <c r="AI20" s="5">
        <v>773</v>
      </c>
      <c r="AJ20" s="5">
        <v>773</v>
      </c>
      <c r="AK20" s="5">
        <v>773</v>
      </c>
      <c r="AL20" s="5">
        <v>773</v>
      </c>
      <c r="AM20" s="5">
        <v>773</v>
      </c>
      <c r="AN20" s="5">
        <v>773</v>
      </c>
      <c r="AO20" s="5">
        <v>773</v>
      </c>
      <c r="AP20" s="5">
        <v>773</v>
      </c>
      <c r="AQ20" s="5">
        <v>773</v>
      </c>
      <c r="AR20" s="5">
        <v>773</v>
      </c>
      <c r="AS20" s="5">
        <v>773</v>
      </c>
      <c r="AT20" s="5">
        <v>773</v>
      </c>
      <c r="AU20" s="5">
        <v>773</v>
      </c>
      <c r="AV20" s="5">
        <v>773</v>
      </c>
    </row>
    <row r="21" spans="2:156" s="1" customFormat="1" x14ac:dyDescent="0.3">
      <c r="B21" s="1" t="s">
        <v>54</v>
      </c>
      <c r="C21" s="8">
        <f t="shared" ref="C21:Z21" si="45">C19/C20</f>
        <v>0.50970245795601554</v>
      </c>
      <c r="D21" s="8">
        <f t="shared" si="45"/>
        <v>0.2742561448900388</v>
      </c>
      <c r="E21" s="8">
        <f t="shared" si="45"/>
        <v>0.16429495472186287</v>
      </c>
      <c r="F21" s="8">
        <f t="shared" si="45"/>
        <v>0.2056921086675291</v>
      </c>
      <c r="G21" s="8">
        <f t="shared" si="45"/>
        <v>0.43467011642949549</v>
      </c>
      <c r="H21" s="8">
        <f t="shared" si="45"/>
        <v>0.16429495472186287</v>
      </c>
      <c r="I21" s="8">
        <f t="shared" si="45"/>
        <v>0.25743855109961189</v>
      </c>
      <c r="J21" s="8">
        <f t="shared" si="45"/>
        <v>0.32858990944372574</v>
      </c>
      <c r="K21" s="8">
        <f t="shared" si="45"/>
        <v>0.55109961190168177</v>
      </c>
      <c r="L21" s="8">
        <f t="shared" si="45"/>
        <v>0.314359637774903</v>
      </c>
      <c r="M21" s="8">
        <f t="shared" si="45"/>
        <v>0.24320827943078913</v>
      </c>
      <c r="N21" s="8">
        <f t="shared" si="45"/>
        <v>-0.75549805950840876</v>
      </c>
      <c r="O21" s="8">
        <f t="shared" si="45"/>
        <v>0.64683053040103489</v>
      </c>
      <c r="P21" s="8">
        <f t="shared" si="45"/>
        <v>0.52005174644243213</v>
      </c>
      <c r="Q21" s="8">
        <f t="shared" si="45"/>
        <v>0.33635187580853815</v>
      </c>
      <c r="R21" s="8">
        <f t="shared" si="45"/>
        <v>0.8408796895213454</v>
      </c>
      <c r="S21" s="8">
        <f t="shared" si="45"/>
        <v>0.57826649417852527</v>
      </c>
      <c r="T21" s="8">
        <f t="shared" si="45"/>
        <v>0.4243208279430789</v>
      </c>
      <c r="U21" s="8">
        <f t="shared" si="45"/>
        <v>0.26390685640362227</v>
      </c>
      <c r="V21" s="8">
        <f t="shared" si="45"/>
        <v>0.67917205692108662</v>
      </c>
      <c r="W21" s="8">
        <f t="shared" si="45"/>
        <v>0.65329883570504532</v>
      </c>
      <c r="X21" s="8">
        <f t="shared" si="45"/>
        <v>0.75032341526520052</v>
      </c>
      <c r="Y21" s="8">
        <f t="shared" si="45"/>
        <v>0.78137128072445017</v>
      </c>
      <c r="Z21" s="8">
        <f t="shared" si="45"/>
        <v>0.65717981888745147</v>
      </c>
      <c r="AA21" s="8">
        <f t="shared" ref="AA21:AD21" si="46">AA19/AA20</f>
        <v>0.80077619663648125</v>
      </c>
      <c r="AB21" s="8">
        <f t="shared" si="46"/>
        <v>0.87314363777490267</v>
      </c>
      <c r="AC21" s="8">
        <f t="shared" si="46"/>
        <v>0.90777203622250946</v>
      </c>
      <c r="AD21" s="8">
        <f t="shared" si="46"/>
        <v>0.86955791461837018</v>
      </c>
      <c r="AF21" s="8">
        <f t="shared" ref="AF21:AL21" si="47">AF19/AF20</f>
        <v>1.1539456662354464</v>
      </c>
      <c r="AG21" s="8">
        <f t="shared" si="47"/>
        <v>1.184993531694696</v>
      </c>
      <c r="AH21" s="8">
        <f t="shared" si="47"/>
        <v>0.35316946959896506</v>
      </c>
      <c r="AI21" s="8">
        <f t="shared" si="47"/>
        <v>2.3441138421733507</v>
      </c>
      <c r="AJ21" s="8">
        <f t="shared" si="47"/>
        <v>1.945666235446313</v>
      </c>
      <c r="AK21" s="8">
        <f t="shared" si="47"/>
        <v>2.8421733505821476</v>
      </c>
      <c r="AL21" s="8">
        <f t="shared" si="47"/>
        <v>3.451249785252263</v>
      </c>
      <c r="AM21" s="8">
        <f t="shared" ref="AM21:AV21" si="48">AM19/AM20</f>
        <v>3.762814447606726</v>
      </c>
      <c r="AN21" s="8">
        <f t="shared" si="48"/>
        <v>4.7916696714100917</v>
      </c>
      <c r="AO21" s="8">
        <f t="shared" si="48"/>
        <v>5.3937568126675295</v>
      </c>
      <c r="AP21" s="8">
        <f t="shared" si="48"/>
        <v>5.8538567822356535</v>
      </c>
      <c r="AQ21" s="8">
        <f t="shared" si="48"/>
        <v>6.1459739607742776</v>
      </c>
      <c r="AR21" s="8">
        <f t="shared" si="48"/>
        <v>6.3703570748249616</v>
      </c>
      <c r="AS21" s="8">
        <f t="shared" si="48"/>
        <v>6.5205425852627297</v>
      </c>
      <c r="AT21" s="8">
        <f t="shared" si="48"/>
        <v>6.6715154444022877</v>
      </c>
      <c r="AU21" s="8">
        <f t="shared" si="48"/>
        <v>6.8237580646418765</v>
      </c>
      <c r="AV21" s="8">
        <f t="shared" si="48"/>
        <v>6.9776694074740959</v>
      </c>
    </row>
    <row r="23" spans="2:156" x14ac:dyDescent="0.3">
      <c r="B23" s="7" t="s">
        <v>58</v>
      </c>
      <c r="C23" s="11"/>
      <c r="D23" s="11"/>
      <c r="E23" s="11"/>
      <c r="F23" s="11"/>
      <c r="G23" s="11">
        <f t="shared" ref="G23:G24" si="49">G3/C3-1</f>
        <v>-0.17729591836734693</v>
      </c>
      <c r="H23" s="11">
        <f t="shared" ref="H23:H24" si="50">H3/D3-1</f>
        <v>-5.1136363636363646E-2</v>
      </c>
      <c r="I23" s="11">
        <f t="shared" ref="I23:I24" si="51">I3/E3-1</f>
        <v>-0.16470588235294115</v>
      </c>
      <c r="J23" s="11">
        <f t="shared" ref="J23:J24" si="52">J3/F3-1</f>
        <v>-2.1097046413502074E-2</v>
      </c>
      <c r="K23" s="11">
        <f t="shared" ref="K23:K24" si="53">K3/G3-1</f>
        <v>-0.21085271317829457</v>
      </c>
      <c r="L23" s="11">
        <f t="shared" ref="L23:L24" si="54">L3/H3-1</f>
        <v>-3.9920159680638667E-2</v>
      </c>
      <c r="M23" s="11">
        <f t="shared" ref="M23:M24" si="55">M3/I3-1</f>
        <v>8.1690140845070314E-2</v>
      </c>
      <c r="N23" s="11">
        <f t="shared" ref="N23:N24" si="56">N3/J3-1</f>
        <v>5.8908045977011492E-2</v>
      </c>
      <c r="O23" s="11">
        <f t="shared" ref="O23:O24" si="57">O3/K3-1</f>
        <v>0.41453831041257372</v>
      </c>
      <c r="P23" s="11">
        <f t="shared" ref="P23:P24" si="58">P3/L3-1</f>
        <v>-3.5343035343035289E-2</v>
      </c>
      <c r="Q23" s="11">
        <f t="shared" ref="Q23:Q24" si="59">Q3/M3-1</f>
        <v>-0.31510416666666663</v>
      </c>
      <c r="R23" s="11">
        <f t="shared" ref="R23:R24" si="60">R3/N3-1</f>
        <v>9.6336499321573843E-2</v>
      </c>
      <c r="S23" s="11">
        <f t="shared" ref="S23:S24" si="61">S3/O3-1</f>
        <v>-8.8888888888888906E-2</v>
      </c>
      <c r="T23" s="11">
        <f t="shared" ref="T23:Y24" si="62">T3/P3-1</f>
        <v>-0.22629310344827591</v>
      </c>
      <c r="U23" s="11">
        <f t="shared" si="62"/>
        <v>-1.1406844106463865E-2</v>
      </c>
      <c r="V23" s="11">
        <f t="shared" si="62"/>
        <v>-0.13490099009900991</v>
      </c>
      <c r="W23" s="11">
        <f t="shared" si="62"/>
        <v>-0.1722560975609756</v>
      </c>
      <c r="X23" s="11">
        <f t="shared" si="62"/>
        <v>0.48467966573816157</v>
      </c>
      <c r="Y23" s="11">
        <f t="shared" si="62"/>
        <v>0.56923076923076921</v>
      </c>
      <c r="Z23" s="11">
        <f t="shared" ref="Z23:Z24" si="63">Z3/V3-1</f>
        <v>0.23891273247496425</v>
      </c>
      <c r="AA23" s="11">
        <f t="shared" ref="AA23:AA25" si="64">AA3/W3-1</f>
        <v>0.24309392265193375</v>
      </c>
      <c r="AB23" s="11">
        <f t="shared" ref="AB23:AB25" si="65">AB3/X3-1</f>
        <v>2.0000000000000018E-2</v>
      </c>
      <c r="AC23" s="11">
        <f t="shared" ref="AC23:AC25" si="66">AC3/Y3-1</f>
        <v>2.0000000000000018E-2</v>
      </c>
      <c r="AD23" s="11">
        <f t="shared" ref="AD23:AD25" si="67">AD3/Z3-1</f>
        <v>-3.0000000000000027E-2</v>
      </c>
      <c r="AF23" s="11"/>
      <c r="AG23" s="11">
        <f>AG3/AF3-1</f>
        <v>-0.10253267973856206</v>
      </c>
      <c r="AH23" s="11">
        <f t="shared" ref="AH23:AV23" si="68">AH3/AG3-1</f>
        <v>-3.9144287664997779E-2</v>
      </c>
      <c r="AI23" s="11">
        <f t="shared" si="68"/>
        <v>6.8214116532449021E-2</v>
      </c>
      <c r="AJ23" s="11">
        <f t="shared" si="68"/>
        <v>-0.12461197339246122</v>
      </c>
      <c r="AK23" s="11">
        <f t="shared" si="68"/>
        <v>0.19047619047619047</v>
      </c>
      <c r="AL23" s="11">
        <f t="shared" si="68"/>
        <v>5.3123404255319251E-2</v>
      </c>
      <c r="AM23" s="11">
        <f t="shared" si="68"/>
        <v>0.19999999999999996</v>
      </c>
      <c r="AN23" s="11">
        <f t="shared" si="68"/>
        <v>-5.0000000000000044E-2</v>
      </c>
      <c r="AO23" s="11">
        <f t="shared" si="68"/>
        <v>2.0000000000000018E-2</v>
      </c>
      <c r="AP23" s="11">
        <f t="shared" si="68"/>
        <v>2.0000000000000018E-2</v>
      </c>
      <c r="AQ23" s="11">
        <f t="shared" si="68"/>
        <v>2.0000000000000018E-2</v>
      </c>
      <c r="AR23" s="11">
        <f t="shared" si="68"/>
        <v>2.0000000000000018E-2</v>
      </c>
      <c r="AS23" s="11">
        <f t="shared" si="68"/>
        <v>2.0000000000000018E-2</v>
      </c>
      <c r="AT23" s="11">
        <f t="shared" si="68"/>
        <v>2.0000000000000018E-2</v>
      </c>
      <c r="AU23" s="11">
        <f t="shared" si="68"/>
        <v>2.0000000000000018E-2</v>
      </c>
      <c r="AV23" s="11">
        <f t="shared" si="68"/>
        <v>2.0000000000000018E-2</v>
      </c>
    </row>
    <row r="24" spans="2:156" x14ac:dyDescent="0.3">
      <c r="B24" t="s">
        <v>59</v>
      </c>
      <c r="C24" s="11"/>
      <c r="D24" s="11"/>
      <c r="E24" s="11"/>
      <c r="F24" s="11"/>
      <c r="G24" s="11">
        <f t="shared" si="49"/>
        <v>0.63967611336032393</v>
      </c>
      <c r="H24" s="11">
        <f t="shared" si="50"/>
        <v>1.0717054263565893</v>
      </c>
      <c r="I24" s="11">
        <f t="shared" si="51"/>
        <v>1.1469026548672567</v>
      </c>
      <c r="J24" s="11">
        <f t="shared" si="52"/>
        <v>1.0529595015576323</v>
      </c>
      <c r="K24" s="11">
        <f t="shared" si="53"/>
        <v>0.5024691358024691</v>
      </c>
      <c r="L24" s="11">
        <f t="shared" si="54"/>
        <v>7.5771749298409796E-2</v>
      </c>
      <c r="M24" s="11">
        <f t="shared" si="55"/>
        <v>1.7312448474855691E-2</v>
      </c>
      <c r="N24" s="11">
        <f t="shared" si="56"/>
        <v>-9.1047040971168336E-3</v>
      </c>
      <c r="O24" s="11">
        <f t="shared" si="57"/>
        <v>2.3007395234182493E-2</v>
      </c>
      <c r="P24" s="11">
        <f t="shared" si="58"/>
        <v>2.3478260869565171E-2</v>
      </c>
      <c r="Q24" s="11">
        <f t="shared" si="59"/>
        <v>1.2155591572123203E-2</v>
      </c>
      <c r="R24" s="11">
        <f t="shared" si="60"/>
        <v>0.20444104134762631</v>
      </c>
      <c r="S24" s="11">
        <f t="shared" si="61"/>
        <v>-6.1044176706827269E-2</v>
      </c>
      <c r="T24" s="11">
        <f t="shared" si="62"/>
        <v>-0.11894647408666104</v>
      </c>
      <c r="U24" s="11">
        <f t="shared" si="62"/>
        <v>-0.18174539631705366</v>
      </c>
      <c r="V24" s="11">
        <f t="shared" si="62"/>
        <v>-0.18181818181818177</v>
      </c>
      <c r="W24" s="11">
        <f t="shared" si="62"/>
        <v>6.5012831479897448E-2</v>
      </c>
      <c r="X24" s="11">
        <f t="shared" si="62"/>
        <v>0.34908389585342325</v>
      </c>
      <c r="Y24" s="11">
        <f t="shared" si="62"/>
        <v>0.51272015655577308</v>
      </c>
      <c r="Z24" s="11">
        <f t="shared" si="63"/>
        <v>0.20202020202020199</v>
      </c>
      <c r="AA24" s="11">
        <f t="shared" si="64"/>
        <v>0.28514056224899598</v>
      </c>
      <c r="AB24" s="11">
        <f t="shared" si="65"/>
        <v>0.16999999999999993</v>
      </c>
      <c r="AC24" s="11">
        <f t="shared" si="66"/>
        <v>0.1399999999999999</v>
      </c>
      <c r="AD24" s="11">
        <f t="shared" si="67"/>
        <v>0.19999999999999996</v>
      </c>
      <c r="AF24" s="11"/>
      <c r="AG24" s="11">
        <f>AG4/AF4-1</f>
        <v>0.98917456021650874</v>
      </c>
      <c r="AH24" s="11">
        <f t="shared" ref="AH24:AV24" si="69">AH4/AG4-1</f>
        <v>0.11269841269841274</v>
      </c>
      <c r="AI24" s="11">
        <f t="shared" si="69"/>
        <v>6.8677399633177094E-2</v>
      </c>
      <c r="AJ24" s="11">
        <f t="shared" si="69"/>
        <v>-0.13901601830663612</v>
      </c>
      <c r="AK24" s="11">
        <f t="shared" si="69"/>
        <v>0.27065337763012187</v>
      </c>
      <c r="AL24" s="11">
        <f t="shared" si="69"/>
        <v>0.19499215617918764</v>
      </c>
      <c r="AM24" s="11">
        <f t="shared" si="69"/>
        <v>0.25</v>
      </c>
      <c r="AN24" s="11">
        <f t="shared" si="69"/>
        <v>0.12000000000000011</v>
      </c>
      <c r="AO24" s="11">
        <f t="shared" si="69"/>
        <v>6.0000000000000053E-2</v>
      </c>
      <c r="AP24" s="11">
        <f t="shared" si="69"/>
        <v>5.0000000000000044E-2</v>
      </c>
      <c r="AQ24" s="11">
        <f t="shared" si="69"/>
        <v>4.0000000000000036E-2</v>
      </c>
      <c r="AR24" s="11">
        <f t="shared" si="69"/>
        <v>3.0000000000000027E-2</v>
      </c>
      <c r="AS24" s="11">
        <f t="shared" si="69"/>
        <v>2.0000000000000018E-2</v>
      </c>
      <c r="AT24" s="11">
        <f t="shared" si="69"/>
        <v>2.0000000000000018E-2</v>
      </c>
      <c r="AU24" s="11">
        <f t="shared" si="69"/>
        <v>2.0000000000000018E-2</v>
      </c>
      <c r="AV24" s="11">
        <f t="shared" si="69"/>
        <v>2.0000000000000018E-2</v>
      </c>
    </row>
    <row r="25" spans="2:156" x14ac:dyDescent="0.3">
      <c r="B25" s="1" t="s">
        <v>57</v>
      </c>
      <c r="C25" s="11"/>
      <c r="D25" s="11"/>
      <c r="E25" s="11"/>
      <c r="F25" s="11"/>
      <c r="G25" s="11">
        <f t="shared" ref="G25:Y25" si="70">G5/C5-1</f>
        <v>0.13849765258215951</v>
      </c>
      <c r="H25" s="11">
        <f t="shared" si="70"/>
        <v>0.50383141762452111</v>
      </c>
      <c r="I25" s="11">
        <f t="shared" si="70"/>
        <v>0.58383838383838382</v>
      </c>
      <c r="J25" s="11">
        <f t="shared" si="70"/>
        <v>0.48854397634885438</v>
      </c>
      <c r="K25" s="11">
        <f t="shared" si="70"/>
        <v>0.18625429553264605</v>
      </c>
      <c r="L25" s="11">
        <f t="shared" si="70"/>
        <v>3.8853503184713478E-2</v>
      </c>
      <c r="M25" s="11">
        <f t="shared" si="70"/>
        <v>3.1887755102040893E-2</v>
      </c>
      <c r="N25" s="11">
        <f t="shared" si="70"/>
        <v>1.4399205561072437E-2</v>
      </c>
      <c r="O25" s="11">
        <f t="shared" si="70"/>
        <v>0.13847045191193508</v>
      </c>
      <c r="P25" s="11">
        <f t="shared" si="70"/>
        <v>6.1312078479460741E-3</v>
      </c>
      <c r="Q25" s="11">
        <f t="shared" si="70"/>
        <v>-6.5512978986402959E-2</v>
      </c>
      <c r="R25" s="11">
        <f t="shared" si="70"/>
        <v>0.16544297601566327</v>
      </c>
      <c r="S25" s="11">
        <f t="shared" si="70"/>
        <v>-7.1246819338422362E-2</v>
      </c>
      <c r="T25" s="11">
        <f t="shared" si="70"/>
        <v>-0.14929920780012185</v>
      </c>
      <c r="U25" s="11">
        <f t="shared" si="70"/>
        <v>-0.15211640211640209</v>
      </c>
      <c r="V25" s="11">
        <f t="shared" si="70"/>
        <v>-0.16589668206635866</v>
      </c>
      <c r="W25" s="11">
        <f t="shared" si="70"/>
        <v>-2.0273972602739776E-2</v>
      </c>
      <c r="X25" s="11">
        <f t="shared" si="70"/>
        <v>0.3839541547277936</v>
      </c>
      <c r="Y25" s="11">
        <f t="shared" si="70"/>
        <v>0.52418096723868945</v>
      </c>
      <c r="Z25" s="11">
        <f>Z5/V5-1</f>
        <v>0.21500503524672698</v>
      </c>
      <c r="AA25" s="11">
        <f t="shared" si="64"/>
        <v>0.27237136465324374</v>
      </c>
      <c r="AB25" s="11">
        <f t="shared" si="65"/>
        <v>0.12861801242236015</v>
      </c>
      <c r="AC25" s="11">
        <f t="shared" si="66"/>
        <v>0.11494370522006148</v>
      </c>
      <c r="AD25" s="11">
        <f t="shared" si="67"/>
        <v>0.11745544964774135</v>
      </c>
      <c r="AF25" s="11"/>
      <c r="AG25" s="11">
        <f>AG5/AF5-1</f>
        <v>0.41629153269024655</v>
      </c>
      <c r="AH25" s="11">
        <f t="shared" ref="AH25:AV25" si="71">AH5/AG5-1</f>
        <v>6.2206750416225143E-2</v>
      </c>
      <c r="AI25" s="11">
        <f t="shared" si="71"/>
        <v>6.8538045027073169E-2</v>
      </c>
      <c r="AJ25" s="11">
        <f t="shared" si="71"/>
        <v>-0.13468462461661557</v>
      </c>
      <c r="AK25" s="11">
        <f t="shared" si="71"/>
        <v>0.24626290645708115</v>
      </c>
      <c r="AL25" s="11">
        <f t="shared" si="71"/>
        <v>0.1537665388895757</v>
      </c>
      <c r="AM25" s="11">
        <f t="shared" si="71"/>
        <v>0.236737916791258</v>
      </c>
      <c r="AN25" s="11">
        <f t="shared" si="71"/>
        <v>7.6248370202754767E-2</v>
      </c>
      <c r="AO25" s="11">
        <f t="shared" si="71"/>
        <v>5.0913086288359999E-2</v>
      </c>
      <c r="AP25" s="11">
        <f t="shared" si="71"/>
        <v>4.3385286490288388E-2</v>
      </c>
      <c r="AQ25" s="11">
        <f t="shared" si="71"/>
        <v>3.5689027586603084E-2</v>
      </c>
      <c r="AR25" s="11">
        <f t="shared" si="71"/>
        <v>2.7877165952066019E-2</v>
      </c>
      <c r="AS25" s="11">
        <f t="shared" si="71"/>
        <v>2.0000000000000018E-2</v>
      </c>
      <c r="AT25" s="11">
        <f t="shared" si="71"/>
        <v>2.0000000000000018E-2</v>
      </c>
      <c r="AU25" s="11">
        <f t="shared" si="71"/>
        <v>2.0000000000000018E-2</v>
      </c>
      <c r="AV25" s="11">
        <f t="shared" si="71"/>
        <v>2.0000000000000018E-2</v>
      </c>
    </row>
    <row r="26" spans="2:156" x14ac:dyDescent="0.3">
      <c r="B26" s="7" t="s">
        <v>65</v>
      </c>
      <c r="C26" s="11">
        <f t="shared" ref="C26:Y26" si="72">(C3-C6)/C3</f>
        <v>0.66581632653061229</v>
      </c>
      <c r="D26" s="11">
        <f t="shared" si="72"/>
        <v>0.58901515151515149</v>
      </c>
      <c r="E26" s="11">
        <f t="shared" si="72"/>
        <v>0.43294117647058822</v>
      </c>
      <c r="F26" s="11">
        <f t="shared" si="72"/>
        <v>0.379746835443038</v>
      </c>
      <c r="G26" s="11">
        <f t="shared" si="72"/>
        <v>0.51782945736434105</v>
      </c>
      <c r="H26" s="11">
        <f t="shared" si="72"/>
        <v>0.54291417165668665</v>
      </c>
      <c r="I26" s="11">
        <f t="shared" si="72"/>
        <v>0.56901408450704227</v>
      </c>
      <c r="J26" s="11">
        <f t="shared" si="72"/>
        <v>0.43534482758620691</v>
      </c>
      <c r="K26" s="11">
        <f t="shared" si="72"/>
        <v>0.5461689587426326</v>
      </c>
      <c r="L26" s="11">
        <f t="shared" si="72"/>
        <v>0.57380457380457384</v>
      </c>
      <c r="M26" s="11">
        <f t="shared" si="72"/>
        <v>0.515625</v>
      </c>
      <c r="N26" s="11">
        <f t="shared" si="72"/>
        <v>0.44233378561736769</v>
      </c>
      <c r="O26" s="11">
        <f t="shared" si="72"/>
        <v>0.57222222222222219</v>
      </c>
      <c r="P26" s="11">
        <f t="shared" si="72"/>
        <v>0.62284482758620685</v>
      </c>
      <c r="Q26" s="11">
        <f t="shared" si="72"/>
        <v>0.44106463878326996</v>
      </c>
      <c r="R26" s="11">
        <f t="shared" si="72"/>
        <v>0.43069306930693069</v>
      </c>
      <c r="S26" s="11">
        <f t="shared" si="72"/>
        <v>0.59908536585365857</v>
      </c>
      <c r="T26" s="11">
        <f t="shared" si="72"/>
        <v>0.5821727019498607</v>
      </c>
      <c r="U26" s="11">
        <f t="shared" si="72"/>
        <v>0.43846153846153846</v>
      </c>
      <c r="V26" s="11">
        <f t="shared" si="72"/>
        <v>0.51788268955650929</v>
      </c>
      <c r="W26" s="11">
        <f t="shared" si="72"/>
        <v>0.62983425414364635</v>
      </c>
      <c r="X26" s="11">
        <f t="shared" si="72"/>
        <v>0.68105065666041276</v>
      </c>
      <c r="Y26" s="11">
        <f t="shared" si="72"/>
        <v>0.66176470588235292</v>
      </c>
      <c r="Z26" s="11">
        <f>(Z3-Z6)/Z3</f>
        <v>0.46189376443418012</v>
      </c>
      <c r="AA26" s="11">
        <f t="shared" ref="AA26:AD26" si="73">(AA3-AA6)/AA3</f>
        <v>0.62666666666666671</v>
      </c>
      <c r="AB26" s="11">
        <f t="shared" si="73"/>
        <v>0.65</v>
      </c>
      <c r="AC26" s="11">
        <f t="shared" si="73"/>
        <v>0.65</v>
      </c>
      <c r="AD26" s="11">
        <f t="shared" si="73"/>
        <v>0.5</v>
      </c>
      <c r="AF26" s="11">
        <f t="shared" ref="AF26:AV26" si="74">(AF3-AF6)/AF3</f>
        <v>0.52573529411764708</v>
      </c>
      <c r="AG26" s="11">
        <f t="shared" si="74"/>
        <v>0.50568957669549386</v>
      </c>
      <c r="AH26" s="11">
        <f t="shared" si="74"/>
        <v>0.51065845570819512</v>
      </c>
      <c r="AI26" s="11">
        <f t="shared" si="74"/>
        <v>0.51662971175166295</v>
      </c>
      <c r="AJ26" s="11">
        <f t="shared" si="74"/>
        <v>0.54609929078014185</v>
      </c>
      <c r="AK26" s="11">
        <f t="shared" si="74"/>
        <v>0.58510638297872342</v>
      </c>
      <c r="AL26" s="11">
        <f t="shared" si="74"/>
        <v>0.59272235780898974</v>
      </c>
      <c r="AM26" s="11">
        <f t="shared" si="74"/>
        <v>0.54999999999999993</v>
      </c>
      <c r="AN26" s="11">
        <f t="shared" si="74"/>
        <v>0.6</v>
      </c>
      <c r="AO26" s="11">
        <f t="shared" si="74"/>
        <v>0.6</v>
      </c>
      <c r="AP26" s="11">
        <f t="shared" si="74"/>
        <v>0.6</v>
      </c>
      <c r="AQ26" s="11">
        <f t="shared" si="74"/>
        <v>0.6</v>
      </c>
      <c r="AR26" s="11">
        <f t="shared" si="74"/>
        <v>0.6</v>
      </c>
      <c r="AS26" s="11">
        <f t="shared" si="74"/>
        <v>0.6</v>
      </c>
      <c r="AT26" s="11">
        <f t="shared" si="74"/>
        <v>0.6</v>
      </c>
      <c r="AU26" s="11">
        <f t="shared" si="74"/>
        <v>0.6</v>
      </c>
      <c r="AV26" s="11">
        <f t="shared" si="74"/>
        <v>0.6</v>
      </c>
      <c r="AX26" t="s">
        <v>67</v>
      </c>
      <c r="AY26" s="11">
        <v>-0.01</v>
      </c>
    </row>
    <row r="27" spans="2:156" x14ac:dyDescent="0.3">
      <c r="B27" s="7" t="s">
        <v>66</v>
      </c>
      <c r="C27" s="11">
        <f t="shared" ref="C27:Y27" si="75">(C4-C7)/C4</f>
        <v>0.69433198380566796</v>
      </c>
      <c r="D27" s="11">
        <f t="shared" si="75"/>
        <v>0.84496124031007747</v>
      </c>
      <c r="E27" s="11">
        <f t="shared" si="75"/>
        <v>0.83008849557522124</v>
      </c>
      <c r="F27" s="11">
        <f t="shared" si="75"/>
        <v>0.84890965732087231</v>
      </c>
      <c r="G27" s="11">
        <f t="shared" si="75"/>
        <v>0.77777777777777779</v>
      </c>
      <c r="H27" s="11">
        <f t="shared" si="75"/>
        <v>0.65481758652946676</v>
      </c>
      <c r="I27" s="11">
        <f t="shared" si="75"/>
        <v>0.69002473206924975</v>
      </c>
      <c r="J27" s="11">
        <f t="shared" si="75"/>
        <v>0.70940819423368739</v>
      </c>
      <c r="K27" s="11">
        <f t="shared" si="75"/>
        <v>0.70912078882497942</v>
      </c>
      <c r="L27" s="11">
        <f t="shared" si="75"/>
        <v>0.69043478260869562</v>
      </c>
      <c r="M27" s="11">
        <f t="shared" si="75"/>
        <v>0.70340356564019446</v>
      </c>
      <c r="N27" s="11">
        <f t="shared" si="75"/>
        <v>0.69984686064318535</v>
      </c>
      <c r="O27" s="11">
        <f t="shared" si="75"/>
        <v>0.71566265060240963</v>
      </c>
      <c r="P27" s="11">
        <f t="shared" si="75"/>
        <v>0.71537807986406121</v>
      </c>
      <c r="Q27" s="11">
        <f t="shared" si="75"/>
        <v>0.70696557245796632</v>
      </c>
      <c r="R27" s="11">
        <f t="shared" si="75"/>
        <v>0.76350921805467264</v>
      </c>
      <c r="S27" s="11">
        <f t="shared" si="75"/>
        <v>0.74337040205303684</v>
      </c>
      <c r="T27" s="11">
        <f t="shared" si="75"/>
        <v>0.72709739633558346</v>
      </c>
      <c r="U27" s="11">
        <f t="shared" si="75"/>
        <v>0.71037181996086107</v>
      </c>
      <c r="V27" s="11">
        <f t="shared" si="75"/>
        <v>0.75213675213675213</v>
      </c>
      <c r="W27" s="11">
        <f t="shared" si="75"/>
        <v>0.75582329317269081</v>
      </c>
      <c r="X27" s="11">
        <f t="shared" si="75"/>
        <v>0.78627591136526087</v>
      </c>
      <c r="Y27" s="11">
        <f t="shared" si="75"/>
        <v>0.78589909443725747</v>
      </c>
      <c r="Z27" s="11">
        <f>(Z4-Z7)/Z4</f>
        <v>0.77246283128636073</v>
      </c>
      <c r="AA27" s="11">
        <f t="shared" ref="AA27:AD27" si="76">(AA4-AA7)/AA4</f>
        <v>0.79625000000000001</v>
      </c>
      <c r="AB27" s="11">
        <f t="shared" si="76"/>
        <v>0.78</v>
      </c>
      <c r="AC27" s="11">
        <f t="shared" si="76"/>
        <v>0.78</v>
      </c>
      <c r="AD27" s="11">
        <f t="shared" si="76"/>
        <v>0.78</v>
      </c>
      <c r="AF27" s="11">
        <f t="shared" ref="AF27:AV27" si="77">(AF4-AF7)/AF4</f>
        <v>0.80875056382498878</v>
      </c>
      <c r="AG27" s="11">
        <f t="shared" si="77"/>
        <v>0.70340136054421765</v>
      </c>
      <c r="AH27" s="11">
        <f t="shared" si="77"/>
        <v>0.70083554106378643</v>
      </c>
      <c r="AI27" s="11">
        <f t="shared" si="77"/>
        <v>0.72787948131197555</v>
      </c>
      <c r="AJ27" s="11">
        <f t="shared" si="77"/>
        <v>0.73466223698781841</v>
      </c>
      <c r="AK27" s="11">
        <f t="shared" si="77"/>
        <v>0.77584103189820464</v>
      </c>
      <c r="AL27" s="11">
        <f t="shared" si="77"/>
        <v>0.78379248126003742</v>
      </c>
      <c r="AM27" s="11">
        <f t="shared" si="77"/>
        <v>0.77999999999999992</v>
      </c>
      <c r="AN27" s="11">
        <f t="shared" si="77"/>
        <v>0.78</v>
      </c>
      <c r="AO27" s="11">
        <f t="shared" si="77"/>
        <v>0.78</v>
      </c>
      <c r="AP27" s="11">
        <f t="shared" si="77"/>
        <v>0.78</v>
      </c>
      <c r="AQ27" s="11">
        <f t="shared" si="77"/>
        <v>0.78</v>
      </c>
      <c r="AR27" s="11">
        <f t="shared" si="77"/>
        <v>0.77999999999999992</v>
      </c>
      <c r="AS27" s="11">
        <f t="shared" si="77"/>
        <v>0.77999999999999992</v>
      </c>
      <c r="AT27" s="11">
        <f t="shared" si="77"/>
        <v>0.78</v>
      </c>
      <c r="AU27" s="11">
        <f t="shared" si="77"/>
        <v>0.77999999999999992</v>
      </c>
      <c r="AV27" s="11">
        <f t="shared" si="77"/>
        <v>0.78</v>
      </c>
      <c r="AX27" t="s">
        <v>68</v>
      </c>
      <c r="AY27" s="11">
        <v>0.06</v>
      </c>
    </row>
    <row r="28" spans="2:156" x14ac:dyDescent="0.3">
      <c r="B28" s="1" t="s">
        <v>60</v>
      </c>
      <c r="C28" s="11">
        <f t="shared" ref="C28:Y28" si="78">C9/C5</f>
        <v>0.67683881064162754</v>
      </c>
      <c r="D28" s="11">
        <f t="shared" si="78"/>
        <v>0.71551724137931039</v>
      </c>
      <c r="E28" s="11">
        <f t="shared" si="78"/>
        <v>0.65959595959595962</v>
      </c>
      <c r="F28" s="11">
        <f t="shared" si="78"/>
        <v>0.60236511456023656</v>
      </c>
      <c r="G28" s="11">
        <f t="shared" si="78"/>
        <v>0.66254295532646046</v>
      </c>
      <c r="H28" s="11">
        <f t="shared" si="78"/>
        <v>0.61910828025477704</v>
      </c>
      <c r="I28" s="11">
        <f t="shared" si="78"/>
        <v>0.66262755102040816</v>
      </c>
      <c r="J28" s="11">
        <f t="shared" si="78"/>
        <v>0.61469712015888778</v>
      </c>
      <c r="K28" s="11">
        <f t="shared" si="78"/>
        <v>0.66106604866743912</v>
      </c>
      <c r="L28" s="11">
        <f t="shared" si="78"/>
        <v>0.65603923973022682</v>
      </c>
      <c r="M28" s="11">
        <f t="shared" si="78"/>
        <v>0.65883807169344866</v>
      </c>
      <c r="N28" s="11">
        <f t="shared" si="78"/>
        <v>0.60695056289769944</v>
      </c>
      <c r="O28" s="11">
        <f t="shared" si="78"/>
        <v>0.66310432569974553</v>
      </c>
      <c r="P28" s="11">
        <f t="shared" si="78"/>
        <v>0.68921389396709321</v>
      </c>
      <c r="Q28" s="11">
        <f t="shared" si="78"/>
        <v>0.6607142857142857</v>
      </c>
      <c r="R28" s="11">
        <f t="shared" si="78"/>
        <v>0.65056698866022677</v>
      </c>
      <c r="S28" s="11">
        <f t="shared" si="78"/>
        <v>0.69150684931506845</v>
      </c>
      <c r="T28" s="11">
        <f t="shared" si="78"/>
        <v>0.68982808022922637</v>
      </c>
      <c r="U28" s="11">
        <f t="shared" si="78"/>
        <v>0.65522620904836193</v>
      </c>
      <c r="V28" s="11">
        <f t="shared" si="78"/>
        <v>0.66968781470292049</v>
      </c>
      <c r="W28" s="11">
        <f t="shared" si="78"/>
        <v>0.71756152125279637</v>
      </c>
      <c r="X28" s="11">
        <f t="shared" si="78"/>
        <v>0.75724637681159424</v>
      </c>
      <c r="Y28" s="11">
        <f t="shared" si="78"/>
        <v>0.75997952917093148</v>
      </c>
      <c r="Z28" s="11">
        <f>Z9/Z5</f>
        <v>0.66100290095317038</v>
      </c>
      <c r="AA28" s="11">
        <f t="shared" ref="AA28:AD28" si="79">AA9/AA5</f>
        <v>0.74593406593406597</v>
      </c>
      <c r="AB28" s="11">
        <f t="shared" si="79"/>
        <v>0.74758719370416737</v>
      </c>
      <c r="AC28" s="11">
        <f t="shared" si="79"/>
        <v>0.75516717157807767</v>
      </c>
      <c r="AD28" s="11">
        <f t="shared" si="79"/>
        <v>0.69277115582883975</v>
      </c>
      <c r="AF28" s="11">
        <f t="shared" ref="AF28:AV28" si="80">AF9/AF5</f>
        <v>0.66023579849946412</v>
      </c>
      <c r="AG28" s="11">
        <f t="shared" si="80"/>
        <v>0.63765703042227939</v>
      </c>
      <c r="AH28" s="11">
        <f t="shared" si="80"/>
        <v>0.64363066400683955</v>
      </c>
      <c r="AI28" s="11">
        <f t="shared" si="80"/>
        <v>0.66435524736631546</v>
      </c>
      <c r="AJ28" s="11">
        <f t="shared" si="80"/>
        <v>0.67730004623208506</v>
      </c>
      <c r="AK28" s="11">
        <f t="shared" si="80"/>
        <v>0.72041548163719549</v>
      </c>
      <c r="AL28" s="11">
        <f t="shared" si="80"/>
        <v>0.73311272374178904</v>
      </c>
      <c r="AM28" s="11">
        <f t="shared" si="80"/>
        <v>0.72080661850960903</v>
      </c>
      <c r="AN28" s="11">
        <f t="shared" si="80"/>
        <v>0.73910888829762078</v>
      </c>
      <c r="AO28" s="11">
        <f t="shared" si="80"/>
        <v>0.74031171894172954</v>
      </c>
      <c r="AP28" s="11">
        <f t="shared" si="80"/>
        <v>0.74120124827942668</v>
      </c>
      <c r="AQ28" s="11">
        <f t="shared" si="80"/>
        <v>0.74178898713718822</v>
      </c>
      <c r="AR28" s="11">
        <f t="shared" si="80"/>
        <v>0.74208181832313846</v>
      </c>
      <c r="AS28" s="11">
        <f t="shared" si="80"/>
        <v>0.74208181832313846</v>
      </c>
      <c r="AT28" s="11">
        <f t="shared" si="80"/>
        <v>0.74208181832313835</v>
      </c>
      <c r="AU28" s="11">
        <f t="shared" si="80"/>
        <v>0.74208181832313835</v>
      </c>
      <c r="AV28" s="11">
        <f t="shared" si="80"/>
        <v>0.74208181832313846</v>
      </c>
      <c r="AX28" t="s">
        <v>69</v>
      </c>
      <c r="AY28" s="5">
        <f>NPV(AY27,AL19:EZ19)</f>
        <v>73684.79198155964</v>
      </c>
    </row>
    <row r="29" spans="2:156" x14ac:dyDescent="0.3">
      <c r="B29" t="s">
        <v>61</v>
      </c>
      <c r="C29" s="11">
        <f t="shared" ref="C29:Y29" si="81">C14/C5</f>
        <v>0.42410015649452271</v>
      </c>
      <c r="D29" s="11">
        <f t="shared" si="81"/>
        <v>0.31800766283524906</v>
      </c>
      <c r="E29" s="11">
        <f t="shared" si="81"/>
        <v>0.19797979797979798</v>
      </c>
      <c r="F29" s="11">
        <f t="shared" si="81"/>
        <v>0.18477457501847747</v>
      </c>
      <c r="G29" s="11">
        <f t="shared" si="81"/>
        <v>0.31683848797250858</v>
      </c>
      <c r="H29" s="11">
        <f t="shared" si="81"/>
        <v>0.14777070063694267</v>
      </c>
      <c r="I29" s="11">
        <f t="shared" si="81"/>
        <v>0.1875</v>
      </c>
      <c r="J29" s="11">
        <f t="shared" si="81"/>
        <v>0.21102284011916583</v>
      </c>
      <c r="K29" s="11">
        <f t="shared" si="81"/>
        <v>0.28563151796060254</v>
      </c>
      <c r="L29" s="11">
        <f t="shared" si="81"/>
        <v>0.20784794604537093</v>
      </c>
      <c r="M29" s="11">
        <f t="shared" si="81"/>
        <v>0.15883807169344871</v>
      </c>
      <c r="N29" s="11">
        <f t="shared" si="81"/>
        <v>0.10817425354870289</v>
      </c>
      <c r="O29" s="11">
        <f t="shared" si="81"/>
        <v>0.30279898218829515</v>
      </c>
      <c r="P29" s="11">
        <f t="shared" si="81"/>
        <v>0.2644728823887873</v>
      </c>
      <c r="Q29" s="11">
        <f t="shared" si="81"/>
        <v>0.17526455026455026</v>
      </c>
      <c r="R29" s="11">
        <f t="shared" si="81"/>
        <v>0.29147417051658969</v>
      </c>
      <c r="S29" s="11">
        <f t="shared" si="81"/>
        <v>0.31232876712328766</v>
      </c>
      <c r="T29" s="11">
        <f t="shared" si="81"/>
        <v>0.24068767908309455</v>
      </c>
      <c r="U29" s="11">
        <f t="shared" si="81"/>
        <v>0.19266770670826833</v>
      </c>
      <c r="V29" s="11">
        <f t="shared" si="81"/>
        <v>0.22860020140986909</v>
      </c>
      <c r="W29" s="11">
        <f t="shared" si="81"/>
        <v>0.34228187919463088</v>
      </c>
      <c r="X29" s="11">
        <f t="shared" si="81"/>
        <v>0.38768115942028986</v>
      </c>
      <c r="Y29" s="11">
        <f t="shared" si="81"/>
        <v>0.39815762538382804</v>
      </c>
      <c r="Z29" s="11">
        <f>Z14/Z5</f>
        <v>0.24616659759635309</v>
      </c>
      <c r="AA29" s="11">
        <f t="shared" ref="AA29:AD29" si="82">AA14/AA5</f>
        <v>0.34945054945054943</v>
      </c>
      <c r="AB29" s="11">
        <f t="shared" si="82"/>
        <v>0.39124123476833172</v>
      </c>
      <c r="AC29" s="11">
        <f t="shared" si="82"/>
        <v>0.40656439915542086</v>
      </c>
      <c r="AD29" s="11">
        <f t="shared" si="82"/>
        <v>0.3151279845127985</v>
      </c>
      <c r="AF29" s="11">
        <f t="shared" ref="AF29:AV29" si="83">AF14/AF5</f>
        <v>0.28295819935691319</v>
      </c>
      <c r="AG29" s="11">
        <f t="shared" si="83"/>
        <v>0.21371272892386861</v>
      </c>
      <c r="AH29" s="11">
        <f t="shared" si="83"/>
        <v>0.18666286691365061</v>
      </c>
      <c r="AI29" s="11">
        <f t="shared" si="83"/>
        <v>0.26510201360181357</v>
      </c>
      <c r="AJ29" s="11">
        <f t="shared" si="83"/>
        <v>0.2476498690090923</v>
      </c>
      <c r="AK29" s="11">
        <f t="shared" si="83"/>
        <v>0.3379497959688389</v>
      </c>
      <c r="AL29" s="11">
        <f t="shared" si="83"/>
        <v>0.36263357522793499</v>
      </c>
      <c r="AM29" s="11">
        <f t="shared" si="83"/>
        <v>0.32339817627361844</v>
      </c>
      <c r="AN29" s="11">
        <f t="shared" si="83"/>
        <v>0.37898815932252822</v>
      </c>
      <c r="AO29" s="11">
        <f t="shared" si="83"/>
        <v>0.4040251306783581</v>
      </c>
      <c r="AP29" s="11">
        <f t="shared" si="83"/>
        <v>0.41896925445086897</v>
      </c>
      <c r="AQ29" s="11">
        <f t="shared" si="83"/>
        <v>0.42384780701072561</v>
      </c>
      <c r="AR29" s="11">
        <f t="shared" si="83"/>
        <v>0.42676564279941476</v>
      </c>
      <c r="AS29" s="11">
        <f t="shared" si="83"/>
        <v>0.42778607121659629</v>
      </c>
      <c r="AT29" s="11">
        <f t="shared" si="83"/>
        <v>0.42873627205030518</v>
      </c>
      <c r="AU29" s="11">
        <f t="shared" si="83"/>
        <v>0.429629923163445</v>
      </c>
      <c r="AV29" s="11">
        <f t="shared" si="83"/>
        <v>0.43047776669616522</v>
      </c>
      <c r="AX29" t="s">
        <v>70</v>
      </c>
      <c r="AY29" s="5">
        <f>Main!D8</f>
        <v>5675</v>
      </c>
    </row>
    <row r="30" spans="2:156" x14ac:dyDescent="0.3">
      <c r="B30" t="s">
        <v>62</v>
      </c>
      <c r="C30" s="11"/>
      <c r="D30" s="11"/>
      <c r="E30" s="11"/>
      <c r="F30" s="11"/>
      <c r="G30" s="11">
        <f t="shared" ref="G30:Y30" si="84">G10/C10-1</f>
        <v>0.2068965517241379</v>
      </c>
      <c r="H30" s="11">
        <f t="shared" si="84"/>
        <v>0.67114093959731536</v>
      </c>
      <c r="I30" s="11">
        <f t="shared" si="84"/>
        <v>0.5660377358490567</v>
      </c>
      <c r="J30" s="11">
        <f t="shared" si="84"/>
        <v>0.47668393782383411</v>
      </c>
      <c r="K30" s="11">
        <f t="shared" si="84"/>
        <v>0.28571428571428581</v>
      </c>
      <c r="L30" s="11">
        <f t="shared" si="84"/>
        <v>1.2048192771084265E-2</v>
      </c>
      <c r="M30" s="11">
        <f t="shared" si="84"/>
        <v>9.6385542168674787E-2</v>
      </c>
      <c r="N30" s="11">
        <f t="shared" si="84"/>
        <v>0.11578947368421044</v>
      </c>
      <c r="O30" s="11">
        <f t="shared" si="84"/>
        <v>0.1511111111111112</v>
      </c>
      <c r="P30" s="11">
        <f t="shared" si="84"/>
        <v>1.1904761904761862E-2</v>
      </c>
      <c r="Q30" s="11">
        <f t="shared" si="84"/>
        <v>-3.6630036630036611E-2</v>
      </c>
      <c r="R30" s="11">
        <f t="shared" si="84"/>
        <v>2.2012578616352307E-2</v>
      </c>
      <c r="S30" s="11">
        <f t="shared" si="84"/>
        <v>-3.8610038610038644E-2</v>
      </c>
      <c r="T30" s="11">
        <f t="shared" si="84"/>
        <v>-4.3137254901960742E-2</v>
      </c>
      <c r="U30" s="11">
        <f t="shared" si="84"/>
        <v>-0.20152091254752846</v>
      </c>
      <c r="V30" s="11">
        <f t="shared" si="84"/>
        <v>-8.9230769230769225E-2</v>
      </c>
      <c r="W30" s="11">
        <f t="shared" si="84"/>
        <v>-4.4176706827309231E-2</v>
      </c>
      <c r="X30" s="11">
        <f t="shared" si="84"/>
        <v>0.19262295081967218</v>
      </c>
      <c r="Y30" s="11">
        <f t="shared" si="84"/>
        <v>0.30476190476190479</v>
      </c>
      <c r="Z30" s="11">
        <f>Z10/V10-1</f>
        <v>0.18243243243243246</v>
      </c>
      <c r="AA30" s="11">
        <f t="shared" ref="AA30:AD30" si="85">AA10/W10-1</f>
        <v>0.48319327731092443</v>
      </c>
      <c r="AB30" s="11">
        <f t="shared" si="85"/>
        <v>0.10000000000000009</v>
      </c>
      <c r="AC30" s="11">
        <f t="shared" si="85"/>
        <v>0.14999999999999991</v>
      </c>
      <c r="AD30" s="11">
        <f t="shared" si="85"/>
        <v>0.10000000000000009</v>
      </c>
      <c r="AF30" s="11"/>
      <c r="AG30" s="11">
        <f>AG10/AF10-1</f>
        <v>0.48297213622291024</v>
      </c>
      <c r="AH30" s="11">
        <f t="shared" ref="AH30:AV30" si="86">AH10/AG10-1</f>
        <v>0.1148225469728601</v>
      </c>
      <c r="AI30" s="11">
        <f t="shared" si="86"/>
        <v>3.183520599250933E-2</v>
      </c>
      <c r="AJ30" s="11">
        <f t="shared" si="86"/>
        <v>-9.3466424682395632E-2</v>
      </c>
      <c r="AK30" s="11">
        <f t="shared" si="86"/>
        <v>0.15415415415415423</v>
      </c>
      <c r="AL30" s="11">
        <f t="shared" si="86"/>
        <v>0.19098005203816126</v>
      </c>
      <c r="AM30" s="11">
        <f t="shared" si="86"/>
        <v>8.0000000000000071E-2</v>
      </c>
      <c r="AN30" s="11">
        <f t="shared" si="86"/>
        <v>5.0000000000000044E-2</v>
      </c>
      <c r="AO30" s="11">
        <f t="shared" si="86"/>
        <v>4.0000000000000036E-2</v>
      </c>
      <c r="AP30" s="11">
        <f t="shared" si="86"/>
        <v>3.0000000000000027E-2</v>
      </c>
      <c r="AQ30" s="11">
        <f t="shared" si="86"/>
        <v>2.0000000000000018E-2</v>
      </c>
      <c r="AR30" s="11">
        <f t="shared" si="86"/>
        <v>2.0000000000000018E-2</v>
      </c>
      <c r="AS30" s="11">
        <f t="shared" si="86"/>
        <v>2.0000000000000018E-2</v>
      </c>
      <c r="AT30" s="11">
        <f t="shared" si="86"/>
        <v>2.0000000000000018E-2</v>
      </c>
      <c r="AU30" s="11">
        <f t="shared" si="86"/>
        <v>2.0000000000000018E-2</v>
      </c>
      <c r="AV30" s="11">
        <f t="shared" si="86"/>
        <v>2.0000000000000018E-2</v>
      </c>
      <c r="AX30" t="s">
        <v>71</v>
      </c>
      <c r="AY30" s="5">
        <f>AY28+AY29</f>
        <v>79359.79198155964</v>
      </c>
    </row>
    <row r="31" spans="2:156" x14ac:dyDescent="0.3">
      <c r="B31" t="s">
        <v>63</v>
      </c>
      <c r="C31" s="11">
        <f t="shared" ref="C31:Y31" si="87">C11/C5</f>
        <v>7.1987480438184662E-2</v>
      </c>
      <c r="D31" s="11">
        <f t="shared" si="87"/>
        <v>0.15708812260536398</v>
      </c>
      <c r="E31" s="11">
        <f t="shared" si="87"/>
        <v>0.19090909090909092</v>
      </c>
      <c r="F31" s="11">
        <f t="shared" si="87"/>
        <v>0.21359940872135993</v>
      </c>
      <c r="G31" s="11">
        <f t="shared" si="87"/>
        <v>0.1154639175257732</v>
      </c>
      <c r="H31" s="11">
        <f t="shared" si="87"/>
        <v>0.2050955414012739</v>
      </c>
      <c r="I31" s="11">
        <f t="shared" si="87"/>
        <v>0.21683673469387754</v>
      </c>
      <c r="J31" s="11">
        <f t="shared" si="87"/>
        <v>0.18867924528301888</v>
      </c>
      <c r="K31" s="11">
        <f t="shared" si="87"/>
        <v>0.1425260718424102</v>
      </c>
      <c r="L31" s="11">
        <f t="shared" si="87"/>
        <v>0.18884120171673821</v>
      </c>
      <c r="M31" s="11">
        <f t="shared" si="87"/>
        <v>0.21322620519159455</v>
      </c>
      <c r="N31" s="11">
        <f t="shared" si="87"/>
        <v>0.23445912873225649</v>
      </c>
      <c r="O31" s="11">
        <f t="shared" si="87"/>
        <v>0.12773536895674301</v>
      </c>
      <c r="P31" s="11">
        <f t="shared" si="87"/>
        <v>0.13772090188909203</v>
      </c>
      <c r="Q31" s="11">
        <f t="shared" si="87"/>
        <v>0.17394179894179895</v>
      </c>
      <c r="R31" s="11">
        <f t="shared" si="87"/>
        <v>0.13481730365392691</v>
      </c>
      <c r="S31" s="11">
        <f t="shared" si="87"/>
        <v>0.11342465753424658</v>
      </c>
      <c r="T31" s="11">
        <f t="shared" si="87"/>
        <v>0.13681948424068768</v>
      </c>
      <c r="U31" s="11">
        <f t="shared" si="87"/>
        <v>0.1419656786271451</v>
      </c>
      <c r="V31" s="11">
        <f t="shared" si="87"/>
        <v>0.17421953675730112</v>
      </c>
      <c r="W31" s="11">
        <f t="shared" si="87"/>
        <v>0.13590604026845637</v>
      </c>
      <c r="X31" s="11">
        <f t="shared" si="87"/>
        <v>0.12525879917184266</v>
      </c>
      <c r="Y31" s="11">
        <f t="shared" si="87"/>
        <v>0.12180143295803481</v>
      </c>
      <c r="Z31" s="11">
        <f>Z11/Z5</f>
        <v>0.14131786158309159</v>
      </c>
      <c r="AA31" s="11">
        <f t="shared" ref="AA31:AD31" si="88">AA11/AA5</f>
        <v>0.10417582417582417</v>
      </c>
      <c r="AB31" s="11">
        <f t="shared" si="88"/>
        <v>0.12000000000000001</v>
      </c>
      <c r="AC31" s="11">
        <f t="shared" si="88"/>
        <v>0.11</v>
      </c>
      <c r="AD31" s="11">
        <f t="shared" si="88"/>
        <v>0.13</v>
      </c>
      <c r="AF31" s="11">
        <f t="shared" ref="AF31:AV31" si="89">AF11/AF5</f>
        <v>0.15734190782422294</v>
      </c>
      <c r="AG31" s="11">
        <f t="shared" si="89"/>
        <v>0.18313909489934918</v>
      </c>
      <c r="AH31" s="11">
        <f t="shared" si="89"/>
        <v>0.19635223710458821</v>
      </c>
      <c r="AI31" s="11">
        <f t="shared" si="89"/>
        <v>0.14148553140418724</v>
      </c>
      <c r="AJ31" s="11">
        <f t="shared" si="89"/>
        <v>0.14270303590691941</v>
      </c>
      <c r="AK31" s="11">
        <f t="shared" si="89"/>
        <v>0.13156918511190799</v>
      </c>
      <c r="AL31" s="11">
        <f t="shared" si="89"/>
        <v>0.11669666502688494</v>
      </c>
      <c r="AM31" s="11">
        <f t="shared" si="89"/>
        <v>0.18</v>
      </c>
      <c r="AN31" s="11">
        <f t="shared" si="89"/>
        <v>0.15</v>
      </c>
      <c r="AO31" s="11">
        <f t="shared" si="89"/>
        <v>0.13</v>
      </c>
      <c r="AP31" s="11">
        <f t="shared" si="89"/>
        <v>0.12</v>
      </c>
      <c r="AQ31" s="11">
        <f t="shared" si="89"/>
        <v>0.11999999999999998</v>
      </c>
      <c r="AR31" s="11">
        <f t="shared" si="89"/>
        <v>0.12</v>
      </c>
      <c r="AS31" s="11">
        <f t="shared" si="89"/>
        <v>0.12</v>
      </c>
      <c r="AT31" s="11">
        <f t="shared" si="89"/>
        <v>0.12</v>
      </c>
      <c r="AU31" s="11">
        <f t="shared" si="89"/>
        <v>0.12</v>
      </c>
      <c r="AV31" s="11">
        <f t="shared" si="89"/>
        <v>0.12</v>
      </c>
      <c r="AX31" t="s">
        <v>72</v>
      </c>
      <c r="AY31" s="4">
        <f>AY30/AV20</f>
        <v>102.66467267989604</v>
      </c>
    </row>
    <row r="32" spans="2:156" x14ac:dyDescent="0.3">
      <c r="B32" t="s">
        <v>64</v>
      </c>
      <c r="C32" s="11"/>
      <c r="D32" s="11"/>
      <c r="E32" s="11"/>
      <c r="F32" s="11"/>
      <c r="G32" s="11">
        <f t="shared" ref="G32:Y32" si="90">G12/C12-1</f>
        <v>0.86046511627906974</v>
      </c>
      <c r="H32" s="11">
        <f t="shared" si="90"/>
        <v>0.65686274509803932</v>
      </c>
      <c r="I32" s="11">
        <f t="shared" si="90"/>
        <v>0.4311926605504588</v>
      </c>
      <c r="J32" s="11">
        <f t="shared" si="90"/>
        <v>0.7831325301204819</v>
      </c>
      <c r="K32" s="11">
        <f t="shared" si="90"/>
        <v>0.10624999999999996</v>
      </c>
      <c r="L32" s="11">
        <f t="shared" si="90"/>
        <v>1.1834319526627279E-2</v>
      </c>
      <c r="M32" s="11">
        <f t="shared" si="90"/>
        <v>0.22435897435897445</v>
      </c>
      <c r="N32" s="11">
        <f t="shared" si="90"/>
        <v>0.5</v>
      </c>
      <c r="O32" s="11">
        <f t="shared" si="90"/>
        <v>0.11864406779661008</v>
      </c>
      <c r="P32" s="11">
        <f t="shared" si="90"/>
        <v>0.26315789473684204</v>
      </c>
      <c r="Q32" s="11">
        <f t="shared" si="90"/>
        <v>8.9005235602094279E-2</v>
      </c>
      <c r="R32" s="11">
        <f t="shared" si="90"/>
        <v>-5.8558558558558516E-2</v>
      </c>
      <c r="S32" s="11">
        <f t="shared" si="90"/>
        <v>-9.5959595959595911E-2</v>
      </c>
      <c r="T32" s="11">
        <f t="shared" si="90"/>
        <v>-0.21296296296296291</v>
      </c>
      <c r="U32" s="11">
        <f t="shared" si="90"/>
        <v>-0.14903846153846156</v>
      </c>
      <c r="V32" s="11">
        <f t="shared" si="90"/>
        <v>-1.9138755980861233E-2</v>
      </c>
      <c r="W32" s="11">
        <f t="shared" si="90"/>
        <v>-6.7039106145251437E-2</v>
      </c>
      <c r="X32" s="11">
        <f t="shared" si="90"/>
        <v>2.9411764705882248E-2</v>
      </c>
      <c r="Y32" s="11">
        <f t="shared" si="90"/>
        <v>5.0847457627118731E-2</v>
      </c>
      <c r="Z32" s="11">
        <f>Z12/V12-1</f>
        <v>0.24390243902439024</v>
      </c>
      <c r="AA32" s="11">
        <f t="shared" ref="AA32:AD32" si="91">AA12/W12-1</f>
        <v>0.68862275449101795</v>
      </c>
      <c r="AB32" s="11">
        <f t="shared" si="91"/>
        <v>3.0000000000000027E-2</v>
      </c>
      <c r="AC32" s="11">
        <f t="shared" si="91"/>
        <v>2.0000000000000018E-2</v>
      </c>
      <c r="AD32" s="11">
        <f t="shared" si="91"/>
        <v>5.0000000000000044E-2</v>
      </c>
      <c r="AF32" s="11"/>
      <c r="AG32" s="11">
        <f>AG12/AF12-1</f>
        <v>0.66578947368421049</v>
      </c>
      <c r="AH32" s="11">
        <f t="shared" ref="AH32:AV32" si="92">AH12/AG12-1</f>
        <v>0.20221169036334907</v>
      </c>
      <c r="AI32" s="11">
        <f t="shared" si="92"/>
        <v>9.1984231274638617E-2</v>
      </c>
      <c r="AJ32" s="11">
        <f t="shared" si="92"/>
        <v>-0.12033694344163659</v>
      </c>
      <c r="AK32" s="11">
        <f t="shared" si="92"/>
        <v>7.1135430916552611E-2</v>
      </c>
      <c r="AL32" s="11">
        <f t="shared" si="92"/>
        <v>0.17461047254150697</v>
      </c>
      <c r="AM32" s="11">
        <f t="shared" si="92"/>
        <v>5.0000000000000044E-2</v>
      </c>
      <c r="AN32" s="11">
        <f t="shared" si="92"/>
        <v>4.0000000000000036E-2</v>
      </c>
      <c r="AO32" s="11">
        <f t="shared" si="92"/>
        <v>3.0000000000000027E-2</v>
      </c>
      <c r="AP32" s="11">
        <f t="shared" si="92"/>
        <v>2.0000000000000018E-2</v>
      </c>
      <c r="AQ32" s="11">
        <f t="shared" si="92"/>
        <v>1.0000000000000009E-2</v>
      </c>
      <c r="AR32" s="11">
        <f t="shared" si="92"/>
        <v>1.0000000000000009E-2</v>
      </c>
      <c r="AS32" s="11">
        <f t="shared" si="92"/>
        <v>1.0000000000000009E-2</v>
      </c>
      <c r="AT32" s="11">
        <f t="shared" si="92"/>
        <v>1.0000000000000009E-2</v>
      </c>
      <c r="AU32" s="11">
        <f t="shared" si="92"/>
        <v>1.0000000000000009E-2</v>
      </c>
      <c r="AV32" s="11">
        <f t="shared" si="92"/>
        <v>1.0000000000000009E-2</v>
      </c>
      <c r="AX32" t="s">
        <v>73</v>
      </c>
      <c r="AY32" s="4">
        <f>Main!D3</f>
        <v>91.92</v>
      </c>
    </row>
    <row r="33" spans="2:52" x14ac:dyDescent="0.3">
      <c r="B33" t="s">
        <v>52</v>
      </c>
      <c r="C33" s="11">
        <f t="shared" ref="C33:Y33" si="93">C18/C17</f>
        <v>0.1991869918699187</v>
      </c>
      <c r="D33" s="11">
        <f t="shared" si="93"/>
        <v>0.24822695035460993</v>
      </c>
      <c r="E33" s="11">
        <f t="shared" si="93"/>
        <v>0.12413793103448276</v>
      </c>
      <c r="F33" s="11">
        <f t="shared" si="93"/>
        <v>0.20895522388059701</v>
      </c>
      <c r="G33" s="11">
        <f t="shared" si="93"/>
        <v>0.17848410757946209</v>
      </c>
      <c r="H33" s="11">
        <f t="shared" si="93"/>
        <v>0.23952095808383234</v>
      </c>
      <c r="I33" s="11">
        <f t="shared" si="93"/>
        <v>0.13852813852813853</v>
      </c>
      <c r="J33" s="11">
        <f t="shared" si="93"/>
        <v>0.15333333333333332</v>
      </c>
      <c r="K33" s="11">
        <f t="shared" si="93"/>
        <v>5.9602649006622516E-2</v>
      </c>
      <c r="L33" s="11">
        <f t="shared" si="93"/>
        <v>0.17064846416382254</v>
      </c>
      <c r="M33" s="11">
        <f t="shared" si="93"/>
        <v>0.14545454545454545</v>
      </c>
      <c r="N33" s="11">
        <f t="shared" si="93"/>
        <v>4.1567567567567565</v>
      </c>
      <c r="O33" s="11">
        <f t="shared" si="93"/>
        <v>0.11816578483245149</v>
      </c>
      <c r="P33" s="11">
        <f t="shared" si="93"/>
        <v>1.4705882352941176E-2</v>
      </c>
      <c r="Q33" s="11">
        <f t="shared" si="93"/>
        <v>-0.22641509433962265</v>
      </c>
      <c r="R33" s="11">
        <f t="shared" si="93"/>
        <v>5.7971014492753624E-2</v>
      </c>
      <c r="S33" s="11">
        <f t="shared" si="93"/>
        <v>0.21164021164021163</v>
      </c>
      <c r="T33" s="11">
        <f t="shared" si="93"/>
        <v>0.11351351351351352</v>
      </c>
      <c r="U33" s="11">
        <f t="shared" si="93"/>
        <v>0.18072289156626506</v>
      </c>
      <c r="V33" s="11">
        <f t="shared" si="93"/>
        <v>-0.17449664429530201</v>
      </c>
      <c r="W33" s="11">
        <f t="shared" si="93"/>
        <v>0.16390728476821192</v>
      </c>
      <c r="X33" s="11">
        <f t="shared" si="93"/>
        <v>0.20220082530949107</v>
      </c>
      <c r="Y33" s="11">
        <f t="shared" si="93"/>
        <v>0.16343490304709141</v>
      </c>
      <c r="Z33" s="11">
        <f>Z18/Z17</f>
        <v>9.7690941385435173E-2</v>
      </c>
      <c r="AA33" s="11">
        <f t="shared" ref="AA33:AD33" si="94">AA18/AA17</f>
        <v>0.19084967320261437</v>
      </c>
      <c r="AB33" s="11">
        <f t="shared" si="94"/>
        <v>0.18</v>
      </c>
      <c r="AC33" s="11">
        <f t="shared" si="94"/>
        <v>0.18</v>
      </c>
      <c r="AD33" s="11">
        <f t="shared" si="94"/>
        <v>0.18</v>
      </c>
      <c r="AF33" s="11">
        <f t="shared" ref="AF33:AV33" si="95">AF18/AF17</f>
        <v>0.20357142857142857</v>
      </c>
      <c r="AG33" s="11">
        <f t="shared" si="95"/>
        <v>0.17253839205058719</v>
      </c>
      <c r="AH33" s="11">
        <f t="shared" si="95"/>
        <v>0.76281494352736756</v>
      </c>
      <c r="AI33" s="11">
        <f t="shared" si="95"/>
        <v>3.4629728289824191E-2</v>
      </c>
      <c r="AJ33" s="11">
        <f t="shared" si="95"/>
        <v>7.8995713410900184E-2</v>
      </c>
      <c r="AK33" s="11">
        <f t="shared" si="95"/>
        <v>0.16016819571865443</v>
      </c>
      <c r="AL33" s="11">
        <f t="shared" si="95"/>
        <v>0.18254323795619024</v>
      </c>
      <c r="AM33" s="11">
        <f t="shared" si="95"/>
        <v>0.2</v>
      </c>
      <c r="AN33" s="11">
        <f t="shared" si="95"/>
        <v>0.2</v>
      </c>
      <c r="AO33" s="11">
        <f t="shared" si="95"/>
        <v>0.2</v>
      </c>
      <c r="AP33" s="11">
        <f t="shared" si="95"/>
        <v>0.2</v>
      </c>
      <c r="AQ33" s="11">
        <f t="shared" si="95"/>
        <v>0.2</v>
      </c>
      <c r="AR33" s="11">
        <f t="shared" si="95"/>
        <v>0.2</v>
      </c>
      <c r="AS33" s="11">
        <f t="shared" si="95"/>
        <v>0.20000000000000004</v>
      </c>
      <c r="AT33" s="11">
        <f t="shared" si="95"/>
        <v>0.2</v>
      </c>
      <c r="AU33" s="11">
        <f t="shared" si="95"/>
        <v>0.2</v>
      </c>
      <c r="AV33" s="11">
        <f t="shared" si="95"/>
        <v>0.2</v>
      </c>
      <c r="AX33" s="1" t="s">
        <v>74</v>
      </c>
      <c r="AY33" s="12">
        <f>AY31/AY32-1</f>
        <v>0.11689156527302047</v>
      </c>
      <c r="AZ33" s="7"/>
    </row>
    <row r="34" spans="2:52" x14ac:dyDescent="0.3">
      <c r="B34" t="s">
        <v>77</v>
      </c>
      <c r="C34" s="11">
        <f>C19/C5</f>
        <v>0.30829420970266042</v>
      </c>
      <c r="D34" s="11">
        <f t="shared" ref="D34:AV34" si="96">D19/D5</f>
        <v>0.20306513409961685</v>
      </c>
      <c r="E34" s="11">
        <f t="shared" si="96"/>
        <v>0.12828282828282828</v>
      </c>
      <c r="F34" s="11">
        <f t="shared" si="96"/>
        <v>0.11751662971175167</v>
      </c>
      <c r="G34" s="11">
        <f t="shared" si="96"/>
        <v>0.2309278350515464</v>
      </c>
      <c r="H34" s="11">
        <f t="shared" si="96"/>
        <v>8.0891719745222926E-2</v>
      </c>
      <c r="I34" s="11">
        <f t="shared" si="96"/>
        <v>0.12691326530612246</v>
      </c>
      <c r="J34" s="11">
        <f t="shared" si="96"/>
        <v>0.12611717974180736</v>
      </c>
      <c r="K34" s="11">
        <f t="shared" si="96"/>
        <v>0.24681344148319814</v>
      </c>
      <c r="L34" s="11">
        <f t="shared" si="96"/>
        <v>0.1489883507050889</v>
      </c>
      <c r="M34" s="11">
        <f t="shared" si="96"/>
        <v>0.11619283065512979</v>
      </c>
      <c r="N34" s="11">
        <f t="shared" si="96"/>
        <v>-0.28585413607440041</v>
      </c>
      <c r="O34" s="11">
        <f t="shared" si="96"/>
        <v>0.2544529262086514</v>
      </c>
      <c r="P34" s="11">
        <f t="shared" si="96"/>
        <v>0.2449725776965265</v>
      </c>
      <c r="Q34" s="11">
        <f t="shared" si="96"/>
        <v>0.17195767195767195</v>
      </c>
      <c r="R34" s="11">
        <f t="shared" si="96"/>
        <v>0.27299454010919783</v>
      </c>
      <c r="S34" s="11">
        <f t="shared" si="96"/>
        <v>0.24493150684931506</v>
      </c>
      <c r="T34" s="11">
        <f t="shared" si="96"/>
        <v>0.23495702005730659</v>
      </c>
      <c r="U34" s="11">
        <f t="shared" si="96"/>
        <v>0.15912636505460218</v>
      </c>
      <c r="V34" s="11">
        <f t="shared" si="96"/>
        <v>0.26435045317220546</v>
      </c>
      <c r="W34" s="11">
        <f t="shared" si="96"/>
        <v>0.28243847874720357</v>
      </c>
      <c r="X34" s="11">
        <f t="shared" si="96"/>
        <v>0.30020703933747411</v>
      </c>
      <c r="Y34" s="11">
        <f t="shared" si="96"/>
        <v>0.30910951893551691</v>
      </c>
      <c r="Z34" s="11">
        <f t="shared" si="96"/>
        <v>0.21052631578947367</v>
      </c>
      <c r="AA34" s="11">
        <f t="shared" si="96"/>
        <v>0.27208791208791211</v>
      </c>
      <c r="AB34" s="11">
        <f t="shared" si="96"/>
        <v>0.30953594467298629</v>
      </c>
      <c r="AC34" s="11">
        <f t="shared" si="96"/>
        <v>0.32209115211603778</v>
      </c>
      <c r="AD34" s="11">
        <f t="shared" si="96"/>
        <v>0.24928173949162227</v>
      </c>
      <c r="AF34" s="11">
        <f t="shared" si="96"/>
        <v>0.19121114683815649</v>
      </c>
      <c r="AG34" s="11">
        <f t="shared" si="96"/>
        <v>0.13864083547752384</v>
      </c>
      <c r="AH34" s="11">
        <f t="shared" si="96"/>
        <v>3.8899971501852378E-2</v>
      </c>
      <c r="AI34" s="11">
        <f t="shared" si="96"/>
        <v>0.24163221762901721</v>
      </c>
      <c r="AJ34" s="11">
        <f t="shared" si="96"/>
        <v>0.23177685313607643</v>
      </c>
      <c r="AK34" s="11">
        <f t="shared" si="96"/>
        <v>0.27167058241622355</v>
      </c>
      <c r="AL34" s="11">
        <f t="shared" si="96"/>
        <v>0.28592392956012047</v>
      </c>
      <c r="AM34" s="11">
        <f t="shared" si="96"/>
        <v>0.25206307973411601</v>
      </c>
      <c r="AN34" s="11">
        <f t="shared" si="96"/>
        <v>0.29824337104391352</v>
      </c>
      <c r="AO34" s="11">
        <f t="shared" si="96"/>
        <v>0.3194541174378297</v>
      </c>
      <c r="AP34" s="11">
        <f t="shared" si="96"/>
        <v>0.33228788950151206</v>
      </c>
      <c r="AQ34" s="11">
        <f t="shared" si="96"/>
        <v>0.33684783552812486</v>
      </c>
      <c r="AR34" s="11">
        <f t="shared" si="96"/>
        <v>0.33967657912639815</v>
      </c>
      <c r="AS34" s="11">
        <f t="shared" si="96"/>
        <v>0.34086733923748591</v>
      </c>
      <c r="AT34" s="11">
        <f t="shared" si="96"/>
        <v>0.34192116059256489</v>
      </c>
      <c r="AU34" s="11">
        <f t="shared" si="96"/>
        <v>0.34286640359139969</v>
      </c>
      <c r="AV34" s="11">
        <f t="shared" si="96"/>
        <v>0.34372532320841742</v>
      </c>
      <c r="AX34" t="s">
        <v>75</v>
      </c>
      <c r="AY34" s="6" t="s">
        <v>76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2021-02-05T23:19:44Z</dcterms:created>
  <dcterms:modified xsi:type="dcterms:W3CDTF">2021-05-12T17:48:18Z</dcterms:modified>
</cp:coreProperties>
</file>