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os\Desktop\Financial Analysis\"/>
    </mc:Choice>
  </mc:AlternateContent>
  <xr:revisionPtr revIDLastSave="0" documentId="13_ncr:1_{125D4470-E59D-41C5-B384-9537A745DBA7}" xr6:coauthVersionLast="46" xr6:coauthVersionMax="46" xr10:uidLastSave="{00000000-0000-0000-0000-000000000000}"/>
  <bookViews>
    <workbookView xWindow="-108" yWindow="-108" windowWidth="23256" windowHeight="12576" activeTab="1" xr2:uid="{1098F599-276D-42EE-8437-778D2D040BBB}"/>
  </bookViews>
  <sheets>
    <sheet name="Main" sheetId="1" r:id="rId1"/>
    <sheet name="Model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12" i="2" l="1"/>
  <c r="AD12" i="2"/>
  <c r="U12" i="2"/>
  <c r="T12" i="2"/>
  <c r="T10" i="2"/>
  <c r="V10" i="2"/>
  <c r="U10" i="2"/>
  <c r="V7" i="2"/>
  <c r="U7" i="2"/>
  <c r="T7" i="2"/>
  <c r="AJ11" i="2"/>
  <c r="AI11" i="2"/>
  <c r="AH11" i="2"/>
  <c r="AG11" i="2"/>
  <c r="AF11" i="2"/>
  <c r="AE11" i="2"/>
  <c r="AD11" i="2"/>
  <c r="V11" i="2"/>
  <c r="U11" i="2"/>
  <c r="T11" i="2"/>
  <c r="AM3" i="2"/>
  <c r="AG3" i="2"/>
  <c r="AF3" i="2"/>
  <c r="AE3" i="2"/>
  <c r="AD4" i="2"/>
  <c r="U4" i="2"/>
  <c r="T4" i="2"/>
  <c r="T3" i="2"/>
  <c r="AM19" i="2"/>
  <c r="AL19" i="2"/>
  <c r="AK19" i="2"/>
  <c r="AJ19" i="2"/>
  <c r="AI19" i="2"/>
  <c r="AH19" i="2"/>
  <c r="AG19" i="2"/>
  <c r="AF19" i="2"/>
  <c r="AE19" i="2"/>
  <c r="AD19" i="2"/>
  <c r="AC19" i="2"/>
  <c r="V19" i="2"/>
  <c r="U19" i="2"/>
  <c r="T19" i="2"/>
  <c r="S19" i="2"/>
  <c r="D7" i="1"/>
  <c r="D6" i="1"/>
  <c r="D4" i="1"/>
  <c r="AP31" i="2" l="1"/>
  <c r="AD15" i="2"/>
  <c r="AE15" i="2" s="1"/>
  <c r="AF15" i="2" s="1"/>
  <c r="AG15" i="2" s="1"/>
  <c r="AH15" i="2" s="1"/>
  <c r="AI15" i="2" s="1"/>
  <c r="AJ15" i="2" s="1"/>
  <c r="AK15" i="2" s="1"/>
  <c r="AL15" i="2" s="1"/>
  <c r="AM15" i="2" s="1"/>
  <c r="D8" i="1"/>
  <c r="AP28" i="2" s="1"/>
  <c r="D5" i="1"/>
  <c r="AC15" i="2"/>
  <c r="AC14" i="2"/>
  <c r="AD14" i="2" s="1"/>
  <c r="AE14" i="2" s="1"/>
  <c r="AF14" i="2" s="1"/>
  <c r="AG14" i="2" s="1"/>
  <c r="AH14" i="2" s="1"/>
  <c r="AI14" i="2" s="1"/>
  <c r="AJ14" i="2" s="1"/>
  <c r="AK14" i="2" s="1"/>
  <c r="AL14" i="2" s="1"/>
  <c r="AM14" i="2" s="1"/>
  <c r="AC12" i="2"/>
  <c r="AF12" i="2" s="1"/>
  <c r="AG12" i="2" s="1"/>
  <c r="AH12" i="2" s="1"/>
  <c r="AI12" i="2" s="1"/>
  <c r="AJ12" i="2" s="1"/>
  <c r="AK12" i="2" s="1"/>
  <c r="AL12" i="2" s="1"/>
  <c r="AM12" i="2" s="1"/>
  <c r="AC10" i="2"/>
  <c r="AC4" i="2"/>
  <c r="V12" i="2"/>
  <c r="AD10" i="2" l="1"/>
  <c r="AE10" i="2" s="1"/>
  <c r="AF10" i="2" s="1"/>
  <c r="AG10" i="2" s="1"/>
  <c r="AH10" i="2" s="1"/>
  <c r="AI10" i="2" s="1"/>
  <c r="AJ10" i="2" s="1"/>
  <c r="AK10" i="2" s="1"/>
  <c r="AL10" i="2" s="1"/>
  <c r="AM10" i="2" s="1"/>
  <c r="AD7" i="2"/>
  <c r="AE4" i="2"/>
  <c r="D9" i="1"/>
  <c r="AC3" i="2"/>
  <c r="AF4" i="2" l="1"/>
  <c r="AE7" i="2"/>
  <c r="AD3" i="2"/>
  <c r="AH3" i="2" s="1"/>
  <c r="AI3" i="2" s="1"/>
  <c r="AC5" i="2"/>
  <c r="AF7" i="2" l="1"/>
  <c r="AG4" i="2"/>
  <c r="AD5" i="2"/>
  <c r="AE5" i="2"/>
  <c r="AE6" i="2"/>
  <c r="AE8" i="2" s="1"/>
  <c r="AD6" i="2"/>
  <c r="AD8" i="2" s="1"/>
  <c r="AF6" i="2"/>
  <c r="AF8" i="2" s="1"/>
  <c r="AF5" i="2"/>
  <c r="AH4" i="2" l="1"/>
  <c r="AG7" i="2"/>
  <c r="AE9" i="2"/>
  <c r="AE13" i="2" s="1"/>
  <c r="AE16" i="2" s="1"/>
  <c r="AE17" i="2" s="1"/>
  <c r="AE18" i="2" s="1"/>
  <c r="AE20" i="2" s="1"/>
  <c r="AD9" i="2"/>
  <c r="AG6" i="2"/>
  <c r="AG8" i="2" s="1"/>
  <c r="AG5" i="2"/>
  <c r="AF9" i="2"/>
  <c r="AF13" i="2" s="1"/>
  <c r="AF16" i="2" s="1"/>
  <c r="AF17" i="2" s="1"/>
  <c r="AF18" i="2" s="1"/>
  <c r="AD13" i="2" l="1"/>
  <c r="AD16" i="2" s="1"/>
  <c r="AD17" i="2" s="1"/>
  <c r="AD18" i="2" s="1"/>
  <c r="AD20" i="2" s="1"/>
  <c r="AI4" i="2"/>
  <c r="AH7" i="2"/>
  <c r="AF20" i="2"/>
  <c r="AG9" i="2"/>
  <c r="AH6" i="2"/>
  <c r="AH8" i="2" s="1"/>
  <c r="AH5" i="2"/>
  <c r="AJ4" i="2" l="1"/>
  <c r="AI7" i="2"/>
  <c r="AG13" i="2"/>
  <c r="AG16" i="2" s="1"/>
  <c r="AG17" i="2" s="1"/>
  <c r="AG18" i="2" s="1"/>
  <c r="AJ3" i="2"/>
  <c r="AK3" i="2" s="1"/>
  <c r="AL3" i="2" s="1"/>
  <c r="AI6" i="2"/>
  <c r="AI8" i="2" s="1"/>
  <c r="AI5" i="2"/>
  <c r="AH9" i="2"/>
  <c r="AH13" i="2" s="1"/>
  <c r="AH16" i="2" s="1"/>
  <c r="AH17" i="2" s="1"/>
  <c r="AH18" i="2" s="1"/>
  <c r="AH20" i="2" s="1"/>
  <c r="AK4" i="2" l="1"/>
  <c r="AJ7" i="2"/>
  <c r="AG20" i="2"/>
  <c r="AI9" i="2"/>
  <c r="AJ6" i="2"/>
  <c r="AJ8" i="2" s="1"/>
  <c r="AJ5" i="2"/>
  <c r="AL4" i="2" l="1"/>
  <c r="AK7" i="2"/>
  <c r="AJ9" i="2"/>
  <c r="AK6" i="2"/>
  <c r="AK8" i="2" s="1"/>
  <c r="AK5" i="2"/>
  <c r="AI13" i="2"/>
  <c r="AI16" i="2" s="1"/>
  <c r="AI17" i="2" s="1"/>
  <c r="AI18" i="2" s="1"/>
  <c r="AI20" i="2" s="1"/>
  <c r="AM4" i="2" l="1"/>
  <c r="AM7" i="2" s="1"/>
  <c r="AL7" i="2"/>
  <c r="AJ13" i="2"/>
  <c r="AJ16" i="2" s="1"/>
  <c r="AJ17" i="2" s="1"/>
  <c r="AJ18" i="2" s="1"/>
  <c r="AJ20" i="2" s="1"/>
  <c r="AK11" i="2"/>
  <c r="AK9" i="2"/>
  <c r="AL6" i="2"/>
  <c r="AL5" i="2"/>
  <c r="AL8" i="2" l="1"/>
  <c r="AL9" i="2" s="1"/>
  <c r="AL11" i="2"/>
  <c r="AM6" i="2"/>
  <c r="AM8" i="2" s="1"/>
  <c r="AM5" i="2"/>
  <c r="AM11" i="2" s="1"/>
  <c r="AK13" i="2"/>
  <c r="AK16" i="2" s="1"/>
  <c r="AK17" i="2" s="1"/>
  <c r="AK18" i="2" s="1"/>
  <c r="AK20" i="2" s="1"/>
  <c r="AM9" i="2" l="1"/>
  <c r="AM13" i="2" s="1"/>
  <c r="AM16" i="2" s="1"/>
  <c r="AM17" i="2" s="1"/>
  <c r="AM18" i="2" s="1"/>
  <c r="AN18" i="2" s="1"/>
  <c r="AO18" i="2" s="1"/>
  <c r="AP18" i="2" s="1"/>
  <c r="AQ18" i="2" s="1"/>
  <c r="AR18" i="2" s="1"/>
  <c r="AS18" i="2" s="1"/>
  <c r="AT18" i="2" s="1"/>
  <c r="AU18" i="2" s="1"/>
  <c r="AV18" i="2" s="1"/>
  <c r="AW18" i="2" s="1"/>
  <c r="AX18" i="2" s="1"/>
  <c r="AY18" i="2" s="1"/>
  <c r="AZ18" i="2" s="1"/>
  <c r="BA18" i="2" s="1"/>
  <c r="BB18" i="2" s="1"/>
  <c r="BC18" i="2" s="1"/>
  <c r="BD18" i="2" s="1"/>
  <c r="BE18" i="2" s="1"/>
  <c r="BF18" i="2" s="1"/>
  <c r="BG18" i="2" s="1"/>
  <c r="BH18" i="2" s="1"/>
  <c r="BI18" i="2" s="1"/>
  <c r="BJ18" i="2" s="1"/>
  <c r="BK18" i="2" s="1"/>
  <c r="BL18" i="2" s="1"/>
  <c r="BM18" i="2" s="1"/>
  <c r="BN18" i="2" s="1"/>
  <c r="BO18" i="2" s="1"/>
  <c r="BP18" i="2" s="1"/>
  <c r="BQ18" i="2" s="1"/>
  <c r="BR18" i="2" s="1"/>
  <c r="BS18" i="2" s="1"/>
  <c r="BT18" i="2" s="1"/>
  <c r="BU18" i="2" s="1"/>
  <c r="BV18" i="2" s="1"/>
  <c r="BW18" i="2" s="1"/>
  <c r="BX18" i="2" s="1"/>
  <c r="BY18" i="2" s="1"/>
  <c r="BZ18" i="2" s="1"/>
  <c r="CA18" i="2" s="1"/>
  <c r="CB18" i="2" s="1"/>
  <c r="CC18" i="2" s="1"/>
  <c r="CD18" i="2" s="1"/>
  <c r="CE18" i="2" s="1"/>
  <c r="CF18" i="2" s="1"/>
  <c r="CG18" i="2" s="1"/>
  <c r="CH18" i="2" s="1"/>
  <c r="CI18" i="2" s="1"/>
  <c r="CJ18" i="2" s="1"/>
  <c r="CK18" i="2" s="1"/>
  <c r="CL18" i="2" s="1"/>
  <c r="CM18" i="2" s="1"/>
  <c r="CN18" i="2" s="1"/>
  <c r="CO18" i="2" s="1"/>
  <c r="CP18" i="2" s="1"/>
  <c r="CQ18" i="2" s="1"/>
  <c r="CR18" i="2" s="1"/>
  <c r="CS18" i="2" s="1"/>
  <c r="CT18" i="2" s="1"/>
  <c r="CU18" i="2" s="1"/>
  <c r="CV18" i="2" s="1"/>
  <c r="CW18" i="2" s="1"/>
  <c r="CX18" i="2" s="1"/>
  <c r="CY18" i="2" s="1"/>
  <c r="CZ18" i="2" s="1"/>
  <c r="DA18" i="2" s="1"/>
  <c r="DB18" i="2" s="1"/>
  <c r="DC18" i="2" s="1"/>
  <c r="DD18" i="2" s="1"/>
  <c r="DE18" i="2" s="1"/>
  <c r="DF18" i="2" s="1"/>
  <c r="DG18" i="2" s="1"/>
  <c r="DH18" i="2" s="1"/>
  <c r="DI18" i="2" s="1"/>
  <c r="DJ18" i="2" s="1"/>
  <c r="DK18" i="2" s="1"/>
  <c r="DL18" i="2" s="1"/>
  <c r="DM18" i="2" s="1"/>
  <c r="DN18" i="2" s="1"/>
  <c r="DO18" i="2" s="1"/>
  <c r="DP18" i="2" s="1"/>
  <c r="DQ18" i="2" s="1"/>
  <c r="DR18" i="2" s="1"/>
  <c r="DS18" i="2" s="1"/>
  <c r="DT18" i="2" s="1"/>
  <c r="DU18" i="2" s="1"/>
  <c r="DV18" i="2" s="1"/>
  <c r="DW18" i="2" s="1"/>
  <c r="DX18" i="2" s="1"/>
  <c r="DY18" i="2" s="1"/>
  <c r="DZ18" i="2" s="1"/>
  <c r="EA18" i="2" s="1"/>
  <c r="EB18" i="2" s="1"/>
  <c r="EC18" i="2" s="1"/>
  <c r="ED18" i="2" s="1"/>
  <c r="EE18" i="2" s="1"/>
  <c r="EF18" i="2" s="1"/>
  <c r="EG18" i="2" s="1"/>
  <c r="EH18" i="2" s="1"/>
  <c r="EI18" i="2" s="1"/>
  <c r="EJ18" i="2" s="1"/>
  <c r="EK18" i="2" s="1"/>
  <c r="EL18" i="2" s="1"/>
  <c r="EM18" i="2" s="1"/>
  <c r="EN18" i="2" s="1"/>
  <c r="EO18" i="2" s="1"/>
  <c r="EP18" i="2" s="1"/>
  <c r="EQ18" i="2" s="1"/>
  <c r="ER18" i="2" s="1"/>
  <c r="ES18" i="2" s="1"/>
  <c r="ET18" i="2" s="1"/>
  <c r="EU18" i="2" s="1"/>
  <c r="EV18" i="2" s="1"/>
  <c r="EW18" i="2" s="1"/>
  <c r="EX18" i="2" s="1"/>
  <c r="EY18" i="2" s="1"/>
  <c r="EZ18" i="2" s="1"/>
  <c r="FA18" i="2" s="1"/>
  <c r="FB18" i="2" s="1"/>
  <c r="FC18" i="2" s="1"/>
  <c r="FD18" i="2" s="1"/>
  <c r="FE18" i="2" s="1"/>
  <c r="FF18" i="2" s="1"/>
  <c r="AL13" i="2"/>
  <c r="AL16" i="2" s="1"/>
  <c r="AL17" i="2" s="1"/>
  <c r="AL18" i="2" s="1"/>
  <c r="AL20" i="2" s="1"/>
  <c r="AM20" i="2" l="1"/>
  <c r="V8" i="2" l="1"/>
  <c r="V9" i="2" s="1"/>
  <c r="T26" i="2"/>
  <c r="U8" i="2"/>
  <c r="V6" i="2"/>
  <c r="U6" i="2"/>
  <c r="U25" i="2" s="1"/>
  <c r="T6" i="2"/>
  <c r="T25" i="2" s="1"/>
  <c r="S25" i="2"/>
  <c r="T22" i="2"/>
  <c r="S22" i="2"/>
  <c r="V5" i="2"/>
  <c r="U5" i="2"/>
  <c r="S5" i="2"/>
  <c r="S30" i="2" s="1"/>
  <c r="V4" i="2"/>
  <c r="V3" i="2"/>
  <c r="U3" i="2"/>
  <c r="V22" i="2"/>
  <c r="U22" i="2"/>
  <c r="AM31" i="2"/>
  <c r="AL31" i="2"/>
  <c r="AK31" i="2"/>
  <c r="AJ31" i="2"/>
  <c r="AI31" i="2"/>
  <c r="AH31" i="2"/>
  <c r="AG31" i="2"/>
  <c r="AF31" i="2"/>
  <c r="AE31" i="2"/>
  <c r="AD31" i="2"/>
  <c r="AC31" i="2"/>
  <c r="AB31" i="2"/>
  <c r="AA31" i="2"/>
  <c r="Z31" i="2"/>
  <c r="Y31" i="2"/>
  <c r="AM29" i="2"/>
  <c r="AL29" i="2"/>
  <c r="AK29" i="2"/>
  <c r="AJ29" i="2"/>
  <c r="AI29" i="2"/>
  <c r="AH29" i="2"/>
  <c r="AG29" i="2"/>
  <c r="AF29" i="2"/>
  <c r="AE29" i="2"/>
  <c r="AD29" i="2"/>
  <c r="AC29" i="2"/>
  <c r="AB29" i="2"/>
  <c r="AA29" i="2"/>
  <c r="Z29" i="2"/>
  <c r="Y29" i="2"/>
  <c r="AM24" i="2"/>
  <c r="AL24" i="2"/>
  <c r="AK24" i="2"/>
  <c r="AJ24" i="2"/>
  <c r="AI24" i="2"/>
  <c r="AH24" i="2"/>
  <c r="AG24" i="2"/>
  <c r="AF24" i="2"/>
  <c r="AE24" i="2"/>
  <c r="AD24" i="2"/>
  <c r="AC24" i="2"/>
  <c r="AB24" i="2"/>
  <c r="AA24" i="2"/>
  <c r="Z24" i="2"/>
  <c r="Y24" i="2"/>
  <c r="AM23" i="2"/>
  <c r="AL23" i="2"/>
  <c r="AK23" i="2"/>
  <c r="AJ23" i="2"/>
  <c r="AI23" i="2"/>
  <c r="AH23" i="2"/>
  <c r="AG23" i="2"/>
  <c r="AF23" i="2"/>
  <c r="AE23" i="2"/>
  <c r="AD23" i="2"/>
  <c r="AC23" i="2"/>
  <c r="AB23" i="2"/>
  <c r="AA23" i="2"/>
  <c r="AM22" i="2"/>
  <c r="AL22" i="2"/>
  <c r="AK22" i="2"/>
  <c r="AJ22" i="2"/>
  <c r="AI22" i="2"/>
  <c r="AH22" i="2"/>
  <c r="AG22" i="2"/>
  <c r="AF22" i="2"/>
  <c r="AE22" i="2"/>
  <c r="AD22" i="2"/>
  <c r="AC22" i="2"/>
  <c r="AB22" i="2"/>
  <c r="AA22" i="2"/>
  <c r="AB17" i="2"/>
  <c r="AB15" i="2"/>
  <c r="AB14" i="2"/>
  <c r="AB12" i="2"/>
  <c r="AB11" i="2"/>
  <c r="AB10" i="2"/>
  <c r="AB7" i="2"/>
  <c r="AB26" i="2" s="1"/>
  <c r="AB6" i="2"/>
  <c r="AB8" i="2" s="1"/>
  <c r="AB4" i="2"/>
  <c r="AB3" i="2"/>
  <c r="AB5" i="2" s="1"/>
  <c r="AB19" i="2"/>
  <c r="AA17" i="2"/>
  <c r="AA15" i="2"/>
  <c r="AA14" i="2"/>
  <c r="AA12" i="2"/>
  <c r="AA11" i="2"/>
  <c r="AA30" i="2" s="1"/>
  <c r="AA10" i="2"/>
  <c r="AA7" i="2"/>
  <c r="AA6" i="2"/>
  <c r="AA8" i="2" s="1"/>
  <c r="AA9" i="2" s="1"/>
  <c r="AA19" i="2"/>
  <c r="AA5" i="2"/>
  <c r="AA4" i="2"/>
  <c r="AA3" i="2"/>
  <c r="AM33" i="2"/>
  <c r="AL33" i="2"/>
  <c r="AK33" i="2"/>
  <c r="AJ33" i="2"/>
  <c r="AI33" i="2"/>
  <c r="AH33" i="2"/>
  <c r="AG33" i="2"/>
  <c r="AF33" i="2"/>
  <c r="AE33" i="2"/>
  <c r="AD33" i="2"/>
  <c r="Z33" i="2"/>
  <c r="Y33" i="2"/>
  <c r="X33" i="2"/>
  <c r="AM32" i="2"/>
  <c r="AL32" i="2"/>
  <c r="AK32" i="2"/>
  <c r="AJ32" i="2"/>
  <c r="AI32" i="2"/>
  <c r="AH32" i="2"/>
  <c r="AG32" i="2"/>
  <c r="AF32" i="2"/>
  <c r="AE32" i="2"/>
  <c r="AD32" i="2"/>
  <c r="Z32" i="2"/>
  <c r="Y32" i="2"/>
  <c r="X32" i="2"/>
  <c r="AM30" i="2"/>
  <c r="AL30" i="2"/>
  <c r="AK30" i="2"/>
  <c r="AJ30" i="2"/>
  <c r="AI30" i="2"/>
  <c r="AH30" i="2"/>
  <c r="AG30" i="2"/>
  <c r="AF30" i="2"/>
  <c r="AE30" i="2"/>
  <c r="AD30" i="2"/>
  <c r="Z30" i="2"/>
  <c r="Y30" i="2"/>
  <c r="X30" i="2"/>
  <c r="AM28" i="2"/>
  <c r="AL28" i="2"/>
  <c r="AK28" i="2"/>
  <c r="AJ28" i="2"/>
  <c r="AI28" i="2"/>
  <c r="AH28" i="2"/>
  <c r="AG28" i="2"/>
  <c r="AF28" i="2"/>
  <c r="AE28" i="2"/>
  <c r="AD28" i="2"/>
  <c r="Z28" i="2"/>
  <c r="Y28" i="2"/>
  <c r="X28" i="2"/>
  <c r="AM27" i="2"/>
  <c r="AL27" i="2"/>
  <c r="AK27" i="2"/>
  <c r="AJ27" i="2"/>
  <c r="AI27" i="2"/>
  <c r="AH27" i="2"/>
  <c r="AG27" i="2"/>
  <c r="AF27" i="2"/>
  <c r="AE27" i="2"/>
  <c r="AD27" i="2"/>
  <c r="Z27" i="2"/>
  <c r="Y27" i="2"/>
  <c r="X27" i="2"/>
  <c r="AM26" i="2"/>
  <c r="AL26" i="2"/>
  <c r="AK26" i="2"/>
  <c r="AJ26" i="2"/>
  <c r="AI26" i="2"/>
  <c r="AH26" i="2"/>
  <c r="AG26" i="2"/>
  <c r="AF26" i="2"/>
  <c r="AE26" i="2"/>
  <c r="AD26" i="2"/>
  <c r="Z26" i="2"/>
  <c r="AM25" i="2"/>
  <c r="AL25" i="2"/>
  <c r="AK25" i="2"/>
  <c r="AJ25" i="2"/>
  <c r="AI25" i="2"/>
  <c r="AH25" i="2"/>
  <c r="AG25" i="2"/>
  <c r="AF25" i="2"/>
  <c r="AE25" i="2"/>
  <c r="AD25" i="2"/>
  <c r="Z25" i="2"/>
  <c r="Q33" i="2"/>
  <c r="P33" i="2"/>
  <c r="Q32" i="2"/>
  <c r="P32" i="2"/>
  <c r="V31" i="2"/>
  <c r="U31" i="2"/>
  <c r="T31" i="2"/>
  <c r="S31" i="2"/>
  <c r="R31" i="2"/>
  <c r="Q31" i="2"/>
  <c r="P31" i="2"/>
  <c r="V30" i="2"/>
  <c r="R30" i="2"/>
  <c r="Q30" i="2"/>
  <c r="P30" i="2"/>
  <c r="V29" i="2"/>
  <c r="U29" i="2"/>
  <c r="T29" i="2"/>
  <c r="S29" i="2"/>
  <c r="R29" i="2"/>
  <c r="Q29" i="2"/>
  <c r="P29" i="2"/>
  <c r="Q28" i="2"/>
  <c r="P28" i="2"/>
  <c r="Q27" i="2"/>
  <c r="P27" i="2"/>
  <c r="R26" i="2"/>
  <c r="Q26" i="2"/>
  <c r="P26" i="2"/>
  <c r="V25" i="2"/>
  <c r="R25" i="2"/>
  <c r="Q25" i="2"/>
  <c r="P25" i="2"/>
  <c r="V24" i="2"/>
  <c r="U24" i="2"/>
  <c r="R24" i="2"/>
  <c r="Q24" i="2"/>
  <c r="P24" i="2"/>
  <c r="V23" i="2"/>
  <c r="U23" i="2"/>
  <c r="T23" i="2"/>
  <c r="S23" i="2"/>
  <c r="R23" i="2"/>
  <c r="Q23" i="2"/>
  <c r="P23" i="2"/>
  <c r="R22" i="2"/>
  <c r="Q22" i="2"/>
  <c r="P22" i="2"/>
  <c r="N31" i="2"/>
  <c r="M31" i="2"/>
  <c r="L31" i="2"/>
  <c r="K31" i="2"/>
  <c r="J31" i="2"/>
  <c r="I31" i="2"/>
  <c r="H31" i="2"/>
  <c r="G31" i="2"/>
  <c r="N29" i="2"/>
  <c r="M29" i="2"/>
  <c r="L29" i="2"/>
  <c r="K29" i="2"/>
  <c r="J29" i="2"/>
  <c r="I29" i="2"/>
  <c r="H29" i="2"/>
  <c r="G29" i="2"/>
  <c r="G24" i="2"/>
  <c r="H24" i="2"/>
  <c r="I24" i="2"/>
  <c r="J24" i="2"/>
  <c r="K24" i="2"/>
  <c r="L24" i="2"/>
  <c r="M24" i="2"/>
  <c r="N24" i="2"/>
  <c r="N33" i="2"/>
  <c r="M33" i="2"/>
  <c r="L33" i="2"/>
  <c r="K33" i="2"/>
  <c r="J33" i="2"/>
  <c r="I33" i="2"/>
  <c r="H33" i="2"/>
  <c r="G33" i="2"/>
  <c r="F33" i="2"/>
  <c r="E33" i="2"/>
  <c r="D33" i="2"/>
  <c r="C33" i="2"/>
  <c r="N32" i="2"/>
  <c r="M32" i="2"/>
  <c r="L32" i="2"/>
  <c r="K32" i="2"/>
  <c r="J32" i="2"/>
  <c r="I32" i="2"/>
  <c r="H32" i="2"/>
  <c r="G32" i="2"/>
  <c r="F32" i="2"/>
  <c r="E32" i="2"/>
  <c r="D32" i="2"/>
  <c r="C32" i="2"/>
  <c r="N30" i="2"/>
  <c r="M30" i="2"/>
  <c r="L30" i="2"/>
  <c r="K30" i="2"/>
  <c r="J30" i="2"/>
  <c r="I30" i="2"/>
  <c r="H30" i="2"/>
  <c r="G30" i="2"/>
  <c r="F30" i="2"/>
  <c r="E30" i="2"/>
  <c r="D30" i="2"/>
  <c r="C30" i="2"/>
  <c r="N28" i="2"/>
  <c r="M28" i="2"/>
  <c r="L28" i="2"/>
  <c r="K28" i="2"/>
  <c r="J28" i="2"/>
  <c r="I28" i="2"/>
  <c r="H28" i="2"/>
  <c r="G28" i="2"/>
  <c r="F28" i="2"/>
  <c r="E28" i="2"/>
  <c r="D28" i="2"/>
  <c r="C28" i="2"/>
  <c r="N27" i="2"/>
  <c r="M27" i="2"/>
  <c r="L27" i="2"/>
  <c r="K27" i="2"/>
  <c r="J27" i="2"/>
  <c r="I27" i="2"/>
  <c r="H27" i="2"/>
  <c r="G27" i="2"/>
  <c r="F27" i="2"/>
  <c r="E27" i="2"/>
  <c r="D27" i="2"/>
  <c r="C27" i="2"/>
  <c r="N26" i="2"/>
  <c r="M26" i="2"/>
  <c r="L26" i="2"/>
  <c r="K26" i="2"/>
  <c r="N25" i="2"/>
  <c r="M25" i="2"/>
  <c r="L25" i="2"/>
  <c r="K25" i="2"/>
  <c r="O33" i="2"/>
  <c r="O32" i="2"/>
  <c r="O30" i="2"/>
  <c r="O31" i="2"/>
  <c r="O29" i="2"/>
  <c r="O28" i="2"/>
  <c r="O26" i="2"/>
  <c r="O25" i="2"/>
  <c r="O23" i="2"/>
  <c r="O22" i="2"/>
  <c r="Z8" i="2"/>
  <c r="Z19" i="2"/>
  <c r="Z17" i="2"/>
  <c r="Z15" i="2"/>
  <c r="Z14" i="2"/>
  <c r="Z12" i="2"/>
  <c r="Z11" i="2"/>
  <c r="Z10" i="2"/>
  <c r="Y17" i="2"/>
  <c r="Y15" i="2"/>
  <c r="Y14" i="2"/>
  <c r="Y12" i="2"/>
  <c r="Y11" i="2"/>
  <c r="Y10" i="2"/>
  <c r="Y19" i="2"/>
  <c r="Y8" i="2"/>
  <c r="Y5" i="2"/>
  <c r="Y9" i="2" s="1"/>
  <c r="Z5" i="2"/>
  <c r="Z9" i="2" s="1"/>
  <c r="Z13" i="2" s="1"/>
  <c r="V13" i="2" l="1"/>
  <c r="V28" i="2" s="1"/>
  <c r="V27" i="2"/>
  <c r="AC7" i="2"/>
  <c r="AC26" i="2" s="1"/>
  <c r="U9" i="2"/>
  <c r="U13" i="2" s="1"/>
  <c r="U28" i="2" s="1"/>
  <c r="AC6" i="2"/>
  <c r="T8" i="2"/>
  <c r="S8" i="2"/>
  <c r="S9" i="2" s="1"/>
  <c r="S13" i="2" s="1"/>
  <c r="S28" i="2" s="1"/>
  <c r="U27" i="2"/>
  <c r="V26" i="2"/>
  <c r="S26" i="2"/>
  <c r="U26" i="2"/>
  <c r="S24" i="2"/>
  <c r="T5" i="2"/>
  <c r="U30" i="2"/>
  <c r="AB30" i="2"/>
  <c r="AB25" i="2"/>
  <c r="AB9" i="2"/>
  <c r="AA25" i="2"/>
  <c r="AA27" i="2"/>
  <c r="AA13" i="2"/>
  <c r="AA26" i="2"/>
  <c r="Z16" i="2"/>
  <c r="Z18" i="2" s="1"/>
  <c r="Z20" i="2" s="1"/>
  <c r="Y13" i="2"/>
  <c r="Y16" i="2" s="1"/>
  <c r="Y18" i="2" s="1"/>
  <c r="Y20" i="2" s="1"/>
  <c r="F3" i="1"/>
  <c r="X20" i="1"/>
  <c r="X19" i="2"/>
  <c r="X9" i="2"/>
  <c r="X13" i="2" s="1"/>
  <c r="X16" i="2" s="1"/>
  <c r="X18" i="2" s="1"/>
  <c r="C19" i="2"/>
  <c r="C9" i="2"/>
  <c r="C13" i="2" s="1"/>
  <c r="C16" i="2" s="1"/>
  <c r="C18" i="2" s="1"/>
  <c r="G19" i="2"/>
  <c r="G9" i="2"/>
  <c r="G13" i="2" s="1"/>
  <c r="G16" i="2" s="1"/>
  <c r="G18" i="2" s="1"/>
  <c r="D19" i="2"/>
  <c r="D9" i="2"/>
  <c r="D13" i="2" s="1"/>
  <c r="D16" i="2" s="1"/>
  <c r="D18" i="2" s="1"/>
  <c r="H19" i="2"/>
  <c r="H9" i="2"/>
  <c r="H13" i="2" s="1"/>
  <c r="H16" i="2" s="1"/>
  <c r="H18" i="2" s="1"/>
  <c r="E19" i="2"/>
  <c r="E9" i="2"/>
  <c r="E13" i="2" s="1"/>
  <c r="E16" i="2" s="1"/>
  <c r="E18" i="2" s="1"/>
  <c r="I19" i="2"/>
  <c r="I9" i="2"/>
  <c r="I13" i="2" s="1"/>
  <c r="I16" i="2" s="1"/>
  <c r="I18" i="2" s="1"/>
  <c r="F19" i="2"/>
  <c r="F9" i="2"/>
  <c r="F13" i="2" s="1"/>
  <c r="F16" i="2" s="1"/>
  <c r="F18" i="2" s="1"/>
  <c r="J19" i="2"/>
  <c r="J9" i="2"/>
  <c r="J13" i="2" s="1"/>
  <c r="J16" i="2" s="1"/>
  <c r="J18" i="2" s="1"/>
  <c r="J20" i="2" s="1"/>
  <c r="K19" i="2"/>
  <c r="K8" i="2"/>
  <c r="K5" i="2"/>
  <c r="O19" i="2"/>
  <c r="O8" i="2"/>
  <c r="O5" i="2"/>
  <c r="O24" i="2" s="1"/>
  <c r="L19" i="2"/>
  <c r="L8" i="2"/>
  <c r="L5" i="2"/>
  <c r="P19" i="2"/>
  <c r="P8" i="2"/>
  <c r="P5" i="2"/>
  <c r="M14" i="2"/>
  <c r="M19" i="2"/>
  <c r="M8" i="2"/>
  <c r="M5" i="2"/>
  <c r="Q19" i="2"/>
  <c r="Q8" i="2"/>
  <c r="Q5" i="2"/>
  <c r="N19" i="2"/>
  <c r="N8" i="2"/>
  <c r="N5" i="2"/>
  <c r="R19" i="2"/>
  <c r="R8" i="2"/>
  <c r="R5" i="2"/>
  <c r="S27" i="2" l="1"/>
  <c r="AC11" i="2"/>
  <c r="AC30" i="2" s="1"/>
  <c r="T9" i="2"/>
  <c r="T27" i="2" s="1"/>
  <c r="AC8" i="2"/>
  <c r="AC9" i="2" s="1"/>
  <c r="AC25" i="2"/>
  <c r="T24" i="2"/>
  <c r="AB27" i="2"/>
  <c r="AB13" i="2"/>
  <c r="AA16" i="2"/>
  <c r="AA28" i="2"/>
  <c r="E20" i="2"/>
  <c r="C20" i="2"/>
  <c r="R9" i="2"/>
  <c r="H20" i="2"/>
  <c r="X20" i="2"/>
  <c r="F20" i="2"/>
  <c r="D20" i="2"/>
  <c r="I20" i="2"/>
  <c r="G20" i="2"/>
  <c r="K9" i="2"/>
  <c r="K13" i="2" s="1"/>
  <c r="K16" i="2" s="1"/>
  <c r="K18" i="2" s="1"/>
  <c r="K20" i="2" s="1"/>
  <c r="O9" i="2"/>
  <c r="L9" i="2"/>
  <c r="L13" i="2" s="1"/>
  <c r="L16" i="2" s="1"/>
  <c r="L18" i="2" s="1"/>
  <c r="L20" i="2" s="1"/>
  <c r="P9" i="2"/>
  <c r="P13" i="2" s="1"/>
  <c r="P16" i="2" s="1"/>
  <c r="P18" i="2" s="1"/>
  <c r="P20" i="2" s="1"/>
  <c r="M9" i="2"/>
  <c r="M13" i="2" s="1"/>
  <c r="M16" i="2" s="1"/>
  <c r="M18" i="2" s="1"/>
  <c r="M20" i="2" s="1"/>
  <c r="Q9" i="2"/>
  <c r="Q13" i="2" s="1"/>
  <c r="Q16" i="2" s="1"/>
  <c r="Q18" i="2" s="1"/>
  <c r="Q20" i="2" s="1"/>
  <c r="N9" i="2"/>
  <c r="N13" i="2" s="1"/>
  <c r="N16" i="2" s="1"/>
  <c r="N18" i="2" s="1"/>
  <c r="N20" i="2" s="1"/>
  <c r="T30" i="2" l="1"/>
  <c r="T13" i="2"/>
  <c r="T28" i="2" s="1"/>
  <c r="AC27" i="2"/>
  <c r="AC13" i="2"/>
  <c r="R13" i="2"/>
  <c r="R27" i="2"/>
  <c r="AB28" i="2"/>
  <c r="AB16" i="2"/>
  <c r="AA18" i="2"/>
  <c r="AA32" i="2"/>
  <c r="O13" i="2"/>
  <c r="O16" i="2" s="1"/>
  <c r="O18" i="2" s="1"/>
  <c r="O20" i="2" s="1"/>
  <c r="O27" i="2"/>
  <c r="AC16" i="2" l="1"/>
  <c r="AC28" i="2"/>
  <c r="R16" i="2"/>
  <c r="R28" i="2"/>
  <c r="AB18" i="2"/>
  <c r="AB32" i="2"/>
  <c r="AA20" i="2"/>
  <c r="AA33" i="2"/>
  <c r="R18" i="2" l="1"/>
  <c r="S16" i="2" s="1"/>
  <c r="R32" i="2"/>
  <c r="AB20" i="2"/>
  <c r="AB33" i="2"/>
  <c r="S32" i="2" l="1"/>
  <c r="R20" i="2"/>
  <c r="R33" i="2"/>
  <c r="S18" i="2" l="1"/>
  <c r="S20" i="2" l="1"/>
  <c r="T16" i="2"/>
  <c r="S33" i="2"/>
  <c r="T17" i="2" l="1"/>
  <c r="T32" i="2" s="1"/>
  <c r="T18" i="2" l="1"/>
  <c r="T20" i="2" l="1"/>
  <c r="U16" i="2"/>
  <c r="T33" i="2"/>
  <c r="U17" i="2" l="1"/>
  <c r="U32" i="2" s="1"/>
  <c r="U18" i="2" l="1"/>
  <c r="V16" i="2" l="1"/>
  <c r="U20" i="2"/>
  <c r="U33" i="2"/>
  <c r="V17" i="2" l="1"/>
  <c r="V32" i="2" l="1"/>
  <c r="AC17" i="2"/>
  <c r="V18" i="2"/>
  <c r="V20" i="2" s="1"/>
  <c r="AC18" i="2" l="1"/>
  <c r="AC32" i="2"/>
  <c r="V33" i="2"/>
  <c r="AP27" i="2" l="1"/>
  <c r="AP29" i="2" s="1"/>
  <c r="AP30" i="2" s="1"/>
  <c r="AP32" i="2" s="1"/>
  <c r="AC20" i="2"/>
  <c r="AC33" i="2"/>
</calcChain>
</file>

<file path=xl/sharedStrings.xml><?xml version="1.0" encoding="utf-8"?>
<sst xmlns="http://schemas.openxmlformats.org/spreadsheetml/2006/main" count="74" uniqueCount="69">
  <si>
    <t>AYX</t>
  </si>
  <si>
    <t>Price</t>
  </si>
  <si>
    <t>Shares</t>
  </si>
  <si>
    <t>MC</t>
  </si>
  <si>
    <t>Cash</t>
  </si>
  <si>
    <t>Debt</t>
  </si>
  <si>
    <t>Net Cash</t>
  </si>
  <si>
    <t>EV</t>
  </si>
  <si>
    <t>Time last checked</t>
  </si>
  <si>
    <t>Today</t>
  </si>
  <si>
    <t>Earnings</t>
  </si>
  <si>
    <t>Q420</t>
  </si>
  <si>
    <t>Revenue</t>
  </si>
  <si>
    <t>Q117</t>
  </si>
  <si>
    <t>Q217</t>
  </si>
  <si>
    <t>Q317</t>
  </si>
  <si>
    <t>Q417</t>
  </si>
  <si>
    <t>Q118</t>
  </si>
  <si>
    <t>Q218</t>
  </si>
  <si>
    <t>Q318</t>
  </si>
  <si>
    <t>Q418</t>
  </si>
  <si>
    <t>Q119</t>
  </si>
  <si>
    <t>Q219</t>
  </si>
  <si>
    <t>Q319</t>
  </si>
  <si>
    <t>Q419</t>
  </si>
  <si>
    <t>Q120</t>
  </si>
  <si>
    <t>Q220</t>
  </si>
  <si>
    <t>Q320</t>
  </si>
  <si>
    <t>Q121</t>
  </si>
  <si>
    <t>Q221</t>
  </si>
  <si>
    <t>Q321</t>
  </si>
  <si>
    <t>Q421</t>
  </si>
  <si>
    <t>Cost of sales</t>
  </si>
  <si>
    <t>Gross profit</t>
  </si>
  <si>
    <t>SaaS revenue</t>
  </si>
  <si>
    <t>Other revenue</t>
  </si>
  <si>
    <t>SaaS cost of sales</t>
  </si>
  <si>
    <t>Other cost of sales</t>
  </si>
  <si>
    <t>R&amp;D</t>
  </si>
  <si>
    <t>S&amp;M</t>
  </si>
  <si>
    <t>G&amp;A</t>
  </si>
  <si>
    <t>Operating profit</t>
  </si>
  <si>
    <t>Interest expense</t>
  </si>
  <si>
    <t>Other income</t>
  </si>
  <si>
    <t>Pretax profit</t>
  </si>
  <si>
    <t>Taxes</t>
  </si>
  <si>
    <t>Net profit</t>
  </si>
  <si>
    <t>EPS</t>
  </si>
  <si>
    <t>Revenue y/y</t>
  </si>
  <si>
    <t>Gross Margin</t>
  </si>
  <si>
    <t>Operating Margin</t>
  </si>
  <si>
    <t>SaaS y/y</t>
  </si>
  <si>
    <t>Other y/y</t>
  </si>
  <si>
    <t>R&amp;D y/y</t>
  </si>
  <si>
    <t>S&amp;M Margin</t>
  </si>
  <si>
    <t>G&amp;A y/y</t>
  </si>
  <si>
    <t>Net Margin</t>
  </si>
  <si>
    <t>SaaS Margin</t>
  </si>
  <si>
    <t>Other Margin</t>
  </si>
  <si>
    <t>Maturity</t>
  </si>
  <si>
    <t>Discount rate</t>
  </si>
  <si>
    <t>NPV</t>
  </si>
  <si>
    <t>Net cash</t>
  </si>
  <si>
    <t>Value</t>
  </si>
  <si>
    <t>Per share</t>
  </si>
  <si>
    <t>Current price</t>
  </si>
  <si>
    <t>Variance</t>
  </si>
  <si>
    <t>Consensus</t>
  </si>
  <si>
    <t>Heavily overvalued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</si>
</sst>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14" fontId="2" fillId="0" borderId="0" xfId="0" applyNumberFormat="1" applyFont="1" applyAlignment="1">
      <alignment horizontal="right"/>
    </xf>
    <xf numFmtId="16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4" fontId="1" fillId="0" borderId="0" xfId="0" applyNumberFormat="1" applyFont="1"/>
    <xf numFmtId="3" fontId="0" fillId="0" borderId="0" xfId="0" applyNumberFormat="1" applyAlignment="1">
      <alignment horizontal="right"/>
    </xf>
    <xf numFmtId="3" fontId="1" fillId="0" borderId="0" xfId="0" applyNumberFormat="1" applyFont="1"/>
    <xf numFmtId="0" fontId="0" fillId="0" borderId="0" xfId="0" applyNumberFormat="1"/>
    <xf numFmtId="0" fontId="2" fillId="0" borderId="0" xfId="0" applyNumberFormat="1" applyFont="1" applyAlignment="1">
      <alignment horizontal="right"/>
    </xf>
    <xf numFmtId="0" fontId="1" fillId="0" borderId="0" xfId="0" applyNumberFormat="1" applyFont="1"/>
    <xf numFmtId="3" fontId="0" fillId="0" borderId="0" xfId="0" applyNumberFormat="1" applyFont="1"/>
    <xf numFmtId="0" fontId="0" fillId="0" borderId="0" xfId="0" applyFont="1"/>
    <xf numFmtId="9" fontId="0" fillId="0" borderId="0" xfId="0" applyNumberFormat="1"/>
    <xf numFmtId="9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30480</xdr:colOff>
      <xdr:row>0</xdr:row>
      <xdr:rowOff>0</xdr:rowOff>
    </xdr:from>
    <xdr:to>
      <xdr:col>28</xdr:col>
      <xdr:colOff>30480</xdr:colOff>
      <xdr:row>33</xdr:row>
      <xdr:rowOff>83820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2415C6B2-CE55-4719-9847-C0B46F2CD536}"/>
            </a:ext>
          </a:extLst>
        </xdr:cNvPr>
        <xdr:cNvCxnSpPr/>
      </xdr:nvCxnSpPr>
      <xdr:spPr>
        <a:xfrm>
          <a:off x="17609820" y="0"/>
          <a:ext cx="0" cy="611886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22860</xdr:colOff>
      <xdr:row>0</xdr:row>
      <xdr:rowOff>0</xdr:rowOff>
    </xdr:from>
    <xdr:to>
      <xdr:col>19</xdr:col>
      <xdr:colOff>22860</xdr:colOff>
      <xdr:row>33</xdr:row>
      <xdr:rowOff>91440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3863D6AB-D2BA-4B8D-AF66-CFB116A105BF}"/>
            </a:ext>
          </a:extLst>
        </xdr:cNvPr>
        <xdr:cNvCxnSpPr/>
      </xdr:nvCxnSpPr>
      <xdr:spPr>
        <a:xfrm>
          <a:off x="12115800" y="0"/>
          <a:ext cx="0" cy="612648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E78FE-3615-4E60-AFD3-96233DCA26D0}">
  <dimension ref="B2:AM20"/>
  <sheetViews>
    <sheetView workbookViewId="0">
      <selection activeCell="G4" sqref="G4"/>
    </sheetView>
  </sheetViews>
  <sheetFormatPr defaultRowHeight="14.4" x14ac:dyDescent="0.3"/>
  <cols>
    <col min="1" max="4" width="8.88671875" style="9"/>
    <col min="5" max="7" width="15.77734375" style="10" customWidth="1"/>
    <col min="8" max="16384" width="8.88671875" style="9"/>
  </cols>
  <sheetData>
    <row r="2" spans="2:39" x14ac:dyDescent="0.3">
      <c r="E2" s="10" t="s">
        <v>8</v>
      </c>
      <c r="F2" s="10" t="s">
        <v>9</v>
      </c>
      <c r="G2" s="10" t="s">
        <v>10</v>
      </c>
      <c r="X2" s="9">
        <v>2016</v>
      </c>
      <c r="Y2" s="9">
        <v>2017</v>
      </c>
      <c r="Z2" s="9">
        <v>2018</v>
      </c>
      <c r="AA2" s="9">
        <v>2019</v>
      </c>
      <c r="AB2" s="9">
        <v>2020</v>
      </c>
      <c r="AC2" s="9">
        <v>2021</v>
      </c>
      <c r="AD2" s="9">
        <v>2022</v>
      </c>
      <c r="AE2" s="9">
        <v>2023</v>
      </c>
      <c r="AF2" s="9">
        <v>2024</v>
      </c>
      <c r="AG2" s="9">
        <v>2025</v>
      </c>
      <c r="AH2" s="9">
        <v>2026</v>
      </c>
      <c r="AI2" s="9">
        <v>2027</v>
      </c>
      <c r="AJ2" s="9">
        <v>2028</v>
      </c>
      <c r="AK2" s="9">
        <v>2029</v>
      </c>
      <c r="AL2" s="9">
        <v>2030</v>
      </c>
      <c r="AM2" s="9">
        <v>2031</v>
      </c>
    </row>
    <row r="3" spans="2:39" x14ac:dyDescent="0.3">
      <c r="B3" s="11" t="s">
        <v>0</v>
      </c>
      <c r="C3" s="9" t="s">
        <v>1</v>
      </c>
      <c r="D3" s="3">
        <v>76.47</v>
      </c>
      <c r="E3" s="2">
        <v>44321</v>
      </c>
      <c r="F3" s="2">
        <f ca="1">TODAY()</f>
        <v>44331</v>
      </c>
      <c r="G3" s="2">
        <v>44412</v>
      </c>
    </row>
    <row r="4" spans="2:39" x14ac:dyDescent="0.3">
      <c r="C4" s="9" t="s">
        <v>2</v>
      </c>
      <c r="D4" s="4">
        <f>59.2+7.9</f>
        <v>67.100000000000009</v>
      </c>
      <c r="E4" s="10" t="s">
        <v>28</v>
      </c>
    </row>
    <row r="5" spans="2:39" x14ac:dyDescent="0.3">
      <c r="C5" s="9" t="s">
        <v>3</v>
      </c>
      <c r="D5" s="4">
        <f>D3*D4</f>
        <v>5131.1370000000006</v>
      </c>
      <c r="X5" s="9">
        <v>253.6</v>
      </c>
    </row>
    <row r="6" spans="2:39" x14ac:dyDescent="0.3">
      <c r="C6" s="9" t="s">
        <v>4</v>
      </c>
      <c r="D6" s="4">
        <f>253.8+585.7+192.3</f>
        <v>1031.8</v>
      </c>
      <c r="E6" s="10" t="s">
        <v>28</v>
      </c>
    </row>
    <row r="7" spans="2:39" x14ac:dyDescent="0.3">
      <c r="C7" s="9" t="s">
        <v>5</v>
      </c>
      <c r="D7" s="4">
        <f>73.8+664.5</f>
        <v>738.3</v>
      </c>
      <c r="E7" s="10" t="s">
        <v>28</v>
      </c>
    </row>
    <row r="8" spans="2:39" x14ac:dyDescent="0.3">
      <c r="C8" s="9" t="s">
        <v>6</v>
      </c>
      <c r="D8" s="4">
        <f>D6-D7</f>
        <v>293.5</v>
      </c>
      <c r="X8" s="9">
        <v>22.8</v>
      </c>
    </row>
    <row r="9" spans="2:39" x14ac:dyDescent="0.3">
      <c r="C9" s="9" t="s">
        <v>7</v>
      </c>
      <c r="D9" s="4">
        <f>D5-D8</f>
        <v>4837.6370000000006</v>
      </c>
    </row>
    <row r="10" spans="2:39" x14ac:dyDescent="0.3">
      <c r="X10" s="9">
        <v>43.4</v>
      </c>
    </row>
    <row r="11" spans="2:39" x14ac:dyDescent="0.3">
      <c r="X11" s="9">
        <v>109.3</v>
      </c>
    </row>
    <row r="12" spans="2:39" x14ac:dyDescent="0.3">
      <c r="X12" s="9">
        <v>48.3</v>
      </c>
    </row>
    <row r="14" spans="2:39" x14ac:dyDescent="0.3">
      <c r="X14" s="9">
        <v>7.4</v>
      </c>
    </row>
    <row r="15" spans="2:39" x14ac:dyDescent="0.3">
      <c r="X15" s="9">
        <v>-3</v>
      </c>
    </row>
    <row r="17" spans="24:24" x14ac:dyDescent="0.3">
      <c r="X17" s="9">
        <v>-2.6</v>
      </c>
    </row>
    <row r="20" spans="24:24" x14ac:dyDescent="0.3">
      <c r="X20" s="9" t="e">
        <f t="shared" ref="X20" si="0">X18/X19</f>
        <v>#DIV/0!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407C5C-8762-48ED-9429-FBAF9EA32188}">
  <dimension ref="B2:FF33"/>
  <sheetViews>
    <sheetView tabSelected="1" workbookViewId="0">
      <pane xSplit="2" ySplit="2" topLeftCell="X8" activePane="bottomRight" state="frozen"/>
      <selection pane="topRight" activeCell="C1" sqref="C1"/>
      <selection pane="bottomLeft" activeCell="A3" sqref="A3"/>
      <selection pane="bottomRight" activeCell="AP34" sqref="AP34"/>
    </sheetView>
  </sheetViews>
  <sheetFormatPr defaultRowHeight="14.4" x14ac:dyDescent="0.3"/>
  <cols>
    <col min="2" max="2" width="16.33203125" bestFit="1" customWidth="1"/>
    <col min="41" max="41" width="11.88671875" bestFit="1" customWidth="1"/>
    <col min="42" max="42" width="16.44140625" bestFit="1" customWidth="1"/>
  </cols>
  <sheetData>
    <row r="2" spans="2:39" x14ac:dyDescent="0.3">
      <c r="C2" s="5" t="s">
        <v>13</v>
      </c>
      <c r="D2" s="5" t="s">
        <v>14</v>
      </c>
      <c r="E2" s="5" t="s">
        <v>15</v>
      </c>
      <c r="F2" s="5" t="s">
        <v>16</v>
      </c>
      <c r="G2" s="5" t="s">
        <v>17</v>
      </c>
      <c r="H2" s="5" t="s">
        <v>18</v>
      </c>
      <c r="I2" s="5" t="s">
        <v>19</v>
      </c>
      <c r="J2" s="5" t="s">
        <v>20</v>
      </c>
      <c r="K2" s="5" t="s">
        <v>21</v>
      </c>
      <c r="L2" s="5" t="s">
        <v>22</v>
      </c>
      <c r="M2" s="5" t="s">
        <v>23</v>
      </c>
      <c r="N2" s="5" t="s">
        <v>24</v>
      </c>
      <c r="O2" s="5" t="s">
        <v>25</v>
      </c>
      <c r="P2" s="5" t="s">
        <v>26</v>
      </c>
      <c r="Q2" s="5" t="s">
        <v>27</v>
      </c>
      <c r="R2" s="5" t="s">
        <v>11</v>
      </c>
      <c r="S2" s="5" t="s">
        <v>28</v>
      </c>
      <c r="T2" s="5" t="s">
        <v>29</v>
      </c>
      <c r="U2" s="5" t="s">
        <v>30</v>
      </c>
      <c r="V2" s="5" t="s">
        <v>31</v>
      </c>
      <c r="X2">
        <v>2016</v>
      </c>
      <c r="Y2">
        <v>2017</v>
      </c>
      <c r="Z2">
        <v>2018</v>
      </c>
      <c r="AA2">
        <v>2019</v>
      </c>
      <c r="AB2">
        <v>2020</v>
      </c>
      <c r="AC2">
        <v>2021</v>
      </c>
      <c r="AD2">
        <v>2022</v>
      </c>
      <c r="AE2">
        <v>2023</v>
      </c>
      <c r="AF2">
        <v>2024</v>
      </c>
      <c r="AG2">
        <v>2025</v>
      </c>
      <c r="AH2">
        <v>2026</v>
      </c>
      <c r="AI2">
        <v>2027</v>
      </c>
      <c r="AJ2">
        <v>2028</v>
      </c>
      <c r="AK2">
        <v>2029</v>
      </c>
      <c r="AL2">
        <v>2030</v>
      </c>
      <c r="AM2">
        <v>2031</v>
      </c>
    </row>
    <row r="3" spans="2:39" x14ac:dyDescent="0.3">
      <c r="B3" t="s">
        <v>34</v>
      </c>
      <c r="C3" s="7"/>
      <c r="D3" s="7"/>
      <c r="E3" s="7"/>
      <c r="F3" s="7"/>
      <c r="G3" s="7"/>
      <c r="H3" s="7"/>
      <c r="I3" s="7"/>
      <c r="J3" s="7"/>
      <c r="K3" s="7">
        <v>34.799999999999997</v>
      </c>
      <c r="L3" s="7">
        <v>36.799999999999997</v>
      </c>
      <c r="M3" s="7">
        <v>54.3</v>
      </c>
      <c r="N3" s="7">
        <v>103.2</v>
      </c>
      <c r="O3" s="7">
        <v>50.7</v>
      </c>
      <c r="P3" s="7">
        <v>34.6</v>
      </c>
      <c r="Q3" s="7">
        <v>63.1</v>
      </c>
      <c r="R3" s="7">
        <v>88.5</v>
      </c>
      <c r="S3" s="7">
        <v>43.4</v>
      </c>
      <c r="T3" s="7">
        <f>P3*1.35</f>
        <v>46.710000000000008</v>
      </c>
      <c r="U3" s="7">
        <f>Q3*1.08</f>
        <v>68.14800000000001</v>
      </c>
      <c r="V3" s="7">
        <f>R3*1.17</f>
        <v>103.54499999999999</v>
      </c>
      <c r="X3" s="7"/>
      <c r="Z3" s="4">
        <v>124.7</v>
      </c>
      <c r="AA3" s="4">
        <f>SUM(K3:N3)</f>
        <v>229.1</v>
      </c>
      <c r="AB3" s="4">
        <f>SUM(O3:R3)</f>
        <v>236.9</v>
      </c>
      <c r="AC3" s="4">
        <f>SUM(S3:V3)</f>
        <v>261.803</v>
      </c>
      <c r="AD3" s="4">
        <f>AC3*1.14</f>
        <v>298.45541999999995</v>
      </c>
      <c r="AE3" s="4">
        <f>AD3*1.11</f>
        <v>331.28551619999996</v>
      </c>
      <c r="AF3" s="4">
        <f>AE3*1.08</f>
        <v>357.788357496</v>
      </c>
      <c r="AG3" s="4">
        <f>AF3*1.06</f>
        <v>379.25565894576005</v>
      </c>
      <c r="AH3" s="4">
        <f>AG3*1.05</f>
        <v>398.21844189304807</v>
      </c>
      <c r="AI3" s="4">
        <f>AH3*1.04</f>
        <v>414.14717956877001</v>
      </c>
      <c r="AJ3" s="4">
        <f t="shared" ref="AJ3:AL3" si="0">AI3*1.03</f>
        <v>426.57159495583312</v>
      </c>
      <c r="AK3" s="4">
        <f t="shared" si="0"/>
        <v>439.36874280450814</v>
      </c>
      <c r="AL3" s="4">
        <f t="shared" si="0"/>
        <v>452.54980508864338</v>
      </c>
      <c r="AM3" s="4">
        <f>AL3*1.02</f>
        <v>461.60080119041623</v>
      </c>
    </row>
    <row r="4" spans="2:39" x14ac:dyDescent="0.3">
      <c r="B4" t="s">
        <v>35</v>
      </c>
      <c r="C4" s="7"/>
      <c r="D4" s="7"/>
      <c r="E4" s="7"/>
      <c r="F4" s="7"/>
      <c r="G4" s="7"/>
      <c r="H4" s="7"/>
      <c r="I4" s="7"/>
      <c r="J4" s="7"/>
      <c r="K4" s="7">
        <v>41.2</v>
      </c>
      <c r="L4" s="7">
        <v>45.2</v>
      </c>
      <c r="M4" s="7">
        <v>49.1</v>
      </c>
      <c r="N4" s="7">
        <v>53.2</v>
      </c>
      <c r="O4" s="7">
        <v>58.1</v>
      </c>
      <c r="P4" s="7">
        <v>61.6</v>
      </c>
      <c r="Q4" s="7">
        <v>66.599999999999994</v>
      </c>
      <c r="R4" s="7">
        <v>72</v>
      </c>
      <c r="S4" s="7">
        <v>75.400000000000006</v>
      </c>
      <c r="T4" s="7">
        <f>P4*1.3</f>
        <v>80.08</v>
      </c>
      <c r="U4" s="7">
        <f>Q4*1.28</f>
        <v>85.24799999999999</v>
      </c>
      <c r="V4" s="7">
        <f>R4*1.3</f>
        <v>93.600000000000009</v>
      </c>
      <c r="X4" s="7"/>
      <c r="Z4" s="4">
        <v>128.9</v>
      </c>
      <c r="AA4" s="4">
        <f>SUM(K4:N4)</f>
        <v>188.7</v>
      </c>
      <c r="AB4" s="4">
        <f>SUM(O4:R4)</f>
        <v>258.3</v>
      </c>
      <c r="AC4" s="4">
        <f>SUM(S4:V4)</f>
        <v>334.32800000000003</v>
      </c>
      <c r="AD4" s="4">
        <f>AC4*1.24</f>
        <v>414.56672000000003</v>
      </c>
      <c r="AE4" s="4">
        <f>AD4*1.18</f>
        <v>489.18872959999999</v>
      </c>
      <c r="AF4" s="4">
        <f>AE4*1.14</f>
        <v>557.67515174399989</v>
      </c>
      <c r="AG4" s="4">
        <f>AF4*1.11</f>
        <v>619.01941843583995</v>
      </c>
      <c r="AH4" s="4">
        <f>AG4*1.09</f>
        <v>674.73116609506565</v>
      </c>
      <c r="AI4" s="4">
        <f>AH4*1.06</f>
        <v>715.21503606076965</v>
      </c>
      <c r="AJ4" s="4">
        <f>AI4*1.05</f>
        <v>750.97578786380814</v>
      </c>
      <c r="AK4" s="4">
        <f>AJ4*1.04</f>
        <v>781.01481937836047</v>
      </c>
      <c r="AL4" s="4">
        <f>AK4*1.03</f>
        <v>804.44526395971127</v>
      </c>
      <c r="AM4" s="4">
        <f t="shared" ref="AM4" si="1">AL4*1.03</f>
        <v>828.57862187850264</v>
      </c>
    </row>
    <row r="5" spans="2:39" s="1" customFormat="1" x14ac:dyDescent="0.3">
      <c r="B5" s="1" t="s">
        <v>12</v>
      </c>
      <c r="C5" s="8">
        <v>28.5</v>
      </c>
      <c r="D5" s="8">
        <v>30.3</v>
      </c>
      <c r="E5" s="8">
        <v>34.200000000000003</v>
      </c>
      <c r="F5" s="8">
        <v>38.6</v>
      </c>
      <c r="G5" s="8">
        <v>42.8</v>
      </c>
      <c r="H5" s="8">
        <v>46.8</v>
      </c>
      <c r="I5" s="8">
        <v>54.2</v>
      </c>
      <c r="J5" s="8">
        <v>89.2</v>
      </c>
      <c r="K5" s="8">
        <f t="shared" ref="K5:R5" si="2">K3+K4</f>
        <v>76</v>
      </c>
      <c r="L5" s="8">
        <f t="shared" si="2"/>
        <v>82</v>
      </c>
      <c r="M5" s="8">
        <f t="shared" si="2"/>
        <v>103.4</v>
      </c>
      <c r="N5" s="8">
        <f t="shared" si="2"/>
        <v>156.4</v>
      </c>
      <c r="O5" s="8">
        <f t="shared" si="2"/>
        <v>108.80000000000001</v>
      </c>
      <c r="P5" s="8">
        <f t="shared" si="2"/>
        <v>96.2</v>
      </c>
      <c r="Q5" s="8">
        <f t="shared" si="2"/>
        <v>129.69999999999999</v>
      </c>
      <c r="R5" s="8">
        <f t="shared" si="2"/>
        <v>160.5</v>
      </c>
      <c r="S5" s="8">
        <f t="shared" ref="S5" si="3">S3+S4</f>
        <v>118.80000000000001</v>
      </c>
      <c r="T5" s="8">
        <f t="shared" ref="T5" si="4">T3+T4</f>
        <v>126.79</v>
      </c>
      <c r="U5" s="8">
        <f t="shared" ref="U5" si="5">U3+U4</f>
        <v>153.39600000000002</v>
      </c>
      <c r="V5" s="8">
        <f t="shared" ref="V5" si="6">V3+V4</f>
        <v>197.14499999999998</v>
      </c>
      <c r="X5" s="8">
        <v>85.8</v>
      </c>
      <c r="Y5" s="8">
        <f>SUM(C5:F5)</f>
        <v>131.6</v>
      </c>
      <c r="Z5" s="8">
        <f>SUM(G5:J5)</f>
        <v>233</v>
      </c>
      <c r="AA5" s="8">
        <f t="shared" ref="AA5:AC5" si="7">AA3+AA4</f>
        <v>417.79999999999995</v>
      </c>
      <c r="AB5" s="8">
        <f t="shared" si="7"/>
        <v>495.20000000000005</v>
      </c>
      <c r="AC5" s="8">
        <f t="shared" si="7"/>
        <v>596.13100000000009</v>
      </c>
      <c r="AD5" s="8">
        <f t="shared" ref="AD5" si="8">AD3+AD4</f>
        <v>713.02214000000004</v>
      </c>
      <c r="AE5" s="8">
        <f t="shared" ref="AE5" si="9">AE3+AE4</f>
        <v>820.47424579999995</v>
      </c>
      <c r="AF5" s="8">
        <f t="shared" ref="AF5" si="10">AF3+AF4</f>
        <v>915.46350923999989</v>
      </c>
      <c r="AG5" s="8">
        <f t="shared" ref="AG5" si="11">AG3+AG4</f>
        <v>998.2750773816</v>
      </c>
      <c r="AH5" s="8">
        <f t="shared" ref="AH5" si="12">AH3+AH4</f>
        <v>1072.9496079881137</v>
      </c>
      <c r="AI5" s="8">
        <f t="shared" ref="AI5" si="13">AI3+AI4</f>
        <v>1129.3622156295396</v>
      </c>
      <c r="AJ5" s="8">
        <f t="shared" ref="AJ5" si="14">AJ3+AJ4</f>
        <v>1177.5473828196414</v>
      </c>
      <c r="AK5" s="8">
        <f t="shared" ref="AK5" si="15">AK3+AK4</f>
        <v>1220.3835621828687</v>
      </c>
      <c r="AL5" s="8">
        <f t="shared" ref="AL5" si="16">AL3+AL4</f>
        <v>1256.9950690483547</v>
      </c>
      <c r="AM5" s="8">
        <f t="shared" ref="AM5" si="17">AM3+AM4</f>
        <v>1290.1794230689188</v>
      </c>
    </row>
    <row r="6" spans="2:39" x14ac:dyDescent="0.3">
      <c r="B6" t="s">
        <v>36</v>
      </c>
      <c r="C6" s="4"/>
      <c r="D6" s="4"/>
      <c r="E6" s="4"/>
      <c r="F6" s="4"/>
      <c r="G6" s="4"/>
      <c r="H6" s="4"/>
      <c r="I6" s="4"/>
      <c r="J6" s="4"/>
      <c r="K6" s="4">
        <v>0.6</v>
      </c>
      <c r="L6" s="4">
        <v>1.1000000000000001</v>
      </c>
      <c r="M6" s="4">
        <v>1.1000000000000001</v>
      </c>
      <c r="N6" s="4">
        <v>1</v>
      </c>
      <c r="O6" s="4">
        <v>2</v>
      </c>
      <c r="P6" s="4">
        <v>0.9</v>
      </c>
      <c r="Q6" s="4">
        <v>1</v>
      </c>
      <c r="R6" s="4">
        <v>1.2</v>
      </c>
      <c r="S6" s="4">
        <v>1.2</v>
      </c>
      <c r="T6" s="4">
        <f t="shared" ref="T6:V6" si="18">T3*0.03</f>
        <v>1.4013000000000002</v>
      </c>
      <c r="U6" s="4">
        <f t="shared" si="18"/>
        <v>2.0444400000000003</v>
      </c>
      <c r="V6" s="4">
        <f t="shared" si="18"/>
        <v>3.1063499999999995</v>
      </c>
      <c r="X6" s="4"/>
      <c r="Y6" s="4"/>
      <c r="Z6" s="4">
        <v>1.5</v>
      </c>
      <c r="AA6" s="4">
        <f>SUM(K6:N6)</f>
        <v>3.8000000000000003</v>
      </c>
      <c r="AB6" s="4">
        <f>SUM(O6:R6)</f>
        <v>5.0999999999999996</v>
      </c>
      <c r="AC6" s="4">
        <f>SUM(S6:V6)</f>
        <v>7.752089999999999</v>
      </c>
      <c r="AD6" s="4">
        <f>AD3*0.04</f>
        <v>11.938216799999998</v>
      </c>
      <c r="AE6" s="4">
        <f t="shared" ref="AE6:AM6" si="19">AE3*0.04</f>
        <v>13.251420647999998</v>
      </c>
      <c r="AF6" s="4">
        <f t="shared" si="19"/>
        <v>14.31153429984</v>
      </c>
      <c r="AG6" s="4">
        <f t="shared" si="19"/>
        <v>15.170226357830401</v>
      </c>
      <c r="AH6" s="4">
        <f t="shared" si="19"/>
        <v>15.928737675721923</v>
      </c>
      <c r="AI6" s="4">
        <f t="shared" si="19"/>
        <v>16.565887182750799</v>
      </c>
      <c r="AJ6" s="4">
        <f t="shared" si="19"/>
        <v>17.062863798233327</v>
      </c>
      <c r="AK6" s="4">
        <f t="shared" si="19"/>
        <v>17.574749712180328</v>
      </c>
      <c r="AL6" s="4">
        <f t="shared" si="19"/>
        <v>18.101992203545734</v>
      </c>
      <c r="AM6" s="4">
        <f t="shared" si="19"/>
        <v>18.464032047616652</v>
      </c>
    </row>
    <row r="7" spans="2:39" x14ac:dyDescent="0.3">
      <c r="B7" t="s">
        <v>37</v>
      </c>
      <c r="C7" s="7"/>
      <c r="D7" s="7"/>
      <c r="E7" s="7"/>
      <c r="F7" s="7"/>
      <c r="G7" s="7"/>
      <c r="H7" s="7"/>
      <c r="I7" s="7"/>
      <c r="J7" s="7"/>
      <c r="K7" s="7">
        <v>7.4</v>
      </c>
      <c r="L7" s="7">
        <v>8.1999999999999993</v>
      </c>
      <c r="M7" s="7">
        <v>8.6</v>
      </c>
      <c r="N7" s="7">
        <v>11.2</v>
      </c>
      <c r="O7" s="7">
        <v>11.1</v>
      </c>
      <c r="P7" s="7">
        <v>8.6999999999999993</v>
      </c>
      <c r="Q7" s="7">
        <v>9.4</v>
      </c>
      <c r="R7" s="7">
        <v>9.6</v>
      </c>
      <c r="S7" s="4">
        <v>9.6</v>
      </c>
      <c r="T7" s="4">
        <f>T4*0.14</f>
        <v>11.211200000000002</v>
      </c>
      <c r="U7" s="4">
        <f t="shared" ref="U7:V7" si="20">U4*0.14</f>
        <v>11.93472</v>
      </c>
      <c r="V7" s="4">
        <f t="shared" si="20"/>
        <v>13.104000000000003</v>
      </c>
      <c r="X7" s="7"/>
      <c r="Y7" s="7"/>
      <c r="Z7" s="4">
        <v>21.3</v>
      </c>
      <c r="AA7" s="4">
        <f>SUM(K7:N7)</f>
        <v>35.4</v>
      </c>
      <c r="AB7" s="4">
        <f>SUM(O7:R7)</f>
        <v>38.799999999999997</v>
      </c>
      <c r="AC7" s="4">
        <f>SUM(S7:V7)</f>
        <v>45.849919999999997</v>
      </c>
      <c r="AD7" s="4">
        <f>AD4*0.14</f>
        <v>58.039340800000012</v>
      </c>
      <c r="AE7" s="4">
        <f t="shared" ref="AE7:AM7" si="21">AE4*0.14</f>
        <v>68.486422144000002</v>
      </c>
      <c r="AF7" s="4">
        <f t="shared" si="21"/>
        <v>78.074521244159996</v>
      </c>
      <c r="AG7" s="4">
        <f t="shared" si="21"/>
        <v>86.6627185810176</v>
      </c>
      <c r="AH7" s="4">
        <f t="shared" si="21"/>
        <v>94.462363253309206</v>
      </c>
      <c r="AI7" s="4">
        <f t="shared" si="21"/>
        <v>100.13010504850776</v>
      </c>
      <c r="AJ7" s="4">
        <f t="shared" si="21"/>
        <v>105.13661030093314</v>
      </c>
      <c r="AK7" s="4">
        <f t="shared" si="21"/>
        <v>109.34207471297047</v>
      </c>
      <c r="AL7" s="4">
        <f t="shared" si="21"/>
        <v>112.62233695435958</v>
      </c>
      <c r="AM7" s="4">
        <f t="shared" si="21"/>
        <v>116.00100706299038</v>
      </c>
    </row>
    <row r="8" spans="2:39" x14ac:dyDescent="0.3">
      <c r="B8" t="s">
        <v>32</v>
      </c>
      <c r="C8" s="4">
        <v>4.8</v>
      </c>
      <c r="D8" s="4">
        <v>5.3</v>
      </c>
      <c r="E8" s="4">
        <v>5.4</v>
      </c>
      <c r="F8" s="4">
        <v>6.33</v>
      </c>
      <c r="G8" s="4">
        <v>5</v>
      </c>
      <c r="H8" s="4">
        <v>5.3</v>
      </c>
      <c r="I8" s="4">
        <v>5.8</v>
      </c>
      <c r="J8" s="4">
        <v>6.7</v>
      </c>
      <c r="K8" s="4">
        <f t="shared" ref="K8:R8" si="22">K6+K7</f>
        <v>8</v>
      </c>
      <c r="L8" s="4">
        <f t="shared" si="22"/>
        <v>9.2999999999999989</v>
      </c>
      <c r="M8" s="4">
        <f t="shared" si="22"/>
        <v>9.6999999999999993</v>
      </c>
      <c r="N8" s="4">
        <f t="shared" si="22"/>
        <v>12.2</v>
      </c>
      <c r="O8" s="4">
        <f t="shared" si="22"/>
        <v>13.1</v>
      </c>
      <c r="P8" s="4">
        <f t="shared" si="22"/>
        <v>9.6</v>
      </c>
      <c r="Q8" s="4">
        <f t="shared" si="22"/>
        <v>10.4</v>
      </c>
      <c r="R8" s="4">
        <f t="shared" si="22"/>
        <v>10.799999999999999</v>
      </c>
      <c r="S8" s="4">
        <f t="shared" ref="S8" si="23">S6+S7</f>
        <v>10.799999999999999</v>
      </c>
      <c r="T8" s="4">
        <f t="shared" ref="T8" si="24">T6+T7</f>
        <v>12.612500000000002</v>
      </c>
      <c r="U8" s="4">
        <f t="shared" ref="U8" si="25">U6+U7</f>
        <v>13.97916</v>
      </c>
      <c r="V8" s="4">
        <f t="shared" ref="V8" si="26">V6+V7</f>
        <v>16.210350000000002</v>
      </c>
      <c r="X8" s="4">
        <v>16</v>
      </c>
      <c r="Y8" s="12">
        <f>SUM(C8:F8)</f>
        <v>21.83</v>
      </c>
      <c r="Z8" s="12">
        <f>SUM(G8:J8)</f>
        <v>22.8</v>
      </c>
      <c r="AA8" s="4">
        <f t="shared" ref="AA8:AC8" si="27">AA6+AA7</f>
        <v>39.199999999999996</v>
      </c>
      <c r="AB8" s="4">
        <f t="shared" si="27"/>
        <v>43.9</v>
      </c>
      <c r="AC8" s="4">
        <f t="shared" si="27"/>
        <v>53.602009999999993</v>
      </c>
      <c r="AD8" s="4">
        <f t="shared" ref="AD8" si="28">AD6+AD7</f>
        <v>69.977557600000011</v>
      </c>
      <c r="AE8" s="4">
        <f t="shared" ref="AE8" si="29">AE6+AE7</f>
        <v>81.737842791999995</v>
      </c>
      <c r="AF8" s="4">
        <f t="shared" ref="AF8" si="30">AF6+AF7</f>
        <v>92.386055544000001</v>
      </c>
      <c r="AG8" s="4">
        <f t="shared" ref="AG8" si="31">AG6+AG7</f>
        <v>101.832944938848</v>
      </c>
      <c r="AH8" s="4">
        <f t="shared" ref="AH8" si="32">AH6+AH7</f>
        <v>110.39110092903113</v>
      </c>
      <c r="AI8" s="4">
        <f t="shared" ref="AI8" si="33">AI6+AI7</f>
        <v>116.69599223125856</v>
      </c>
      <c r="AJ8" s="4">
        <f t="shared" ref="AJ8" si="34">AJ6+AJ7</f>
        <v>122.19947409916647</v>
      </c>
      <c r="AK8" s="4">
        <f t="shared" ref="AK8" si="35">AK6+AK7</f>
        <v>126.91682442515079</v>
      </c>
      <c r="AL8" s="4">
        <f t="shared" ref="AL8" si="36">AL6+AL7</f>
        <v>130.72432915790532</v>
      </c>
      <c r="AM8" s="4">
        <f t="shared" ref="AM8" si="37">AM6+AM7</f>
        <v>134.46503911060702</v>
      </c>
    </row>
    <row r="9" spans="2:39" s="1" customFormat="1" x14ac:dyDescent="0.3">
      <c r="B9" s="1" t="s">
        <v>33</v>
      </c>
      <c r="C9" s="8">
        <f t="shared" ref="C9" si="38">C5-C8</f>
        <v>23.7</v>
      </c>
      <c r="D9" s="8">
        <f t="shared" ref="D9" si="39">D5-D8</f>
        <v>25</v>
      </c>
      <c r="E9" s="8">
        <f t="shared" ref="E9" si="40">E5-E8</f>
        <v>28.800000000000004</v>
      </c>
      <c r="F9" s="8">
        <f t="shared" ref="F9:G9" si="41">F5-F8</f>
        <v>32.270000000000003</v>
      </c>
      <c r="G9" s="8">
        <f t="shared" si="41"/>
        <v>37.799999999999997</v>
      </c>
      <c r="H9" s="8">
        <f t="shared" ref="H9" si="42">H5-H8</f>
        <v>41.5</v>
      </c>
      <c r="I9" s="8">
        <f t="shared" ref="I9" si="43">I5-I8</f>
        <v>48.400000000000006</v>
      </c>
      <c r="J9" s="8">
        <f t="shared" ref="J9:R9" si="44">J5-J8</f>
        <v>82.5</v>
      </c>
      <c r="K9" s="8">
        <f t="shared" si="44"/>
        <v>68</v>
      </c>
      <c r="L9" s="8">
        <f t="shared" si="44"/>
        <v>72.7</v>
      </c>
      <c r="M9" s="8">
        <f t="shared" si="44"/>
        <v>93.7</v>
      </c>
      <c r="N9" s="8">
        <f t="shared" si="44"/>
        <v>144.20000000000002</v>
      </c>
      <c r="O9" s="8">
        <f t="shared" si="44"/>
        <v>95.700000000000017</v>
      </c>
      <c r="P9" s="8">
        <f t="shared" si="44"/>
        <v>86.600000000000009</v>
      </c>
      <c r="Q9" s="8">
        <f t="shared" si="44"/>
        <v>119.29999999999998</v>
      </c>
      <c r="R9" s="8">
        <f t="shared" si="44"/>
        <v>149.69999999999999</v>
      </c>
      <c r="S9" s="8">
        <f t="shared" ref="S9" si="45">S5-S8</f>
        <v>108.00000000000001</v>
      </c>
      <c r="T9" s="8">
        <f t="shared" ref="T9" si="46">T5-T8</f>
        <v>114.17750000000001</v>
      </c>
      <c r="U9" s="8">
        <f t="shared" ref="U9" si="47">U5-U8</f>
        <v>139.41684000000001</v>
      </c>
      <c r="V9" s="8">
        <f t="shared" ref="V9" si="48">V5-V8</f>
        <v>180.93464999999998</v>
      </c>
      <c r="X9" s="8">
        <f t="shared" ref="X9:AC9" si="49">X5-X8</f>
        <v>69.8</v>
      </c>
      <c r="Y9" s="8">
        <f t="shared" si="49"/>
        <v>109.77</v>
      </c>
      <c r="Z9" s="8">
        <f t="shared" si="49"/>
        <v>210.2</v>
      </c>
      <c r="AA9" s="8">
        <f t="shared" si="49"/>
        <v>378.59999999999997</v>
      </c>
      <c r="AB9" s="8">
        <f t="shared" si="49"/>
        <v>451.30000000000007</v>
      </c>
      <c r="AC9" s="8">
        <f t="shared" si="49"/>
        <v>542.52899000000014</v>
      </c>
      <c r="AD9" s="8">
        <f t="shared" ref="AD9" si="50">AD5-AD8</f>
        <v>643.04458240000008</v>
      </c>
      <c r="AE9" s="8">
        <f t="shared" ref="AE9" si="51">AE5-AE8</f>
        <v>738.73640300799991</v>
      </c>
      <c r="AF9" s="8">
        <f t="shared" ref="AF9" si="52">AF5-AF8</f>
        <v>823.07745369599991</v>
      </c>
      <c r="AG9" s="8">
        <f t="shared" ref="AG9" si="53">AG5-AG8</f>
        <v>896.44213244275204</v>
      </c>
      <c r="AH9" s="8">
        <f t="shared" ref="AH9" si="54">AH5-AH8</f>
        <v>962.55850705908256</v>
      </c>
      <c r="AI9" s="8">
        <f t="shared" ref="AI9" si="55">AI5-AI8</f>
        <v>1012.6662233982811</v>
      </c>
      <c r="AJ9" s="8">
        <f t="shared" ref="AJ9" si="56">AJ5-AJ8</f>
        <v>1055.3479087204748</v>
      </c>
      <c r="AK9" s="8">
        <f t="shared" ref="AK9" si="57">AK5-AK8</f>
        <v>1093.466737757718</v>
      </c>
      <c r="AL9" s="8">
        <f t="shared" ref="AL9" si="58">AL5-AL8</f>
        <v>1126.2707398904495</v>
      </c>
      <c r="AM9" s="8">
        <f t="shared" ref="AM9" si="59">AM5-AM8</f>
        <v>1155.7143839583118</v>
      </c>
    </row>
    <row r="10" spans="2:39" x14ac:dyDescent="0.3">
      <c r="B10" t="s">
        <v>38</v>
      </c>
      <c r="C10" s="4">
        <v>6</v>
      </c>
      <c r="D10" s="4">
        <v>7.1</v>
      </c>
      <c r="E10" s="4">
        <v>7.8</v>
      </c>
      <c r="F10" s="4">
        <v>8.4</v>
      </c>
      <c r="G10" s="4">
        <v>10.8</v>
      </c>
      <c r="H10" s="4">
        <v>10.199999999999999</v>
      </c>
      <c r="I10" s="4">
        <v>10.5</v>
      </c>
      <c r="J10" s="4">
        <v>12</v>
      </c>
      <c r="K10" s="4">
        <v>14.1</v>
      </c>
      <c r="L10" s="4">
        <v>16.399999999999999</v>
      </c>
      <c r="M10" s="4">
        <v>17.8</v>
      </c>
      <c r="N10" s="4">
        <v>20.9</v>
      </c>
      <c r="O10" s="4">
        <v>26.2</v>
      </c>
      <c r="P10" s="4">
        <v>23.3</v>
      </c>
      <c r="Q10" s="4">
        <v>25.2</v>
      </c>
      <c r="R10" s="4">
        <v>26.4</v>
      </c>
      <c r="S10" s="4">
        <v>31.3</v>
      </c>
      <c r="T10" s="4">
        <f>P10*1.4</f>
        <v>32.619999999999997</v>
      </c>
      <c r="U10" s="4">
        <f t="shared" ref="U10:V10" si="60">Q10*1.3</f>
        <v>32.76</v>
      </c>
      <c r="V10" s="4">
        <f t="shared" si="60"/>
        <v>34.32</v>
      </c>
      <c r="X10" s="4">
        <v>17.5</v>
      </c>
      <c r="Y10" s="12">
        <f t="shared" ref="Y10:Z12" si="61">SUM(C10:F10)</f>
        <v>29.299999999999997</v>
      </c>
      <c r="Z10" s="12">
        <f t="shared" si="61"/>
        <v>34.099999999999994</v>
      </c>
      <c r="AA10" s="4">
        <f>SUM(K10:N10)</f>
        <v>69.199999999999989</v>
      </c>
      <c r="AB10" s="4">
        <f>SUM(O10:R10)</f>
        <v>101.1</v>
      </c>
      <c r="AC10" s="4">
        <f>SUM(S10:V10)</f>
        <v>131</v>
      </c>
      <c r="AD10" s="4">
        <f>AC10*1.24</f>
        <v>162.44</v>
      </c>
      <c r="AE10" s="4">
        <f>AD10*1.17</f>
        <v>190.05479999999997</v>
      </c>
      <c r="AF10" s="4">
        <f>AE10*1.111</f>
        <v>211.15088279999998</v>
      </c>
      <c r="AG10" s="4">
        <f>AF10*1.08</f>
        <v>228.04295342399999</v>
      </c>
      <c r="AH10" s="4">
        <f>AG10*1.04</f>
        <v>237.16467156095999</v>
      </c>
      <c r="AI10" s="4">
        <f>AH10*1.03</f>
        <v>244.2796117077888</v>
      </c>
      <c r="AJ10" s="4">
        <f t="shared" ref="AJ10:AK10" si="62">AI10*1.03</f>
        <v>251.60800005902249</v>
      </c>
      <c r="AK10" s="4">
        <f t="shared" si="62"/>
        <v>259.15624006079315</v>
      </c>
      <c r="AL10" s="4">
        <f>AK10*1.02</f>
        <v>264.33936486200901</v>
      </c>
      <c r="AM10" s="4">
        <f>AL10*1.02</f>
        <v>269.62615215924922</v>
      </c>
    </row>
    <row r="11" spans="2:39" x14ac:dyDescent="0.3">
      <c r="B11" t="s">
        <v>39</v>
      </c>
      <c r="C11" s="4">
        <v>15.6</v>
      </c>
      <c r="D11" s="4">
        <v>17.600000000000001</v>
      </c>
      <c r="E11" s="4">
        <v>15.5</v>
      </c>
      <c r="F11" s="4">
        <v>17.7</v>
      </c>
      <c r="G11" s="4">
        <v>23.1</v>
      </c>
      <c r="H11" s="4">
        <v>28.3</v>
      </c>
      <c r="I11" s="4">
        <v>26.3</v>
      </c>
      <c r="J11" s="4">
        <v>34.700000000000003</v>
      </c>
      <c r="K11" s="4">
        <v>38.5</v>
      </c>
      <c r="L11" s="4">
        <v>48.2</v>
      </c>
      <c r="M11" s="4">
        <v>43.8</v>
      </c>
      <c r="N11" s="4">
        <v>61.3</v>
      </c>
      <c r="O11" s="4">
        <v>65.2</v>
      </c>
      <c r="P11" s="4">
        <v>57.9</v>
      </c>
      <c r="Q11" s="4">
        <v>60.9</v>
      </c>
      <c r="R11" s="4">
        <v>68.8</v>
      </c>
      <c r="S11" s="4">
        <v>71.900000000000006</v>
      </c>
      <c r="T11" s="4">
        <f>T5*0.58</f>
        <v>73.538200000000003</v>
      </c>
      <c r="U11" s="4">
        <f>U5*0.5</f>
        <v>76.698000000000008</v>
      </c>
      <c r="V11" s="4">
        <f>V5*0.41</f>
        <v>80.829449999999994</v>
      </c>
      <c r="X11" s="4">
        <v>57.6</v>
      </c>
      <c r="Y11" s="12">
        <f t="shared" si="61"/>
        <v>66.400000000000006</v>
      </c>
      <c r="Z11" s="12">
        <f t="shared" si="61"/>
        <v>73.900000000000006</v>
      </c>
      <c r="AA11" s="4">
        <f>SUM(K11:N11)</f>
        <v>191.8</v>
      </c>
      <c r="AB11" s="4">
        <f>SUM(O11:R11)</f>
        <v>252.8</v>
      </c>
      <c r="AC11" s="4">
        <f>SUM(S11:V11)</f>
        <v>302.96564999999998</v>
      </c>
      <c r="AD11" s="4">
        <f>AD5*0.46</f>
        <v>327.99018440000003</v>
      </c>
      <c r="AE11" s="4">
        <f>AE5*0.42</f>
        <v>344.59918323599999</v>
      </c>
      <c r="AF11" s="4">
        <f>AF5*0.39</f>
        <v>357.0307686036</v>
      </c>
      <c r="AG11" s="4">
        <f>AG5*0.36</f>
        <v>359.379027857376</v>
      </c>
      <c r="AH11" s="4">
        <f>AH5*0.35</f>
        <v>375.53236279583979</v>
      </c>
      <c r="AI11" s="4">
        <f>AI5*0.34</f>
        <v>383.98315331404348</v>
      </c>
      <c r="AJ11" s="4">
        <f>AJ5*0.33</f>
        <v>388.59063633048169</v>
      </c>
      <c r="AK11" s="4">
        <f t="shared" ref="AK11:AM11" si="63">AK5*0.33</f>
        <v>402.72657552034667</v>
      </c>
      <c r="AL11" s="4">
        <f t="shared" si="63"/>
        <v>414.80837278595709</v>
      </c>
      <c r="AM11" s="4">
        <f t="shared" si="63"/>
        <v>425.75920961274323</v>
      </c>
    </row>
    <row r="12" spans="2:39" x14ac:dyDescent="0.3">
      <c r="B12" t="s">
        <v>40</v>
      </c>
      <c r="C12" s="4">
        <v>7.7</v>
      </c>
      <c r="D12" s="4">
        <v>8.4</v>
      </c>
      <c r="E12" s="4">
        <v>8</v>
      </c>
      <c r="F12" s="4">
        <v>8.1</v>
      </c>
      <c r="G12" s="4">
        <v>9.8000000000000007</v>
      </c>
      <c r="H12" s="4">
        <v>11.9</v>
      </c>
      <c r="I12" s="4">
        <v>11.9</v>
      </c>
      <c r="J12" s="4">
        <v>14.6</v>
      </c>
      <c r="K12" s="4">
        <v>19.899999999999999</v>
      </c>
      <c r="L12" s="4">
        <v>16.5</v>
      </c>
      <c r="M12" s="4">
        <v>20.3</v>
      </c>
      <c r="N12" s="4">
        <v>23.3</v>
      </c>
      <c r="O12" s="4">
        <v>24.5</v>
      </c>
      <c r="P12" s="4">
        <v>23.2</v>
      </c>
      <c r="Q12" s="4">
        <v>23.5</v>
      </c>
      <c r="R12" s="4">
        <v>30.2</v>
      </c>
      <c r="S12" s="4">
        <v>33.5</v>
      </c>
      <c r="T12" s="4">
        <f>P12*1.3</f>
        <v>30.16</v>
      </c>
      <c r="U12" s="4">
        <f>Q12*1.3</f>
        <v>30.55</v>
      </c>
      <c r="V12" s="4">
        <f t="shared" ref="V12" si="64">R12*1.2</f>
        <v>36.239999999999995</v>
      </c>
      <c r="X12" s="4">
        <v>17.7</v>
      </c>
      <c r="Y12" s="12">
        <f t="shared" si="61"/>
        <v>32.200000000000003</v>
      </c>
      <c r="Z12" s="12">
        <f t="shared" si="61"/>
        <v>34.299999999999997</v>
      </c>
      <c r="AA12" s="4">
        <f>SUM(K12:N12)</f>
        <v>80</v>
      </c>
      <c r="AB12" s="4">
        <f>SUM(O12:R12)</f>
        <v>101.4</v>
      </c>
      <c r="AC12" s="4">
        <f>SUM(S12:V12)</f>
        <v>130.44999999999999</v>
      </c>
      <c r="AD12" s="4">
        <f>AC12*1.18</f>
        <v>153.93099999999998</v>
      </c>
      <c r="AE12" s="4">
        <f>AD12*1.14</f>
        <v>175.48133999999996</v>
      </c>
      <c r="AF12" s="4">
        <f>AE12*1.08</f>
        <v>189.51984719999996</v>
      </c>
      <c r="AG12" s="4">
        <f>AF12*1.06</f>
        <v>200.89103803199995</v>
      </c>
      <c r="AH12" s="4">
        <f>AG12*1.04</f>
        <v>208.92667955327997</v>
      </c>
      <c r="AI12" s="4">
        <f>AH12*1.03</f>
        <v>215.19447993987836</v>
      </c>
      <c r="AJ12" s="4">
        <f>AI12*1.02</f>
        <v>219.49836953867595</v>
      </c>
      <c r="AK12" s="4">
        <f t="shared" ref="AK12:AM12" si="65">AJ12*1.02</f>
        <v>223.88833692944948</v>
      </c>
      <c r="AL12" s="4">
        <f t="shared" si="65"/>
        <v>228.36610366803848</v>
      </c>
      <c r="AM12" s="4">
        <f t="shared" si="65"/>
        <v>232.93342574139925</v>
      </c>
    </row>
    <row r="13" spans="2:39" s="1" customFormat="1" x14ac:dyDescent="0.3">
      <c r="B13" s="1" t="s">
        <v>41</v>
      </c>
      <c r="C13" s="8">
        <f t="shared" ref="C13" si="66">C9-C10-C11-C12</f>
        <v>-5.6000000000000005</v>
      </c>
      <c r="D13" s="8">
        <f t="shared" ref="D13" si="67">D9-D10-D11-D12</f>
        <v>-8.1000000000000032</v>
      </c>
      <c r="E13" s="8">
        <f t="shared" ref="E13" si="68">E9-E10-E11-E12</f>
        <v>-2.4999999999999964</v>
      </c>
      <c r="F13" s="8">
        <f t="shared" ref="F13:G13" si="69">F9-F10-F11-F12</f>
        <v>-1.9299999999999944</v>
      </c>
      <c r="G13" s="8">
        <f t="shared" si="69"/>
        <v>-5.9000000000000057</v>
      </c>
      <c r="H13" s="8">
        <f t="shared" ref="H13" si="70">H9-H10-H11-H12</f>
        <v>-8.9</v>
      </c>
      <c r="I13" s="8">
        <f t="shared" ref="I13" si="71">I9-I10-I11-I12</f>
        <v>-0.29999999999999538</v>
      </c>
      <c r="J13" s="8">
        <f t="shared" ref="J13:R13" si="72">J9-J10-J11-J12</f>
        <v>21.199999999999996</v>
      </c>
      <c r="K13" s="8">
        <f t="shared" si="72"/>
        <v>-4.5</v>
      </c>
      <c r="L13" s="8">
        <f t="shared" si="72"/>
        <v>-8.3999999999999986</v>
      </c>
      <c r="M13" s="8">
        <f t="shared" si="72"/>
        <v>11.800000000000008</v>
      </c>
      <c r="N13" s="8">
        <f t="shared" si="72"/>
        <v>38.700000000000017</v>
      </c>
      <c r="O13" s="8">
        <f t="shared" si="72"/>
        <v>-20.199999999999989</v>
      </c>
      <c r="P13" s="8">
        <f t="shared" si="72"/>
        <v>-17.799999999999986</v>
      </c>
      <c r="Q13" s="8">
        <f t="shared" si="72"/>
        <v>9.6999999999999815</v>
      </c>
      <c r="R13" s="8">
        <f t="shared" si="72"/>
        <v>24.299999999999986</v>
      </c>
      <c r="S13" s="8">
        <f t="shared" ref="S13" si="73">S9-S10-S11-S12</f>
        <v>-28.699999999999989</v>
      </c>
      <c r="T13" s="8">
        <f t="shared" ref="T13" si="74">T9-T10-T11-T12</f>
        <v>-22.140699999999999</v>
      </c>
      <c r="U13" s="8">
        <f t="shared" ref="U13" si="75">U9-U10-U11-U12</f>
        <v>-0.59115999999999147</v>
      </c>
      <c r="V13" s="8">
        <f t="shared" ref="V13" si="76">V9-V10-V11-V12</f>
        <v>29.545199999999994</v>
      </c>
      <c r="X13" s="8">
        <f t="shared" ref="X13:AC13" si="77">X9-X10-X11-X12</f>
        <v>-23.000000000000004</v>
      </c>
      <c r="Y13" s="8">
        <f t="shared" si="77"/>
        <v>-18.13000000000001</v>
      </c>
      <c r="Z13" s="8">
        <f t="shared" si="77"/>
        <v>67.899999999999991</v>
      </c>
      <c r="AA13" s="8">
        <f t="shared" si="77"/>
        <v>37.599999999999966</v>
      </c>
      <c r="AB13" s="8">
        <f t="shared" si="77"/>
        <v>-3.9999999999999716</v>
      </c>
      <c r="AC13" s="8">
        <f t="shared" si="77"/>
        <v>-21.886659999999836</v>
      </c>
      <c r="AD13" s="8">
        <f t="shared" ref="AD13" si="78">AD9-AD10-AD11-AD12</f>
        <v>-1.3166019999999321</v>
      </c>
      <c r="AE13" s="8">
        <f t="shared" ref="AE13" si="79">AE9-AE10-AE11-AE12</f>
        <v>28.601079771999963</v>
      </c>
      <c r="AF13" s="8">
        <f t="shared" ref="AF13" si="80">AF9-AF10-AF11-AF12</f>
        <v>65.375955092399977</v>
      </c>
      <c r="AG13" s="8">
        <f t="shared" ref="AG13" si="81">AG9-AG10-AG11-AG12</f>
        <v>108.12911312937612</v>
      </c>
      <c r="AH13" s="8">
        <f t="shared" ref="AH13" si="82">AH9-AH10-AH11-AH12</f>
        <v>140.93479314900284</v>
      </c>
      <c r="AI13" s="8">
        <f t="shared" ref="AI13" si="83">AI9-AI10-AI11-AI12</f>
        <v>169.20897843657042</v>
      </c>
      <c r="AJ13" s="8">
        <f t="shared" ref="AJ13" si="84">AJ9-AJ10-AJ11-AJ12</f>
        <v>195.65090279229469</v>
      </c>
      <c r="AK13" s="8">
        <f t="shared" ref="AK13" si="85">AK9-AK10-AK11-AK12</f>
        <v>207.69558524712866</v>
      </c>
      <c r="AL13" s="8">
        <f t="shared" ref="AL13" si="86">AL9-AL10-AL11-AL12</f>
        <v>218.7568985744449</v>
      </c>
      <c r="AM13" s="8">
        <f t="shared" ref="AM13" si="87">AM9-AM10-AM11-AM12</f>
        <v>227.39559644492019</v>
      </c>
    </row>
    <row r="14" spans="2:39" x14ac:dyDescent="0.3">
      <c r="B14" t="s">
        <v>42</v>
      </c>
      <c r="C14" s="4">
        <v>-0.1</v>
      </c>
      <c r="D14" s="4">
        <v>0</v>
      </c>
      <c r="E14" s="4">
        <v>0</v>
      </c>
      <c r="F14" s="4">
        <v>0</v>
      </c>
      <c r="G14" s="4">
        <v>0</v>
      </c>
      <c r="H14" s="4">
        <v>1.4</v>
      </c>
      <c r="I14" s="4">
        <v>3</v>
      </c>
      <c r="J14" s="4">
        <v>3</v>
      </c>
      <c r="K14" s="4">
        <v>3</v>
      </c>
      <c r="L14" s="4">
        <v>3.1</v>
      </c>
      <c r="M14" s="4">
        <f>6.5+20.5</f>
        <v>27</v>
      </c>
      <c r="N14" s="4">
        <v>9.3000000000000007</v>
      </c>
      <c r="O14" s="4">
        <v>9.3000000000000007</v>
      </c>
      <c r="P14" s="4">
        <v>9.5</v>
      </c>
      <c r="Q14" s="4">
        <v>9.6</v>
      </c>
      <c r="R14" s="4">
        <v>9.6999999999999993</v>
      </c>
      <c r="S14" s="4">
        <v>9.6</v>
      </c>
      <c r="T14" s="4">
        <v>10</v>
      </c>
      <c r="U14" s="4">
        <v>10</v>
      </c>
      <c r="V14" s="4">
        <v>9</v>
      </c>
      <c r="X14" s="4">
        <v>6.4</v>
      </c>
      <c r="Y14" s="12">
        <f>SUM(C14:F14)</f>
        <v>-0.1</v>
      </c>
      <c r="Z14" s="12">
        <f>SUM(D14:G14)</f>
        <v>0</v>
      </c>
      <c r="AA14" s="4">
        <f>SUM(K14:N14)</f>
        <v>42.400000000000006</v>
      </c>
      <c r="AB14" s="4">
        <f>SUM(O14:R14)</f>
        <v>38.099999999999994</v>
      </c>
      <c r="AC14" s="4">
        <f>SUM(S14:V14)</f>
        <v>38.6</v>
      </c>
      <c r="AD14" s="4">
        <f>AC14*0.95</f>
        <v>36.67</v>
      </c>
      <c r="AE14" s="4">
        <f t="shared" ref="AE14:AM14" si="88">AD14*0.95</f>
        <v>34.836500000000001</v>
      </c>
      <c r="AF14" s="4">
        <f t="shared" si="88"/>
        <v>33.094675000000002</v>
      </c>
      <c r="AG14" s="4">
        <f t="shared" si="88"/>
        <v>31.43994125</v>
      </c>
      <c r="AH14" s="4">
        <f t="shared" si="88"/>
        <v>29.867944187499997</v>
      </c>
      <c r="AI14" s="4">
        <f t="shared" si="88"/>
        <v>28.374546978124997</v>
      </c>
      <c r="AJ14" s="4">
        <f t="shared" si="88"/>
        <v>26.955819629218745</v>
      </c>
      <c r="AK14" s="4">
        <f t="shared" si="88"/>
        <v>25.608028647757806</v>
      </c>
      <c r="AL14" s="4">
        <f t="shared" si="88"/>
        <v>24.327627215369915</v>
      </c>
      <c r="AM14" s="4">
        <f t="shared" si="88"/>
        <v>23.111245854601417</v>
      </c>
    </row>
    <row r="15" spans="2:39" x14ac:dyDescent="0.3">
      <c r="B15" t="s">
        <v>43</v>
      </c>
      <c r="C15" s="4">
        <v>2</v>
      </c>
      <c r="D15" s="4">
        <v>-0.3</v>
      </c>
      <c r="E15" s="4">
        <v>0.7</v>
      </c>
      <c r="F15" s="4">
        <v>-0.1</v>
      </c>
      <c r="G15" s="4">
        <v>-0.8</v>
      </c>
      <c r="H15" s="4">
        <v>0.8</v>
      </c>
      <c r="I15" s="4">
        <v>-1.8</v>
      </c>
      <c r="J15" s="4">
        <v>-1.4</v>
      </c>
      <c r="K15" s="4">
        <v>-2.8</v>
      </c>
      <c r="L15" s="4">
        <v>-0.8</v>
      </c>
      <c r="M15" s="4">
        <v>-0.1</v>
      </c>
      <c r="N15" s="4">
        <v>-6.6</v>
      </c>
      <c r="O15" s="4">
        <v>2.5</v>
      </c>
      <c r="P15" s="4">
        <v>-4.5</v>
      </c>
      <c r="Q15" s="4">
        <v>-5.0999999999999996</v>
      </c>
      <c r="R15" s="4">
        <v>-7.2</v>
      </c>
      <c r="S15" s="4">
        <v>1.3</v>
      </c>
      <c r="T15" s="4">
        <v>-2</v>
      </c>
      <c r="U15" s="4">
        <v>-2</v>
      </c>
      <c r="V15" s="4">
        <v>-4</v>
      </c>
      <c r="X15" s="4">
        <v>1</v>
      </c>
      <c r="Y15" s="12">
        <f>SUM(C15:F15)</f>
        <v>2.2999999999999998</v>
      </c>
      <c r="Z15" s="12">
        <f>SUM(D15:G15)</f>
        <v>-0.50000000000000011</v>
      </c>
      <c r="AA15" s="4">
        <f>SUM(K15:N15)</f>
        <v>-10.299999999999999</v>
      </c>
      <c r="AB15" s="4">
        <f>SUM(O15:R15)</f>
        <v>-14.3</v>
      </c>
      <c r="AC15" s="4">
        <f>SUM(S15:V15)</f>
        <v>-6.7</v>
      </c>
      <c r="AD15" s="4">
        <f>AC15*1.2</f>
        <v>-8.0399999999999991</v>
      </c>
      <c r="AE15" s="4">
        <f t="shared" ref="AE15" si="89">AD15*1.2</f>
        <v>-9.6479999999999979</v>
      </c>
      <c r="AF15" s="4">
        <f>AE15*1.01</f>
        <v>-9.7444799999999976</v>
      </c>
      <c r="AG15" s="4">
        <f t="shared" ref="AG15:AM15" si="90">AF15*1.01</f>
        <v>-9.8419247999999975</v>
      </c>
      <c r="AH15" s="4">
        <f t="shared" si="90"/>
        <v>-9.9403440479999983</v>
      </c>
      <c r="AI15" s="4">
        <f t="shared" si="90"/>
        <v>-10.039747488479998</v>
      </c>
      <c r="AJ15" s="4">
        <f t="shared" si="90"/>
        <v>-10.140144963364799</v>
      </c>
      <c r="AK15" s="4">
        <f t="shared" si="90"/>
        <v>-10.241546412998447</v>
      </c>
      <c r="AL15" s="4">
        <f t="shared" si="90"/>
        <v>-10.343961877128432</v>
      </c>
      <c r="AM15" s="4">
        <f t="shared" si="90"/>
        <v>-10.447401495899717</v>
      </c>
    </row>
    <row r="16" spans="2:39" s="1" customFormat="1" x14ac:dyDescent="0.3">
      <c r="B16" s="1" t="s">
        <v>44</v>
      </c>
      <c r="C16" s="8">
        <f t="shared" ref="C16" si="91">C13-C14-C15</f>
        <v>-7.5000000000000009</v>
      </c>
      <c r="D16" s="8">
        <f t="shared" ref="D16" si="92">D13-D14-D15</f>
        <v>-7.8000000000000034</v>
      </c>
      <c r="E16" s="8">
        <f t="shared" ref="E16" si="93">E13-E14-E15</f>
        <v>-3.1999999999999966</v>
      </c>
      <c r="F16" s="8">
        <f t="shared" ref="F16:G16" si="94">F13-F14-F15</f>
        <v>-1.8299999999999943</v>
      </c>
      <c r="G16" s="8">
        <f t="shared" si="94"/>
        <v>-5.1000000000000059</v>
      </c>
      <c r="H16" s="8">
        <f t="shared" ref="H16" si="95">H13-H14-H15</f>
        <v>-11.100000000000001</v>
      </c>
      <c r="I16" s="8">
        <f t="shared" ref="I16" si="96">I13-I14-I15</f>
        <v>-1.4999999999999953</v>
      </c>
      <c r="J16" s="8">
        <f t="shared" ref="J16:R16" si="97">J13-J14-J15</f>
        <v>19.599999999999994</v>
      </c>
      <c r="K16" s="8">
        <f t="shared" si="97"/>
        <v>-4.7</v>
      </c>
      <c r="L16" s="8">
        <f t="shared" si="97"/>
        <v>-10.699999999999998</v>
      </c>
      <c r="M16" s="8">
        <f t="shared" si="97"/>
        <v>-15.099999999999993</v>
      </c>
      <c r="N16" s="8">
        <f t="shared" si="97"/>
        <v>36.000000000000014</v>
      </c>
      <c r="O16" s="8">
        <f t="shared" si="97"/>
        <v>-31.999999999999989</v>
      </c>
      <c r="P16" s="8">
        <f t="shared" si="97"/>
        <v>-22.799999999999986</v>
      </c>
      <c r="Q16" s="8">
        <f t="shared" si="97"/>
        <v>5.1999999999999815</v>
      </c>
      <c r="R16" s="8">
        <f t="shared" si="97"/>
        <v>21.799999999999986</v>
      </c>
      <c r="S16" s="8">
        <f t="shared" ref="S16" si="98">S13-S14-S15</f>
        <v>-39.599999999999987</v>
      </c>
      <c r="T16" s="8">
        <f t="shared" ref="T16" si="99">T13-T14-T15</f>
        <v>-30.140699999999995</v>
      </c>
      <c r="U16" s="8">
        <f t="shared" ref="U16" si="100">U13-U14-U15</f>
        <v>-8.5911599999999915</v>
      </c>
      <c r="V16" s="8">
        <f t="shared" ref="V16" si="101">V13-V14-V15</f>
        <v>24.545199999999994</v>
      </c>
      <c r="X16" s="8">
        <f t="shared" ref="X16:AC16" si="102">X13-X14-X15</f>
        <v>-30.400000000000006</v>
      </c>
      <c r="Y16" s="8">
        <f t="shared" si="102"/>
        <v>-20.330000000000009</v>
      </c>
      <c r="Z16" s="8">
        <f t="shared" si="102"/>
        <v>68.399999999999991</v>
      </c>
      <c r="AA16" s="8">
        <f t="shared" si="102"/>
        <v>5.4999999999999591</v>
      </c>
      <c r="AB16" s="8">
        <f t="shared" si="102"/>
        <v>-27.799999999999965</v>
      </c>
      <c r="AC16" s="8">
        <f t="shared" si="102"/>
        <v>-53.786659999999834</v>
      </c>
      <c r="AD16" s="8">
        <f t="shared" ref="AD16" si="103">AD13-AD14-AD15</f>
        <v>-29.946601999999935</v>
      </c>
      <c r="AE16" s="8">
        <f t="shared" ref="AE16" si="104">AE13-AE14-AE15</f>
        <v>3.41257977199996</v>
      </c>
      <c r="AF16" s="8">
        <f t="shared" ref="AF16" si="105">AF13-AF14-AF15</f>
        <v>42.02576009239997</v>
      </c>
      <c r="AG16" s="8">
        <f t="shared" ref="AG16" si="106">AG13-AG14-AG15</f>
        <v>86.53109667937612</v>
      </c>
      <c r="AH16" s="8">
        <f t="shared" ref="AH16" si="107">AH13-AH14-AH15</f>
        <v>121.00719300950284</v>
      </c>
      <c r="AI16" s="8">
        <f t="shared" ref="AI16" si="108">AI13-AI14-AI15</f>
        <v>150.87417894692541</v>
      </c>
      <c r="AJ16" s="8">
        <f t="shared" ref="AJ16" si="109">AJ13-AJ14-AJ15</f>
        <v>178.83522812644074</v>
      </c>
      <c r="AK16" s="8">
        <f t="shared" ref="AK16" si="110">AK13-AK14-AK15</f>
        <v>192.3291030123693</v>
      </c>
      <c r="AL16" s="8">
        <f t="shared" ref="AL16" si="111">AL13-AL14-AL15</f>
        <v>204.77323323620342</v>
      </c>
      <c r="AM16" s="8">
        <f t="shared" ref="AM16" si="112">AM13-AM14-AM15</f>
        <v>214.73175208621851</v>
      </c>
    </row>
    <row r="17" spans="2:162" x14ac:dyDescent="0.3">
      <c r="B17" t="s">
        <v>45</v>
      </c>
      <c r="C17" s="4">
        <v>0.2</v>
      </c>
      <c r="D17" s="4">
        <v>-0.8</v>
      </c>
      <c r="E17" s="4">
        <v>0</v>
      </c>
      <c r="F17" s="4">
        <v>-0.3</v>
      </c>
      <c r="G17" s="4">
        <v>0.1</v>
      </c>
      <c r="H17" s="4">
        <v>-5.9</v>
      </c>
      <c r="I17" s="4">
        <v>-1.3</v>
      </c>
      <c r="J17" s="4">
        <v>2.9</v>
      </c>
      <c r="K17" s="4">
        <v>-10.5</v>
      </c>
      <c r="L17" s="4">
        <v>-7.3</v>
      </c>
      <c r="M17" s="4">
        <v>-8.6999999999999993</v>
      </c>
      <c r="N17" s="4">
        <v>5.4</v>
      </c>
      <c r="O17" s="4">
        <v>-16.399999999999999</v>
      </c>
      <c r="P17" s="4">
        <v>12.5</v>
      </c>
      <c r="Q17" s="4">
        <v>0.8</v>
      </c>
      <c r="R17" s="4">
        <v>0.2</v>
      </c>
      <c r="S17" s="4">
        <v>-1</v>
      </c>
      <c r="T17" s="4">
        <f t="shared" ref="T17:V17" si="113">T16*0.1</f>
        <v>-3.0140699999999998</v>
      </c>
      <c r="U17" s="4">
        <f t="shared" si="113"/>
        <v>-0.85911599999999921</v>
      </c>
      <c r="V17" s="4">
        <f t="shared" si="113"/>
        <v>2.4545199999999996</v>
      </c>
      <c r="X17" s="4">
        <v>0.2</v>
      </c>
      <c r="Y17" s="12">
        <f>SUM(C17:F17)</f>
        <v>-0.90000000000000013</v>
      </c>
      <c r="Z17" s="12">
        <f>SUM(D17:G17)</f>
        <v>-1</v>
      </c>
      <c r="AA17" s="4">
        <f>SUM(K17:N17)</f>
        <v>-21.1</v>
      </c>
      <c r="AB17" s="4">
        <f>SUM(O17:R17)</f>
        <v>-2.8999999999999986</v>
      </c>
      <c r="AC17" s="4">
        <f>SUM(S17:V17)</f>
        <v>-2.418666</v>
      </c>
      <c r="AD17" s="4">
        <f>AD16*0.2</f>
        <v>-5.9893203999999871</v>
      </c>
      <c r="AE17" s="4">
        <f t="shared" ref="AE17:AM17" si="114">AE16*0.2</f>
        <v>0.68251595439999202</v>
      </c>
      <c r="AF17" s="4">
        <f t="shared" si="114"/>
        <v>8.4051520184799937</v>
      </c>
      <c r="AG17" s="4">
        <f t="shared" si="114"/>
        <v>17.306219335875223</v>
      </c>
      <c r="AH17" s="4">
        <f t="shared" si="114"/>
        <v>24.20143860190057</v>
      </c>
      <c r="AI17" s="4">
        <f t="shared" si="114"/>
        <v>30.174835789385085</v>
      </c>
      <c r="AJ17" s="4">
        <f t="shared" si="114"/>
        <v>35.767045625288148</v>
      </c>
      <c r="AK17" s="4">
        <f t="shared" si="114"/>
        <v>38.465820602473862</v>
      </c>
      <c r="AL17" s="4">
        <f t="shared" si="114"/>
        <v>40.954646647240686</v>
      </c>
      <c r="AM17" s="4">
        <f t="shared" si="114"/>
        <v>42.946350417243707</v>
      </c>
    </row>
    <row r="18" spans="2:162" s="1" customFormat="1" x14ac:dyDescent="0.3">
      <c r="B18" s="1" t="s">
        <v>46</v>
      </c>
      <c r="C18" s="8">
        <f t="shared" ref="C18" si="115">C16-C17</f>
        <v>-7.7000000000000011</v>
      </c>
      <c r="D18" s="8">
        <f t="shared" ref="D18" si="116">D16-D17</f>
        <v>-7.0000000000000036</v>
      </c>
      <c r="E18" s="8">
        <f t="shared" ref="E18" si="117">E16-E17</f>
        <v>-3.1999999999999966</v>
      </c>
      <c r="F18" s="8">
        <f t="shared" ref="F18:G18" si="118">F16-F17</f>
        <v>-1.5299999999999943</v>
      </c>
      <c r="G18" s="8">
        <f t="shared" si="118"/>
        <v>-5.2000000000000055</v>
      </c>
      <c r="H18" s="8">
        <f t="shared" ref="H18" si="119">H16-H17</f>
        <v>-5.2000000000000011</v>
      </c>
      <c r="I18" s="8">
        <f t="shared" ref="I18" si="120">I16-I17</f>
        <v>-0.19999999999999529</v>
      </c>
      <c r="J18" s="8">
        <f t="shared" ref="J18:R18" si="121">J16-J17</f>
        <v>16.699999999999996</v>
      </c>
      <c r="K18" s="8">
        <f t="shared" si="121"/>
        <v>5.8</v>
      </c>
      <c r="L18" s="8">
        <f t="shared" si="121"/>
        <v>-3.3999999999999977</v>
      </c>
      <c r="M18" s="8">
        <f t="shared" si="121"/>
        <v>-6.3999999999999932</v>
      </c>
      <c r="N18" s="8">
        <f t="shared" si="121"/>
        <v>30.600000000000016</v>
      </c>
      <c r="O18" s="8">
        <f t="shared" si="121"/>
        <v>-15.599999999999991</v>
      </c>
      <c r="P18" s="8">
        <f t="shared" si="121"/>
        <v>-35.299999999999983</v>
      </c>
      <c r="Q18" s="8">
        <f t="shared" si="121"/>
        <v>4.3999999999999817</v>
      </c>
      <c r="R18" s="8">
        <f t="shared" si="121"/>
        <v>21.599999999999987</v>
      </c>
      <c r="S18" s="8">
        <f t="shared" ref="S18" si="122">S16-S17</f>
        <v>-38.599999999999987</v>
      </c>
      <c r="T18" s="8">
        <f t="shared" ref="T18" si="123">T16-T17</f>
        <v>-27.126629999999995</v>
      </c>
      <c r="U18" s="8">
        <f t="shared" ref="U18" si="124">U16-U17</f>
        <v>-7.7320439999999921</v>
      </c>
      <c r="V18" s="8">
        <f t="shared" ref="V18" si="125">V16-V17</f>
        <v>22.090679999999995</v>
      </c>
      <c r="X18" s="8">
        <f t="shared" ref="X18:AD18" si="126">X16-X17</f>
        <v>-30.600000000000005</v>
      </c>
      <c r="Y18" s="8">
        <f t="shared" si="126"/>
        <v>-19.43000000000001</v>
      </c>
      <c r="Z18" s="8">
        <f t="shared" si="126"/>
        <v>69.399999999999991</v>
      </c>
      <c r="AA18" s="8">
        <f t="shared" si="126"/>
        <v>26.599999999999959</v>
      </c>
      <c r="AB18" s="8">
        <f t="shared" si="126"/>
        <v>-24.899999999999967</v>
      </c>
      <c r="AC18" s="8">
        <f t="shared" si="126"/>
        <v>-51.367993999999833</v>
      </c>
      <c r="AD18" s="8">
        <f t="shared" si="126"/>
        <v>-23.957281599999948</v>
      </c>
      <c r="AE18" s="8">
        <f t="shared" ref="AE18" si="127">AE16-AE17</f>
        <v>2.7300638175999681</v>
      </c>
      <c r="AF18" s="8">
        <f t="shared" ref="AF18" si="128">AF16-AF17</f>
        <v>33.620608073919975</v>
      </c>
      <c r="AG18" s="8">
        <f t="shared" ref="AG18" si="129">AG16-AG17</f>
        <v>69.224877343500893</v>
      </c>
      <c r="AH18" s="8">
        <f t="shared" ref="AH18" si="130">AH16-AH17</f>
        <v>96.805754407602279</v>
      </c>
      <c r="AI18" s="8">
        <f t="shared" ref="AI18" si="131">AI16-AI17</f>
        <v>120.69934315754033</v>
      </c>
      <c r="AJ18" s="8">
        <f t="shared" ref="AJ18" si="132">AJ16-AJ17</f>
        <v>143.06818250115259</v>
      </c>
      <c r="AK18" s="8">
        <f t="shared" ref="AK18" si="133">AK16-AK17</f>
        <v>153.86328240989545</v>
      </c>
      <c r="AL18" s="8">
        <f t="shared" ref="AL18" si="134">AL16-AL17</f>
        <v>163.81858658896275</v>
      </c>
      <c r="AM18" s="8">
        <f t="shared" ref="AM18" si="135">AM16-AM17</f>
        <v>171.7854016689748</v>
      </c>
      <c r="AN18" s="1">
        <f>AM18*(1+$AP$25)</f>
        <v>170.06754765228504</v>
      </c>
      <c r="AO18" s="1">
        <f t="shared" ref="AO18:CZ18" si="136">AN18*(1+$AP$25)</f>
        <v>168.36687217576218</v>
      </c>
      <c r="AP18" s="1">
        <f t="shared" si="136"/>
        <v>166.68320345400457</v>
      </c>
      <c r="AQ18" s="1">
        <f t="shared" si="136"/>
        <v>165.01637141946452</v>
      </c>
      <c r="AR18" s="1">
        <f t="shared" si="136"/>
        <v>163.36620770526989</v>
      </c>
      <c r="AS18" s="1">
        <f t="shared" si="136"/>
        <v>161.7325456282172</v>
      </c>
      <c r="AT18" s="1">
        <f t="shared" si="136"/>
        <v>160.11522017193502</v>
      </c>
      <c r="AU18" s="1">
        <f t="shared" si="136"/>
        <v>158.51406797021568</v>
      </c>
      <c r="AV18" s="1">
        <f t="shared" si="136"/>
        <v>156.92892729051351</v>
      </c>
      <c r="AW18" s="1">
        <f t="shared" si="136"/>
        <v>155.35963801760838</v>
      </c>
      <c r="AX18" s="1">
        <f t="shared" si="136"/>
        <v>153.80604163743229</v>
      </c>
      <c r="AY18" s="1">
        <f t="shared" si="136"/>
        <v>152.26798122105797</v>
      </c>
      <c r="AZ18" s="1">
        <f t="shared" si="136"/>
        <v>150.74530140884738</v>
      </c>
      <c r="BA18" s="1">
        <f t="shared" si="136"/>
        <v>149.23784839475891</v>
      </c>
      <c r="BB18" s="1">
        <f t="shared" si="136"/>
        <v>147.74546991081132</v>
      </c>
      <c r="BC18" s="1">
        <f t="shared" si="136"/>
        <v>146.26801521170322</v>
      </c>
      <c r="BD18" s="1">
        <f t="shared" si="136"/>
        <v>144.80533505958618</v>
      </c>
      <c r="BE18" s="1">
        <f t="shared" si="136"/>
        <v>143.35728170899031</v>
      </c>
      <c r="BF18" s="1">
        <f t="shared" si="136"/>
        <v>141.92370889190042</v>
      </c>
      <c r="BG18" s="1">
        <f t="shared" si="136"/>
        <v>140.50447180298141</v>
      </c>
      <c r="BH18" s="1">
        <f t="shared" si="136"/>
        <v>139.0994270849516</v>
      </c>
      <c r="BI18" s="1">
        <f t="shared" si="136"/>
        <v>137.70843281410208</v>
      </c>
      <c r="BJ18" s="1">
        <f t="shared" si="136"/>
        <v>136.33134848596106</v>
      </c>
      <c r="BK18" s="1">
        <f t="shared" si="136"/>
        <v>134.96803500110144</v>
      </c>
      <c r="BL18" s="1">
        <f t="shared" si="136"/>
        <v>133.61835465109041</v>
      </c>
      <c r="BM18" s="1">
        <f t="shared" si="136"/>
        <v>132.2821711045795</v>
      </c>
      <c r="BN18" s="1">
        <f t="shared" si="136"/>
        <v>130.9593493935337</v>
      </c>
      <c r="BO18" s="1">
        <f t="shared" si="136"/>
        <v>129.64975589959838</v>
      </c>
      <c r="BP18" s="1">
        <f t="shared" si="136"/>
        <v>128.35325834060239</v>
      </c>
      <c r="BQ18" s="1">
        <f t="shared" si="136"/>
        <v>127.06972575719637</v>
      </c>
      <c r="BR18" s="1">
        <f t="shared" si="136"/>
        <v>125.7990284996244</v>
      </c>
      <c r="BS18" s="1">
        <f t="shared" si="136"/>
        <v>124.54103821462816</v>
      </c>
      <c r="BT18" s="1">
        <f t="shared" si="136"/>
        <v>123.29562783248187</v>
      </c>
      <c r="BU18" s="1">
        <f t="shared" si="136"/>
        <v>122.06267155415705</v>
      </c>
      <c r="BV18" s="1">
        <f t="shared" si="136"/>
        <v>120.84204483861548</v>
      </c>
      <c r="BW18" s="1">
        <f t="shared" si="136"/>
        <v>119.63362439022933</v>
      </c>
      <c r="BX18" s="1">
        <f t="shared" si="136"/>
        <v>118.43728814632703</v>
      </c>
      <c r="BY18" s="1">
        <f t="shared" si="136"/>
        <v>117.25291526486376</v>
      </c>
      <c r="BZ18" s="1">
        <f t="shared" si="136"/>
        <v>116.08038611221512</v>
      </c>
      <c r="CA18" s="1">
        <f t="shared" si="136"/>
        <v>114.91958225109298</v>
      </c>
      <c r="CB18" s="1">
        <f t="shared" si="136"/>
        <v>113.77038642858204</v>
      </c>
      <c r="CC18" s="1">
        <f t="shared" si="136"/>
        <v>112.63268256429622</v>
      </c>
      <c r="CD18" s="1">
        <f t="shared" si="136"/>
        <v>111.50635573865326</v>
      </c>
      <c r="CE18" s="1">
        <f t="shared" si="136"/>
        <v>110.39129218126672</v>
      </c>
      <c r="CF18" s="1">
        <f t="shared" si="136"/>
        <v>109.28737925945406</v>
      </c>
      <c r="CG18" s="1">
        <f t="shared" si="136"/>
        <v>108.19450546685951</v>
      </c>
      <c r="CH18" s="1">
        <f t="shared" si="136"/>
        <v>107.11256041219092</v>
      </c>
      <c r="CI18" s="1">
        <f t="shared" si="136"/>
        <v>106.04143480806901</v>
      </c>
      <c r="CJ18" s="1">
        <f t="shared" si="136"/>
        <v>104.98102045998833</v>
      </c>
      <c r="CK18" s="1">
        <f t="shared" si="136"/>
        <v>103.93121025538845</v>
      </c>
      <c r="CL18" s="1">
        <f t="shared" si="136"/>
        <v>102.89189815283457</v>
      </c>
      <c r="CM18" s="1">
        <f t="shared" si="136"/>
        <v>101.86297917130622</v>
      </c>
      <c r="CN18" s="1">
        <f t="shared" si="136"/>
        <v>100.84434937959315</v>
      </c>
      <c r="CO18" s="1">
        <f t="shared" si="136"/>
        <v>99.835905885797217</v>
      </c>
      <c r="CP18" s="1">
        <f t="shared" si="136"/>
        <v>98.837546826939246</v>
      </c>
      <c r="CQ18" s="1">
        <f t="shared" si="136"/>
        <v>97.849171358669849</v>
      </c>
      <c r="CR18" s="1">
        <f t="shared" si="136"/>
        <v>96.870679645083143</v>
      </c>
      <c r="CS18" s="1">
        <f t="shared" si="136"/>
        <v>95.901972848632312</v>
      </c>
      <c r="CT18" s="1">
        <f t="shared" si="136"/>
        <v>94.942953120145987</v>
      </c>
      <c r="CU18" s="1">
        <f t="shared" si="136"/>
        <v>93.993523588944527</v>
      </c>
      <c r="CV18" s="1">
        <f t="shared" si="136"/>
        <v>93.053588353055076</v>
      </c>
      <c r="CW18" s="1">
        <f t="shared" si="136"/>
        <v>92.123052469524524</v>
      </c>
      <c r="CX18" s="1">
        <f t="shared" si="136"/>
        <v>91.201821944829277</v>
      </c>
      <c r="CY18" s="1">
        <f t="shared" si="136"/>
        <v>90.289803725380978</v>
      </c>
      <c r="CZ18" s="1">
        <f t="shared" si="136"/>
        <v>89.386905688127172</v>
      </c>
      <c r="DA18" s="1">
        <f t="shared" ref="DA18:FF18" si="137">CZ18*(1+$AP$25)</f>
        <v>88.4930366312459</v>
      </c>
      <c r="DB18" s="1">
        <f t="shared" si="137"/>
        <v>87.60810626493344</v>
      </c>
      <c r="DC18" s="1">
        <f t="shared" si="137"/>
        <v>86.732025202284106</v>
      </c>
      <c r="DD18" s="1">
        <f t="shared" si="137"/>
        <v>85.86470495026127</v>
      </c>
      <c r="DE18" s="1">
        <f t="shared" si="137"/>
        <v>85.006057900758663</v>
      </c>
      <c r="DF18" s="1">
        <f t="shared" si="137"/>
        <v>84.155997321751073</v>
      </c>
      <c r="DG18" s="1">
        <f t="shared" si="137"/>
        <v>83.314437348533559</v>
      </c>
      <c r="DH18" s="1">
        <f t="shared" si="137"/>
        <v>82.48129297504822</v>
      </c>
      <c r="DI18" s="1">
        <f t="shared" si="137"/>
        <v>81.656480045297741</v>
      </c>
      <c r="DJ18" s="1">
        <f t="shared" si="137"/>
        <v>80.839915244844761</v>
      </c>
      <c r="DK18" s="1">
        <f t="shared" si="137"/>
        <v>80.031516092396316</v>
      </c>
      <c r="DL18" s="1">
        <f t="shared" si="137"/>
        <v>79.231200931472358</v>
      </c>
      <c r="DM18" s="1">
        <f t="shared" si="137"/>
        <v>78.438888922157631</v>
      </c>
      <c r="DN18" s="1">
        <f t="shared" si="137"/>
        <v>77.654500032936056</v>
      </c>
      <c r="DO18" s="1">
        <f t="shared" si="137"/>
        <v>76.877955032606692</v>
      </c>
      <c r="DP18" s="1">
        <f t="shared" si="137"/>
        <v>76.109175482280619</v>
      </c>
      <c r="DQ18" s="1">
        <f t="shared" si="137"/>
        <v>75.348083727457819</v>
      </c>
      <c r="DR18" s="1">
        <f t="shared" si="137"/>
        <v>74.594602890183239</v>
      </c>
      <c r="DS18" s="1">
        <f t="shared" si="137"/>
        <v>73.848656861281412</v>
      </c>
      <c r="DT18" s="1">
        <f t="shared" si="137"/>
        <v>73.110170292668599</v>
      </c>
      <c r="DU18" s="1">
        <f t="shared" si="137"/>
        <v>72.379068589741905</v>
      </c>
      <c r="DV18" s="1">
        <f t="shared" si="137"/>
        <v>71.655277903844492</v>
      </c>
      <c r="DW18" s="1">
        <f t="shared" si="137"/>
        <v>70.938725124806041</v>
      </c>
      <c r="DX18" s="1">
        <f t="shared" si="137"/>
        <v>70.229337873557981</v>
      </c>
      <c r="DY18" s="1">
        <f t="shared" si="137"/>
        <v>69.527044494822405</v>
      </c>
      <c r="DZ18" s="1">
        <f t="shared" si="137"/>
        <v>68.831774049874184</v>
      </c>
      <c r="EA18" s="1">
        <f t="shared" si="137"/>
        <v>68.143456309375438</v>
      </c>
      <c r="EB18" s="1">
        <f t="shared" si="137"/>
        <v>67.462021746281678</v>
      </c>
      <c r="EC18" s="1">
        <f t="shared" si="137"/>
        <v>66.787401528818862</v>
      </c>
      <c r="ED18" s="1">
        <f t="shared" si="137"/>
        <v>66.11952751353067</v>
      </c>
      <c r="EE18" s="1">
        <f t="shared" si="137"/>
        <v>65.458332238395357</v>
      </c>
      <c r="EF18" s="1">
        <f t="shared" si="137"/>
        <v>64.803748916011401</v>
      </c>
      <c r="EG18" s="1">
        <f t="shared" si="137"/>
        <v>64.155711426851283</v>
      </c>
      <c r="EH18" s="1">
        <f t="shared" si="137"/>
        <v>63.514154312582768</v>
      </c>
      <c r="EI18" s="1">
        <f t="shared" si="137"/>
        <v>62.879012769456942</v>
      </c>
      <c r="EJ18" s="1">
        <f t="shared" si="137"/>
        <v>62.25022264176237</v>
      </c>
      <c r="EK18" s="1">
        <f t="shared" si="137"/>
        <v>61.627720415344747</v>
      </c>
      <c r="EL18" s="1">
        <f t="shared" si="137"/>
        <v>61.011443211191299</v>
      </c>
      <c r="EM18" s="1">
        <f t="shared" si="137"/>
        <v>60.401328779079385</v>
      </c>
      <c r="EN18" s="1">
        <f t="shared" si="137"/>
        <v>59.797315491288593</v>
      </c>
      <c r="EO18" s="1">
        <f t="shared" si="137"/>
        <v>59.199342336375707</v>
      </c>
      <c r="EP18" s="1">
        <f t="shared" si="137"/>
        <v>58.607348913011947</v>
      </c>
      <c r="EQ18" s="1">
        <f t="shared" si="137"/>
        <v>58.021275423881825</v>
      </c>
      <c r="ER18" s="1">
        <f t="shared" si="137"/>
        <v>57.441062669643003</v>
      </c>
      <c r="ES18" s="1">
        <f t="shared" si="137"/>
        <v>56.866652042946569</v>
      </c>
      <c r="ET18" s="1">
        <f t="shared" si="137"/>
        <v>56.297985522517102</v>
      </c>
      <c r="EU18" s="1">
        <f t="shared" si="137"/>
        <v>55.735005667291929</v>
      </c>
      <c r="EV18" s="1">
        <f t="shared" si="137"/>
        <v>55.177655610619013</v>
      </c>
      <c r="EW18" s="1">
        <f t="shared" si="137"/>
        <v>54.625879054512822</v>
      </c>
      <c r="EX18" s="1">
        <f t="shared" si="137"/>
        <v>54.079620263967691</v>
      </c>
      <c r="EY18" s="1">
        <f t="shared" si="137"/>
        <v>53.538824061328015</v>
      </c>
      <c r="EZ18" s="1">
        <f t="shared" si="137"/>
        <v>53.003435820714735</v>
      </c>
      <c r="FA18" s="1">
        <f t="shared" si="137"/>
        <v>52.473401462507589</v>
      </c>
      <c r="FB18" s="1">
        <f t="shared" si="137"/>
        <v>51.948667447882514</v>
      </c>
      <c r="FC18" s="1">
        <f t="shared" si="137"/>
        <v>51.429180773403687</v>
      </c>
      <c r="FD18" s="1">
        <f t="shared" si="137"/>
        <v>50.914888965669647</v>
      </c>
      <c r="FE18" s="1">
        <f t="shared" si="137"/>
        <v>50.405740076012947</v>
      </c>
      <c r="FF18" s="1">
        <f t="shared" si="137"/>
        <v>49.901682675252815</v>
      </c>
    </row>
    <row r="19" spans="2:162" x14ac:dyDescent="0.3">
      <c r="B19" t="s">
        <v>2</v>
      </c>
      <c r="C19" s="4">
        <f t="shared" ref="C19" si="138">58.9+8</f>
        <v>66.900000000000006</v>
      </c>
      <c r="D19" s="4">
        <f t="shared" ref="D19" si="139">58.9+8</f>
        <v>66.900000000000006</v>
      </c>
      <c r="E19" s="4">
        <f t="shared" ref="E19" si="140">58.9+8</f>
        <v>66.900000000000006</v>
      </c>
      <c r="F19" s="4">
        <f t="shared" ref="F19:G19" si="141">58.9+8</f>
        <v>66.900000000000006</v>
      </c>
      <c r="G19" s="4">
        <f t="shared" si="141"/>
        <v>66.900000000000006</v>
      </c>
      <c r="H19" s="4">
        <f t="shared" ref="H19" si="142">58.9+8</f>
        <v>66.900000000000006</v>
      </c>
      <c r="I19" s="4">
        <f t="shared" ref="I19" si="143">58.9+8</f>
        <v>66.900000000000006</v>
      </c>
      <c r="J19" s="4">
        <f t="shared" ref="J19:R19" si="144">58.9+8</f>
        <v>66.900000000000006</v>
      </c>
      <c r="K19" s="4">
        <f t="shared" si="144"/>
        <v>66.900000000000006</v>
      </c>
      <c r="L19" s="4">
        <f t="shared" si="144"/>
        <v>66.900000000000006</v>
      </c>
      <c r="M19" s="4">
        <f t="shared" si="144"/>
        <v>66.900000000000006</v>
      </c>
      <c r="N19" s="4">
        <f t="shared" si="144"/>
        <v>66.900000000000006</v>
      </c>
      <c r="O19" s="4">
        <f t="shared" si="144"/>
        <v>66.900000000000006</v>
      </c>
      <c r="P19" s="4">
        <f t="shared" si="144"/>
        <v>66.900000000000006</v>
      </c>
      <c r="Q19" s="4">
        <f t="shared" si="144"/>
        <v>66.900000000000006</v>
      </c>
      <c r="R19" s="4">
        <f t="shared" si="144"/>
        <v>66.900000000000006</v>
      </c>
      <c r="S19" s="4">
        <f>59.2+7.9</f>
        <v>67.100000000000009</v>
      </c>
      <c r="T19" s="4">
        <f>59.2+7.9</f>
        <v>67.100000000000009</v>
      </c>
      <c r="U19" s="4">
        <f>59.2+7.9</f>
        <v>67.100000000000009</v>
      </c>
      <c r="V19" s="4">
        <f>59.2+7.9</f>
        <v>67.100000000000009</v>
      </c>
      <c r="X19" s="4">
        <f t="shared" ref="X19:AB19" si="145">58.9+8</f>
        <v>66.900000000000006</v>
      </c>
      <c r="Y19" s="4">
        <f t="shared" si="145"/>
        <v>66.900000000000006</v>
      </c>
      <c r="Z19" s="4">
        <f t="shared" si="145"/>
        <v>66.900000000000006</v>
      </c>
      <c r="AA19" s="4">
        <f t="shared" si="145"/>
        <v>66.900000000000006</v>
      </c>
      <c r="AB19" s="4">
        <f t="shared" si="145"/>
        <v>66.900000000000006</v>
      </c>
      <c r="AC19" s="4">
        <f t="shared" ref="AC19:AM19" si="146">59.2+7.9</f>
        <v>67.100000000000009</v>
      </c>
      <c r="AD19" s="4">
        <f t="shared" si="146"/>
        <v>67.100000000000009</v>
      </c>
      <c r="AE19" s="4">
        <f t="shared" si="146"/>
        <v>67.100000000000009</v>
      </c>
      <c r="AF19" s="4">
        <f t="shared" si="146"/>
        <v>67.100000000000009</v>
      </c>
      <c r="AG19" s="4">
        <f t="shared" si="146"/>
        <v>67.100000000000009</v>
      </c>
      <c r="AH19" s="4">
        <f t="shared" si="146"/>
        <v>67.100000000000009</v>
      </c>
      <c r="AI19" s="4">
        <f t="shared" si="146"/>
        <v>67.100000000000009</v>
      </c>
      <c r="AJ19" s="4">
        <f t="shared" si="146"/>
        <v>67.100000000000009</v>
      </c>
      <c r="AK19" s="4">
        <f t="shared" si="146"/>
        <v>67.100000000000009</v>
      </c>
      <c r="AL19" s="4">
        <f t="shared" si="146"/>
        <v>67.100000000000009</v>
      </c>
      <c r="AM19" s="4">
        <f t="shared" si="146"/>
        <v>67.100000000000009</v>
      </c>
    </row>
    <row r="20" spans="2:162" s="1" customFormat="1" x14ac:dyDescent="0.3">
      <c r="B20" s="1" t="s">
        <v>47</v>
      </c>
      <c r="C20" s="6">
        <f t="shared" ref="C20" si="147">C18/C19</f>
        <v>-0.11509715994020928</v>
      </c>
      <c r="D20" s="6">
        <f t="shared" ref="D20" si="148">D18/D19</f>
        <v>-0.10463378176382665</v>
      </c>
      <c r="E20" s="6">
        <f t="shared" ref="E20" si="149">E18/E19</f>
        <v>-4.7832585949177824E-2</v>
      </c>
      <c r="F20" s="6">
        <f t="shared" ref="F20:G20" si="150">F18/F19</f>
        <v>-2.2869955156950585E-2</v>
      </c>
      <c r="G20" s="6">
        <f t="shared" si="150"/>
        <v>-7.7727952167414127E-2</v>
      </c>
      <c r="H20" s="6">
        <f t="shared" ref="H20" si="151">H18/H19</f>
        <v>-7.7727952167414058E-2</v>
      </c>
      <c r="I20" s="6">
        <f t="shared" ref="I20" si="152">I18/I19</f>
        <v>-2.9895366218235467E-3</v>
      </c>
      <c r="J20" s="6">
        <f t="shared" ref="J20:R20" si="153">J18/J19</f>
        <v>0.24962630792227197</v>
      </c>
      <c r="K20" s="6">
        <f t="shared" si="153"/>
        <v>8.6696562032884894E-2</v>
      </c>
      <c r="L20" s="6">
        <f t="shared" si="153"/>
        <v>-5.0822122571001459E-2</v>
      </c>
      <c r="M20" s="6">
        <f t="shared" si="153"/>
        <v>-9.5665171898355647E-2</v>
      </c>
      <c r="N20" s="6">
        <f t="shared" si="153"/>
        <v>0.45739910313901366</v>
      </c>
      <c r="O20" s="6">
        <f t="shared" si="153"/>
        <v>-0.23318385650224199</v>
      </c>
      <c r="P20" s="6">
        <f t="shared" si="153"/>
        <v>-0.52765321375186813</v>
      </c>
      <c r="Q20" s="6">
        <f t="shared" si="153"/>
        <v>6.5769805680119309E-2</v>
      </c>
      <c r="R20" s="6">
        <f t="shared" si="153"/>
        <v>0.32286995515695044</v>
      </c>
      <c r="S20" s="6">
        <f t="shared" ref="S20" si="154">S18/S19</f>
        <v>-0.57526080476900121</v>
      </c>
      <c r="T20" s="6">
        <f t="shared" ref="T20" si="155">T18/T19</f>
        <v>-0.40427168405365116</v>
      </c>
      <c r="U20" s="6">
        <f t="shared" ref="U20" si="156">U18/U19</f>
        <v>-0.11523165424739182</v>
      </c>
      <c r="V20" s="6">
        <f t="shared" ref="V20" si="157">V18/V19</f>
        <v>0.32922026825633371</v>
      </c>
      <c r="X20" s="6">
        <f t="shared" ref="X20:AD20" si="158">X18/X19</f>
        <v>-0.4573991031390135</v>
      </c>
      <c r="Y20" s="6">
        <f t="shared" si="158"/>
        <v>-0.29043348281016457</v>
      </c>
      <c r="Z20" s="6">
        <f t="shared" si="158"/>
        <v>1.037369207772795</v>
      </c>
      <c r="AA20" s="6">
        <f t="shared" si="158"/>
        <v>0.39760837070254046</v>
      </c>
      <c r="AB20" s="6">
        <f t="shared" si="158"/>
        <v>-0.37219730941703982</v>
      </c>
      <c r="AC20" s="6">
        <f t="shared" si="158"/>
        <v>-0.76554387481370834</v>
      </c>
      <c r="AD20" s="6">
        <f t="shared" si="158"/>
        <v>-0.35703847391952226</v>
      </c>
      <c r="AE20" s="6">
        <f t="shared" ref="AE20" si="159">AE18/AE19</f>
        <v>4.0686495046199221E-2</v>
      </c>
      <c r="AF20" s="6">
        <f t="shared" ref="AF20" si="160">AF18/AF19</f>
        <v>0.50105228128047641</v>
      </c>
      <c r="AG20" s="6">
        <f t="shared" ref="AG20" si="161">AG18/AG19</f>
        <v>1.0316673225558999</v>
      </c>
      <c r="AH20" s="6">
        <f t="shared" ref="AH20" si="162">AH18/AH19</f>
        <v>1.4427087095022693</v>
      </c>
      <c r="AI20" s="6">
        <f t="shared" ref="AI20" si="163">AI18/AI19</f>
        <v>1.7987979606190807</v>
      </c>
      <c r="AJ20" s="6">
        <f t="shared" ref="AJ20" si="164">AJ18/AJ19</f>
        <v>2.1321636736386376</v>
      </c>
      <c r="AK20" s="6">
        <f t="shared" ref="AK20" si="165">AK18/AK19</f>
        <v>2.2930444472413627</v>
      </c>
      <c r="AL20" s="6">
        <f t="shared" ref="AL20" si="166">AL18/AL19</f>
        <v>2.4414096361991464</v>
      </c>
      <c r="AM20" s="6">
        <f t="shared" ref="AM20" si="167">AM18/AM19</f>
        <v>2.5601401142917255</v>
      </c>
    </row>
    <row r="22" spans="2:162" x14ac:dyDescent="0.3">
      <c r="B22" s="13" t="s">
        <v>51</v>
      </c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>
        <f>O3/K3-1</f>
        <v>0.45689655172413812</v>
      </c>
      <c r="P22" s="14">
        <f t="shared" ref="P22:V24" si="168">P3/L3-1</f>
        <v>-5.9782608695652106E-2</v>
      </c>
      <c r="Q22" s="14">
        <f t="shared" si="168"/>
        <v>0.16206261510128916</v>
      </c>
      <c r="R22" s="14">
        <f t="shared" si="168"/>
        <v>-0.14244186046511631</v>
      </c>
      <c r="S22" s="14">
        <f t="shared" si="168"/>
        <v>-0.1439842209072979</v>
      </c>
      <c r="T22" s="14">
        <f t="shared" si="168"/>
        <v>0.35000000000000009</v>
      </c>
      <c r="U22" s="14">
        <f t="shared" si="168"/>
        <v>8.0000000000000071E-2</v>
      </c>
      <c r="V22" s="14">
        <f t="shared" si="168"/>
        <v>0.16999999999999993</v>
      </c>
      <c r="X22" s="14"/>
      <c r="Y22" s="14"/>
      <c r="Z22" s="14"/>
      <c r="AA22" s="14">
        <f t="shared" ref="AA22:AM22" si="169">AA3/Z3-1</f>
        <v>0.83720930232558133</v>
      </c>
      <c r="AB22" s="14">
        <f t="shared" si="169"/>
        <v>3.4046268005238023E-2</v>
      </c>
      <c r="AC22" s="14">
        <f t="shared" si="169"/>
        <v>0.10512030392570693</v>
      </c>
      <c r="AD22" s="14">
        <f t="shared" si="169"/>
        <v>0.1399999999999999</v>
      </c>
      <c r="AE22" s="14">
        <f t="shared" si="169"/>
        <v>0.1100000000000001</v>
      </c>
      <c r="AF22" s="14">
        <f t="shared" si="169"/>
        <v>8.0000000000000071E-2</v>
      </c>
      <c r="AG22" s="14">
        <f t="shared" si="169"/>
        <v>6.0000000000000053E-2</v>
      </c>
      <c r="AH22" s="14">
        <f t="shared" si="169"/>
        <v>5.0000000000000044E-2</v>
      </c>
      <c r="AI22" s="14">
        <f t="shared" si="169"/>
        <v>4.0000000000000036E-2</v>
      </c>
      <c r="AJ22" s="14">
        <f t="shared" si="169"/>
        <v>3.0000000000000027E-2</v>
      </c>
      <c r="AK22" s="14">
        <f t="shared" si="169"/>
        <v>3.0000000000000027E-2</v>
      </c>
      <c r="AL22" s="14">
        <f t="shared" si="169"/>
        <v>3.0000000000000027E-2</v>
      </c>
      <c r="AM22" s="14">
        <f t="shared" si="169"/>
        <v>2.0000000000000018E-2</v>
      </c>
    </row>
    <row r="23" spans="2:162" x14ac:dyDescent="0.3">
      <c r="B23" t="s">
        <v>52</v>
      </c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>
        <f t="shared" ref="O23" si="170">O4/K4-1</f>
        <v>0.41019417475728148</v>
      </c>
      <c r="P23" s="14">
        <f t="shared" si="168"/>
        <v>0.36283185840707954</v>
      </c>
      <c r="Q23" s="14">
        <f t="shared" si="168"/>
        <v>0.35641547861507106</v>
      </c>
      <c r="R23" s="14">
        <f t="shared" si="168"/>
        <v>0.35338345864661647</v>
      </c>
      <c r="S23" s="14">
        <f t="shared" si="168"/>
        <v>0.29776247848537007</v>
      </c>
      <c r="T23" s="14">
        <f t="shared" si="168"/>
        <v>0.30000000000000004</v>
      </c>
      <c r="U23" s="14">
        <f t="shared" si="168"/>
        <v>0.28000000000000003</v>
      </c>
      <c r="V23" s="14">
        <f t="shared" si="168"/>
        <v>0.30000000000000004</v>
      </c>
      <c r="X23" s="14"/>
      <c r="Y23" s="14"/>
      <c r="Z23" s="14"/>
      <c r="AA23" s="14">
        <f t="shared" ref="AA23:AM23" si="171">AA4/Z4-1</f>
        <v>0.46392552366175321</v>
      </c>
      <c r="AB23" s="14">
        <f t="shared" si="171"/>
        <v>0.36883942766295719</v>
      </c>
      <c r="AC23" s="14">
        <f t="shared" si="171"/>
        <v>0.29433991482771971</v>
      </c>
      <c r="AD23" s="14">
        <f t="shared" si="171"/>
        <v>0.24</v>
      </c>
      <c r="AE23" s="14">
        <f t="shared" si="171"/>
        <v>0.17999999999999994</v>
      </c>
      <c r="AF23" s="14">
        <f t="shared" si="171"/>
        <v>0.1399999999999999</v>
      </c>
      <c r="AG23" s="14">
        <f t="shared" si="171"/>
        <v>0.1100000000000001</v>
      </c>
      <c r="AH23" s="14">
        <f t="shared" si="171"/>
        <v>9.000000000000008E-2</v>
      </c>
      <c r="AI23" s="14">
        <f t="shared" si="171"/>
        <v>6.0000000000000053E-2</v>
      </c>
      <c r="AJ23" s="14">
        <f t="shared" si="171"/>
        <v>5.0000000000000044E-2</v>
      </c>
      <c r="AK23" s="14">
        <f t="shared" si="171"/>
        <v>4.0000000000000036E-2</v>
      </c>
      <c r="AL23" s="14">
        <f t="shared" si="171"/>
        <v>3.0000000000000027E-2</v>
      </c>
      <c r="AM23" s="14">
        <f t="shared" si="171"/>
        <v>3.0000000000000027E-2</v>
      </c>
    </row>
    <row r="24" spans="2:162" x14ac:dyDescent="0.3">
      <c r="B24" s="1" t="s">
        <v>48</v>
      </c>
      <c r="C24" s="14"/>
      <c r="D24" s="14"/>
      <c r="E24" s="14"/>
      <c r="F24" s="14"/>
      <c r="G24" s="14">
        <f t="shared" ref="G24:O24" si="172">G5/C5-1</f>
        <v>0.50175438596491229</v>
      </c>
      <c r="H24" s="14">
        <f t="shared" si="172"/>
        <v>0.54455445544554437</v>
      </c>
      <c r="I24" s="14">
        <f t="shared" si="172"/>
        <v>0.58479532163742687</v>
      </c>
      <c r="J24" s="14">
        <f t="shared" si="172"/>
        <v>1.3108808290155438</v>
      </c>
      <c r="K24" s="14">
        <f t="shared" si="172"/>
        <v>0.77570093457943945</v>
      </c>
      <c r="L24" s="14">
        <f t="shared" si="172"/>
        <v>0.75213675213675235</v>
      </c>
      <c r="M24" s="14">
        <f t="shared" si="172"/>
        <v>0.90774907749077482</v>
      </c>
      <c r="N24" s="14">
        <f t="shared" si="172"/>
        <v>0.75336322869955152</v>
      </c>
      <c r="O24" s="14">
        <f t="shared" si="172"/>
        <v>0.43157894736842128</v>
      </c>
      <c r="P24" s="14">
        <f t="shared" si="168"/>
        <v>0.173170731707317</v>
      </c>
      <c r="Q24" s="14">
        <f t="shared" si="168"/>
        <v>0.25435203094777536</v>
      </c>
      <c r="R24" s="14">
        <f t="shared" si="168"/>
        <v>2.6214833759590661E-2</v>
      </c>
      <c r="S24" s="14">
        <f t="shared" si="168"/>
        <v>9.1911764705882248E-2</v>
      </c>
      <c r="T24" s="14">
        <f t="shared" si="168"/>
        <v>0.3179833679833679</v>
      </c>
      <c r="U24" s="14">
        <f t="shared" si="168"/>
        <v>0.18269853508095624</v>
      </c>
      <c r="V24" s="14">
        <f t="shared" si="168"/>
        <v>0.22831775700934576</v>
      </c>
      <c r="X24" s="14"/>
      <c r="Y24" s="14">
        <f t="shared" ref="Y24:AM24" si="173">Y5/X5-1</f>
        <v>0.53379953379953382</v>
      </c>
      <c r="Z24" s="14">
        <f t="shared" si="173"/>
        <v>0.77051671732522808</v>
      </c>
      <c r="AA24" s="14">
        <f t="shared" si="173"/>
        <v>0.7931330472103002</v>
      </c>
      <c r="AB24" s="14">
        <f t="shared" si="173"/>
        <v>0.18525610339875564</v>
      </c>
      <c r="AC24" s="14">
        <f t="shared" si="173"/>
        <v>0.2038186591276252</v>
      </c>
      <c r="AD24" s="14">
        <f t="shared" si="173"/>
        <v>0.19608297505078576</v>
      </c>
      <c r="AE24" s="14">
        <f t="shared" si="173"/>
        <v>0.15069953620234</v>
      </c>
      <c r="AF24" s="14">
        <f t="shared" si="173"/>
        <v>0.11577360767415801</v>
      </c>
      <c r="AG24" s="14">
        <f t="shared" si="173"/>
        <v>9.0458622660283483E-2</v>
      </c>
      <c r="AH24" s="14">
        <f t="shared" si="173"/>
        <v>7.4803560960751803E-2</v>
      </c>
      <c r="AI24" s="14">
        <f t="shared" si="173"/>
        <v>5.2577126848673883E-2</v>
      </c>
      <c r="AJ24" s="14">
        <f t="shared" si="173"/>
        <v>4.2665821933171255E-2</v>
      </c>
      <c r="AK24" s="14">
        <f t="shared" si="173"/>
        <v>3.6377457067295227E-2</v>
      </c>
      <c r="AL24" s="14">
        <f t="shared" si="173"/>
        <v>3.0000000000000027E-2</v>
      </c>
      <c r="AM24" s="14">
        <f t="shared" si="173"/>
        <v>2.6399748764080133E-2</v>
      </c>
    </row>
    <row r="25" spans="2:162" x14ac:dyDescent="0.3">
      <c r="B25" s="13" t="s">
        <v>57</v>
      </c>
      <c r="C25" s="14"/>
      <c r="D25" s="14"/>
      <c r="E25" s="14"/>
      <c r="F25" s="14"/>
      <c r="G25" s="14"/>
      <c r="H25" s="14"/>
      <c r="I25" s="14"/>
      <c r="J25" s="14"/>
      <c r="K25" s="14">
        <f t="shared" ref="K25:N25" si="174">(K3-K6)/K3</f>
        <v>0.98275862068965514</v>
      </c>
      <c r="L25" s="14">
        <f t="shared" si="174"/>
        <v>0.97010869565217384</v>
      </c>
      <c r="M25" s="14">
        <f t="shared" si="174"/>
        <v>0.9797421731123388</v>
      </c>
      <c r="N25" s="14">
        <f t="shared" si="174"/>
        <v>0.99031007751937983</v>
      </c>
      <c r="O25" s="14">
        <f>(O3-O6)/O3</f>
        <v>0.96055226824457596</v>
      </c>
      <c r="P25" s="14">
        <f t="shared" ref="P25:V25" si="175">(P3-P6)/P3</f>
        <v>0.97398843930635848</v>
      </c>
      <c r="Q25" s="14">
        <f t="shared" si="175"/>
        <v>0.98415213946117275</v>
      </c>
      <c r="R25" s="14">
        <f t="shared" si="175"/>
        <v>0.98644067796610169</v>
      </c>
      <c r="S25" s="14">
        <f t="shared" si="175"/>
        <v>0.97235023041474644</v>
      </c>
      <c r="T25" s="14">
        <f t="shared" si="175"/>
        <v>0.97</v>
      </c>
      <c r="U25" s="14">
        <f t="shared" si="175"/>
        <v>0.97000000000000008</v>
      </c>
      <c r="V25" s="14">
        <f t="shared" si="175"/>
        <v>0.97</v>
      </c>
      <c r="X25" s="14"/>
      <c r="Y25" s="14"/>
      <c r="Z25" s="14">
        <f t="shared" ref="Z25:AM25" si="176">(Z3-Z6)/Z3</f>
        <v>0.9879711307137129</v>
      </c>
      <c r="AA25" s="14">
        <f t="shared" si="176"/>
        <v>0.9834133566128328</v>
      </c>
      <c r="AB25" s="14">
        <f t="shared" si="176"/>
        <v>0.97847192908400171</v>
      </c>
      <c r="AC25" s="14">
        <f t="shared" si="176"/>
        <v>0.97038960592506573</v>
      </c>
      <c r="AD25" s="14">
        <f t="shared" si="176"/>
        <v>0.96</v>
      </c>
      <c r="AE25" s="14">
        <f t="shared" si="176"/>
        <v>0.96</v>
      </c>
      <c r="AF25" s="14">
        <f t="shared" si="176"/>
        <v>0.96000000000000008</v>
      </c>
      <c r="AG25" s="14">
        <f t="shared" si="176"/>
        <v>0.96</v>
      </c>
      <c r="AH25" s="14">
        <f t="shared" si="176"/>
        <v>0.96</v>
      </c>
      <c r="AI25" s="14">
        <f t="shared" si="176"/>
        <v>0.96</v>
      </c>
      <c r="AJ25" s="14">
        <f t="shared" si="176"/>
        <v>0.96000000000000008</v>
      </c>
      <c r="AK25" s="14">
        <f t="shared" si="176"/>
        <v>0.96</v>
      </c>
      <c r="AL25" s="14">
        <f t="shared" si="176"/>
        <v>0.96</v>
      </c>
      <c r="AM25" s="14">
        <f t="shared" si="176"/>
        <v>0.96000000000000008</v>
      </c>
      <c r="AO25" t="s">
        <v>59</v>
      </c>
      <c r="AP25" s="14">
        <v>-0.01</v>
      </c>
    </row>
    <row r="26" spans="2:162" x14ac:dyDescent="0.3">
      <c r="B26" s="13" t="s">
        <v>58</v>
      </c>
      <c r="C26" s="14"/>
      <c r="D26" s="14"/>
      <c r="E26" s="14"/>
      <c r="F26" s="14"/>
      <c r="G26" s="14"/>
      <c r="H26" s="14"/>
      <c r="I26" s="14"/>
      <c r="J26" s="14"/>
      <c r="K26" s="14">
        <f t="shared" ref="K26:N26" si="177">(K4-K7)/K4</f>
        <v>0.82038834951456319</v>
      </c>
      <c r="L26" s="14">
        <f t="shared" si="177"/>
        <v>0.81858407079646012</v>
      </c>
      <c r="M26" s="14">
        <f t="shared" si="177"/>
        <v>0.82484725050916496</v>
      </c>
      <c r="N26" s="14">
        <f t="shared" si="177"/>
        <v>0.78947368421052633</v>
      </c>
      <c r="O26" s="14">
        <f>(O4-O7)/O4</f>
        <v>0.80895008605851981</v>
      </c>
      <c r="P26" s="14">
        <f t="shared" ref="P26:V26" si="178">(P4-P7)/P4</f>
        <v>0.85876623376623384</v>
      </c>
      <c r="Q26" s="14">
        <f t="shared" si="178"/>
        <v>0.85885885885885882</v>
      </c>
      <c r="R26" s="14">
        <f t="shared" si="178"/>
        <v>0.8666666666666667</v>
      </c>
      <c r="S26" s="14">
        <f t="shared" si="178"/>
        <v>0.87267904509283833</v>
      </c>
      <c r="T26" s="14">
        <f t="shared" si="178"/>
        <v>0.86</v>
      </c>
      <c r="U26" s="14">
        <f t="shared" si="178"/>
        <v>0.86</v>
      </c>
      <c r="V26" s="14">
        <f t="shared" si="178"/>
        <v>0.86</v>
      </c>
      <c r="X26" s="14"/>
      <c r="Y26" s="14"/>
      <c r="Z26" s="14">
        <f t="shared" ref="Z26:AM26" si="179">(Z4-Z7)/Z4</f>
        <v>0.83475562451512808</v>
      </c>
      <c r="AA26" s="14">
        <f t="shared" si="179"/>
        <v>0.81240063593004763</v>
      </c>
      <c r="AB26" s="14">
        <f t="shared" si="179"/>
        <v>0.8497870692992644</v>
      </c>
      <c r="AC26" s="14">
        <f t="shared" si="179"/>
        <v>0.86285946734942931</v>
      </c>
      <c r="AD26" s="14">
        <f t="shared" si="179"/>
        <v>0.86</v>
      </c>
      <c r="AE26" s="14">
        <f t="shared" si="179"/>
        <v>0.86</v>
      </c>
      <c r="AF26" s="14">
        <f t="shared" si="179"/>
        <v>0.86</v>
      </c>
      <c r="AG26" s="14">
        <f t="shared" si="179"/>
        <v>0.8600000000000001</v>
      </c>
      <c r="AH26" s="14">
        <f t="shared" si="179"/>
        <v>0.8600000000000001</v>
      </c>
      <c r="AI26" s="14">
        <f t="shared" si="179"/>
        <v>0.86</v>
      </c>
      <c r="AJ26" s="14">
        <f t="shared" si="179"/>
        <v>0.86</v>
      </c>
      <c r="AK26" s="14">
        <f t="shared" si="179"/>
        <v>0.8600000000000001</v>
      </c>
      <c r="AL26" s="14">
        <f t="shared" si="179"/>
        <v>0.85999999999999988</v>
      </c>
      <c r="AM26" s="14">
        <f t="shared" si="179"/>
        <v>0.86</v>
      </c>
      <c r="AO26" t="s">
        <v>60</v>
      </c>
      <c r="AP26" s="14">
        <v>7.0000000000000007E-2</v>
      </c>
    </row>
    <row r="27" spans="2:162" x14ac:dyDescent="0.3">
      <c r="B27" t="s">
        <v>49</v>
      </c>
      <c r="C27" s="14">
        <f t="shared" ref="C27:N27" si="180">C9/C5</f>
        <v>0.83157894736842097</v>
      </c>
      <c r="D27" s="14">
        <f t="shared" si="180"/>
        <v>0.82508250825082508</v>
      </c>
      <c r="E27" s="14">
        <f t="shared" si="180"/>
        <v>0.8421052631578948</v>
      </c>
      <c r="F27" s="14">
        <f t="shared" si="180"/>
        <v>0.83601036269430051</v>
      </c>
      <c r="G27" s="14">
        <f t="shared" si="180"/>
        <v>0.88317757009345799</v>
      </c>
      <c r="H27" s="14">
        <f t="shared" si="180"/>
        <v>0.88675213675213682</v>
      </c>
      <c r="I27" s="14">
        <f t="shared" si="180"/>
        <v>0.8929889298892989</v>
      </c>
      <c r="J27" s="14">
        <f t="shared" si="180"/>
        <v>0.92488789237668156</v>
      </c>
      <c r="K27" s="14">
        <f t="shared" si="180"/>
        <v>0.89473684210526316</v>
      </c>
      <c r="L27" s="14">
        <f t="shared" si="180"/>
        <v>0.88658536585365855</v>
      </c>
      <c r="M27" s="14">
        <f t="shared" si="180"/>
        <v>0.9061895551257253</v>
      </c>
      <c r="N27" s="14">
        <f t="shared" si="180"/>
        <v>0.92199488491048598</v>
      </c>
      <c r="O27" s="14">
        <f>O9/O5</f>
        <v>0.87959558823529416</v>
      </c>
      <c r="P27" s="14">
        <f t="shared" ref="P27:V27" si="181">P9/P5</f>
        <v>0.90020790020790031</v>
      </c>
      <c r="Q27" s="14">
        <f t="shared" si="181"/>
        <v>0.91981495759444865</v>
      </c>
      <c r="R27" s="14">
        <f t="shared" si="181"/>
        <v>0.93271028037383175</v>
      </c>
      <c r="S27" s="14">
        <f t="shared" si="181"/>
        <v>0.90909090909090917</v>
      </c>
      <c r="T27" s="14">
        <f t="shared" si="181"/>
        <v>0.9005244893130373</v>
      </c>
      <c r="U27" s="14">
        <f t="shared" si="181"/>
        <v>0.9088688101384651</v>
      </c>
      <c r="V27" s="14">
        <f t="shared" si="181"/>
        <v>0.91777448071216616</v>
      </c>
      <c r="X27" s="14">
        <f t="shared" ref="X27:AM27" si="182">X9/X5</f>
        <v>0.81351981351981351</v>
      </c>
      <c r="Y27" s="14">
        <f t="shared" si="182"/>
        <v>0.83411854103343464</v>
      </c>
      <c r="Z27" s="14">
        <f t="shared" si="182"/>
        <v>0.90214592274678107</v>
      </c>
      <c r="AA27" s="14">
        <f t="shared" si="182"/>
        <v>0.90617520344662517</v>
      </c>
      <c r="AB27" s="14">
        <f t="shared" si="182"/>
        <v>0.91134894991922466</v>
      </c>
      <c r="AC27" s="14">
        <f t="shared" si="182"/>
        <v>0.91008350513561631</v>
      </c>
      <c r="AD27" s="14">
        <f t="shared" si="182"/>
        <v>0.90185780542522853</v>
      </c>
      <c r="AE27" s="14">
        <f t="shared" si="182"/>
        <v>0.90037732054306974</v>
      </c>
      <c r="AF27" s="14">
        <f t="shared" si="182"/>
        <v>0.89908275467943322</v>
      </c>
      <c r="AG27" s="14">
        <f t="shared" si="182"/>
        <v>0.8979910975981209</v>
      </c>
      <c r="AH27" s="14">
        <f t="shared" si="182"/>
        <v>0.89711436575663106</v>
      </c>
      <c r="AI27" s="14">
        <f t="shared" si="182"/>
        <v>0.89667089033414427</v>
      </c>
      <c r="AJ27" s="14">
        <f t="shared" si="182"/>
        <v>0.89622542932704796</v>
      </c>
      <c r="AK27" s="14">
        <f t="shared" si="182"/>
        <v>0.89600251235919803</v>
      </c>
      <c r="AL27" s="14">
        <f t="shared" si="182"/>
        <v>0.89600251235919803</v>
      </c>
      <c r="AM27" s="14">
        <f t="shared" si="182"/>
        <v>0.89577803156187519</v>
      </c>
      <c r="AO27" t="s">
        <v>61</v>
      </c>
      <c r="AP27" s="4">
        <f>NPV(AP26,AC18:FF18)</f>
        <v>1489.7239812451521</v>
      </c>
    </row>
    <row r="28" spans="2:162" x14ac:dyDescent="0.3">
      <c r="B28" s="13" t="s">
        <v>50</v>
      </c>
      <c r="C28" s="14">
        <f t="shared" ref="C28:N28" si="183">C13/C5</f>
        <v>-0.19649122807017547</v>
      </c>
      <c r="D28" s="14">
        <f t="shared" si="183"/>
        <v>-0.26732673267326745</v>
      </c>
      <c r="E28" s="14">
        <f t="shared" si="183"/>
        <v>-7.3099415204678247E-2</v>
      </c>
      <c r="F28" s="14">
        <f t="shared" si="183"/>
        <v>-4.999999999999985E-2</v>
      </c>
      <c r="G28" s="14">
        <f t="shared" si="183"/>
        <v>-0.13785046728971978</v>
      </c>
      <c r="H28" s="14">
        <f t="shared" si="183"/>
        <v>-0.19017094017094019</v>
      </c>
      <c r="I28" s="14">
        <f t="shared" si="183"/>
        <v>-5.5350553505534202E-3</v>
      </c>
      <c r="J28" s="14">
        <f t="shared" si="183"/>
        <v>0.23766816143497752</v>
      </c>
      <c r="K28" s="14">
        <f t="shared" si="183"/>
        <v>-5.921052631578947E-2</v>
      </c>
      <c r="L28" s="14">
        <f t="shared" si="183"/>
        <v>-0.10243902439024388</v>
      </c>
      <c r="M28" s="14">
        <f t="shared" si="183"/>
        <v>0.11411992263056099</v>
      </c>
      <c r="N28" s="14">
        <f t="shared" si="183"/>
        <v>0.24744245524296685</v>
      </c>
      <c r="O28" s="14">
        <f>O13/O5</f>
        <v>-0.18566176470588222</v>
      </c>
      <c r="P28" s="14">
        <f t="shared" ref="P28:V28" si="184">P13/P5</f>
        <v>-0.18503118503118487</v>
      </c>
      <c r="Q28" s="14">
        <f t="shared" si="184"/>
        <v>7.4787972243639034E-2</v>
      </c>
      <c r="R28" s="14">
        <f t="shared" si="184"/>
        <v>0.15140186915887843</v>
      </c>
      <c r="S28" s="14">
        <f t="shared" si="184"/>
        <v>-0.24158249158249145</v>
      </c>
      <c r="T28" s="14">
        <f t="shared" si="184"/>
        <v>-0.17462497042353498</v>
      </c>
      <c r="U28" s="14">
        <f t="shared" si="184"/>
        <v>-3.8538162663954174E-3</v>
      </c>
      <c r="V28" s="14">
        <f t="shared" si="184"/>
        <v>0.14986532755078746</v>
      </c>
      <c r="X28" s="14">
        <f t="shared" ref="X28:AM28" si="185">X13/X5</f>
        <v>-0.26806526806526809</v>
      </c>
      <c r="Y28" s="14">
        <f t="shared" si="185"/>
        <v>-0.13776595744680858</v>
      </c>
      <c r="Z28" s="14">
        <f t="shared" si="185"/>
        <v>0.29141630901287552</v>
      </c>
      <c r="AA28" s="14">
        <f t="shared" si="185"/>
        <v>8.9995213020583942E-2</v>
      </c>
      <c r="AB28" s="14">
        <f t="shared" si="185"/>
        <v>-8.0775444264942868E-3</v>
      </c>
      <c r="AC28" s="14">
        <f t="shared" si="185"/>
        <v>-3.6714514091701039E-2</v>
      </c>
      <c r="AD28" s="14">
        <f t="shared" si="185"/>
        <v>-1.8465092823063418E-3</v>
      </c>
      <c r="AE28" s="14">
        <f t="shared" si="185"/>
        <v>3.4859204805523909E-2</v>
      </c>
      <c r="AF28" s="14">
        <f t="shared" si="185"/>
        <v>7.1412955767809719E-2</v>
      </c>
      <c r="AG28" s="14">
        <f t="shared" si="185"/>
        <v>0.10831594976105244</v>
      </c>
      <c r="AH28" s="14">
        <f t="shared" si="185"/>
        <v>0.13135266754351071</v>
      </c>
      <c r="AI28" s="14">
        <f t="shared" si="185"/>
        <v>0.14982702280529933</v>
      </c>
      <c r="AJ28" s="14">
        <f t="shared" si="185"/>
        <v>0.16615119327411515</v>
      </c>
      <c r="AK28" s="14">
        <f t="shared" si="185"/>
        <v>0.17018877644961794</v>
      </c>
      <c r="AL28" s="14">
        <f t="shared" si="185"/>
        <v>0.17403162825456531</v>
      </c>
      <c r="AM28" s="14">
        <f t="shared" si="185"/>
        <v>0.17625114180167262</v>
      </c>
      <c r="AO28" t="s">
        <v>62</v>
      </c>
      <c r="AP28" s="4">
        <f>Main!D8</f>
        <v>293.5</v>
      </c>
    </row>
    <row r="29" spans="2:162" x14ac:dyDescent="0.3">
      <c r="B29" s="13" t="s">
        <v>53</v>
      </c>
      <c r="C29" s="14"/>
      <c r="D29" s="14"/>
      <c r="E29" s="14"/>
      <c r="F29" s="14"/>
      <c r="G29" s="14">
        <f t="shared" ref="G29" si="186">G10/C10-1</f>
        <v>0.8</v>
      </c>
      <c r="H29" s="14">
        <f t="shared" ref="H29" si="187">H10/D10-1</f>
        <v>0.43661971830985902</v>
      </c>
      <c r="I29" s="14">
        <f t="shared" ref="I29" si="188">I10/E10-1</f>
        <v>0.34615384615384626</v>
      </c>
      <c r="J29" s="14">
        <f t="shared" ref="J29" si="189">J10/F10-1</f>
        <v>0.4285714285714286</v>
      </c>
      <c r="K29" s="14">
        <f t="shared" ref="K29" si="190">K10/G10-1</f>
        <v>0.30555555555555536</v>
      </c>
      <c r="L29" s="14">
        <f t="shared" ref="L29" si="191">L10/H10-1</f>
        <v>0.60784313725490202</v>
      </c>
      <c r="M29" s="14">
        <f t="shared" ref="M29" si="192">M10/I10-1</f>
        <v>0.69523809523809521</v>
      </c>
      <c r="N29" s="14">
        <f t="shared" ref="N29" si="193">N10/J10-1</f>
        <v>0.74166666666666647</v>
      </c>
      <c r="O29" s="14">
        <f t="shared" ref="O29:O31" si="194">O10/K10-1</f>
        <v>0.85815602836879434</v>
      </c>
      <c r="P29" s="14">
        <f t="shared" ref="P29" si="195">P10/L10-1</f>
        <v>0.42073170731707332</v>
      </c>
      <c r="Q29" s="14">
        <f t="shared" ref="Q29" si="196">Q10/M10-1</f>
        <v>0.41573033707865159</v>
      </c>
      <c r="R29" s="14">
        <f t="shared" ref="R29" si="197">R10/N10-1</f>
        <v>0.26315789473684204</v>
      </c>
      <c r="S29" s="14">
        <f t="shared" ref="S29" si="198">S10/O10-1</f>
        <v>0.19465648854961848</v>
      </c>
      <c r="T29" s="14">
        <f t="shared" ref="T29" si="199">T10/P10-1</f>
        <v>0.39999999999999991</v>
      </c>
      <c r="U29" s="14">
        <f t="shared" ref="U29" si="200">U10/Q10-1</f>
        <v>0.30000000000000004</v>
      </c>
      <c r="V29" s="14">
        <f t="shared" ref="V29" si="201">V10/R10-1</f>
        <v>0.30000000000000004</v>
      </c>
      <c r="X29" s="14"/>
      <c r="Y29" s="14">
        <f t="shared" ref="Y29:AM29" si="202">Y10/X10-1</f>
        <v>0.67428571428571416</v>
      </c>
      <c r="Z29" s="14">
        <f t="shared" si="202"/>
        <v>0.16382252559726962</v>
      </c>
      <c r="AA29" s="14">
        <f t="shared" si="202"/>
        <v>1.0293255131964809</v>
      </c>
      <c r="AB29" s="14">
        <f t="shared" si="202"/>
        <v>0.46098265895953783</v>
      </c>
      <c r="AC29" s="14">
        <f t="shared" si="202"/>
        <v>0.29574678536102872</v>
      </c>
      <c r="AD29" s="14">
        <f t="shared" si="202"/>
        <v>0.24</v>
      </c>
      <c r="AE29" s="14">
        <f t="shared" si="202"/>
        <v>0.16999999999999993</v>
      </c>
      <c r="AF29" s="14">
        <f t="shared" si="202"/>
        <v>0.11099999999999999</v>
      </c>
      <c r="AG29" s="14">
        <f t="shared" si="202"/>
        <v>8.0000000000000071E-2</v>
      </c>
      <c r="AH29" s="14">
        <f t="shared" si="202"/>
        <v>4.0000000000000036E-2</v>
      </c>
      <c r="AI29" s="14">
        <f t="shared" si="202"/>
        <v>3.0000000000000027E-2</v>
      </c>
      <c r="AJ29" s="14">
        <f t="shared" si="202"/>
        <v>3.0000000000000027E-2</v>
      </c>
      <c r="AK29" s="14">
        <f t="shared" si="202"/>
        <v>3.0000000000000027E-2</v>
      </c>
      <c r="AL29" s="14">
        <f t="shared" si="202"/>
        <v>2.0000000000000018E-2</v>
      </c>
      <c r="AM29" s="14">
        <f t="shared" si="202"/>
        <v>2.0000000000000018E-2</v>
      </c>
      <c r="AO29" t="s">
        <v>63</v>
      </c>
      <c r="AP29" s="4">
        <f>AP27+AP28</f>
        <v>1783.2239812451521</v>
      </c>
    </row>
    <row r="30" spans="2:162" x14ac:dyDescent="0.3">
      <c r="B30" s="13" t="s">
        <v>54</v>
      </c>
      <c r="C30" s="14">
        <f t="shared" ref="C30:N30" si="203">C11/C5</f>
        <v>0.54736842105263162</v>
      </c>
      <c r="D30" s="14">
        <f t="shared" si="203"/>
        <v>0.58085808580858089</v>
      </c>
      <c r="E30" s="14">
        <f t="shared" si="203"/>
        <v>0.4532163742690058</v>
      </c>
      <c r="F30" s="14">
        <f t="shared" si="203"/>
        <v>0.45854922279792742</v>
      </c>
      <c r="G30" s="14">
        <f t="shared" si="203"/>
        <v>0.53971962616822433</v>
      </c>
      <c r="H30" s="14">
        <f t="shared" si="203"/>
        <v>0.60470085470085477</v>
      </c>
      <c r="I30" s="14">
        <f t="shared" si="203"/>
        <v>0.48523985239852396</v>
      </c>
      <c r="J30" s="14">
        <f t="shared" si="203"/>
        <v>0.38901345291479822</v>
      </c>
      <c r="K30" s="14">
        <f t="shared" si="203"/>
        <v>0.50657894736842102</v>
      </c>
      <c r="L30" s="14">
        <f t="shared" si="203"/>
        <v>0.58780487804878057</v>
      </c>
      <c r="M30" s="14">
        <f t="shared" si="203"/>
        <v>0.42359767891682781</v>
      </c>
      <c r="N30" s="14">
        <f t="shared" si="203"/>
        <v>0.39194373401534521</v>
      </c>
      <c r="O30" s="14">
        <f>O11/O5</f>
        <v>0.59926470588235292</v>
      </c>
      <c r="P30" s="14">
        <f t="shared" ref="P30:V30" si="204">P11/P5</f>
        <v>0.60187110187110182</v>
      </c>
      <c r="Q30" s="14">
        <f t="shared" si="204"/>
        <v>0.46954510408635314</v>
      </c>
      <c r="R30" s="14">
        <f t="shared" si="204"/>
        <v>0.42866043613707161</v>
      </c>
      <c r="S30" s="14">
        <f t="shared" si="204"/>
        <v>0.60521885521885521</v>
      </c>
      <c r="T30" s="14">
        <f t="shared" si="204"/>
        <v>0.57999999999999996</v>
      </c>
      <c r="U30" s="14">
        <f t="shared" si="204"/>
        <v>0.5</v>
      </c>
      <c r="V30" s="14">
        <f t="shared" si="204"/>
        <v>0.41000000000000003</v>
      </c>
      <c r="X30" s="14">
        <f t="shared" ref="X30:AM30" si="205">X11/X5</f>
        <v>0.67132867132867136</v>
      </c>
      <c r="Y30" s="14">
        <f t="shared" si="205"/>
        <v>0.50455927051671734</v>
      </c>
      <c r="Z30" s="14">
        <f t="shared" si="205"/>
        <v>0.31716738197424893</v>
      </c>
      <c r="AA30" s="14">
        <f t="shared" si="205"/>
        <v>0.45907132599329831</v>
      </c>
      <c r="AB30" s="14">
        <f t="shared" si="205"/>
        <v>0.51050080775444262</v>
      </c>
      <c r="AC30" s="14">
        <f t="shared" si="205"/>
        <v>0.50821992146021588</v>
      </c>
      <c r="AD30" s="14">
        <f t="shared" si="205"/>
        <v>0.46</v>
      </c>
      <c r="AE30" s="14">
        <f t="shared" si="205"/>
        <v>0.42</v>
      </c>
      <c r="AF30" s="14">
        <f t="shared" si="205"/>
        <v>0.39</v>
      </c>
      <c r="AG30" s="14">
        <f t="shared" si="205"/>
        <v>0.36</v>
      </c>
      <c r="AH30" s="14">
        <f t="shared" si="205"/>
        <v>0.35</v>
      </c>
      <c r="AI30" s="14">
        <f t="shared" si="205"/>
        <v>0.34</v>
      </c>
      <c r="AJ30" s="14">
        <f t="shared" si="205"/>
        <v>0.33</v>
      </c>
      <c r="AK30" s="14">
        <f t="shared" si="205"/>
        <v>0.33</v>
      </c>
      <c r="AL30" s="14">
        <f t="shared" si="205"/>
        <v>0.33</v>
      </c>
      <c r="AM30" s="14">
        <f t="shared" si="205"/>
        <v>0.33</v>
      </c>
      <c r="AO30" t="s">
        <v>64</v>
      </c>
      <c r="AP30" s="3">
        <f>AP29/AM19</f>
        <v>26.575618200374841</v>
      </c>
    </row>
    <row r="31" spans="2:162" x14ac:dyDescent="0.3">
      <c r="B31" s="13" t="s">
        <v>55</v>
      </c>
      <c r="C31" s="14"/>
      <c r="D31" s="14"/>
      <c r="E31" s="14"/>
      <c r="F31" s="14"/>
      <c r="G31" s="14">
        <f t="shared" ref="G31" si="206">G12/C12-1</f>
        <v>0.27272727272727271</v>
      </c>
      <c r="H31" s="14">
        <f t="shared" ref="H31" si="207">H12/D12-1</f>
        <v>0.41666666666666674</v>
      </c>
      <c r="I31" s="14">
        <f t="shared" ref="I31" si="208">I12/E12-1</f>
        <v>0.48750000000000004</v>
      </c>
      <c r="J31" s="14">
        <f t="shared" ref="J31" si="209">J12/F12-1</f>
        <v>0.80246913580246915</v>
      </c>
      <c r="K31" s="14">
        <f t="shared" ref="K31" si="210">K12/G12-1</f>
        <v>1.0306122448979589</v>
      </c>
      <c r="L31" s="14">
        <f t="shared" ref="L31" si="211">L12/H12-1</f>
        <v>0.38655462184873945</v>
      </c>
      <c r="M31" s="14">
        <f t="shared" ref="M31" si="212">M12/I12-1</f>
        <v>0.70588235294117641</v>
      </c>
      <c r="N31" s="14">
        <f t="shared" ref="N31" si="213">N12/J12-1</f>
        <v>0.59589041095890427</v>
      </c>
      <c r="O31" s="14">
        <f t="shared" si="194"/>
        <v>0.23115577889447247</v>
      </c>
      <c r="P31" s="14">
        <f t="shared" ref="P31" si="214">P12/L12-1</f>
        <v>0.40606060606060601</v>
      </c>
      <c r="Q31" s="14">
        <f t="shared" ref="Q31" si="215">Q12/M12-1</f>
        <v>0.1576354679802956</v>
      </c>
      <c r="R31" s="14">
        <f t="shared" ref="R31" si="216">R12/N12-1</f>
        <v>0.29613733905579398</v>
      </c>
      <c r="S31" s="14">
        <f t="shared" ref="S31" si="217">S12/O12-1</f>
        <v>0.36734693877551017</v>
      </c>
      <c r="T31" s="14">
        <f t="shared" ref="T31" si="218">T12/P12-1</f>
        <v>0.30000000000000004</v>
      </c>
      <c r="U31" s="14">
        <f t="shared" ref="U31" si="219">U12/Q12-1</f>
        <v>0.30000000000000004</v>
      </c>
      <c r="V31" s="14">
        <f t="shared" ref="V31" si="220">V12/R12-1</f>
        <v>0.19999999999999996</v>
      </c>
      <c r="X31" s="14"/>
      <c r="Y31" s="14">
        <f t="shared" ref="Y31:AM31" si="221">Y12/X12-1</f>
        <v>0.81920903954802293</v>
      </c>
      <c r="Z31" s="14">
        <f t="shared" si="221"/>
        <v>6.5217391304347672E-2</v>
      </c>
      <c r="AA31" s="14">
        <f t="shared" si="221"/>
        <v>1.3323615160349855</v>
      </c>
      <c r="AB31" s="14">
        <f t="shared" si="221"/>
        <v>0.26750000000000007</v>
      </c>
      <c r="AC31" s="14">
        <f t="shared" si="221"/>
        <v>0.28648915187376711</v>
      </c>
      <c r="AD31" s="14">
        <f t="shared" si="221"/>
        <v>0.17999999999999994</v>
      </c>
      <c r="AE31" s="14">
        <f t="shared" si="221"/>
        <v>0.1399999999999999</v>
      </c>
      <c r="AF31" s="14">
        <f t="shared" si="221"/>
        <v>8.0000000000000071E-2</v>
      </c>
      <c r="AG31" s="14">
        <f t="shared" si="221"/>
        <v>6.0000000000000053E-2</v>
      </c>
      <c r="AH31" s="14">
        <f t="shared" si="221"/>
        <v>4.0000000000000036E-2</v>
      </c>
      <c r="AI31" s="14">
        <f t="shared" si="221"/>
        <v>3.0000000000000027E-2</v>
      </c>
      <c r="AJ31" s="14">
        <f t="shared" si="221"/>
        <v>2.0000000000000018E-2</v>
      </c>
      <c r="AK31" s="14">
        <f t="shared" si="221"/>
        <v>2.0000000000000018E-2</v>
      </c>
      <c r="AL31" s="14">
        <f t="shared" si="221"/>
        <v>2.0000000000000018E-2</v>
      </c>
      <c r="AM31" s="14">
        <f t="shared" si="221"/>
        <v>2.0000000000000018E-2</v>
      </c>
      <c r="AO31" t="s">
        <v>65</v>
      </c>
      <c r="AP31" s="3">
        <f>Main!D3</f>
        <v>76.47</v>
      </c>
    </row>
    <row r="32" spans="2:162" x14ac:dyDescent="0.3">
      <c r="B32" s="13" t="s">
        <v>45</v>
      </c>
      <c r="C32" s="14">
        <f t="shared" ref="C32:N32" si="222">C17/C16</f>
        <v>-2.6666666666666665E-2</v>
      </c>
      <c r="D32" s="14">
        <f t="shared" si="222"/>
        <v>0.10256410256410252</v>
      </c>
      <c r="E32" s="14">
        <f t="shared" si="222"/>
        <v>0</v>
      </c>
      <c r="F32" s="14">
        <f t="shared" si="222"/>
        <v>0.16393442622950871</v>
      </c>
      <c r="G32" s="14">
        <f t="shared" si="222"/>
        <v>-1.9607843137254881E-2</v>
      </c>
      <c r="H32" s="14">
        <f t="shared" si="222"/>
        <v>0.53153153153153154</v>
      </c>
      <c r="I32" s="14">
        <f t="shared" si="222"/>
        <v>0.86666666666666936</v>
      </c>
      <c r="J32" s="14">
        <f t="shared" si="222"/>
        <v>0.14795918367346941</v>
      </c>
      <c r="K32" s="14">
        <f t="shared" si="222"/>
        <v>2.2340425531914891</v>
      </c>
      <c r="L32" s="14">
        <f t="shared" si="222"/>
        <v>0.68224299065420579</v>
      </c>
      <c r="M32" s="14">
        <f t="shared" si="222"/>
        <v>0.57615894039735127</v>
      </c>
      <c r="N32" s="14">
        <f t="shared" si="222"/>
        <v>0.14999999999999994</v>
      </c>
      <c r="O32" s="14">
        <f>O17/O16</f>
        <v>0.51250000000000018</v>
      </c>
      <c r="P32" s="14">
        <f t="shared" ref="P32:V32" si="223">P17/P16</f>
        <v>-0.54824561403508809</v>
      </c>
      <c r="Q32" s="14">
        <f t="shared" si="223"/>
        <v>0.15384615384615441</v>
      </c>
      <c r="R32" s="14">
        <f t="shared" si="223"/>
        <v>9.1743119266055103E-3</v>
      </c>
      <c r="S32" s="14">
        <f t="shared" si="223"/>
        <v>2.5252525252525259E-2</v>
      </c>
      <c r="T32" s="14">
        <f t="shared" si="223"/>
        <v>0.1</v>
      </c>
      <c r="U32" s="14">
        <f t="shared" si="223"/>
        <v>0.1</v>
      </c>
      <c r="V32" s="14">
        <f t="shared" si="223"/>
        <v>0.1</v>
      </c>
      <c r="X32" s="14">
        <f t="shared" ref="X32:AM32" si="224">X17/X16</f>
        <v>-6.5789473684210514E-3</v>
      </c>
      <c r="Y32" s="14">
        <f t="shared" si="224"/>
        <v>4.4269552385636977E-2</v>
      </c>
      <c r="Z32" s="14">
        <f t="shared" si="224"/>
        <v>-1.4619883040935675E-2</v>
      </c>
      <c r="AA32" s="14">
        <f t="shared" si="224"/>
        <v>-3.8363636363636653</v>
      </c>
      <c r="AB32" s="14">
        <f t="shared" si="224"/>
        <v>0.10431654676259</v>
      </c>
      <c r="AC32" s="14">
        <f t="shared" si="224"/>
        <v>4.4967767100615792E-2</v>
      </c>
      <c r="AD32" s="14">
        <f t="shared" si="224"/>
        <v>0.2</v>
      </c>
      <c r="AE32" s="14">
        <f t="shared" si="224"/>
        <v>0.2</v>
      </c>
      <c r="AF32" s="14">
        <f t="shared" si="224"/>
        <v>0.19999999999999998</v>
      </c>
      <c r="AG32" s="14">
        <f t="shared" si="224"/>
        <v>0.19999999999999998</v>
      </c>
      <c r="AH32" s="14">
        <f t="shared" si="224"/>
        <v>0.2</v>
      </c>
      <c r="AI32" s="14">
        <f t="shared" si="224"/>
        <v>0.2</v>
      </c>
      <c r="AJ32" s="14">
        <f t="shared" si="224"/>
        <v>0.2</v>
      </c>
      <c r="AK32" s="14">
        <f t="shared" si="224"/>
        <v>0.2</v>
      </c>
      <c r="AL32" s="14">
        <f t="shared" si="224"/>
        <v>0.2</v>
      </c>
      <c r="AM32" s="14">
        <f t="shared" si="224"/>
        <v>0.20000000000000004</v>
      </c>
      <c r="AO32" s="1" t="s">
        <v>66</v>
      </c>
      <c r="AP32" s="15">
        <f>AP30/AP31-1</f>
        <v>-0.65247001176441954</v>
      </c>
    </row>
    <row r="33" spans="2:42" x14ac:dyDescent="0.3">
      <c r="B33" s="13" t="s">
        <v>56</v>
      </c>
      <c r="C33" s="14">
        <f t="shared" ref="C33:N33" si="225">C18/C5</f>
        <v>-0.27017543859649129</v>
      </c>
      <c r="D33" s="14">
        <f t="shared" si="225"/>
        <v>-0.23102310231023113</v>
      </c>
      <c r="E33" s="14">
        <f t="shared" si="225"/>
        <v>-9.3567251461988202E-2</v>
      </c>
      <c r="F33" s="14">
        <f t="shared" si="225"/>
        <v>-3.9637305699481713E-2</v>
      </c>
      <c r="G33" s="14">
        <f t="shared" si="225"/>
        <v>-0.12149532710280388</v>
      </c>
      <c r="H33" s="14">
        <f t="shared" si="225"/>
        <v>-0.11111111111111115</v>
      </c>
      <c r="I33" s="14">
        <f t="shared" si="225"/>
        <v>-3.6900369003689168E-3</v>
      </c>
      <c r="J33" s="14">
        <f t="shared" si="225"/>
        <v>0.18721973094170399</v>
      </c>
      <c r="K33" s="14">
        <f t="shared" si="225"/>
        <v>7.6315789473684212E-2</v>
      </c>
      <c r="L33" s="14">
        <f t="shared" si="225"/>
        <v>-4.1463414634146316E-2</v>
      </c>
      <c r="M33" s="14">
        <f t="shared" si="225"/>
        <v>-6.1895551257253316E-2</v>
      </c>
      <c r="N33" s="14">
        <f t="shared" si="225"/>
        <v>0.19565217391304357</v>
      </c>
      <c r="O33" s="14">
        <f>O18/O5</f>
        <v>-0.14338235294117638</v>
      </c>
      <c r="P33" s="14">
        <f t="shared" ref="P33:V33" si="226">P18/P5</f>
        <v>-0.36694386694386677</v>
      </c>
      <c r="Q33" s="14">
        <f t="shared" si="226"/>
        <v>3.3924441017733092E-2</v>
      </c>
      <c r="R33" s="14">
        <f t="shared" si="226"/>
        <v>0.13457943925233637</v>
      </c>
      <c r="S33" s="14">
        <f t="shared" si="226"/>
        <v>-0.32491582491582477</v>
      </c>
      <c r="T33" s="14">
        <f t="shared" si="226"/>
        <v>-0.21394928622131079</v>
      </c>
      <c r="U33" s="14">
        <f t="shared" si="226"/>
        <v>-5.0405773292654249E-2</v>
      </c>
      <c r="V33" s="14">
        <f t="shared" si="226"/>
        <v>0.112052955946131</v>
      </c>
      <c r="X33" s="14">
        <f t="shared" ref="X33:AM33" si="227">X18/X5</f>
        <v>-0.35664335664335672</v>
      </c>
      <c r="Y33" s="14">
        <f t="shared" si="227"/>
        <v>-0.14764437689969614</v>
      </c>
      <c r="Z33" s="14">
        <f t="shared" si="227"/>
        <v>0.29785407725321883</v>
      </c>
      <c r="AA33" s="14">
        <f t="shared" si="227"/>
        <v>6.3666826232647106E-2</v>
      </c>
      <c r="AB33" s="14">
        <f t="shared" si="227"/>
        <v>-5.0282714054927229E-2</v>
      </c>
      <c r="AC33" s="14">
        <f t="shared" si="227"/>
        <v>-8.6168969572123957E-2</v>
      </c>
      <c r="AD33" s="14">
        <f t="shared" si="227"/>
        <v>-3.3599632123625149E-2</v>
      </c>
      <c r="AE33" s="14">
        <f t="shared" si="227"/>
        <v>3.327421709548032E-3</v>
      </c>
      <c r="AF33" s="14">
        <f t="shared" si="227"/>
        <v>3.6725230153445608E-2</v>
      </c>
      <c r="AG33" s="14">
        <f t="shared" si="227"/>
        <v>6.9344491224876126E-2</v>
      </c>
      <c r="AH33" s="14">
        <f t="shared" si="227"/>
        <v>9.0223952445560432E-2</v>
      </c>
      <c r="AI33" s="14">
        <f t="shared" si="227"/>
        <v>0.10687389881399474</v>
      </c>
      <c r="AJ33" s="14">
        <f t="shared" si="227"/>
        <v>0.12149675213796945</v>
      </c>
      <c r="AK33" s="14">
        <f t="shared" si="227"/>
        <v>0.12607780633711926</v>
      </c>
      <c r="AL33" s="14">
        <f t="shared" si="227"/>
        <v>0.13032556023707115</v>
      </c>
      <c r="AM33" s="14">
        <f t="shared" si="227"/>
        <v>0.13314845873169562</v>
      </c>
      <c r="AO33" t="s">
        <v>67</v>
      </c>
      <c r="AP33" s="5" t="s">
        <v>68</v>
      </c>
    </row>
  </sheetData>
  <phoneticPr fontId="3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</dc:creator>
  <cp:lastModifiedBy>Anton</cp:lastModifiedBy>
  <dcterms:created xsi:type="dcterms:W3CDTF">2021-04-24T18:00:26Z</dcterms:created>
  <dcterms:modified xsi:type="dcterms:W3CDTF">2021-05-15T17:40:37Z</dcterms:modified>
</cp:coreProperties>
</file>