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32190F3-92CC-4E20-A695-ACBF3E853C4B}" xr6:coauthVersionLast="46" xr6:coauthVersionMax="46" xr10:uidLastSave="{00000000-0000-0000-0000-000000000000}"/>
  <bookViews>
    <workbookView xWindow="-108" yWindow="-108" windowWidth="23256" windowHeight="12576" xr2:uid="{3DD4BE97-1132-43AC-A70C-9235DCEFDE7C}"/>
  </bookViews>
  <sheets>
    <sheet name="Main" sheetId="1" r:id="rId1"/>
    <sheet name="Model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20" i="2" s="1"/>
  <c r="U3" i="2"/>
  <c r="V3" i="2"/>
  <c r="AO30" i="2"/>
  <c r="AE10" i="2"/>
  <c r="AF10" i="2" s="1"/>
  <c r="AG10" i="2" s="1"/>
  <c r="AH10" i="2" s="1"/>
  <c r="AI10" i="2" s="1"/>
  <c r="AJ10" i="2" s="1"/>
  <c r="AK10" i="2" s="1"/>
  <c r="AL10" i="2" s="1"/>
  <c r="AD10" i="2"/>
  <c r="AC10" i="2"/>
  <c r="AD4" i="2"/>
  <c r="AE8" i="2"/>
  <c r="AD15" i="2"/>
  <c r="AE15" i="2" s="1"/>
  <c r="AF15" i="2" s="1"/>
  <c r="AG15" i="2" s="1"/>
  <c r="AH15" i="2" s="1"/>
  <c r="AI15" i="2" s="1"/>
  <c r="AJ15" i="2" s="1"/>
  <c r="AK15" i="2" s="1"/>
  <c r="AL15" i="2" s="1"/>
  <c r="AC15" i="2"/>
  <c r="AG8" i="2"/>
  <c r="AH8" i="2" s="1"/>
  <c r="AI8" i="2" s="1"/>
  <c r="AJ8" i="2" s="1"/>
  <c r="AK8" i="2" s="1"/>
  <c r="AL8" i="2" s="1"/>
  <c r="AF8" i="2"/>
  <c r="AD8" i="2"/>
  <c r="AD25" i="2" s="1"/>
  <c r="AC8" i="2"/>
  <c r="AE4" i="2"/>
  <c r="AF4" i="2" s="1"/>
  <c r="AG4" i="2" s="1"/>
  <c r="AH4" i="2" s="1"/>
  <c r="AI4" i="2" s="1"/>
  <c r="AJ4" i="2" s="1"/>
  <c r="AK4" i="2" s="1"/>
  <c r="AC4" i="2"/>
  <c r="V8" i="2"/>
  <c r="U8" i="2"/>
  <c r="V25" i="2"/>
  <c r="T8" i="2"/>
  <c r="U5" i="2"/>
  <c r="U7" i="2" s="1"/>
  <c r="V4" i="2"/>
  <c r="AB4" i="2" s="1"/>
  <c r="AB21" i="2" s="1"/>
  <c r="U4" i="2"/>
  <c r="T4" i="2"/>
  <c r="AA25" i="2"/>
  <c r="Z25" i="2"/>
  <c r="Y25" i="2"/>
  <c r="AA22" i="2"/>
  <c r="Z22" i="2"/>
  <c r="Y22" i="2"/>
  <c r="AA21" i="2"/>
  <c r="Z21" i="2"/>
  <c r="Y21" i="2"/>
  <c r="AA20" i="2"/>
  <c r="Z20" i="2"/>
  <c r="Y20" i="2"/>
  <c r="AA27" i="2"/>
  <c r="Z27" i="2"/>
  <c r="Y27" i="2"/>
  <c r="X27" i="2"/>
  <c r="AA26" i="2"/>
  <c r="Z26" i="2"/>
  <c r="Y26" i="2"/>
  <c r="X26" i="2"/>
  <c r="AA24" i="2"/>
  <c r="Z24" i="2"/>
  <c r="Y24" i="2"/>
  <c r="X24" i="2"/>
  <c r="AA23" i="2"/>
  <c r="Z23" i="2"/>
  <c r="Y23" i="2"/>
  <c r="X23" i="2"/>
  <c r="R27" i="2"/>
  <c r="Q27" i="2"/>
  <c r="P27" i="2"/>
  <c r="O27" i="2"/>
  <c r="N27" i="2"/>
  <c r="M27" i="2"/>
  <c r="L27" i="2"/>
  <c r="K27" i="2"/>
  <c r="J27" i="2"/>
  <c r="I27" i="2"/>
  <c r="H27" i="2"/>
  <c r="R26" i="2"/>
  <c r="Q26" i="2"/>
  <c r="P26" i="2"/>
  <c r="O26" i="2"/>
  <c r="N26" i="2"/>
  <c r="M26" i="2"/>
  <c r="L26" i="2"/>
  <c r="K26" i="2"/>
  <c r="J26" i="2"/>
  <c r="I26" i="2"/>
  <c r="H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S24" i="2"/>
  <c r="R24" i="2"/>
  <c r="Q24" i="2"/>
  <c r="P24" i="2"/>
  <c r="O24" i="2"/>
  <c r="N24" i="2"/>
  <c r="M24" i="2"/>
  <c r="L24" i="2"/>
  <c r="K24" i="2"/>
  <c r="J24" i="2"/>
  <c r="I24" i="2"/>
  <c r="H24" i="2"/>
  <c r="R23" i="2"/>
  <c r="Q23" i="2"/>
  <c r="P23" i="2"/>
  <c r="O23" i="2"/>
  <c r="N23" i="2"/>
  <c r="M23" i="2"/>
  <c r="L23" i="2"/>
  <c r="K23" i="2"/>
  <c r="J23" i="2"/>
  <c r="I23" i="2"/>
  <c r="H23" i="2"/>
  <c r="S22" i="2"/>
  <c r="R22" i="2"/>
  <c r="Q22" i="2"/>
  <c r="P22" i="2"/>
  <c r="O22" i="2"/>
  <c r="N22" i="2"/>
  <c r="M22" i="2"/>
  <c r="L22" i="2"/>
  <c r="K22" i="2"/>
  <c r="J22" i="2"/>
  <c r="I22" i="2"/>
  <c r="H22" i="2"/>
  <c r="S21" i="2"/>
  <c r="R21" i="2"/>
  <c r="Q21" i="2"/>
  <c r="P21" i="2"/>
  <c r="O21" i="2"/>
  <c r="N21" i="2"/>
  <c r="M21" i="2"/>
  <c r="L21" i="2"/>
  <c r="K21" i="2"/>
  <c r="J21" i="2"/>
  <c r="I21" i="2"/>
  <c r="H21" i="2"/>
  <c r="S20" i="2"/>
  <c r="R20" i="2"/>
  <c r="Q20" i="2"/>
  <c r="P20" i="2"/>
  <c r="O20" i="2"/>
  <c r="N20" i="2"/>
  <c r="M20" i="2"/>
  <c r="L20" i="2"/>
  <c r="K20" i="2"/>
  <c r="J20" i="2"/>
  <c r="I20" i="2"/>
  <c r="H20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G27" i="2"/>
  <c r="G26" i="2"/>
  <c r="G24" i="2"/>
  <c r="G23" i="2"/>
  <c r="G25" i="2"/>
  <c r="G22" i="2"/>
  <c r="G21" i="2"/>
  <c r="G20" i="2"/>
  <c r="AB15" i="2"/>
  <c r="AB12" i="2"/>
  <c r="AB10" i="2"/>
  <c r="AB9" i="2"/>
  <c r="AC9" i="2" s="1"/>
  <c r="AA14" i="2"/>
  <c r="AA12" i="2"/>
  <c r="AA10" i="2"/>
  <c r="AA9" i="2"/>
  <c r="AA8" i="2"/>
  <c r="AA6" i="2"/>
  <c r="AA4" i="2"/>
  <c r="AA3" i="2"/>
  <c r="Z14" i="2"/>
  <c r="Z12" i="2"/>
  <c r="Z10" i="2"/>
  <c r="Z9" i="2"/>
  <c r="Z8" i="2"/>
  <c r="Z6" i="2"/>
  <c r="Z4" i="2"/>
  <c r="Z3" i="2"/>
  <c r="Z5" i="2"/>
  <c r="Y14" i="2"/>
  <c r="Y12" i="2"/>
  <c r="Y9" i="2"/>
  <c r="Y8" i="2"/>
  <c r="Y6" i="2"/>
  <c r="Y4" i="2"/>
  <c r="Y3" i="2"/>
  <c r="X14" i="2"/>
  <c r="X12" i="2"/>
  <c r="X10" i="2"/>
  <c r="X9" i="2"/>
  <c r="X8" i="2"/>
  <c r="X6" i="2"/>
  <c r="X4" i="2"/>
  <c r="X3" i="2"/>
  <c r="C15" i="2"/>
  <c r="X15" i="2" s="1"/>
  <c r="D15" i="2"/>
  <c r="C5" i="2"/>
  <c r="C7" i="2" s="1"/>
  <c r="C11" i="2" s="1"/>
  <c r="C13" i="2" s="1"/>
  <c r="D5" i="2"/>
  <c r="D7" i="2" s="1"/>
  <c r="D11" i="2" s="1"/>
  <c r="D13" i="2" s="1"/>
  <c r="E15" i="2"/>
  <c r="E5" i="2"/>
  <c r="E7" i="2" s="1"/>
  <c r="E11" i="2" s="1"/>
  <c r="E13" i="2" s="1"/>
  <c r="F15" i="2"/>
  <c r="F5" i="2"/>
  <c r="F7" i="2" s="1"/>
  <c r="F11" i="2" s="1"/>
  <c r="F13" i="2" s="1"/>
  <c r="F16" i="2" s="1"/>
  <c r="F18" i="2" s="1"/>
  <c r="G15" i="2"/>
  <c r="Y15" i="2" s="1"/>
  <c r="G5" i="2"/>
  <c r="G7" i="2" s="1"/>
  <c r="G11" i="2" s="1"/>
  <c r="G13" i="2" s="1"/>
  <c r="H15" i="2"/>
  <c r="H5" i="2"/>
  <c r="H7" i="2" s="1"/>
  <c r="H11" i="2" s="1"/>
  <c r="H13" i="2" s="1"/>
  <c r="I15" i="2"/>
  <c r="I5" i="2"/>
  <c r="I7" i="2" s="1"/>
  <c r="I11" i="2" s="1"/>
  <c r="I13" i="2" s="1"/>
  <c r="J15" i="2"/>
  <c r="J10" i="2"/>
  <c r="Y10" i="2" s="1"/>
  <c r="J5" i="2"/>
  <c r="J7" i="2" s="1"/>
  <c r="K15" i="2"/>
  <c r="K5" i="2"/>
  <c r="K7" i="2" s="1"/>
  <c r="K11" i="2" s="1"/>
  <c r="K13" i="2" s="1"/>
  <c r="S15" i="2"/>
  <c r="S5" i="2"/>
  <c r="S7" i="2" s="1"/>
  <c r="S11" i="2" s="1"/>
  <c r="S13" i="2" s="1"/>
  <c r="S26" i="2" s="1"/>
  <c r="R15" i="2"/>
  <c r="R5" i="2"/>
  <c r="R7" i="2" s="1"/>
  <c r="R11" i="2" s="1"/>
  <c r="R13" i="2" s="1"/>
  <c r="Q15" i="2"/>
  <c r="Q5" i="2"/>
  <c r="Q7" i="2" s="1"/>
  <c r="Q11" i="2" s="1"/>
  <c r="Q13" i="2" s="1"/>
  <c r="P15" i="2"/>
  <c r="P5" i="2"/>
  <c r="P7" i="2" s="1"/>
  <c r="P11" i="2" s="1"/>
  <c r="P13" i="2" s="1"/>
  <c r="O15" i="2"/>
  <c r="O5" i="2"/>
  <c r="O7" i="2" s="1"/>
  <c r="O11" i="2" s="1"/>
  <c r="O13" i="2" s="1"/>
  <c r="N15" i="2"/>
  <c r="N5" i="2"/>
  <c r="N7" i="2" s="1"/>
  <c r="N11" i="2" s="1"/>
  <c r="N13" i="2" s="1"/>
  <c r="M15" i="2"/>
  <c r="L15" i="2"/>
  <c r="M5" i="2"/>
  <c r="M7" i="2" s="1"/>
  <c r="M11" i="2" s="1"/>
  <c r="M13" i="2" s="1"/>
  <c r="L5" i="2"/>
  <c r="L7" i="2" s="1"/>
  <c r="L11" i="2" s="1"/>
  <c r="L13" i="2" s="1"/>
  <c r="U11" i="2" l="1"/>
  <c r="U13" i="2" s="1"/>
  <c r="U14" i="2" s="1"/>
  <c r="U16" i="2" s="1"/>
  <c r="U6" i="2"/>
  <c r="AD9" i="2"/>
  <c r="AE9" i="2" s="1"/>
  <c r="AF9" i="2" s="1"/>
  <c r="AG9" i="2" s="1"/>
  <c r="AH9" i="2" s="1"/>
  <c r="AI9" i="2" s="1"/>
  <c r="AJ9" i="2" s="1"/>
  <c r="AK9" i="2" s="1"/>
  <c r="AL9" i="2" s="1"/>
  <c r="AE21" i="2"/>
  <c r="AF21" i="2"/>
  <c r="AF25" i="2"/>
  <c r="AE25" i="2"/>
  <c r="AL4" i="2"/>
  <c r="AL21" i="2" s="1"/>
  <c r="AK21" i="2"/>
  <c r="AJ21" i="2"/>
  <c r="AI21" i="2"/>
  <c r="AH21" i="2"/>
  <c r="AG21" i="2"/>
  <c r="AD21" i="2"/>
  <c r="AB8" i="2"/>
  <c r="AC25" i="2"/>
  <c r="AB25" i="2"/>
  <c r="AB3" i="2"/>
  <c r="AC3" i="2" s="1"/>
  <c r="U20" i="2"/>
  <c r="V5" i="2"/>
  <c r="V7" i="2" s="1"/>
  <c r="V11" i="2" s="1"/>
  <c r="V13" i="2" s="1"/>
  <c r="V14" i="2" s="1"/>
  <c r="V26" i="2" s="1"/>
  <c r="T5" i="2"/>
  <c r="V20" i="2"/>
  <c r="S23" i="2"/>
  <c r="U23" i="2"/>
  <c r="U22" i="2"/>
  <c r="V21" i="2"/>
  <c r="T21" i="2"/>
  <c r="U21" i="2"/>
  <c r="AC21" i="2"/>
  <c r="AA15" i="2"/>
  <c r="Z15" i="2"/>
  <c r="G16" i="2"/>
  <c r="G18" i="2" s="1"/>
  <c r="S16" i="2"/>
  <c r="AA5" i="2"/>
  <c r="AA7" i="2" s="1"/>
  <c r="AA11" i="2" s="1"/>
  <c r="AA13" i="2" s="1"/>
  <c r="Z7" i="2"/>
  <c r="Z11" i="2" s="1"/>
  <c r="Z13" i="2" s="1"/>
  <c r="Y5" i="2"/>
  <c r="Y7" i="2" s="1"/>
  <c r="Y11" i="2" s="1"/>
  <c r="Y13" i="2" s="1"/>
  <c r="Y16" i="2" s="1"/>
  <c r="Y18" i="2" s="1"/>
  <c r="X5" i="2"/>
  <c r="X7" i="2" s="1"/>
  <c r="X11" i="2" s="1"/>
  <c r="X13" i="2" s="1"/>
  <c r="X16" i="2" s="1"/>
  <c r="X18" i="2" s="1"/>
  <c r="R16" i="2"/>
  <c r="R18" i="2" s="1"/>
  <c r="P16" i="2"/>
  <c r="P18" i="2" s="1"/>
  <c r="K16" i="2"/>
  <c r="K18" i="2" s="1"/>
  <c r="C16" i="2"/>
  <c r="C18" i="2" s="1"/>
  <c r="H16" i="2"/>
  <c r="H18" i="2" s="1"/>
  <c r="L16" i="2"/>
  <c r="L18" i="2" s="1"/>
  <c r="Q16" i="2"/>
  <c r="Q18" i="2" s="1"/>
  <c r="D16" i="2"/>
  <c r="D18" i="2" s="1"/>
  <c r="E16" i="2"/>
  <c r="E18" i="2" s="1"/>
  <c r="I16" i="2"/>
  <c r="I18" i="2" s="1"/>
  <c r="J11" i="2"/>
  <c r="J13" i="2" s="1"/>
  <c r="J16" i="2" s="1"/>
  <c r="J18" i="2" s="1"/>
  <c r="O16" i="2"/>
  <c r="O18" i="2" s="1"/>
  <c r="N16" i="2"/>
  <c r="N18" i="2" s="1"/>
  <c r="M16" i="2"/>
  <c r="M18" i="2" s="1"/>
  <c r="D6" i="1"/>
  <c r="D7" i="1"/>
  <c r="D5" i="1"/>
  <c r="F3" i="1"/>
  <c r="U24" i="2" l="1"/>
  <c r="V6" i="2"/>
  <c r="AC20" i="2"/>
  <c r="T22" i="2"/>
  <c r="T7" i="2"/>
  <c r="U18" i="2"/>
  <c r="U27" i="2"/>
  <c r="V16" i="2"/>
  <c r="V18" i="2" s="1"/>
  <c r="U26" i="2"/>
  <c r="AG25" i="2"/>
  <c r="V23" i="2"/>
  <c r="AB5" i="2"/>
  <c r="AB20" i="2"/>
  <c r="V22" i="2"/>
  <c r="V24" i="2"/>
  <c r="S18" i="2"/>
  <c r="S27" i="2"/>
  <c r="Z16" i="2"/>
  <c r="Z18" i="2" s="1"/>
  <c r="AA16" i="2"/>
  <c r="AA18" i="2" s="1"/>
  <c r="D8" i="1"/>
  <c r="D9" i="1" l="1"/>
  <c r="AO27" i="2"/>
  <c r="T11" i="2"/>
  <c r="T23" i="2"/>
  <c r="T6" i="2"/>
  <c r="AB6" i="2" s="1"/>
  <c r="AB7" i="2" s="1"/>
  <c r="AB11" i="2" s="1"/>
  <c r="AB24" i="2" s="1"/>
  <c r="AD3" i="2"/>
  <c r="AC5" i="2"/>
  <c r="V27" i="2"/>
  <c r="AH25" i="2"/>
  <c r="AB22" i="2"/>
  <c r="AC7" i="2" l="1"/>
  <c r="AC6" i="2"/>
  <c r="AD20" i="2"/>
  <c r="AE3" i="2"/>
  <c r="AD5" i="2"/>
  <c r="T13" i="2"/>
  <c r="T24" i="2"/>
  <c r="AC22" i="2"/>
  <c r="AI25" i="2"/>
  <c r="AB13" i="2"/>
  <c r="AB23" i="2"/>
  <c r="T14" i="2" l="1"/>
  <c r="T16" i="2"/>
  <c r="AD22" i="2"/>
  <c r="AD7" i="2"/>
  <c r="AF3" i="2"/>
  <c r="AE20" i="2"/>
  <c r="AE5" i="2"/>
  <c r="AC23" i="2"/>
  <c r="AC11" i="2"/>
  <c r="AC24" i="2" s="1"/>
  <c r="AJ25" i="2"/>
  <c r="AG3" i="2" l="1"/>
  <c r="AF5" i="2"/>
  <c r="AF20" i="2"/>
  <c r="AD6" i="2"/>
  <c r="AD11" i="2"/>
  <c r="AD24" i="2" s="1"/>
  <c r="AD23" i="2"/>
  <c r="AE22" i="2"/>
  <c r="AE7" i="2"/>
  <c r="T18" i="2"/>
  <c r="T27" i="2"/>
  <c r="T26" i="2"/>
  <c r="AB14" i="2"/>
  <c r="AK25" i="2"/>
  <c r="AL25" i="2"/>
  <c r="AB16" i="2" l="1"/>
  <c r="AB26" i="2"/>
  <c r="AE11" i="2"/>
  <c r="AE24" i="2" s="1"/>
  <c r="AE23" i="2"/>
  <c r="AF7" i="2"/>
  <c r="AF22" i="2"/>
  <c r="AE6" i="2"/>
  <c r="AG5" i="2"/>
  <c r="AH3" i="2"/>
  <c r="AG20" i="2"/>
  <c r="AI3" i="2" l="1"/>
  <c r="AH5" i="2"/>
  <c r="AH20" i="2"/>
  <c r="AG7" i="2"/>
  <c r="AG6" i="2" s="1"/>
  <c r="AG22" i="2"/>
  <c r="AF6" i="2"/>
  <c r="AF23" i="2"/>
  <c r="AF11" i="2"/>
  <c r="AF24" i="2" s="1"/>
  <c r="AC12" i="2"/>
  <c r="AC13" i="2" s="1"/>
  <c r="AC14" i="2" s="1"/>
  <c r="AC16" i="2" s="1"/>
  <c r="AD12" i="2" s="1"/>
  <c r="AD13" i="2" s="1"/>
  <c r="AB18" i="2"/>
  <c r="AB27" i="2"/>
  <c r="AH22" i="2" l="1"/>
  <c r="AH7" i="2"/>
  <c r="AJ3" i="2"/>
  <c r="AI5" i="2"/>
  <c r="AI20" i="2"/>
  <c r="AC26" i="2"/>
  <c r="AC18" i="2"/>
  <c r="AC27" i="2"/>
  <c r="AG23" i="2"/>
  <c r="AG11" i="2"/>
  <c r="AG24" i="2" s="1"/>
  <c r="AD14" i="2"/>
  <c r="AD26" i="2" s="1"/>
  <c r="AI22" i="2" l="1"/>
  <c r="AI7" i="2"/>
  <c r="AK3" i="2"/>
  <c r="AJ5" i="2"/>
  <c r="AJ20" i="2"/>
  <c r="AH6" i="2"/>
  <c r="AH23" i="2"/>
  <c r="AH11" i="2"/>
  <c r="AH24" i="2" s="1"/>
  <c r="AD16" i="2"/>
  <c r="AJ7" i="2" l="1"/>
  <c r="AJ22" i="2"/>
  <c r="AL3" i="2"/>
  <c r="AK5" i="2"/>
  <c r="AK20" i="2"/>
  <c r="AI6" i="2"/>
  <c r="AI11" i="2"/>
  <c r="AI24" i="2" s="1"/>
  <c r="AI23" i="2"/>
  <c r="AE12" i="2"/>
  <c r="AE13" i="2" s="1"/>
  <c r="AD18" i="2"/>
  <c r="AD27" i="2"/>
  <c r="AK7" i="2" l="1"/>
  <c r="AK22" i="2"/>
  <c r="AL5" i="2"/>
  <c r="AL20" i="2"/>
  <c r="AJ6" i="2"/>
  <c r="AJ23" i="2"/>
  <c r="AJ11" i="2"/>
  <c r="AJ24" i="2" s="1"/>
  <c r="AE14" i="2"/>
  <c r="AE26" i="2" s="1"/>
  <c r="AL7" i="2" l="1"/>
  <c r="AL22" i="2"/>
  <c r="AK6" i="2"/>
  <c r="AK23" i="2"/>
  <c r="AK11" i="2"/>
  <c r="AK24" i="2" s="1"/>
  <c r="AE16" i="2"/>
  <c r="AF12" i="2" l="1"/>
  <c r="AF13" i="2" s="1"/>
  <c r="AL6" i="2"/>
  <c r="AL23" i="2"/>
  <c r="AL11" i="2"/>
  <c r="AL24" i="2" s="1"/>
  <c r="AE18" i="2"/>
  <c r="AE27" i="2"/>
  <c r="AF14" i="2" l="1"/>
  <c r="AF26" i="2" s="1"/>
  <c r="AF16" i="2" l="1"/>
  <c r="AG12" i="2" l="1"/>
  <c r="AF27" i="2"/>
  <c r="AF18" i="2"/>
  <c r="AG13" i="2"/>
  <c r="AG14" i="2" l="1"/>
  <c r="AG26" i="2" s="1"/>
  <c r="AG16" i="2" l="1"/>
  <c r="AH12" i="2" l="1"/>
  <c r="AH13" i="2" s="1"/>
  <c r="AG18" i="2"/>
  <c r="AG27" i="2"/>
  <c r="AH14" i="2" l="1"/>
  <c r="AH26" i="2" s="1"/>
  <c r="AH16" i="2" l="1"/>
  <c r="AH27" i="2" l="1"/>
  <c r="AI12" i="2"/>
  <c r="AI13" i="2" s="1"/>
  <c r="AH18" i="2"/>
  <c r="AI14" i="2" l="1"/>
  <c r="AI26" i="2" s="1"/>
  <c r="AI16" i="2" l="1"/>
  <c r="AJ12" i="2" s="1"/>
  <c r="AI18" i="2" l="1"/>
  <c r="AI27" i="2"/>
  <c r="AJ13" i="2"/>
  <c r="AJ14" i="2" l="1"/>
  <c r="AJ26" i="2" s="1"/>
  <c r="AJ16" i="2" l="1"/>
  <c r="AJ27" i="2" l="1"/>
  <c r="AK12" i="2"/>
  <c r="AK13" i="2" s="1"/>
  <c r="AK14" i="2" s="1"/>
  <c r="AK26" i="2" s="1"/>
  <c r="AJ18" i="2"/>
  <c r="AK16" i="2" l="1"/>
  <c r="AK18" i="2" l="1"/>
  <c r="AL12" i="2"/>
  <c r="AL13" i="2" s="1"/>
  <c r="AL14" i="2" s="1"/>
  <c r="AL26" i="2" s="1"/>
  <c r="AK27" i="2"/>
  <c r="AL16" i="2" l="1"/>
  <c r="AL27" i="2" l="1"/>
  <c r="AM16" i="2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AO26" i="2" s="1"/>
  <c r="AO28" i="2" s="1"/>
  <c r="AO29" i="2" s="1"/>
  <c r="AO31" i="2" s="1"/>
  <c r="AL18" i="2"/>
</calcChain>
</file>

<file path=xl/sharedStrings.xml><?xml version="1.0" encoding="utf-8"?>
<sst xmlns="http://schemas.openxmlformats.org/spreadsheetml/2006/main" count="65" uniqueCount="63">
  <si>
    <t>BARC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</si>
  <si>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</si>
  <si>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</si>
  <si>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</si>
  <si>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</si>
  <si>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</si>
  <si>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</si>
  <si>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</si>
  <si>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</si>
  <si>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</si>
  <si>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</si>
  <si>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</si>
  <si>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Cost of sales</t>
  </si>
  <si>
    <t>Gross profit</t>
  </si>
  <si>
    <t>Q118</t>
  </si>
  <si>
    <t>Q117</t>
  </si>
  <si>
    <t>Q217</t>
  </si>
  <si>
    <t>Q317</t>
  </si>
  <si>
    <t>Q417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</si>
  <si>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</si>
  <si>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</si>
  <si>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</si>
  <si>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</si>
  <si>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</si>
  <si>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</si>
  <si>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</si>
  <si>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</si>
  <si>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</si>
  <si>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</si>
  <si>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</si>
  <si>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</si>
  <si>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</si>
  <si>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</si>
  <si>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</si>
  <si>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Interest revenue</t>
  </si>
  <si>
    <t>Other revenue</t>
  </si>
  <si>
    <t>Operating expenses</t>
  </si>
  <si>
    <t>Litigation</t>
  </si>
  <si>
    <t>Other expense</t>
  </si>
  <si>
    <t>Operating profit</t>
  </si>
  <si>
    <t>Other income</t>
  </si>
  <si>
    <t>Pretax profit</t>
  </si>
  <si>
    <t>Taxes</t>
  </si>
  <si>
    <t>MI</t>
  </si>
  <si>
    <t>Net profit</t>
  </si>
  <si>
    <t>EPS</t>
  </si>
  <si>
    <t>Revenue y/y</t>
  </si>
  <si>
    <t>Interest revenue y/y</t>
  </si>
  <si>
    <t>Other revenue y/y</t>
  </si>
  <si>
    <t>Gross Margin</t>
  </si>
  <si>
    <t>Operating Margin</t>
  </si>
  <si>
    <t>Operating y/y</t>
  </si>
  <si>
    <t>Net Margin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</si>
  <si>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</si>
  <si>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</si>
  <si>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</si>
  <si>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</si>
  <si>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</si>
  <si>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</si>
  <si>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</si>
  <si>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</si>
  <si>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</si>
  <si>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how to value banks?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</si>
</sst>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0</xdr:row>
      <xdr:rowOff>0</xdr:rowOff>
    </xdr:from>
    <xdr:to>
      <xdr:col>19</xdr:col>
      <xdr:colOff>38100</xdr:colOff>
      <xdr:row>35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3E17E8-C41F-454E-874A-2FE862511DDF}"/>
            </a:ext>
          </a:extLst>
        </xdr:cNvPr>
        <xdr:cNvCxnSpPr/>
      </xdr:nvCxnSpPr>
      <xdr:spPr>
        <a:xfrm>
          <a:off x="1217676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0</xdr:row>
      <xdr:rowOff>0</xdr:rowOff>
    </xdr:from>
    <xdr:to>
      <xdr:col>27</xdr:col>
      <xdr:colOff>22860</xdr:colOff>
      <xdr:row>33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EB1120-BDC0-424E-906B-01EA112033FE}"/>
            </a:ext>
          </a:extLst>
        </xdr:cNvPr>
        <xdr:cNvCxnSpPr/>
      </xdr:nvCxnSpPr>
      <xdr:spPr>
        <a:xfrm>
          <a:off x="1707642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8AC4-1EC6-40EB-81A3-0455080F1A55}">
  <dimension ref="B2:G13"/>
  <sheetViews>
    <sheetView tabSelected="1" workbookViewId="0">
      <selection activeCell="C13" sqref="C13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2">
        <v>1.7549999999999999</v>
      </c>
      <c r="E3" s="4">
        <v>44316</v>
      </c>
      <c r="F3" s="4">
        <f ca="1">TODAY()</f>
        <v>44316</v>
      </c>
    </row>
    <row r="4" spans="2:7" x14ac:dyDescent="0.3">
      <c r="C4" t="s">
        <v>2</v>
      </c>
      <c r="D4" s="5">
        <v>17257</v>
      </c>
    </row>
    <row r="5" spans="2:7" x14ac:dyDescent="0.3">
      <c r="C5" t="s">
        <v>3</v>
      </c>
      <c r="D5" s="5">
        <f>D3*D4</f>
        <v>30286.035</v>
      </c>
    </row>
    <row r="6" spans="2:7" x14ac:dyDescent="0.3">
      <c r="C6" t="s">
        <v>4</v>
      </c>
      <c r="D6" s="5">
        <f>209521+131226+270717</f>
        <v>611464</v>
      </c>
    </row>
    <row r="7" spans="2:7" x14ac:dyDescent="0.3">
      <c r="C7" t="s">
        <v>5</v>
      </c>
      <c r="D7" s="5">
        <f>87291+60735+249852+260407</f>
        <v>658285</v>
      </c>
    </row>
    <row r="8" spans="2:7" x14ac:dyDescent="0.3">
      <c r="C8" t="s">
        <v>6</v>
      </c>
      <c r="D8" s="5">
        <f>D6-D7</f>
        <v>-46821</v>
      </c>
    </row>
    <row r="9" spans="2:7" x14ac:dyDescent="0.3">
      <c r="C9" t="s">
        <v>7</v>
      </c>
      <c r="D9" s="5">
        <f>D5-D8</f>
        <v>77107.035000000003</v>
      </c>
    </row>
    <row r="13" spans="2:7" x14ac:dyDescent="0.3">
      <c r="C1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E812-DDDF-4206-9243-F7B890482827}">
  <dimension ref="B2:ES32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T3" sqref="T3"/>
    </sheetView>
  </sheetViews>
  <sheetFormatPr defaultRowHeight="14.4" x14ac:dyDescent="0.3"/>
  <cols>
    <col min="2" max="2" width="17.5546875" bestFit="1" customWidth="1"/>
    <col min="40" max="40" width="11.88671875" bestFit="1" customWidth="1"/>
    <col min="41" max="41" width="10" bestFit="1" customWidth="1"/>
  </cols>
  <sheetData>
    <row r="2" spans="2:149" x14ac:dyDescent="0.3">
      <c r="C2" s="6" t="s">
        <v>15</v>
      </c>
      <c r="D2" s="6" t="s">
        <v>16</v>
      </c>
      <c r="E2" s="6" t="s">
        <v>17</v>
      </c>
      <c r="F2" s="6" t="s">
        <v>18</v>
      </c>
      <c r="G2" s="6" t="s">
        <v>14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X2">
        <v>2017</v>
      </c>
      <c r="Y2">
        <v>2018</v>
      </c>
      <c r="Z2">
        <v>2019</v>
      </c>
      <c r="AA2">
        <v>2020</v>
      </c>
      <c r="AB2">
        <v>2021</v>
      </c>
      <c r="AC2">
        <v>2022</v>
      </c>
      <c r="AD2">
        <v>2023</v>
      </c>
      <c r="AE2"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  <c r="AL2">
        <v>2031</v>
      </c>
    </row>
    <row r="3" spans="2:149" x14ac:dyDescent="0.3">
      <c r="B3" t="s">
        <v>34</v>
      </c>
      <c r="C3" s="9">
        <v>2519</v>
      </c>
      <c r="D3" s="9">
        <v>2579</v>
      </c>
      <c r="E3" s="9">
        <v>2475</v>
      </c>
      <c r="F3" s="9">
        <v>2272</v>
      </c>
      <c r="G3" s="9">
        <v>2188</v>
      </c>
      <c r="H3" s="9">
        <v>2190</v>
      </c>
      <c r="I3" s="9">
        <v>2388</v>
      </c>
      <c r="J3" s="9">
        <v>2296</v>
      </c>
      <c r="K3" s="9">
        <v>2258</v>
      </c>
      <c r="L3" s="9">
        <v>2360</v>
      </c>
      <c r="M3" s="9">
        <v>2445</v>
      </c>
      <c r="N3" s="9">
        <v>2344</v>
      </c>
      <c r="O3" s="9">
        <v>2331</v>
      </c>
      <c r="P3" s="9">
        <v>1892</v>
      </c>
      <c r="Q3" s="9">
        <v>2055</v>
      </c>
      <c r="R3" s="9">
        <v>1845</v>
      </c>
      <c r="S3" s="9">
        <v>1851</v>
      </c>
      <c r="T3" s="9">
        <f>P3*1.03</f>
        <v>1948.76</v>
      </c>
      <c r="U3" s="9">
        <f>Q3*1.03</f>
        <v>2116.65</v>
      </c>
      <c r="V3" s="9">
        <f>R3*1.03</f>
        <v>1900.3500000000001</v>
      </c>
      <c r="X3" s="9">
        <f>SUM(C3:F3)</f>
        <v>9845</v>
      </c>
      <c r="Y3" s="9">
        <f>SUM(G3:J3)</f>
        <v>9062</v>
      </c>
      <c r="Z3" s="9">
        <f>SUM(K3:N3)</f>
        <v>9407</v>
      </c>
      <c r="AA3" s="9">
        <f>SUM(O3:R3)</f>
        <v>8123</v>
      </c>
      <c r="AB3" s="9">
        <f>SUM(S3:V3)</f>
        <v>7816.76</v>
      </c>
      <c r="AC3" s="5">
        <f>AB3*1.05</f>
        <v>8207.598</v>
      </c>
      <c r="AD3" s="5">
        <f>AC3*1.03</f>
        <v>8453.8259400000006</v>
      </c>
      <c r="AE3" s="5">
        <f>AD3*1.02</f>
        <v>8622.9024588000011</v>
      </c>
      <c r="AF3" s="5">
        <f t="shared" ref="AF3:AH3" si="0">AE3*1.01</f>
        <v>8709.1314833880006</v>
      </c>
      <c r="AG3" s="5">
        <f t="shared" si="0"/>
        <v>8796.222798221881</v>
      </c>
      <c r="AH3" s="5">
        <f>AG3*1.01</f>
        <v>8884.1850262041007</v>
      </c>
      <c r="AI3" s="5">
        <f t="shared" ref="AI3:AL3" si="1">AH3*1.01</f>
        <v>8973.0268764661414</v>
      </c>
      <c r="AJ3" s="5">
        <f t="shared" si="1"/>
        <v>9062.7571452308021</v>
      </c>
      <c r="AK3" s="5">
        <f t="shared" si="1"/>
        <v>9153.384716683111</v>
      </c>
      <c r="AL3" s="5">
        <f t="shared" si="1"/>
        <v>9244.9185638499421</v>
      </c>
    </row>
    <row r="4" spans="2:149" x14ac:dyDescent="0.3">
      <c r="B4" t="s">
        <v>35</v>
      </c>
      <c r="C4" s="9">
        <v>3304</v>
      </c>
      <c r="D4" s="9">
        <v>2479</v>
      </c>
      <c r="E4" s="9">
        <v>2698</v>
      </c>
      <c r="F4" s="9">
        <v>2750</v>
      </c>
      <c r="G4" s="9">
        <v>3170</v>
      </c>
      <c r="H4" s="9">
        <v>3386</v>
      </c>
      <c r="I4" s="9">
        <v>2741</v>
      </c>
      <c r="J4" s="9">
        <v>2777</v>
      </c>
      <c r="K4" s="9">
        <v>2994</v>
      </c>
      <c r="L4" s="9">
        <v>3178</v>
      </c>
      <c r="M4" s="9">
        <v>3096</v>
      </c>
      <c r="N4" s="9">
        <v>2957</v>
      </c>
      <c r="O4" s="9">
        <v>3952</v>
      </c>
      <c r="P4" s="9">
        <v>3446</v>
      </c>
      <c r="Q4" s="9">
        <v>3149</v>
      </c>
      <c r="R4" s="9">
        <v>3096</v>
      </c>
      <c r="S4" s="9">
        <v>4049</v>
      </c>
      <c r="T4" s="9">
        <f>P4*1.03</f>
        <v>3549.38</v>
      </c>
      <c r="U4" s="9">
        <f>Q4*1.01</f>
        <v>3180.4900000000002</v>
      </c>
      <c r="V4" s="9">
        <f>R4*1.04</f>
        <v>3219.84</v>
      </c>
      <c r="X4" s="9">
        <f>SUM(C4:F4)</f>
        <v>11231</v>
      </c>
      <c r="Y4" s="9">
        <f>SUM(G4:J4)</f>
        <v>12074</v>
      </c>
      <c r="Z4" s="9">
        <f>SUM(K4:N4)</f>
        <v>12225</v>
      </c>
      <c r="AA4" s="9">
        <f>SUM(O4:R4)</f>
        <v>13643</v>
      </c>
      <c r="AB4" s="9">
        <f>SUM(S4:V4)</f>
        <v>13998.710000000001</v>
      </c>
      <c r="AC4" s="5">
        <f>AB4*1.03</f>
        <v>14418.671300000002</v>
      </c>
      <c r="AD4" s="5">
        <f>AC4*1.03</f>
        <v>14851.231439000003</v>
      </c>
      <c r="AE4" s="5">
        <f>AD4*1.02</f>
        <v>15148.256067780003</v>
      </c>
      <c r="AF4" s="5">
        <f t="shared" ref="AF4:AH4" si="2">AE4*1.02</f>
        <v>15451.221189135604</v>
      </c>
      <c r="AG4" s="5">
        <f t="shared" si="2"/>
        <v>15760.245612918316</v>
      </c>
      <c r="AH4" s="5">
        <f t="shared" si="2"/>
        <v>16075.450525176682</v>
      </c>
      <c r="AI4" s="5">
        <f>AH4*1.01</f>
        <v>16236.205030428449</v>
      </c>
      <c r="AJ4" s="5">
        <f t="shared" ref="AJ4:AL4" si="3">AI4*1.01</f>
        <v>16398.567080732733</v>
      </c>
      <c r="AK4" s="5">
        <f t="shared" si="3"/>
        <v>16562.552751540061</v>
      </c>
      <c r="AL4" s="5">
        <f t="shared" si="3"/>
        <v>16728.178279055461</v>
      </c>
    </row>
    <row r="5" spans="2:149" s="1" customFormat="1" x14ac:dyDescent="0.3">
      <c r="B5" s="1" t="s">
        <v>11</v>
      </c>
      <c r="C5" s="7">
        <f>C3+C4</f>
        <v>5823</v>
      </c>
      <c r="D5" s="7">
        <f>D3+D4</f>
        <v>5058</v>
      </c>
      <c r="E5" s="7">
        <f>E3+E4</f>
        <v>5173</v>
      </c>
      <c r="F5" s="7">
        <f>F3+F4</f>
        <v>5022</v>
      </c>
      <c r="G5" s="7">
        <f>G3+G4</f>
        <v>5358</v>
      </c>
      <c r="H5" s="7">
        <f>H3+H4</f>
        <v>5576</v>
      </c>
      <c r="I5" s="7">
        <f>I3+I4</f>
        <v>5129</v>
      </c>
      <c r="J5" s="7">
        <f>J3+J4</f>
        <v>5073</v>
      </c>
      <c r="K5" s="7">
        <f>K3+K4</f>
        <v>5252</v>
      </c>
      <c r="L5" s="7">
        <f>L3+L4</f>
        <v>5538</v>
      </c>
      <c r="M5" s="7">
        <f>M3+M4</f>
        <v>5541</v>
      </c>
      <c r="N5" s="7">
        <f>N3+N4</f>
        <v>5301</v>
      </c>
      <c r="O5" s="7">
        <f>O3+O4</f>
        <v>6283</v>
      </c>
      <c r="P5" s="7">
        <f>P3+P4</f>
        <v>5338</v>
      </c>
      <c r="Q5" s="7">
        <f>Q3+Q4</f>
        <v>5204</v>
      </c>
      <c r="R5" s="7">
        <f>R3+R4</f>
        <v>4941</v>
      </c>
      <c r="S5" s="7">
        <f>S3+S4</f>
        <v>5900</v>
      </c>
      <c r="T5" s="7">
        <f t="shared" ref="T5:V5" si="4">T3+T4</f>
        <v>5498.14</v>
      </c>
      <c r="U5" s="7">
        <f t="shared" si="4"/>
        <v>5297.14</v>
      </c>
      <c r="V5" s="7">
        <f t="shared" si="4"/>
        <v>5120.1900000000005</v>
      </c>
      <c r="X5" s="7">
        <f>X3+X4</f>
        <v>21076</v>
      </c>
      <c r="Y5" s="7">
        <f>Y3+Y4</f>
        <v>21136</v>
      </c>
      <c r="Z5" s="7">
        <f>Z3+Z4</f>
        <v>21632</v>
      </c>
      <c r="AA5" s="7">
        <f>AA3+AA4</f>
        <v>21766</v>
      </c>
      <c r="AB5" s="7">
        <f>AB3+AB4</f>
        <v>21815.47</v>
      </c>
      <c r="AC5" s="7">
        <f t="shared" ref="AC5:AL5" si="5">AC3+AC4</f>
        <v>22626.2693</v>
      </c>
      <c r="AD5" s="7">
        <f t="shared" si="5"/>
        <v>23305.057379000005</v>
      </c>
      <c r="AE5" s="7">
        <f t="shared" si="5"/>
        <v>23771.158526580002</v>
      </c>
      <c r="AF5" s="7">
        <f t="shared" si="5"/>
        <v>24160.352672523604</v>
      </c>
      <c r="AG5" s="7">
        <f t="shared" si="5"/>
        <v>24556.468411140195</v>
      </c>
      <c r="AH5" s="7">
        <f t="shared" si="5"/>
        <v>24959.635551380783</v>
      </c>
      <c r="AI5" s="7">
        <f t="shared" si="5"/>
        <v>25209.231906894591</v>
      </c>
      <c r="AJ5" s="7">
        <f t="shared" si="5"/>
        <v>25461.324225963537</v>
      </c>
      <c r="AK5" s="7">
        <f t="shared" si="5"/>
        <v>25715.937468223172</v>
      </c>
      <c r="AL5" s="7">
        <f t="shared" si="5"/>
        <v>25973.096842905405</v>
      </c>
    </row>
    <row r="6" spans="2:149" x14ac:dyDescent="0.3">
      <c r="B6" t="s">
        <v>12</v>
      </c>
      <c r="C6" s="5">
        <v>527</v>
      </c>
      <c r="D6" s="5">
        <v>527</v>
      </c>
      <c r="E6" s="5">
        <v>709</v>
      </c>
      <c r="F6" s="5">
        <v>573</v>
      </c>
      <c r="G6" s="5">
        <v>288</v>
      </c>
      <c r="H6" s="5">
        <v>283</v>
      </c>
      <c r="I6" s="5">
        <v>254</v>
      </c>
      <c r="J6" s="5">
        <v>643</v>
      </c>
      <c r="K6" s="5">
        <v>448</v>
      </c>
      <c r="L6" s="5">
        <v>480</v>
      </c>
      <c r="M6" s="5">
        <v>461</v>
      </c>
      <c r="N6" s="5">
        <v>523</v>
      </c>
      <c r="O6" s="5">
        <v>2115</v>
      </c>
      <c r="P6" s="5">
        <v>1623</v>
      </c>
      <c r="Q6" s="5">
        <v>608</v>
      </c>
      <c r="R6" s="5">
        <v>492</v>
      </c>
      <c r="S6" s="5">
        <v>55</v>
      </c>
      <c r="T6" s="5">
        <f>T5-T7</f>
        <v>714.75820000000022</v>
      </c>
      <c r="U6" s="5">
        <f t="shared" ref="U6:V6" si="6">U5-U7</f>
        <v>688.62820000000011</v>
      </c>
      <c r="V6" s="5">
        <f t="shared" si="6"/>
        <v>716.82660000000033</v>
      </c>
      <c r="X6" s="9">
        <f>SUM(C6:F6)</f>
        <v>2336</v>
      </c>
      <c r="Y6" s="9">
        <f>SUM(G6:J6)</f>
        <v>1468</v>
      </c>
      <c r="Z6" s="9">
        <f>SUM(K6:N6)</f>
        <v>1912</v>
      </c>
      <c r="AA6" s="9">
        <f>SUM(O6:R6)</f>
        <v>4838</v>
      </c>
      <c r="AB6" s="9">
        <f>SUM(S6:V6)</f>
        <v>2175.2130000000006</v>
      </c>
      <c r="AC6" s="5">
        <f>AC5-AC7</f>
        <v>2262.6269299999985</v>
      </c>
      <c r="AD6" s="5">
        <f t="shared" ref="AD6:AL6" si="7">AD5-AD7</f>
        <v>2330.5057378999991</v>
      </c>
      <c r="AE6" s="5">
        <f t="shared" si="7"/>
        <v>2377.1158526580002</v>
      </c>
      <c r="AF6" s="5">
        <f t="shared" si="7"/>
        <v>2416.0352672523586</v>
      </c>
      <c r="AG6" s="5">
        <f t="shared" si="7"/>
        <v>2455.6468411140195</v>
      </c>
      <c r="AH6" s="5">
        <f t="shared" si="7"/>
        <v>2495.9635551380779</v>
      </c>
      <c r="AI6" s="5">
        <f t="shared" si="7"/>
        <v>2520.9231906894602</v>
      </c>
      <c r="AJ6" s="5">
        <f t="shared" si="7"/>
        <v>2546.1324225963544</v>
      </c>
      <c r="AK6" s="5">
        <f t="shared" si="7"/>
        <v>2571.5937468223165</v>
      </c>
      <c r="AL6" s="5">
        <f t="shared" si="7"/>
        <v>2597.3096842905397</v>
      </c>
    </row>
    <row r="7" spans="2:149" s="1" customFormat="1" x14ac:dyDescent="0.3">
      <c r="B7" s="1" t="s">
        <v>13</v>
      </c>
      <c r="C7" s="7">
        <f>C5-C6</f>
        <v>5296</v>
      </c>
      <c r="D7" s="7">
        <f>D5-D6</f>
        <v>4531</v>
      </c>
      <c r="E7" s="7">
        <f>E5-E6</f>
        <v>4464</v>
      </c>
      <c r="F7" s="7">
        <f>F5-F6</f>
        <v>4449</v>
      </c>
      <c r="G7" s="7">
        <f>G5-G6</f>
        <v>5070</v>
      </c>
      <c r="H7" s="7">
        <f>H5-H6</f>
        <v>5293</v>
      </c>
      <c r="I7" s="7">
        <f>I5-I6</f>
        <v>4875</v>
      </c>
      <c r="J7" s="7">
        <f>J5-J6</f>
        <v>4430</v>
      </c>
      <c r="K7" s="7">
        <f>K5-K6</f>
        <v>4804</v>
      </c>
      <c r="L7" s="7">
        <f>L5-L6</f>
        <v>5058</v>
      </c>
      <c r="M7" s="7">
        <f>M5-M6</f>
        <v>5080</v>
      </c>
      <c r="N7" s="7">
        <f>N5-N6</f>
        <v>4778</v>
      </c>
      <c r="O7" s="7">
        <f>O5-O6</f>
        <v>4168</v>
      </c>
      <c r="P7" s="7">
        <f>P5-P6</f>
        <v>3715</v>
      </c>
      <c r="Q7" s="7">
        <f>Q5-Q6</f>
        <v>4596</v>
      </c>
      <c r="R7" s="7">
        <f>R5-R6</f>
        <v>4449</v>
      </c>
      <c r="S7" s="7">
        <f>S5-S6</f>
        <v>5845</v>
      </c>
      <c r="T7" s="7">
        <f>T5*0.87</f>
        <v>4783.3818000000001</v>
      </c>
      <c r="U7" s="7">
        <f>U5*0.87</f>
        <v>4608.5118000000002</v>
      </c>
      <c r="V7" s="7">
        <f>V5*0.86</f>
        <v>4403.3634000000002</v>
      </c>
      <c r="X7" s="7">
        <f>X5-X6</f>
        <v>18740</v>
      </c>
      <c r="Y7" s="7">
        <f>Y5-Y6</f>
        <v>19668</v>
      </c>
      <c r="Z7" s="7">
        <f>Z5-Z6</f>
        <v>19720</v>
      </c>
      <c r="AA7" s="7">
        <f>AA5-AA6</f>
        <v>16928</v>
      </c>
      <c r="AB7" s="7">
        <f>AB5-AB6</f>
        <v>19640.257000000001</v>
      </c>
      <c r="AC7" s="7">
        <f>AC5*0.9</f>
        <v>20363.642370000001</v>
      </c>
      <c r="AD7" s="7">
        <f t="shared" ref="AD7:AL7" si="8">AD5*0.9</f>
        <v>20974.551641100006</v>
      </c>
      <c r="AE7" s="7">
        <f t="shared" si="8"/>
        <v>21394.042673922002</v>
      </c>
      <c r="AF7" s="7">
        <f t="shared" si="8"/>
        <v>21744.317405271246</v>
      </c>
      <c r="AG7" s="7">
        <f t="shared" si="8"/>
        <v>22100.821570026175</v>
      </c>
      <c r="AH7" s="7">
        <f t="shared" si="8"/>
        <v>22463.671996242705</v>
      </c>
      <c r="AI7" s="7">
        <f t="shared" si="8"/>
        <v>22688.308716205131</v>
      </c>
      <c r="AJ7" s="7">
        <f t="shared" si="8"/>
        <v>22915.191803367183</v>
      </c>
      <c r="AK7" s="7">
        <f t="shared" si="8"/>
        <v>23144.343721400855</v>
      </c>
      <c r="AL7" s="7">
        <f t="shared" si="8"/>
        <v>23375.787158614865</v>
      </c>
    </row>
    <row r="8" spans="2:149" x14ac:dyDescent="0.3">
      <c r="B8" t="s">
        <v>36</v>
      </c>
      <c r="C8" s="5">
        <v>3591</v>
      </c>
      <c r="D8" s="5">
        <v>3398</v>
      </c>
      <c r="E8" s="5">
        <v>3274</v>
      </c>
      <c r="F8" s="5">
        <v>3621</v>
      </c>
      <c r="G8" s="5">
        <v>3364</v>
      </c>
      <c r="H8" s="5">
        <v>3310</v>
      </c>
      <c r="I8" s="5">
        <v>3329</v>
      </c>
      <c r="J8" s="5">
        <v>3624</v>
      </c>
      <c r="K8" s="5">
        <v>3257</v>
      </c>
      <c r="L8" s="5">
        <v>3501</v>
      </c>
      <c r="M8" s="5">
        <v>3293</v>
      </c>
      <c r="N8" s="5">
        <v>3308</v>
      </c>
      <c r="O8" s="5">
        <v>3253</v>
      </c>
      <c r="P8" s="5">
        <v>3310</v>
      </c>
      <c r="Q8" s="5">
        <v>3391</v>
      </c>
      <c r="R8" s="5">
        <v>3480</v>
      </c>
      <c r="S8" s="5">
        <v>3545</v>
      </c>
      <c r="T8" s="5">
        <f>P8*1.05</f>
        <v>3475.5</v>
      </c>
      <c r="U8" s="5">
        <f>Q8*1.03</f>
        <v>3492.73</v>
      </c>
      <c r="V8" s="5">
        <f>R8*1.02</f>
        <v>3549.6</v>
      </c>
      <c r="X8" s="9">
        <f>SUM(C8:F8)</f>
        <v>13884</v>
      </c>
      <c r="Y8" s="9">
        <f>SUM(G8:J8)</f>
        <v>13627</v>
      </c>
      <c r="Z8" s="9">
        <f>SUM(K8:N8)</f>
        <v>13359</v>
      </c>
      <c r="AA8" s="9">
        <f>SUM(O8:R8)</f>
        <v>13434</v>
      </c>
      <c r="AB8" s="9">
        <f>SUM(S8:V8)</f>
        <v>14062.83</v>
      </c>
      <c r="AC8" s="5">
        <f>AB8*1.03</f>
        <v>14484.714900000001</v>
      </c>
      <c r="AD8" s="5">
        <f>AC8*1.02</f>
        <v>14774.409198000001</v>
      </c>
      <c r="AE8" s="5">
        <f>AD8*1.02</f>
        <v>15069.897381960001</v>
      </c>
      <c r="AF8" s="5">
        <f t="shared" ref="AF8:AL8" si="9">AE8*1.01</f>
        <v>15220.596355779602</v>
      </c>
      <c r="AG8" s="5">
        <f t="shared" si="9"/>
        <v>15372.802319337397</v>
      </c>
      <c r="AH8" s="5">
        <f t="shared" si="9"/>
        <v>15526.530342530772</v>
      </c>
      <c r="AI8" s="5">
        <f t="shared" si="9"/>
        <v>15681.795645956079</v>
      </c>
      <c r="AJ8" s="5">
        <f t="shared" si="9"/>
        <v>15838.61360241564</v>
      </c>
      <c r="AK8" s="5">
        <f t="shared" si="9"/>
        <v>15996.999738439798</v>
      </c>
      <c r="AL8" s="5">
        <f t="shared" si="9"/>
        <v>16156.969735824196</v>
      </c>
    </row>
    <row r="9" spans="2:149" x14ac:dyDescent="0.3">
      <c r="B9" t="s">
        <v>37</v>
      </c>
      <c r="C9" s="5">
        <v>28</v>
      </c>
      <c r="D9" s="5">
        <v>715</v>
      </c>
      <c r="E9" s="5">
        <v>81</v>
      </c>
      <c r="F9" s="5">
        <v>383</v>
      </c>
      <c r="G9" s="5">
        <v>1961</v>
      </c>
      <c r="H9" s="5">
        <v>81</v>
      </c>
      <c r="I9" s="5">
        <v>105</v>
      </c>
      <c r="J9" s="5">
        <v>60</v>
      </c>
      <c r="K9" s="5">
        <v>61</v>
      </c>
      <c r="L9" s="5">
        <v>53</v>
      </c>
      <c r="M9" s="5">
        <v>1568</v>
      </c>
      <c r="N9" s="5">
        <v>167</v>
      </c>
      <c r="O9" s="5">
        <v>10</v>
      </c>
      <c r="P9" s="5">
        <v>20</v>
      </c>
      <c r="Q9" s="5">
        <v>76</v>
      </c>
      <c r="R9" s="5">
        <v>47</v>
      </c>
      <c r="S9" s="5">
        <v>33</v>
      </c>
      <c r="T9" s="5">
        <v>150</v>
      </c>
      <c r="U9" s="5">
        <v>50</v>
      </c>
      <c r="V9" s="5">
        <v>50</v>
      </c>
      <c r="X9" s="9">
        <f>SUM(C9:F9)</f>
        <v>1207</v>
      </c>
      <c r="Y9" s="9">
        <f>SUM(G9:J9)</f>
        <v>2207</v>
      </c>
      <c r="Z9" s="9">
        <f>SUM(K9:N9)</f>
        <v>1849</v>
      </c>
      <c r="AA9" s="9">
        <f>SUM(O9:R9)</f>
        <v>153</v>
      </c>
      <c r="AB9" s="9">
        <f>SUM(S9:V9)</f>
        <v>283</v>
      </c>
      <c r="AC9" s="5">
        <f>AB9*1.05</f>
        <v>297.15000000000003</v>
      </c>
      <c r="AD9" s="5">
        <f t="shared" ref="AD9:AL9" si="10">AC9*1.05</f>
        <v>312.00750000000005</v>
      </c>
      <c r="AE9" s="5">
        <f t="shared" si="10"/>
        <v>327.60787500000009</v>
      </c>
      <c r="AF9" s="5">
        <f t="shared" si="10"/>
        <v>343.98826875000009</v>
      </c>
      <c r="AG9" s="5">
        <f t="shared" si="10"/>
        <v>361.18768218750012</v>
      </c>
      <c r="AH9" s="5">
        <f t="shared" si="10"/>
        <v>379.24706629687512</v>
      </c>
      <c r="AI9" s="5">
        <f t="shared" si="10"/>
        <v>398.20941961171889</v>
      </c>
      <c r="AJ9" s="5">
        <f t="shared" si="10"/>
        <v>418.11989059230484</v>
      </c>
      <c r="AK9" s="5">
        <f t="shared" si="10"/>
        <v>439.02588512192011</v>
      </c>
      <c r="AL9" s="5">
        <f t="shared" si="10"/>
        <v>460.97717937801616</v>
      </c>
    </row>
    <row r="10" spans="2:149" x14ac:dyDescent="0.3">
      <c r="B10" t="s">
        <v>38</v>
      </c>
      <c r="C10" s="5">
        <v>0</v>
      </c>
      <c r="D10" s="5">
        <v>0</v>
      </c>
      <c r="E10" s="5">
        <v>0</v>
      </c>
      <c r="F10" s="5">
        <v>365</v>
      </c>
      <c r="G10" s="5">
        <v>0</v>
      </c>
      <c r="H10" s="5">
        <v>0</v>
      </c>
      <c r="I10" s="5">
        <v>0</v>
      </c>
      <c r="J10" s="5">
        <f>269+140</f>
        <v>409</v>
      </c>
      <c r="K10" s="5">
        <v>0</v>
      </c>
      <c r="L10" s="5">
        <v>0</v>
      </c>
      <c r="M10" s="5">
        <v>0</v>
      </c>
      <c r="N10" s="5">
        <v>226</v>
      </c>
      <c r="O10" s="5">
        <v>0</v>
      </c>
      <c r="P10" s="5">
        <v>0</v>
      </c>
      <c r="Q10" s="5">
        <v>0</v>
      </c>
      <c r="R10" s="5">
        <v>299</v>
      </c>
      <c r="S10" s="5">
        <v>0</v>
      </c>
      <c r="T10" s="5">
        <v>0</v>
      </c>
      <c r="U10" s="5">
        <v>0</v>
      </c>
      <c r="V10" s="5">
        <v>300</v>
      </c>
      <c r="X10" s="9">
        <f>SUM(C10:F10)</f>
        <v>365</v>
      </c>
      <c r="Y10" s="9">
        <f>SUM(G10:J10)</f>
        <v>409</v>
      </c>
      <c r="Z10" s="9">
        <f>SUM(K10:N10)</f>
        <v>226</v>
      </c>
      <c r="AA10" s="9">
        <f>SUM(O10:R10)</f>
        <v>299</v>
      </c>
      <c r="AB10" s="9">
        <f>SUM(S10:V10)</f>
        <v>300</v>
      </c>
      <c r="AC10" s="5">
        <f>AB10*1.02</f>
        <v>306</v>
      </c>
      <c r="AD10" s="5">
        <f t="shared" ref="AD10:AL10" si="11">AC10*1.02</f>
        <v>312.12</v>
      </c>
      <c r="AE10" s="5">
        <f t="shared" si="11"/>
        <v>318.36240000000004</v>
      </c>
      <c r="AF10" s="5">
        <f t="shared" si="11"/>
        <v>324.72964800000005</v>
      </c>
      <c r="AG10" s="5">
        <f t="shared" si="11"/>
        <v>331.22424096000009</v>
      </c>
      <c r="AH10" s="5">
        <f t="shared" si="11"/>
        <v>337.84872577920009</v>
      </c>
      <c r="AI10" s="5">
        <f t="shared" si="11"/>
        <v>344.60570029478413</v>
      </c>
      <c r="AJ10" s="5">
        <f t="shared" si="11"/>
        <v>351.49781430067981</v>
      </c>
      <c r="AK10" s="5">
        <f t="shared" si="11"/>
        <v>358.52777058669341</v>
      </c>
      <c r="AL10" s="5">
        <f t="shared" si="11"/>
        <v>365.69832599842726</v>
      </c>
    </row>
    <row r="11" spans="2:149" s="1" customFormat="1" x14ac:dyDescent="0.3">
      <c r="B11" s="1" t="s">
        <v>39</v>
      </c>
      <c r="C11" s="7">
        <f>C7-C8-C9-C10</f>
        <v>1677</v>
      </c>
      <c r="D11" s="7">
        <f>D7-D8-D9-D10</f>
        <v>418</v>
      </c>
      <c r="E11" s="7">
        <f>E7-E8-E9-E10</f>
        <v>1109</v>
      </c>
      <c r="F11" s="7">
        <f>F7-F8-F9-F10</f>
        <v>80</v>
      </c>
      <c r="G11" s="7">
        <f>G7-G8-G9-G10</f>
        <v>-255</v>
      </c>
      <c r="H11" s="7">
        <f>H7-H8-H9-H10</f>
        <v>1902</v>
      </c>
      <c r="I11" s="7">
        <f>I7-I8-I9-I10</f>
        <v>1441</v>
      </c>
      <c r="J11" s="7">
        <f>J7-J8-J9-J10</f>
        <v>337</v>
      </c>
      <c r="K11" s="7">
        <f>K7-K8-K9-K10</f>
        <v>1486</v>
      </c>
      <c r="L11" s="7">
        <f>L7-L8-L9-L10</f>
        <v>1504</v>
      </c>
      <c r="M11" s="7">
        <f>M7-M8-M9-M10</f>
        <v>219</v>
      </c>
      <c r="N11" s="7">
        <f>N7-N8-N9-N10</f>
        <v>1077</v>
      </c>
      <c r="O11" s="7">
        <f>O7-O8-O9-O10</f>
        <v>905</v>
      </c>
      <c r="P11" s="7">
        <f>P7-P8-P9-P10</f>
        <v>385</v>
      </c>
      <c r="Q11" s="7">
        <f>Q7-Q8-Q9-Q10</f>
        <v>1129</v>
      </c>
      <c r="R11" s="7">
        <f>R7-R8-R9-R10</f>
        <v>623</v>
      </c>
      <c r="S11" s="7">
        <f>S7-S8-S9-S10</f>
        <v>2267</v>
      </c>
      <c r="T11" s="7">
        <f t="shared" ref="T11:V11" si="12">T7-T8-T9-T10</f>
        <v>1157.8818000000001</v>
      </c>
      <c r="U11" s="7">
        <f t="shared" si="12"/>
        <v>1065.7818000000002</v>
      </c>
      <c r="V11" s="7">
        <f t="shared" si="12"/>
        <v>503.76340000000027</v>
      </c>
      <c r="X11" s="7">
        <f>X7-X8-X9-X10</f>
        <v>3284</v>
      </c>
      <c r="Y11" s="7">
        <f>Y7-Y8-Y9-Y10</f>
        <v>3425</v>
      </c>
      <c r="Z11" s="7">
        <f>Z7-Z8-Z9-Z10</f>
        <v>4286</v>
      </c>
      <c r="AA11" s="7">
        <f>AA7-AA8-AA9-AA10</f>
        <v>3042</v>
      </c>
      <c r="AB11" s="7">
        <f>AB7-AB8-AB9-AB10</f>
        <v>4994.4270000000015</v>
      </c>
      <c r="AC11" s="7">
        <f t="shared" ref="AC11:AL11" si="13">AC7-AC8-AC9-AC10</f>
        <v>5275.7774700000009</v>
      </c>
      <c r="AD11" s="7">
        <f t="shared" si="13"/>
        <v>5576.0149431000054</v>
      </c>
      <c r="AE11" s="7">
        <f t="shared" si="13"/>
        <v>5678.1750169620009</v>
      </c>
      <c r="AF11" s="7">
        <f t="shared" si="13"/>
        <v>5855.0031327416427</v>
      </c>
      <c r="AG11" s="7">
        <f t="shared" si="13"/>
        <v>6035.6073275412773</v>
      </c>
      <c r="AH11" s="7">
        <f t="shared" si="13"/>
        <v>6220.0458616358574</v>
      </c>
      <c r="AI11" s="7">
        <f t="shared" si="13"/>
        <v>6263.6979503425482</v>
      </c>
      <c r="AJ11" s="7">
        <f t="shared" si="13"/>
        <v>6306.9604960585575</v>
      </c>
      <c r="AK11" s="7">
        <f t="shared" si="13"/>
        <v>6349.7903272524436</v>
      </c>
      <c r="AL11" s="7">
        <f t="shared" si="13"/>
        <v>6392.1419174142256</v>
      </c>
    </row>
    <row r="12" spans="2:149" x14ac:dyDescent="0.3">
      <c r="B12" t="s">
        <v>40</v>
      </c>
      <c r="C12" s="5">
        <v>-5</v>
      </c>
      <c r="D12" s="5">
        <v>-241</v>
      </c>
      <c r="E12" s="5">
        <v>2</v>
      </c>
      <c r="F12" s="5">
        <v>-13</v>
      </c>
      <c r="G12" s="5">
        <v>-19</v>
      </c>
      <c r="H12" s="5">
        <v>7</v>
      </c>
      <c r="I12" s="5">
        <v>-20</v>
      </c>
      <c r="J12" s="5">
        <v>-37</v>
      </c>
      <c r="K12" s="5">
        <v>3</v>
      </c>
      <c r="L12" s="5">
        <v>-27</v>
      </c>
      <c r="M12" s="5">
        <v>-27</v>
      </c>
      <c r="N12" s="5">
        <v>-20</v>
      </c>
      <c r="O12" s="5">
        <v>-8</v>
      </c>
      <c r="P12" s="5">
        <v>26</v>
      </c>
      <c r="Q12" s="5">
        <v>-18</v>
      </c>
      <c r="R12" s="5">
        <v>-23</v>
      </c>
      <c r="S12" s="5">
        <v>-132</v>
      </c>
      <c r="T12" s="5">
        <v>-10</v>
      </c>
      <c r="U12" s="5">
        <v>-10</v>
      </c>
      <c r="V12" s="5">
        <v>-10</v>
      </c>
      <c r="X12" s="9">
        <f>SUM(C12:F12)</f>
        <v>-257</v>
      </c>
      <c r="Y12" s="9">
        <f>SUM(G12:J12)</f>
        <v>-69</v>
      </c>
      <c r="Z12" s="9">
        <f>SUM(K12:N12)</f>
        <v>-71</v>
      </c>
      <c r="AA12" s="9">
        <f>SUM(O12:R12)</f>
        <v>-23</v>
      </c>
      <c r="AB12" s="9">
        <f>SUM(S12:V12)</f>
        <v>-162</v>
      </c>
      <c r="AC12" s="5">
        <f>-AB16*0.02</f>
        <v>-65.647346600000034</v>
      </c>
      <c r="AD12" s="5">
        <f t="shared" ref="AD12:AL12" si="14">-AC16*0.02</f>
        <v>-68.094912102280006</v>
      </c>
      <c r="AE12" s="5">
        <f t="shared" si="14"/>
        <v>-72.551343712196129</v>
      </c>
      <c r="AF12" s="5">
        <f t="shared" si="14"/>
        <v>-73.903372658652316</v>
      </c>
      <c r="AG12" s="5">
        <f t="shared" si="14"/>
        <v>-76.379456868524656</v>
      </c>
      <c r="AH12" s="5">
        <f t="shared" si="14"/>
        <v>-78.926179958538867</v>
      </c>
      <c r="AI12" s="5">
        <f t="shared" si="14"/>
        <v>-81.527682797352753</v>
      </c>
      <c r="AJ12" s="5">
        <f t="shared" si="14"/>
        <v>-81.89856803457495</v>
      </c>
      <c r="AK12" s="5">
        <f t="shared" si="14"/>
        <v>-82.220856304255292</v>
      </c>
      <c r="AL12" s="5">
        <f t="shared" si="14"/>
        <v>-82.528197453611298</v>
      </c>
    </row>
    <row r="13" spans="2:149" s="1" customFormat="1" x14ac:dyDescent="0.3">
      <c r="B13" s="1" t="s">
        <v>41</v>
      </c>
      <c r="C13" s="7">
        <f>C11-C12</f>
        <v>1682</v>
      </c>
      <c r="D13" s="7">
        <f>D11-D12</f>
        <v>659</v>
      </c>
      <c r="E13" s="7">
        <f>E11-E12</f>
        <v>1107</v>
      </c>
      <c r="F13" s="7">
        <f>F11-F12</f>
        <v>93</v>
      </c>
      <c r="G13" s="7">
        <f>G11-G12</f>
        <v>-236</v>
      </c>
      <c r="H13" s="7">
        <f>H11-H12</f>
        <v>1895</v>
      </c>
      <c r="I13" s="7">
        <f>I11-I12</f>
        <v>1461</v>
      </c>
      <c r="J13" s="7">
        <f>J11-J12</f>
        <v>374</v>
      </c>
      <c r="K13" s="7">
        <f>K11-K12</f>
        <v>1483</v>
      </c>
      <c r="L13" s="7">
        <f>L11-L12</f>
        <v>1531</v>
      </c>
      <c r="M13" s="7">
        <f>M11-M12</f>
        <v>246</v>
      </c>
      <c r="N13" s="7">
        <f>N11-N12</f>
        <v>1097</v>
      </c>
      <c r="O13" s="7">
        <f>O11-O12</f>
        <v>913</v>
      </c>
      <c r="P13" s="7">
        <f>P11-P12</f>
        <v>359</v>
      </c>
      <c r="Q13" s="7">
        <f>Q11-Q12</f>
        <v>1147</v>
      </c>
      <c r="R13" s="7">
        <f>R11-R12</f>
        <v>646</v>
      </c>
      <c r="S13" s="7">
        <f>S11-S12</f>
        <v>2399</v>
      </c>
      <c r="T13" s="7">
        <f t="shared" ref="T13:V13" si="15">T11-T12</f>
        <v>1167.8818000000001</v>
      </c>
      <c r="U13" s="7">
        <f t="shared" si="15"/>
        <v>1075.7818000000002</v>
      </c>
      <c r="V13" s="7">
        <f t="shared" si="15"/>
        <v>513.76340000000027</v>
      </c>
      <c r="X13" s="7">
        <f>X11-X12</f>
        <v>3541</v>
      </c>
      <c r="Y13" s="7">
        <f>Y11-Y12</f>
        <v>3494</v>
      </c>
      <c r="Z13" s="7">
        <f>Z11-Z12</f>
        <v>4357</v>
      </c>
      <c r="AA13" s="7">
        <f>AA11-AA12</f>
        <v>3065</v>
      </c>
      <c r="AB13" s="7">
        <f>AB11-AB12</f>
        <v>5156.4270000000015</v>
      </c>
      <c r="AC13" s="7">
        <f t="shared" ref="AC13:AL13" si="16">AC11-AC12</f>
        <v>5341.4248166000007</v>
      </c>
      <c r="AD13" s="7">
        <f t="shared" si="16"/>
        <v>5644.1098552022859</v>
      </c>
      <c r="AE13" s="7">
        <f t="shared" si="16"/>
        <v>5750.7263606741972</v>
      </c>
      <c r="AF13" s="7">
        <f t="shared" si="16"/>
        <v>5928.9065054002949</v>
      </c>
      <c r="AG13" s="7">
        <f t="shared" si="16"/>
        <v>6111.9867844098017</v>
      </c>
      <c r="AH13" s="7">
        <f t="shared" si="16"/>
        <v>6298.9720415943966</v>
      </c>
      <c r="AI13" s="7">
        <f t="shared" si="16"/>
        <v>6345.2256331399012</v>
      </c>
      <c r="AJ13" s="7">
        <f t="shared" si="16"/>
        <v>6388.8590640931325</v>
      </c>
      <c r="AK13" s="7">
        <f t="shared" si="16"/>
        <v>6432.0111835566986</v>
      </c>
      <c r="AL13" s="7">
        <f t="shared" si="16"/>
        <v>6474.6701148678367</v>
      </c>
    </row>
    <row r="14" spans="2:149" x14ac:dyDescent="0.3">
      <c r="B14" t="s">
        <v>42</v>
      </c>
      <c r="C14" s="5">
        <v>473</v>
      </c>
      <c r="D14" s="5">
        <v>305</v>
      </c>
      <c r="E14" s="5">
        <v>324</v>
      </c>
      <c r="F14" s="5">
        <v>1138</v>
      </c>
      <c r="G14" s="5">
        <v>304</v>
      </c>
      <c r="H14" s="5">
        <v>433</v>
      </c>
      <c r="I14" s="5">
        <v>240</v>
      </c>
      <c r="J14" s="5">
        <v>145</v>
      </c>
      <c r="K14" s="5">
        <v>248</v>
      </c>
      <c r="L14" s="5">
        <v>297</v>
      </c>
      <c r="M14" s="5">
        <v>297</v>
      </c>
      <c r="N14" s="5">
        <v>189</v>
      </c>
      <c r="O14" s="5">
        <v>71</v>
      </c>
      <c r="P14" s="5">
        <v>42</v>
      </c>
      <c r="Q14" s="5">
        <v>328</v>
      </c>
      <c r="R14" s="5">
        <v>163</v>
      </c>
      <c r="S14" s="5">
        <v>496</v>
      </c>
      <c r="T14" s="5">
        <f>T13*0.21</f>
        <v>245.255178</v>
      </c>
      <c r="U14" s="5">
        <f t="shared" ref="U14:V14" si="17">U13*0.21</f>
        <v>225.91417800000002</v>
      </c>
      <c r="V14" s="5">
        <f t="shared" si="17"/>
        <v>107.89031400000006</v>
      </c>
      <c r="X14" s="9">
        <f>SUM(C14:F14)</f>
        <v>2240</v>
      </c>
      <c r="Y14" s="9">
        <f>SUM(G14:J14)</f>
        <v>1122</v>
      </c>
      <c r="Z14" s="9">
        <f>SUM(K14:N14)</f>
        <v>1031</v>
      </c>
      <c r="AA14" s="9">
        <f>SUM(O14:R14)</f>
        <v>604</v>
      </c>
      <c r="AB14" s="9">
        <f>SUM(S14:V14)</f>
        <v>1075.0596700000001</v>
      </c>
      <c r="AC14" s="5">
        <f>AC13*0.21</f>
        <v>1121.6992114860002</v>
      </c>
      <c r="AD14" s="5">
        <f t="shared" ref="AD14:AL14" si="18">AD13*0.21</f>
        <v>1185.26306959248</v>
      </c>
      <c r="AE14" s="5">
        <f t="shared" si="18"/>
        <v>1207.6525357415815</v>
      </c>
      <c r="AF14" s="5">
        <f t="shared" si="18"/>
        <v>1245.0703661340619</v>
      </c>
      <c r="AG14" s="5">
        <f t="shared" si="18"/>
        <v>1283.5172247260582</v>
      </c>
      <c r="AH14" s="5">
        <f t="shared" si="18"/>
        <v>1322.7841287348233</v>
      </c>
      <c r="AI14" s="5">
        <f t="shared" si="18"/>
        <v>1332.4973829593791</v>
      </c>
      <c r="AJ14" s="5">
        <f t="shared" si="18"/>
        <v>1341.6604034595578</v>
      </c>
      <c r="AK14" s="5">
        <f t="shared" si="18"/>
        <v>1350.7223485469067</v>
      </c>
      <c r="AL14" s="5">
        <f t="shared" si="18"/>
        <v>1359.6807241222457</v>
      </c>
    </row>
    <row r="15" spans="2:149" x14ac:dyDescent="0.3">
      <c r="B15" t="s">
        <v>43</v>
      </c>
      <c r="C15" s="10">
        <f>658+139+222</f>
        <v>1019</v>
      </c>
      <c r="D15" s="10">
        <f>162+59+1537-3</f>
        <v>1755</v>
      </c>
      <c r="E15" s="10">
        <f>157+43</f>
        <v>200</v>
      </c>
      <c r="F15" s="10">
        <f>181+68</f>
        <v>249</v>
      </c>
      <c r="G15" s="10">
        <f>171+53</f>
        <v>224</v>
      </c>
      <c r="H15" s="10">
        <f>175+55</f>
        <v>230</v>
      </c>
      <c r="I15" s="10">
        <f>176+43</f>
        <v>219</v>
      </c>
      <c r="J15" s="10">
        <f>230+75</f>
        <v>305</v>
      </c>
      <c r="K15" s="10">
        <f>17+180</f>
        <v>197</v>
      </c>
      <c r="L15" s="10">
        <f>17+183</f>
        <v>200</v>
      </c>
      <c r="M15" s="10">
        <f>4+265</f>
        <v>269</v>
      </c>
      <c r="N15" s="10">
        <f>42+185</f>
        <v>227</v>
      </c>
      <c r="O15" s="10">
        <f>16+221</f>
        <v>237</v>
      </c>
      <c r="P15" s="10">
        <f>21+206</f>
        <v>227</v>
      </c>
      <c r="Q15" s="10">
        <f>4+204</f>
        <v>208</v>
      </c>
      <c r="R15" s="10">
        <f>37+226</f>
        <v>263</v>
      </c>
      <c r="S15" s="10">
        <f>4+195</f>
        <v>199</v>
      </c>
      <c r="T15" s="5">
        <v>200</v>
      </c>
      <c r="U15" s="5">
        <v>200</v>
      </c>
      <c r="V15" s="5">
        <v>200</v>
      </c>
      <c r="X15" s="9">
        <f>SUM(C15:F15)</f>
        <v>3223</v>
      </c>
      <c r="Y15" s="9">
        <f>SUM(G15:J15)</f>
        <v>978</v>
      </c>
      <c r="Z15" s="9">
        <f>SUM(K15:N15)</f>
        <v>893</v>
      </c>
      <c r="AA15" s="9">
        <f>SUM(O15:R15)</f>
        <v>935</v>
      </c>
      <c r="AB15" s="9">
        <f>SUM(S15:V15)</f>
        <v>799</v>
      </c>
      <c r="AC15" s="5">
        <f>AB15*1.02</f>
        <v>814.98</v>
      </c>
      <c r="AD15" s="5">
        <f t="shared" ref="AD15:AL15" si="19">AC15*1.02</f>
        <v>831.27960000000007</v>
      </c>
      <c r="AE15" s="5">
        <f t="shared" si="19"/>
        <v>847.90519200000006</v>
      </c>
      <c r="AF15" s="5">
        <f t="shared" si="19"/>
        <v>864.86329584000009</v>
      </c>
      <c r="AG15" s="5">
        <f t="shared" si="19"/>
        <v>882.16056175680012</v>
      </c>
      <c r="AH15" s="5">
        <f t="shared" si="19"/>
        <v>899.80377299193617</v>
      </c>
      <c r="AI15" s="5">
        <f t="shared" si="19"/>
        <v>917.79984845177489</v>
      </c>
      <c r="AJ15" s="5">
        <f t="shared" si="19"/>
        <v>936.15584542081035</v>
      </c>
      <c r="AK15" s="5">
        <f t="shared" si="19"/>
        <v>954.87896232922662</v>
      </c>
      <c r="AL15" s="5">
        <f t="shared" si="19"/>
        <v>973.97654157581121</v>
      </c>
    </row>
    <row r="16" spans="2:149" s="1" customFormat="1" x14ac:dyDescent="0.3">
      <c r="B16" s="1" t="s">
        <v>44</v>
      </c>
      <c r="C16" s="7">
        <f>C13-C14-C15</f>
        <v>190</v>
      </c>
      <c r="D16" s="7">
        <f>D13-D14-D15</f>
        <v>-1401</v>
      </c>
      <c r="E16" s="7">
        <f>E13-E14-E15</f>
        <v>583</v>
      </c>
      <c r="F16" s="7">
        <f>F13-F14-F15</f>
        <v>-1294</v>
      </c>
      <c r="G16" s="7">
        <f>G13-G14-G15</f>
        <v>-764</v>
      </c>
      <c r="H16" s="7">
        <f>H13-H14-H15</f>
        <v>1232</v>
      </c>
      <c r="I16" s="7">
        <f>I13-I14-I15</f>
        <v>1002</v>
      </c>
      <c r="J16" s="7">
        <f>J13-J14-J15</f>
        <v>-76</v>
      </c>
      <c r="K16" s="7">
        <f>K13-K14-K15</f>
        <v>1038</v>
      </c>
      <c r="L16" s="7">
        <f>L13-L14-L15</f>
        <v>1034</v>
      </c>
      <c r="M16" s="7">
        <f>M13-M14-M15</f>
        <v>-320</v>
      </c>
      <c r="N16" s="7">
        <f>N13-N14-N15</f>
        <v>681</v>
      </c>
      <c r="O16" s="7">
        <f>O13-O14-O15</f>
        <v>605</v>
      </c>
      <c r="P16" s="7">
        <f>P13-P14-P15</f>
        <v>90</v>
      </c>
      <c r="Q16" s="7">
        <f>Q13-Q14-Q15</f>
        <v>611</v>
      </c>
      <c r="R16" s="7">
        <f>R13-R14-R15</f>
        <v>220</v>
      </c>
      <c r="S16" s="7">
        <f>S13-S14-S15</f>
        <v>1704</v>
      </c>
      <c r="T16" s="7">
        <f t="shared" ref="T16:V16" si="20">T13-T14-T15</f>
        <v>722.62662200000011</v>
      </c>
      <c r="U16" s="7">
        <f t="shared" si="20"/>
        <v>649.86762200000021</v>
      </c>
      <c r="V16" s="7">
        <f t="shared" si="20"/>
        <v>205.87308600000023</v>
      </c>
      <c r="X16" s="7">
        <f>X13-X14-X15</f>
        <v>-1922</v>
      </c>
      <c r="Y16" s="7">
        <f>Y13-Y14-Y15</f>
        <v>1394</v>
      </c>
      <c r="Z16" s="7">
        <f>Z13-Z14-Z15</f>
        <v>2433</v>
      </c>
      <c r="AA16" s="7">
        <f>AA13-AA14-AA15</f>
        <v>1526</v>
      </c>
      <c r="AB16" s="7">
        <f>AB13-AB14-AB15</f>
        <v>3282.3673300000014</v>
      </c>
      <c r="AC16" s="7">
        <f t="shared" ref="AC16:AL16" si="21">AC13-AC14-AC15</f>
        <v>3404.7456051140002</v>
      </c>
      <c r="AD16" s="7">
        <f t="shared" si="21"/>
        <v>3627.5671856098061</v>
      </c>
      <c r="AE16" s="7">
        <f t="shared" si="21"/>
        <v>3695.1686329326158</v>
      </c>
      <c r="AF16" s="7">
        <f t="shared" si="21"/>
        <v>3818.9728434262324</v>
      </c>
      <c r="AG16" s="7">
        <f t="shared" si="21"/>
        <v>3946.3089979269434</v>
      </c>
      <c r="AH16" s="7">
        <f t="shared" si="21"/>
        <v>4076.3841398676377</v>
      </c>
      <c r="AI16" s="7">
        <f t="shared" si="21"/>
        <v>4094.9284017287473</v>
      </c>
      <c r="AJ16" s="7">
        <f t="shared" si="21"/>
        <v>4111.0428152127643</v>
      </c>
      <c r="AK16" s="7">
        <f t="shared" si="21"/>
        <v>4126.4098726805651</v>
      </c>
      <c r="AL16" s="7">
        <f t="shared" si="21"/>
        <v>4141.0128491697797</v>
      </c>
      <c r="AM16" s="1">
        <f>AL16*(1+$AO$24)</f>
        <v>4099.6027206780818</v>
      </c>
      <c r="AN16" s="1">
        <f t="shared" ref="AN16:CY16" si="22">AM16*(1+$AO$24)</f>
        <v>4058.6066934713008</v>
      </c>
      <c r="AO16" s="1">
        <f t="shared" si="22"/>
        <v>4018.0206265365878</v>
      </c>
      <c r="AP16" s="1">
        <f t="shared" si="22"/>
        <v>3977.8404202712218</v>
      </c>
      <c r="AQ16" s="1">
        <f t="shared" si="22"/>
        <v>3938.0620160685094</v>
      </c>
      <c r="AR16" s="1">
        <f t="shared" si="22"/>
        <v>3898.681395907824</v>
      </c>
      <c r="AS16" s="1">
        <f t="shared" si="22"/>
        <v>3859.694581948746</v>
      </c>
      <c r="AT16" s="1">
        <f t="shared" si="22"/>
        <v>3821.0976361292583</v>
      </c>
      <c r="AU16" s="1">
        <f t="shared" si="22"/>
        <v>3782.8866597679657</v>
      </c>
      <c r="AV16" s="1">
        <f t="shared" si="22"/>
        <v>3745.057793170286</v>
      </c>
      <c r="AW16" s="1">
        <f t="shared" si="22"/>
        <v>3707.6072152385832</v>
      </c>
      <c r="AX16" s="1">
        <f t="shared" si="22"/>
        <v>3670.5311430861975</v>
      </c>
      <c r="AY16" s="1">
        <f t="shared" si="22"/>
        <v>3633.8258316553356</v>
      </c>
      <c r="AZ16" s="1">
        <f t="shared" si="22"/>
        <v>3597.4875733387821</v>
      </c>
      <c r="BA16" s="1">
        <f t="shared" si="22"/>
        <v>3561.5126976053944</v>
      </c>
      <c r="BB16" s="1">
        <f t="shared" si="22"/>
        <v>3525.8975706293404</v>
      </c>
      <c r="BC16" s="1">
        <f t="shared" si="22"/>
        <v>3490.6385949230471</v>
      </c>
      <c r="BD16" s="1">
        <f t="shared" si="22"/>
        <v>3455.7322089738168</v>
      </c>
      <c r="BE16" s="1">
        <f t="shared" si="22"/>
        <v>3421.1748868840787</v>
      </c>
      <c r="BF16" s="1">
        <f t="shared" si="22"/>
        <v>3386.9631380152377</v>
      </c>
      <c r="BG16" s="1">
        <f t="shared" si="22"/>
        <v>3353.0935066350853</v>
      </c>
      <c r="BH16" s="1">
        <f t="shared" si="22"/>
        <v>3319.5625715687343</v>
      </c>
      <c r="BI16" s="1">
        <f t="shared" si="22"/>
        <v>3286.3669458530467</v>
      </c>
      <c r="BJ16" s="1">
        <f t="shared" si="22"/>
        <v>3253.503276394516</v>
      </c>
      <c r="BK16" s="1">
        <f t="shared" si="22"/>
        <v>3220.9682436305707</v>
      </c>
      <c r="BL16" s="1">
        <f t="shared" si="22"/>
        <v>3188.758561194265</v>
      </c>
      <c r="BM16" s="1">
        <f t="shared" si="22"/>
        <v>3156.8709755823224</v>
      </c>
      <c r="BN16" s="1">
        <f t="shared" si="22"/>
        <v>3125.302265826499</v>
      </c>
      <c r="BO16" s="1">
        <f t="shared" si="22"/>
        <v>3094.0492431682342</v>
      </c>
      <c r="BP16" s="1">
        <f t="shared" si="22"/>
        <v>3063.1087507365519</v>
      </c>
      <c r="BQ16" s="1">
        <f t="shared" si="22"/>
        <v>3032.4776632291864</v>
      </c>
      <c r="BR16" s="1">
        <f t="shared" si="22"/>
        <v>3002.1528865968944</v>
      </c>
      <c r="BS16" s="1">
        <f t="shared" si="22"/>
        <v>2972.1313577309256</v>
      </c>
      <c r="BT16" s="1">
        <f t="shared" si="22"/>
        <v>2942.4100441536161</v>
      </c>
      <c r="BU16" s="1">
        <f t="shared" si="22"/>
        <v>2912.9859437120799</v>
      </c>
      <c r="BV16" s="1">
        <f t="shared" si="22"/>
        <v>2883.8560842749589</v>
      </c>
      <c r="BW16" s="1">
        <f t="shared" si="22"/>
        <v>2855.0175234322091</v>
      </c>
      <c r="BX16" s="1">
        <f t="shared" si="22"/>
        <v>2826.4673481978871</v>
      </c>
      <c r="BY16" s="1">
        <f t="shared" si="22"/>
        <v>2798.202674715908</v>
      </c>
      <c r="BZ16" s="1">
        <f t="shared" si="22"/>
        <v>2770.2206479687488</v>
      </c>
      <c r="CA16" s="1">
        <f t="shared" si="22"/>
        <v>2742.5184414890614</v>
      </c>
      <c r="CB16" s="1">
        <f t="shared" si="22"/>
        <v>2715.0932570741707</v>
      </c>
      <c r="CC16" s="1">
        <f t="shared" si="22"/>
        <v>2687.9423245034291</v>
      </c>
      <c r="CD16" s="1">
        <f t="shared" si="22"/>
        <v>2661.062901258395</v>
      </c>
      <c r="CE16" s="1">
        <f t="shared" si="22"/>
        <v>2634.4522722458109</v>
      </c>
      <c r="CF16" s="1">
        <f t="shared" si="22"/>
        <v>2608.1077495233526</v>
      </c>
      <c r="CG16" s="1">
        <f t="shared" si="22"/>
        <v>2582.0266720281193</v>
      </c>
      <c r="CH16" s="1">
        <f t="shared" si="22"/>
        <v>2556.2064053078379</v>
      </c>
      <c r="CI16" s="1">
        <f t="shared" si="22"/>
        <v>2530.6443412547596</v>
      </c>
      <c r="CJ16" s="1">
        <f t="shared" si="22"/>
        <v>2505.337897842212</v>
      </c>
      <c r="CK16" s="1">
        <f t="shared" si="22"/>
        <v>2480.2845188637898</v>
      </c>
      <c r="CL16" s="1">
        <f t="shared" si="22"/>
        <v>2455.4816736751518</v>
      </c>
      <c r="CM16" s="1">
        <f t="shared" si="22"/>
        <v>2430.9268569384003</v>
      </c>
      <c r="CN16" s="1">
        <f t="shared" si="22"/>
        <v>2406.6175883690162</v>
      </c>
      <c r="CO16" s="1">
        <f t="shared" si="22"/>
        <v>2382.5514124853262</v>
      </c>
      <c r="CP16" s="1">
        <f t="shared" si="22"/>
        <v>2358.7258983604729</v>
      </c>
      <c r="CQ16" s="1">
        <f t="shared" si="22"/>
        <v>2335.138639376868</v>
      </c>
      <c r="CR16" s="1">
        <f t="shared" si="22"/>
        <v>2311.7872529830993</v>
      </c>
      <c r="CS16" s="1">
        <f t="shared" si="22"/>
        <v>2288.6693804532683</v>
      </c>
      <c r="CT16" s="1">
        <f t="shared" si="22"/>
        <v>2265.7826866487358</v>
      </c>
      <c r="CU16" s="1">
        <f t="shared" si="22"/>
        <v>2243.1248597822482</v>
      </c>
      <c r="CV16" s="1">
        <f t="shared" si="22"/>
        <v>2220.6936111844257</v>
      </c>
      <c r="CW16" s="1">
        <f t="shared" si="22"/>
        <v>2198.4866750725814</v>
      </c>
      <c r="CX16" s="1">
        <f t="shared" si="22"/>
        <v>2176.5018083218556</v>
      </c>
      <c r="CY16" s="1">
        <f t="shared" si="22"/>
        <v>2154.7367902386372</v>
      </c>
      <c r="CZ16" s="1">
        <f t="shared" ref="CZ16:ES16" si="23">CY16*(1+$AO$24)</f>
        <v>2133.189422336251</v>
      </c>
      <c r="DA16" s="1">
        <f t="shared" si="23"/>
        <v>2111.8575281128883</v>
      </c>
      <c r="DB16" s="1">
        <f t="shared" si="23"/>
        <v>2090.7389528317594</v>
      </c>
      <c r="DC16" s="1">
        <f t="shared" si="23"/>
        <v>2069.8315633034417</v>
      </c>
      <c r="DD16" s="1">
        <f t="shared" si="23"/>
        <v>2049.1332476704074</v>
      </c>
      <c r="DE16" s="1">
        <f t="shared" si="23"/>
        <v>2028.6419151937032</v>
      </c>
      <c r="DF16" s="1">
        <f t="shared" si="23"/>
        <v>2008.3554960417662</v>
      </c>
      <c r="DG16" s="1">
        <f t="shared" si="23"/>
        <v>1988.2719410813486</v>
      </c>
      <c r="DH16" s="1">
        <f t="shared" si="23"/>
        <v>1968.3892216705351</v>
      </c>
      <c r="DI16" s="1">
        <f t="shared" si="23"/>
        <v>1948.7053294538298</v>
      </c>
      <c r="DJ16" s="1">
        <f t="shared" si="23"/>
        <v>1929.2182761592915</v>
      </c>
      <c r="DK16" s="1">
        <f t="shared" si="23"/>
        <v>1909.9260933976984</v>
      </c>
      <c r="DL16" s="1">
        <f t="shared" si="23"/>
        <v>1890.8268324637215</v>
      </c>
      <c r="DM16" s="1">
        <f t="shared" si="23"/>
        <v>1871.9185641390843</v>
      </c>
      <c r="DN16" s="1">
        <f t="shared" si="23"/>
        <v>1853.1993784976935</v>
      </c>
      <c r="DO16" s="1">
        <f t="shared" si="23"/>
        <v>1834.6673847127165</v>
      </c>
      <c r="DP16" s="1">
        <f t="shared" si="23"/>
        <v>1816.3207108655893</v>
      </c>
      <c r="DQ16" s="1">
        <f t="shared" si="23"/>
        <v>1798.1575037569335</v>
      </c>
      <c r="DR16" s="1">
        <f t="shared" si="23"/>
        <v>1780.175928719364</v>
      </c>
      <c r="DS16" s="1">
        <f t="shared" si="23"/>
        <v>1762.3741694321704</v>
      </c>
      <c r="DT16" s="1">
        <f t="shared" si="23"/>
        <v>1744.7504277378487</v>
      </c>
      <c r="DU16" s="1">
        <f t="shared" si="23"/>
        <v>1727.3029234604701</v>
      </c>
      <c r="DV16" s="1">
        <f t="shared" si="23"/>
        <v>1710.0298942258653</v>
      </c>
      <c r="DW16" s="1">
        <f t="shared" si="23"/>
        <v>1692.9295952836067</v>
      </c>
      <c r="DX16" s="1">
        <f t="shared" si="23"/>
        <v>1676.0002993307705</v>
      </c>
      <c r="DY16" s="1">
        <f t="shared" si="23"/>
        <v>1659.2402963374627</v>
      </c>
      <c r="DZ16" s="1">
        <f t="shared" si="23"/>
        <v>1642.647893374088</v>
      </c>
      <c r="EA16" s="1">
        <f t="shared" si="23"/>
        <v>1626.2214144403472</v>
      </c>
      <c r="EB16" s="1">
        <f t="shared" si="23"/>
        <v>1609.9592002959437</v>
      </c>
      <c r="EC16" s="1">
        <f t="shared" si="23"/>
        <v>1593.8596082929841</v>
      </c>
      <c r="ED16" s="1">
        <f t="shared" si="23"/>
        <v>1577.9210122100542</v>
      </c>
      <c r="EE16" s="1">
        <f t="shared" si="23"/>
        <v>1562.1418020879537</v>
      </c>
      <c r="EF16" s="1">
        <f t="shared" si="23"/>
        <v>1546.5203840670742</v>
      </c>
      <c r="EG16" s="1">
        <f t="shared" si="23"/>
        <v>1531.0551802264035</v>
      </c>
      <c r="EH16" s="1">
        <f t="shared" si="23"/>
        <v>1515.7446284241396</v>
      </c>
      <c r="EI16" s="1">
        <f t="shared" si="23"/>
        <v>1500.5871821398982</v>
      </c>
      <c r="EJ16" s="1">
        <f t="shared" si="23"/>
        <v>1485.5813103184992</v>
      </c>
      <c r="EK16" s="1">
        <f t="shared" si="23"/>
        <v>1470.7254972153141</v>
      </c>
      <c r="EL16" s="1">
        <f t="shared" si="23"/>
        <v>1456.018242243161</v>
      </c>
      <c r="EM16" s="1">
        <f t="shared" si="23"/>
        <v>1441.4580598207294</v>
      </c>
      <c r="EN16" s="1">
        <f t="shared" si="23"/>
        <v>1427.0434792225221</v>
      </c>
      <c r="EO16" s="1">
        <f t="shared" si="23"/>
        <v>1412.773044430297</v>
      </c>
      <c r="EP16" s="1">
        <f t="shared" si="23"/>
        <v>1398.6453139859941</v>
      </c>
      <c r="EQ16" s="1">
        <f t="shared" si="23"/>
        <v>1384.6588608461341</v>
      </c>
      <c r="ER16" s="1">
        <f t="shared" si="23"/>
        <v>1370.8122722376727</v>
      </c>
      <c r="ES16" s="1">
        <f t="shared" si="23"/>
        <v>1357.1041495152961</v>
      </c>
    </row>
    <row r="17" spans="2:41" x14ac:dyDescent="0.3">
      <c r="B17" t="s">
        <v>2</v>
      </c>
      <c r="C17" s="5">
        <v>17257</v>
      </c>
      <c r="D17" s="5">
        <v>17257</v>
      </c>
      <c r="E17" s="5">
        <v>17257</v>
      </c>
      <c r="F17" s="5">
        <v>17257</v>
      </c>
      <c r="G17" s="5">
        <v>17257</v>
      </c>
      <c r="H17" s="5">
        <v>17257</v>
      </c>
      <c r="I17" s="5">
        <v>17257</v>
      </c>
      <c r="J17" s="5">
        <v>17257</v>
      </c>
      <c r="K17" s="5">
        <v>17257</v>
      </c>
      <c r="L17" s="5">
        <v>17257</v>
      </c>
      <c r="M17" s="5">
        <v>17257</v>
      </c>
      <c r="N17" s="5">
        <v>17257</v>
      </c>
      <c r="O17" s="5">
        <v>17257</v>
      </c>
      <c r="P17" s="5">
        <v>17257</v>
      </c>
      <c r="Q17" s="5">
        <v>17257</v>
      </c>
      <c r="R17" s="5">
        <v>17257</v>
      </c>
      <c r="S17" s="5">
        <v>17257</v>
      </c>
      <c r="T17" s="5">
        <v>17257</v>
      </c>
      <c r="U17" s="5">
        <v>17257</v>
      </c>
      <c r="V17" s="5">
        <v>17257</v>
      </c>
      <c r="X17" s="5">
        <v>17257</v>
      </c>
      <c r="Y17" s="5">
        <v>17257</v>
      </c>
      <c r="Z17" s="5">
        <v>17257</v>
      </c>
      <c r="AA17" s="5">
        <v>17257</v>
      </c>
      <c r="AB17" s="5">
        <v>17257</v>
      </c>
      <c r="AC17" s="5">
        <v>17257</v>
      </c>
      <c r="AD17" s="5">
        <v>17257</v>
      </c>
      <c r="AE17" s="5">
        <v>17257</v>
      </c>
      <c r="AF17" s="5">
        <v>17257</v>
      </c>
      <c r="AG17" s="5">
        <v>17257</v>
      </c>
      <c r="AH17" s="5">
        <v>17257</v>
      </c>
      <c r="AI17" s="5">
        <v>17257</v>
      </c>
      <c r="AJ17" s="5">
        <v>17257</v>
      </c>
      <c r="AK17" s="5">
        <v>17257</v>
      </c>
      <c r="AL17" s="5">
        <v>17257</v>
      </c>
    </row>
    <row r="18" spans="2:41" s="1" customFormat="1" x14ac:dyDescent="0.3">
      <c r="B18" s="1" t="s">
        <v>45</v>
      </c>
      <c r="C18" s="8">
        <f>C16/C17</f>
        <v>1.1010024917424813E-2</v>
      </c>
      <c r="D18" s="8">
        <f>D16/D17</f>
        <v>-8.1184446891116646E-2</v>
      </c>
      <c r="E18" s="8">
        <f>E16/E17</f>
        <v>3.3783392246624556E-2</v>
      </c>
      <c r="F18" s="8">
        <f>F16/F17</f>
        <v>-7.4984064437619513E-2</v>
      </c>
      <c r="G18" s="8">
        <f>G16/G17</f>
        <v>-4.4271889667960827E-2</v>
      </c>
      <c r="H18" s="8">
        <f>H16/H17</f>
        <v>7.1391319464565103E-2</v>
      </c>
      <c r="I18" s="8">
        <f>I16/I17</f>
        <v>5.8063394564524543E-2</v>
      </c>
      <c r="J18" s="8">
        <f>J16/J17</f>
        <v>-4.4040099669699255E-3</v>
      </c>
      <c r="K18" s="8">
        <f>K16/K17</f>
        <v>6.0149504548878713E-2</v>
      </c>
      <c r="L18" s="8">
        <f>L16/L17</f>
        <v>5.9917714550617139E-2</v>
      </c>
      <c r="M18" s="8">
        <f>M16/M17</f>
        <v>-1.8543199860926E-2</v>
      </c>
      <c r="N18" s="8">
        <f>N16/N17</f>
        <v>3.9462247204033143E-2</v>
      </c>
      <c r="O18" s="8">
        <f>O16/O17</f>
        <v>3.5058237237063222E-2</v>
      </c>
      <c r="P18" s="8">
        <f>P16/P17</f>
        <v>5.2152749608854378E-3</v>
      </c>
      <c r="Q18" s="8">
        <f>Q16/Q17</f>
        <v>3.5405922234455586E-2</v>
      </c>
      <c r="R18" s="8">
        <f>R16/R17</f>
        <v>1.2748449904386625E-2</v>
      </c>
      <c r="S18" s="8">
        <f>S16/S17</f>
        <v>9.8742539259430953E-2</v>
      </c>
      <c r="T18" s="8">
        <f t="shared" ref="T18:V18" si="24">T16/T17</f>
        <v>4.1874405864286965E-2</v>
      </c>
      <c r="U18" s="8">
        <f t="shared" si="24"/>
        <v>3.7658203743408482E-2</v>
      </c>
      <c r="V18" s="8">
        <f t="shared" si="24"/>
        <v>1.1929830561511284E-2</v>
      </c>
      <c r="X18" s="8">
        <f>X16/X17</f>
        <v>-0.1113750941646868</v>
      </c>
      <c r="Y18" s="8">
        <f>Y16/Y17</f>
        <v>8.077881439415889E-2</v>
      </c>
      <c r="Z18" s="8">
        <f>Z16/Z17</f>
        <v>0.14098626644260301</v>
      </c>
      <c r="AA18" s="8">
        <f>AA16/AA17</f>
        <v>8.8427884336790871E-2</v>
      </c>
      <c r="AB18" s="8">
        <f>AB16/AB17</f>
        <v>0.19020497942863773</v>
      </c>
      <c r="AC18" s="8">
        <f t="shared" ref="AC18:AL18" si="25">AC16/AC17</f>
        <v>0.19729649447261982</v>
      </c>
      <c r="AD18" s="8">
        <f t="shared" si="25"/>
        <v>0.21020844791156088</v>
      </c>
      <c r="AE18" s="8">
        <f t="shared" si="25"/>
        <v>0.21412578275091937</v>
      </c>
      <c r="AF18" s="8">
        <f t="shared" si="25"/>
        <v>0.22129992718469216</v>
      </c>
      <c r="AG18" s="8">
        <f t="shared" si="25"/>
        <v>0.22867873894228102</v>
      </c>
      <c r="AH18" s="8">
        <f t="shared" si="25"/>
        <v>0.23621626817335792</v>
      </c>
      <c r="AI18" s="8">
        <f t="shared" si="25"/>
        <v>0.23729086177949513</v>
      </c>
      <c r="AJ18" s="8">
        <f t="shared" si="25"/>
        <v>0.23822465174785676</v>
      </c>
      <c r="AK18" s="8">
        <f t="shared" si="25"/>
        <v>0.23911513430379353</v>
      </c>
      <c r="AL18" s="8">
        <f t="shared" si="25"/>
        <v>0.23996134027755575</v>
      </c>
    </row>
    <row r="20" spans="2:41" x14ac:dyDescent="0.3">
      <c r="B20" t="s">
        <v>47</v>
      </c>
      <c r="C20" s="11"/>
      <c r="D20" s="11"/>
      <c r="E20" s="11"/>
      <c r="F20" s="11"/>
      <c r="G20" s="11">
        <f>G3/C3-1</f>
        <v>-0.13140134974196105</v>
      </c>
      <c r="H20" s="11">
        <f t="shared" ref="H20:V22" si="26">H3/D3-1</f>
        <v>-0.15083365645599067</v>
      </c>
      <c r="I20" s="11">
        <f t="shared" si="26"/>
        <v>-3.5151515151515156E-2</v>
      </c>
      <c r="J20" s="11">
        <f t="shared" si="26"/>
        <v>1.0563380281690238E-2</v>
      </c>
      <c r="K20" s="11">
        <f t="shared" si="26"/>
        <v>3.1992687385740348E-2</v>
      </c>
      <c r="L20" s="11">
        <f t="shared" si="26"/>
        <v>7.7625570776255648E-2</v>
      </c>
      <c r="M20" s="11">
        <f t="shared" si="26"/>
        <v>2.3869346733668362E-2</v>
      </c>
      <c r="N20" s="11">
        <f t="shared" si="26"/>
        <v>2.0905923344947785E-2</v>
      </c>
      <c r="O20" s="11">
        <f t="shared" si="26"/>
        <v>3.2329495128432306E-2</v>
      </c>
      <c r="P20" s="11">
        <f t="shared" si="26"/>
        <v>-0.19830508474576269</v>
      </c>
      <c r="Q20" s="11">
        <f t="shared" si="26"/>
        <v>-0.1595092024539877</v>
      </c>
      <c r="R20" s="11">
        <f t="shared" si="26"/>
        <v>-0.21288395904436863</v>
      </c>
      <c r="S20" s="11">
        <f t="shared" si="26"/>
        <v>-0.20592020592020588</v>
      </c>
      <c r="T20" s="11">
        <f t="shared" si="26"/>
        <v>3.0000000000000027E-2</v>
      </c>
      <c r="U20" s="11">
        <f t="shared" si="26"/>
        <v>3.0000000000000027E-2</v>
      </c>
      <c r="V20" s="11">
        <f t="shared" si="26"/>
        <v>3.0000000000000027E-2</v>
      </c>
      <c r="X20" s="11"/>
      <c r="Y20" s="11">
        <f>Y3/X3-1</f>
        <v>-7.9532757745048199E-2</v>
      </c>
      <c r="Z20" s="11">
        <f t="shared" ref="Z20:AL20" si="27">Z3/Y3-1</f>
        <v>3.8071065989847774E-2</v>
      </c>
      <c r="AA20" s="11">
        <f t="shared" si="27"/>
        <v>-0.13649410013819496</v>
      </c>
      <c r="AB20" s="11">
        <f t="shared" si="27"/>
        <v>-3.7700357010956531E-2</v>
      </c>
      <c r="AC20" s="11">
        <f t="shared" si="27"/>
        <v>5.0000000000000044E-2</v>
      </c>
      <c r="AD20" s="11">
        <f t="shared" si="27"/>
        <v>3.0000000000000027E-2</v>
      </c>
      <c r="AE20" s="11">
        <f t="shared" si="27"/>
        <v>2.0000000000000018E-2</v>
      </c>
      <c r="AF20" s="11">
        <f t="shared" si="27"/>
        <v>1.0000000000000009E-2</v>
      </c>
      <c r="AG20" s="11">
        <f t="shared" si="27"/>
        <v>1.0000000000000009E-2</v>
      </c>
      <c r="AH20" s="11">
        <f t="shared" si="27"/>
        <v>1.0000000000000009E-2</v>
      </c>
      <c r="AI20" s="11">
        <f t="shared" si="27"/>
        <v>1.0000000000000009E-2</v>
      </c>
      <c r="AJ20" s="11">
        <f t="shared" si="27"/>
        <v>1.0000000000000009E-2</v>
      </c>
      <c r="AK20" s="11">
        <f t="shared" si="27"/>
        <v>1.0000000000000009E-2</v>
      </c>
      <c r="AL20" s="11">
        <f t="shared" si="27"/>
        <v>1.0000000000000009E-2</v>
      </c>
    </row>
    <row r="21" spans="2:41" x14ac:dyDescent="0.3">
      <c r="B21" t="s">
        <v>48</v>
      </c>
      <c r="C21" s="11"/>
      <c r="D21" s="11"/>
      <c r="E21" s="11"/>
      <c r="F21" s="11"/>
      <c r="G21" s="11">
        <f t="shared" ref="G21:G27" si="28">G4/C4-1</f>
        <v>-4.0556900726392286E-2</v>
      </c>
      <c r="H21" s="11">
        <f t="shared" si="26"/>
        <v>0.36587333602258965</v>
      </c>
      <c r="I21" s="11">
        <f t="shared" si="26"/>
        <v>1.5937731653076437E-2</v>
      </c>
      <c r="J21" s="11">
        <f t="shared" si="26"/>
        <v>9.818181818181726E-3</v>
      </c>
      <c r="K21" s="11">
        <f t="shared" si="26"/>
        <v>-5.5520504731861209E-2</v>
      </c>
      <c r="L21" s="11">
        <f t="shared" si="26"/>
        <v>-6.1429415239220297E-2</v>
      </c>
      <c r="M21" s="11">
        <f t="shared" si="26"/>
        <v>0.12951477562933245</v>
      </c>
      <c r="N21" s="11">
        <f t="shared" si="26"/>
        <v>6.4818149081742993E-2</v>
      </c>
      <c r="O21" s="11">
        <f t="shared" si="26"/>
        <v>0.31997327989311963</v>
      </c>
      <c r="P21" s="11">
        <f t="shared" si="26"/>
        <v>8.4329767149150303E-2</v>
      </c>
      <c r="Q21" s="11">
        <f t="shared" si="26"/>
        <v>1.7118863049095712E-2</v>
      </c>
      <c r="R21" s="11">
        <f t="shared" si="26"/>
        <v>4.7007101792357009E-2</v>
      </c>
      <c r="S21" s="11">
        <f t="shared" si="26"/>
        <v>2.4544534412955565E-2</v>
      </c>
      <c r="T21" s="11">
        <f t="shared" si="26"/>
        <v>3.0000000000000027E-2</v>
      </c>
      <c r="U21" s="11">
        <f t="shared" si="26"/>
        <v>1.0000000000000009E-2</v>
      </c>
      <c r="V21" s="11">
        <f t="shared" si="26"/>
        <v>4.0000000000000036E-2</v>
      </c>
      <c r="X21" s="11"/>
      <c r="Y21" s="11">
        <f t="shared" ref="Y21:AL21" si="29">Y4/X4-1</f>
        <v>7.506010150476361E-2</v>
      </c>
      <c r="Z21" s="11">
        <f t="shared" si="29"/>
        <v>1.250621169455024E-2</v>
      </c>
      <c r="AA21" s="11">
        <f t="shared" si="29"/>
        <v>0.11599182004089981</v>
      </c>
      <c r="AB21" s="11">
        <f t="shared" si="29"/>
        <v>2.6072711280510141E-2</v>
      </c>
      <c r="AC21" s="11">
        <f t="shared" si="29"/>
        <v>3.0000000000000027E-2</v>
      </c>
      <c r="AD21" s="11">
        <f t="shared" si="29"/>
        <v>3.0000000000000027E-2</v>
      </c>
      <c r="AE21" s="11">
        <f t="shared" si="29"/>
        <v>2.0000000000000018E-2</v>
      </c>
      <c r="AF21" s="11">
        <f t="shared" si="29"/>
        <v>2.0000000000000018E-2</v>
      </c>
      <c r="AG21" s="11">
        <f t="shared" si="29"/>
        <v>2.0000000000000018E-2</v>
      </c>
      <c r="AH21" s="11">
        <f t="shared" si="29"/>
        <v>2.0000000000000018E-2</v>
      </c>
      <c r="AI21" s="11">
        <f t="shared" si="29"/>
        <v>1.0000000000000009E-2</v>
      </c>
      <c r="AJ21" s="11">
        <f t="shared" si="29"/>
        <v>1.0000000000000009E-2</v>
      </c>
      <c r="AK21" s="11">
        <f t="shared" si="29"/>
        <v>1.0000000000000009E-2</v>
      </c>
      <c r="AL21" s="11">
        <f t="shared" si="29"/>
        <v>1.0000000000000009E-2</v>
      </c>
    </row>
    <row r="22" spans="2:41" x14ac:dyDescent="0.3">
      <c r="B22" s="1" t="s">
        <v>46</v>
      </c>
      <c r="C22" s="11"/>
      <c r="D22" s="11"/>
      <c r="E22" s="11"/>
      <c r="F22" s="11"/>
      <c r="G22" s="11">
        <f t="shared" si="28"/>
        <v>-7.9855744461617695E-2</v>
      </c>
      <c r="H22" s="11">
        <f t="shared" si="26"/>
        <v>0.10241202056148668</v>
      </c>
      <c r="I22" s="11">
        <f t="shared" si="26"/>
        <v>-8.5057026870287711E-3</v>
      </c>
      <c r="J22" s="11">
        <f t="shared" si="26"/>
        <v>1.0155316606929476E-2</v>
      </c>
      <c r="K22" s="11">
        <f t="shared" si="26"/>
        <v>-1.9783501306457674E-2</v>
      </c>
      <c r="L22" s="11">
        <f t="shared" si="26"/>
        <v>-6.8149210903873936E-3</v>
      </c>
      <c r="M22" s="11">
        <f t="shared" si="26"/>
        <v>8.0327549229869399E-2</v>
      </c>
      <c r="N22" s="11">
        <f t="shared" si="26"/>
        <v>4.4943820224719211E-2</v>
      </c>
      <c r="O22" s="11">
        <f t="shared" si="26"/>
        <v>0.19630616907844622</v>
      </c>
      <c r="P22" s="11">
        <f t="shared" si="26"/>
        <v>-3.6114120621162926E-2</v>
      </c>
      <c r="Q22" s="11">
        <f t="shared" si="26"/>
        <v>-6.081934668832345E-2</v>
      </c>
      <c r="R22" s="11">
        <f t="shared" si="26"/>
        <v>-6.7911714770797937E-2</v>
      </c>
      <c r="S22" s="11">
        <f t="shared" si="26"/>
        <v>-6.0958141015438505E-2</v>
      </c>
      <c r="T22" s="11">
        <f t="shared" si="26"/>
        <v>3.0000000000000027E-2</v>
      </c>
      <c r="U22" s="11">
        <f t="shared" si="26"/>
        <v>1.7897770945426661E-2</v>
      </c>
      <c r="V22" s="11">
        <f t="shared" si="26"/>
        <v>3.6265938069216963E-2</v>
      </c>
      <c r="X22" s="11"/>
      <c r="Y22" s="11">
        <f t="shared" ref="Y22:AL22" si="30">Y5/X5-1</f>
        <v>2.8468400075916112E-3</v>
      </c>
      <c r="Z22" s="11">
        <f t="shared" si="30"/>
        <v>2.346707040121121E-2</v>
      </c>
      <c r="AA22" s="11">
        <f t="shared" si="30"/>
        <v>6.194526627218977E-3</v>
      </c>
      <c r="AB22" s="11">
        <f t="shared" si="30"/>
        <v>2.2728108058440721E-3</v>
      </c>
      <c r="AC22" s="11">
        <f t="shared" si="30"/>
        <v>3.7166254038991431E-2</v>
      </c>
      <c r="AD22" s="11">
        <f t="shared" si="30"/>
        <v>3.0000000000000249E-2</v>
      </c>
      <c r="AE22" s="11">
        <f t="shared" si="30"/>
        <v>1.9999999999999796E-2</v>
      </c>
      <c r="AF22" s="11">
        <f t="shared" si="30"/>
        <v>1.6372535882440031E-2</v>
      </c>
      <c r="AG22" s="11">
        <f t="shared" si="30"/>
        <v>1.6395279654467743E-2</v>
      </c>
      <c r="AH22" s="11">
        <f t="shared" si="30"/>
        <v>1.641796098243864E-2</v>
      </c>
      <c r="AI22" s="11">
        <f t="shared" si="30"/>
        <v>1.0000000000000009E-2</v>
      </c>
      <c r="AJ22" s="11">
        <f t="shared" si="30"/>
        <v>1.0000000000000009E-2</v>
      </c>
      <c r="AK22" s="11">
        <f t="shared" si="30"/>
        <v>1.0000000000000009E-2</v>
      </c>
      <c r="AL22" s="11">
        <f t="shared" si="30"/>
        <v>1.0000000000000009E-2</v>
      </c>
    </row>
    <row r="23" spans="2:41" x14ac:dyDescent="0.3">
      <c r="B23" s="1" t="s">
        <v>49</v>
      </c>
      <c r="C23" s="11">
        <f t="shared" ref="C23:G23" si="31">C7/C5</f>
        <v>0.90949682294349987</v>
      </c>
      <c r="D23" s="11">
        <f t="shared" si="31"/>
        <v>0.89580862000790829</v>
      </c>
      <c r="E23" s="11">
        <f t="shared" si="31"/>
        <v>0.86294219988401311</v>
      </c>
      <c r="F23" s="11">
        <f t="shared" si="31"/>
        <v>0.88590203106332144</v>
      </c>
      <c r="G23" s="11">
        <f>G7/G5</f>
        <v>0.94624860022396418</v>
      </c>
      <c r="H23" s="11">
        <f t="shared" ref="H23:V23" si="32">H7/H5</f>
        <v>0.94924677187948348</v>
      </c>
      <c r="I23" s="11">
        <f t="shared" si="32"/>
        <v>0.95047767596022614</v>
      </c>
      <c r="J23" s="11">
        <f t="shared" si="32"/>
        <v>0.87325054208555097</v>
      </c>
      <c r="K23" s="11">
        <f t="shared" si="32"/>
        <v>0.91469916222391467</v>
      </c>
      <c r="L23" s="11">
        <f t="shared" si="32"/>
        <v>0.91332611050920909</v>
      </c>
      <c r="M23" s="11">
        <f t="shared" si="32"/>
        <v>0.91680202129579502</v>
      </c>
      <c r="N23" s="11">
        <f t="shared" si="32"/>
        <v>0.90133936993020181</v>
      </c>
      <c r="O23" s="11">
        <f t="shared" si="32"/>
        <v>0.66337736749960208</v>
      </c>
      <c r="P23" s="11">
        <f t="shared" si="32"/>
        <v>0.6959535406519296</v>
      </c>
      <c r="Q23" s="11">
        <f t="shared" si="32"/>
        <v>0.88316679477325133</v>
      </c>
      <c r="R23" s="11">
        <f t="shared" si="32"/>
        <v>0.90042501517911355</v>
      </c>
      <c r="S23" s="11">
        <f t="shared" si="32"/>
        <v>0.9906779661016949</v>
      </c>
      <c r="T23" s="11">
        <f t="shared" si="32"/>
        <v>0.87</v>
      </c>
      <c r="U23" s="11">
        <f t="shared" si="32"/>
        <v>0.87</v>
      </c>
      <c r="V23" s="11">
        <f t="shared" si="32"/>
        <v>0.86</v>
      </c>
      <c r="X23" s="11">
        <f t="shared" ref="X23:AL23" si="33">X7/X5</f>
        <v>0.88916302903776812</v>
      </c>
      <c r="Y23" s="11">
        <f t="shared" si="33"/>
        <v>0.93054504163512486</v>
      </c>
      <c r="Z23" s="11">
        <f t="shared" si="33"/>
        <v>0.91161242603550297</v>
      </c>
      <c r="AA23" s="11">
        <f t="shared" si="33"/>
        <v>0.77772672976201418</v>
      </c>
      <c r="AB23" s="11">
        <f t="shared" si="33"/>
        <v>0.90029034442072531</v>
      </c>
      <c r="AC23" s="11">
        <f t="shared" si="33"/>
        <v>0.9</v>
      </c>
      <c r="AD23" s="11">
        <f t="shared" si="33"/>
        <v>0.9</v>
      </c>
      <c r="AE23" s="11">
        <f t="shared" si="33"/>
        <v>0.9</v>
      </c>
      <c r="AF23" s="11">
        <f t="shared" si="33"/>
        <v>0.9</v>
      </c>
      <c r="AG23" s="11">
        <f t="shared" si="33"/>
        <v>0.9</v>
      </c>
      <c r="AH23" s="11">
        <f t="shared" si="33"/>
        <v>0.9</v>
      </c>
      <c r="AI23" s="11">
        <f t="shared" si="33"/>
        <v>0.89999999999999991</v>
      </c>
      <c r="AJ23" s="11">
        <f t="shared" si="33"/>
        <v>0.9</v>
      </c>
      <c r="AK23" s="11">
        <f t="shared" si="33"/>
        <v>0.9</v>
      </c>
      <c r="AL23" s="11">
        <f t="shared" si="33"/>
        <v>0.9</v>
      </c>
    </row>
    <row r="24" spans="2:41" x14ac:dyDescent="0.3">
      <c r="B24" t="s">
        <v>50</v>
      </c>
      <c r="C24" s="11">
        <f t="shared" ref="C24:G24" si="34">C11/C5</f>
        <v>0.28799587841318908</v>
      </c>
      <c r="D24" s="11">
        <f t="shared" si="34"/>
        <v>8.2641360221431398E-2</v>
      </c>
      <c r="E24" s="11">
        <f t="shared" si="34"/>
        <v>0.2143823699980669</v>
      </c>
      <c r="F24" s="11">
        <f t="shared" si="34"/>
        <v>1.5929908403026681E-2</v>
      </c>
      <c r="G24" s="11">
        <f>G11/G5</f>
        <v>-4.7592385218365063E-2</v>
      </c>
      <c r="H24" s="11">
        <f t="shared" ref="H24:V24" si="35">H11/H5</f>
        <v>0.34110473457675755</v>
      </c>
      <c r="I24" s="11">
        <f t="shared" si="35"/>
        <v>0.28095145252485865</v>
      </c>
      <c r="J24" s="11">
        <f t="shared" si="35"/>
        <v>6.6430120244431304E-2</v>
      </c>
      <c r="K24" s="11">
        <f t="shared" si="35"/>
        <v>0.28293983244478293</v>
      </c>
      <c r="L24" s="11">
        <f t="shared" si="35"/>
        <v>0.27157818707114484</v>
      </c>
      <c r="M24" s="11">
        <f t="shared" si="35"/>
        <v>3.9523551705468327E-2</v>
      </c>
      <c r="N24" s="11">
        <f t="shared" si="35"/>
        <v>0.20316921335597057</v>
      </c>
      <c r="O24" s="11">
        <f t="shared" si="35"/>
        <v>0.14403947159000477</v>
      </c>
      <c r="P24" s="11">
        <f t="shared" si="35"/>
        <v>7.2124391157736986E-2</v>
      </c>
      <c r="Q24" s="11">
        <f t="shared" si="35"/>
        <v>0.21694850115295927</v>
      </c>
      <c r="R24" s="11">
        <f t="shared" si="35"/>
        <v>0.12608783647035013</v>
      </c>
      <c r="S24" s="11">
        <f t="shared" si="35"/>
        <v>0.38423728813559321</v>
      </c>
      <c r="T24" s="11">
        <f t="shared" si="35"/>
        <v>0.21059518309828415</v>
      </c>
      <c r="U24" s="11">
        <f t="shared" si="35"/>
        <v>0.20119947745387137</v>
      </c>
      <c r="V24" s="11">
        <f t="shared" si="35"/>
        <v>9.8387637958747665E-2</v>
      </c>
      <c r="X24" s="11">
        <f t="shared" ref="X24:AL24" si="36">X11/X5</f>
        <v>0.15581704308217878</v>
      </c>
      <c r="Y24" s="11">
        <f t="shared" si="36"/>
        <v>0.1620457986373959</v>
      </c>
      <c r="Z24" s="11">
        <f t="shared" si="36"/>
        <v>0.19813239644970415</v>
      </c>
      <c r="AA24" s="11">
        <f t="shared" si="36"/>
        <v>0.13975925755765872</v>
      </c>
      <c r="AB24" s="11">
        <f t="shared" si="36"/>
        <v>0.22893969279598383</v>
      </c>
      <c r="AC24" s="11">
        <f t="shared" si="36"/>
        <v>0.23317045333673284</v>
      </c>
      <c r="AD24" s="11">
        <f t="shared" si="36"/>
        <v>0.23926201306522019</v>
      </c>
      <c r="AE24" s="11">
        <f t="shared" si="36"/>
        <v>0.23886824912689394</v>
      </c>
      <c r="AF24" s="11">
        <f t="shared" si="36"/>
        <v>0.24233930738106541</v>
      </c>
      <c r="AG24" s="11">
        <f t="shared" si="36"/>
        <v>0.24578482648600997</v>
      </c>
      <c r="AH24" s="11">
        <f t="shared" si="36"/>
        <v>0.24920419406090888</v>
      </c>
      <c r="AI24" s="11">
        <f t="shared" si="36"/>
        <v>0.24846841718447837</v>
      </c>
      <c r="AJ24" s="11">
        <f t="shared" si="36"/>
        <v>0.2477074813582239</v>
      </c>
      <c r="AK24" s="11">
        <f t="shared" si="36"/>
        <v>0.24692042960124599</v>
      </c>
      <c r="AL24" s="11">
        <f t="shared" si="36"/>
        <v>0.24610626742264083</v>
      </c>
      <c r="AN24" t="s">
        <v>53</v>
      </c>
      <c r="AO24" s="11">
        <v>-0.01</v>
      </c>
    </row>
    <row r="25" spans="2:41" x14ac:dyDescent="0.3">
      <c r="B25" t="s">
        <v>51</v>
      </c>
      <c r="C25" s="11"/>
      <c r="D25" s="11"/>
      <c r="E25" s="11"/>
      <c r="F25" s="11"/>
      <c r="G25" s="11">
        <f t="shared" si="28"/>
        <v>-6.3213589529379055E-2</v>
      </c>
      <c r="H25" s="11">
        <f t="shared" ref="H25" si="37">H8/D8-1</f>
        <v>-2.5897586815774032E-2</v>
      </c>
      <c r="I25" s="11">
        <f t="shared" ref="I25" si="38">I8/E8-1</f>
        <v>1.6799022602321356E-2</v>
      </c>
      <c r="J25" s="11">
        <f t="shared" ref="J25" si="39">J8/F8-1</f>
        <v>8.2850041425031051E-4</v>
      </c>
      <c r="K25" s="11">
        <f t="shared" ref="K25" si="40">K8/G8-1</f>
        <v>-3.1807372175980952E-2</v>
      </c>
      <c r="L25" s="11">
        <f t="shared" ref="L25" si="41">L8/H8-1</f>
        <v>5.7703927492447127E-2</v>
      </c>
      <c r="M25" s="11">
        <f t="shared" ref="M25" si="42">M8/I8-1</f>
        <v>-1.0814058275758431E-2</v>
      </c>
      <c r="N25" s="11">
        <f t="shared" ref="N25" si="43">N8/J8-1</f>
        <v>-8.7196467991169979E-2</v>
      </c>
      <c r="O25" s="11">
        <f t="shared" ref="O25" si="44">O8/K8-1</f>
        <v>-1.228124040528078E-3</v>
      </c>
      <c r="P25" s="11">
        <f t="shared" ref="P25" si="45">P8/L8-1</f>
        <v>-5.4555841188231979E-2</v>
      </c>
      <c r="Q25" s="11">
        <f t="shared" ref="Q25" si="46">Q8/M8-1</f>
        <v>2.9760097175827616E-2</v>
      </c>
      <c r="R25" s="11">
        <f t="shared" ref="R25" si="47">R8/N8-1</f>
        <v>5.1995163240628806E-2</v>
      </c>
      <c r="S25" s="11">
        <f t="shared" ref="S25" si="48">S8/O8-1</f>
        <v>8.9763295419612588E-2</v>
      </c>
      <c r="T25" s="11">
        <f t="shared" ref="T25" si="49">T8/P8-1</f>
        <v>5.0000000000000044E-2</v>
      </c>
      <c r="U25" s="11">
        <f t="shared" ref="U25" si="50">U8/Q8-1</f>
        <v>3.0000000000000027E-2</v>
      </c>
      <c r="V25" s="11">
        <f t="shared" ref="V25" si="51">V8/R8-1</f>
        <v>2.0000000000000018E-2</v>
      </c>
      <c r="X25" s="11"/>
      <c r="Y25" s="11">
        <f t="shared" ref="Y25:AL25" si="52">Y8/X8-1</f>
        <v>-1.8510515701526953E-2</v>
      </c>
      <c r="Z25" s="11">
        <f t="shared" si="52"/>
        <v>-1.9666837895354838E-2</v>
      </c>
      <c r="AA25" s="11">
        <f t="shared" si="52"/>
        <v>5.6141926790926888E-3</v>
      </c>
      <c r="AB25" s="11">
        <f t="shared" si="52"/>
        <v>4.6808843233586472E-2</v>
      </c>
      <c r="AC25" s="11">
        <f t="shared" si="52"/>
        <v>3.0000000000000027E-2</v>
      </c>
      <c r="AD25" s="11">
        <f t="shared" si="52"/>
        <v>2.0000000000000018E-2</v>
      </c>
      <c r="AE25" s="11">
        <f t="shared" si="52"/>
        <v>2.0000000000000018E-2</v>
      </c>
      <c r="AF25" s="11">
        <f t="shared" si="52"/>
        <v>1.0000000000000009E-2</v>
      </c>
      <c r="AG25" s="11">
        <f t="shared" si="52"/>
        <v>1.0000000000000009E-2</v>
      </c>
      <c r="AH25" s="11">
        <f t="shared" si="52"/>
        <v>1.0000000000000009E-2</v>
      </c>
      <c r="AI25" s="11">
        <f t="shared" si="52"/>
        <v>1.0000000000000009E-2</v>
      </c>
      <c r="AJ25" s="11">
        <f t="shared" si="52"/>
        <v>1.0000000000000009E-2</v>
      </c>
      <c r="AK25" s="11">
        <f t="shared" si="52"/>
        <v>1.0000000000000009E-2</v>
      </c>
      <c r="AL25" s="11">
        <f t="shared" si="52"/>
        <v>1.0000000000000009E-2</v>
      </c>
      <c r="AN25" t="s">
        <v>54</v>
      </c>
      <c r="AO25" s="11">
        <v>7.0000000000000007E-2</v>
      </c>
    </row>
    <row r="26" spans="2:41" x14ac:dyDescent="0.3">
      <c r="B26" t="s">
        <v>42</v>
      </c>
      <c r="C26" s="11">
        <f t="shared" ref="C26:G26" si="53">C14/C13</f>
        <v>0.28121284185493461</v>
      </c>
      <c r="D26" s="11">
        <f t="shared" si="53"/>
        <v>0.46282245827010621</v>
      </c>
      <c r="E26" s="11">
        <f t="shared" si="53"/>
        <v>0.29268292682926828</v>
      </c>
      <c r="F26" s="11">
        <f t="shared" si="53"/>
        <v>12.236559139784946</v>
      </c>
      <c r="G26" s="11">
        <f>G14/G13</f>
        <v>-1.2881355932203389</v>
      </c>
      <c r="H26" s="11">
        <f t="shared" ref="H26:V26" si="54">H14/H13</f>
        <v>0.22849604221635883</v>
      </c>
      <c r="I26" s="11">
        <f t="shared" si="54"/>
        <v>0.16427104722792607</v>
      </c>
      <c r="J26" s="11">
        <f t="shared" si="54"/>
        <v>0.38770053475935828</v>
      </c>
      <c r="K26" s="11">
        <f t="shared" si="54"/>
        <v>0.1672285906945381</v>
      </c>
      <c r="L26" s="11">
        <f t="shared" si="54"/>
        <v>0.19399085564990204</v>
      </c>
      <c r="M26" s="11">
        <f t="shared" si="54"/>
        <v>1.2073170731707317</v>
      </c>
      <c r="N26" s="11">
        <f t="shared" si="54"/>
        <v>0.17228805834092981</v>
      </c>
      <c r="O26" s="11">
        <f t="shared" si="54"/>
        <v>7.7765607886089813E-2</v>
      </c>
      <c r="P26" s="11">
        <f t="shared" si="54"/>
        <v>0.11699164345403899</v>
      </c>
      <c r="Q26" s="11">
        <f t="shared" si="54"/>
        <v>0.28596338273757627</v>
      </c>
      <c r="R26" s="11">
        <f t="shared" si="54"/>
        <v>0.25232198142414863</v>
      </c>
      <c r="S26" s="11">
        <f t="shared" si="54"/>
        <v>0.20675281367236348</v>
      </c>
      <c r="T26" s="11">
        <f t="shared" si="54"/>
        <v>0.21</v>
      </c>
      <c r="U26" s="11">
        <f t="shared" si="54"/>
        <v>0.21</v>
      </c>
      <c r="V26" s="11">
        <f t="shared" si="54"/>
        <v>0.21</v>
      </c>
      <c r="X26" s="11">
        <f t="shared" ref="X26:AL26" si="55">X14/X13</f>
        <v>0.63258966393674099</v>
      </c>
      <c r="Y26" s="11">
        <f t="shared" si="55"/>
        <v>0.32112192329708072</v>
      </c>
      <c r="Z26" s="11">
        <f t="shared" si="55"/>
        <v>0.23663070920358045</v>
      </c>
      <c r="AA26" s="11">
        <f t="shared" si="55"/>
        <v>0.19706362153344209</v>
      </c>
      <c r="AB26" s="11">
        <f t="shared" si="55"/>
        <v>0.20848926398065942</v>
      </c>
      <c r="AC26" s="11">
        <f t="shared" si="55"/>
        <v>0.21000000000000002</v>
      </c>
      <c r="AD26" s="11">
        <f t="shared" si="55"/>
        <v>0.21</v>
      </c>
      <c r="AE26" s="11">
        <f t="shared" si="55"/>
        <v>0.21000000000000002</v>
      </c>
      <c r="AF26" s="11">
        <f t="shared" si="55"/>
        <v>0.21</v>
      </c>
      <c r="AG26" s="11">
        <f t="shared" si="55"/>
        <v>0.20999999999999996</v>
      </c>
      <c r="AH26" s="11">
        <f t="shared" si="55"/>
        <v>0.21</v>
      </c>
      <c r="AI26" s="11">
        <f t="shared" si="55"/>
        <v>0.21</v>
      </c>
      <c r="AJ26" s="11">
        <f t="shared" si="55"/>
        <v>0.21</v>
      </c>
      <c r="AK26" s="11">
        <f t="shared" si="55"/>
        <v>0.21</v>
      </c>
      <c r="AL26" s="11">
        <f t="shared" si="55"/>
        <v>0.21</v>
      </c>
      <c r="AN26" t="s">
        <v>55</v>
      </c>
      <c r="AO26" s="5">
        <f>NPV(AO25,AB16:ES16)</f>
        <v>52738.927266487968</v>
      </c>
    </row>
    <row r="27" spans="2:41" x14ac:dyDescent="0.3">
      <c r="B27" t="s">
        <v>52</v>
      </c>
      <c r="C27" s="11">
        <f t="shared" ref="C27:G27" si="56">C16/C5</f>
        <v>3.2629228919800787E-2</v>
      </c>
      <c r="D27" s="11">
        <f t="shared" si="56"/>
        <v>-0.27698695136417556</v>
      </c>
      <c r="E27" s="11">
        <f t="shared" si="56"/>
        <v>0.11270056060313165</v>
      </c>
      <c r="F27" s="11">
        <f t="shared" si="56"/>
        <v>-0.25766626841895657</v>
      </c>
      <c r="G27" s="11">
        <f>G16/G5</f>
        <v>-0.14259051885031729</v>
      </c>
      <c r="H27" s="11">
        <f t="shared" ref="H27:V27" si="57">H16/H5</f>
        <v>0.22094691535150646</v>
      </c>
      <c r="I27" s="11">
        <f t="shared" si="57"/>
        <v>0.19535971924351725</v>
      </c>
      <c r="J27" s="11">
        <f t="shared" si="57"/>
        <v>-1.4981273408239701E-2</v>
      </c>
      <c r="K27" s="11">
        <f t="shared" si="57"/>
        <v>0.19763899466869764</v>
      </c>
      <c r="L27" s="11">
        <f t="shared" si="57"/>
        <v>0.18671000361141207</v>
      </c>
      <c r="M27" s="11">
        <f t="shared" si="57"/>
        <v>-5.7751308428081571E-2</v>
      </c>
      <c r="N27" s="11">
        <f t="shared" si="57"/>
        <v>0.1284663271080928</v>
      </c>
      <c r="O27" s="11">
        <f t="shared" si="57"/>
        <v>9.6291580455196563E-2</v>
      </c>
      <c r="P27" s="11">
        <f t="shared" si="57"/>
        <v>1.6860247283626825E-2</v>
      </c>
      <c r="Q27" s="11">
        <f t="shared" si="57"/>
        <v>0.11740968485780169</v>
      </c>
      <c r="R27" s="11">
        <f t="shared" si="57"/>
        <v>4.4525399716656547E-2</v>
      </c>
      <c r="S27" s="11">
        <f t="shared" si="57"/>
        <v>0.2888135593220339</v>
      </c>
      <c r="T27" s="11">
        <f t="shared" si="57"/>
        <v>0.13143110615590001</v>
      </c>
      <c r="U27" s="11">
        <f t="shared" si="57"/>
        <v>0.12268273483426909</v>
      </c>
      <c r="V27" s="11">
        <f t="shared" si="57"/>
        <v>4.0208095012099203E-2</v>
      </c>
      <c r="X27" s="11">
        <f t="shared" ref="X27:AL27" si="58">X16/X5</f>
        <v>-9.1193774909850062E-2</v>
      </c>
      <c r="Y27" s="11">
        <f t="shared" si="58"/>
        <v>6.5953822861468586E-2</v>
      </c>
      <c r="Z27" s="11">
        <f t="shared" si="58"/>
        <v>0.11247226331360946</v>
      </c>
      <c r="AA27" s="11">
        <f t="shared" si="58"/>
        <v>7.0109344849765692E-2</v>
      </c>
      <c r="AB27" s="11">
        <f t="shared" si="58"/>
        <v>0.15046053694923836</v>
      </c>
      <c r="AC27" s="11">
        <f t="shared" si="58"/>
        <v>0.15047755155614631</v>
      </c>
      <c r="AD27" s="11">
        <f t="shared" si="58"/>
        <v>0.15565579293010354</v>
      </c>
      <c r="AE27" s="11">
        <f t="shared" si="58"/>
        <v>0.15544756175012756</v>
      </c>
      <c r="AF27" s="11">
        <f t="shared" si="58"/>
        <v>0.15806776064860034</v>
      </c>
      <c r="AG27" s="11">
        <f t="shared" si="58"/>
        <v>0.16070344203634249</v>
      </c>
      <c r="AH27" s="11">
        <f t="shared" si="58"/>
        <v>0.16331905694200449</v>
      </c>
      <c r="AI27" s="11">
        <f t="shared" si="58"/>
        <v>0.16243765049457165</v>
      </c>
      <c r="AJ27" s="11">
        <f t="shared" si="58"/>
        <v>0.16146225462305819</v>
      </c>
      <c r="AK27" s="11">
        <f t="shared" si="58"/>
        <v>0.16046118784428967</v>
      </c>
      <c r="AL27" s="11">
        <f t="shared" si="58"/>
        <v>0.15943469791900861</v>
      </c>
      <c r="AN27" t="s">
        <v>57</v>
      </c>
      <c r="AO27" s="5">
        <f>Main!D8</f>
        <v>-46821</v>
      </c>
    </row>
    <row r="28" spans="2:41" x14ac:dyDescent="0.3">
      <c r="AN28" t="s">
        <v>56</v>
      </c>
      <c r="AO28" s="5">
        <f>AO26+AO27</f>
        <v>5917.9272664879682</v>
      </c>
    </row>
    <row r="29" spans="2:41" x14ac:dyDescent="0.3">
      <c r="AN29" t="s">
        <v>58</v>
      </c>
      <c r="AO29" s="2">
        <f>AO28/AL17</f>
        <v>0.34292908770284336</v>
      </c>
    </row>
    <row r="30" spans="2:41" x14ac:dyDescent="0.3">
      <c r="AN30" t="s">
        <v>59</v>
      </c>
      <c r="AO30" s="2">
        <f>Main!D3</f>
        <v>1.7549999999999999</v>
      </c>
    </row>
    <row r="31" spans="2:41" x14ac:dyDescent="0.3">
      <c r="AN31" s="1" t="s">
        <v>60</v>
      </c>
      <c r="AO31" s="12">
        <f>AO29/AO30-1</f>
        <v>-0.80459881042573023</v>
      </c>
    </row>
    <row r="32" spans="2:41" x14ac:dyDescent="0.3">
      <c r="AN32" t="s">
        <v>61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2021-04-30T18:15:30Z</dcterms:created>
  <dcterms:modified xsi:type="dcterms:W3CDTF">2021-04-30T20:20:18Z</dcterms:modified>
</cp:coreProperties>
</file>