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A2C0D2A2-9668-4544-BF48-E202336B4F6A}" xr6:coauthVersionLast="46" xr6:coauthVersionMax="46" xr10:uidLastSave="{00000000-0000-0000-0000-000000000000}"/>
  <bookViews>
    <workbookView xWindow="-108" yWindow="-108" windowWidth="23256" windowHeight="12576" activeTab="1" xr2:uid="{070C9E0D-0967-4037-8794-6E680AB5DA6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" i="2" l="1"/>
  <c r="AP7" i="2"/>
  <c r="AO7" i="2"/>
  <c r="AN7" i="2"/>
  <c r="AM7" i="2"/>
  <c r="AL7" i="2"/>
  <c r="AK7" i="2"/>
  <c r="AJ7" i="2"/>
  <c r="AI7" i="2"/>
  <c r="AH7" i="2"/>
  <c r="AG7" i="2"/>
  <c r="AH8" i="2"/>
  <c r="AI9" i="2"/>
  <c r="AJ9" i="2" s="1"/>
  <c r="AK9" i="2" s="1"/>
  <c r="AL9" i="2" s="1"/>
  <c r="AM9" i="2" s="1"/>
  <c r="AN9" i="2" s="1"/>
  <c r="AO9" i="2" s="1"/>
  <c r="AP9" i="2" s="1"/>
  <c r="AH9" i="2"/>
  <c r="Z29" i="2"/>
  <c r="Y29" i="2"/>
  <c r="X29" i="2"/>
  <c r="W29" i="2"/>
  <c r="Z28" i="2"/>
  <c r="Y28" i="2"/>
  <c r="X28" i="2"/>
  <c r="W28" i="2"/>
  <c r="Z27" i="2"/>
  <c r="Y27" i="2"/>
  <c r="X27" i="2"/>
  <c r="W27" i="2"/>
  <c r="Z26" i="2"/>
  <c r="Y26" i="2"/>
  <c r="X26" i="2"/>
  <c r="W26" i="2"/>
  <c r="Z25" i="2"/>
  <c r="Y25" i="2"/>
  <c r="X25" i="2"/>
  <c r="W25" i="2"/>
  <c r="Z24" i="2"/>
  <c r="Y24" i="2"/>
  <c r="X24" i="2"/>
  <c r="W24" i="2"/>
  <c r="Z23" i="2"/>
  <c r="Y23" i="2"/>
  <c r="X23" i="2"/>
  <c r="W23" i="2"/>
  <c r="Z22" i="2"/>
  <c r="Y22" i="2"/>
  <c r="X22" i="2"/>
  <c r="W22" i="2"/>
  <c r="Z21" i="2"/>
  <c r="Y21" i="2"/>
  <c r="X21" i="2"/>
  <c r="W21" i="2"/>
  <c r="AK3" i="2"/>
  <c r="AJ3" i="2"/>
  <c r="AI3" i="2"/>
  <c r="AH3" i="2"/>
  <c r="AG16" i="2"/>
  <c r="AG14" i="2"/>
  <c r="AG12" i="2"/>
  <c r="AG11" i="2"/>
  <c r="AG10" i="2"/>
  <c r="AG9" i="2"/>
  <c r="AG8" i="2"/>
  <c r="AG6" i="2"/>
  <c r="AG4" i="2"/>
  <c r="AH4" i="2" s="1"/>
  <c r="AI4" i="2" s="1"/>
  <c r="AJ4" i="2" s="1"/>
  <c r="AK4" i="2" s="1"/>
  <c r="AL4" i="2" s="1"/>
  <c r="AM4" i="2" s="1"/>
  <c r="AN4" i="2" s="1"/>
  <c r="AO4" i="2" s="1"/>
  <c r="AP4" i="2" s="1"/>
  <c r="AG3" i="2"/>
  <c r="Z19" i="2"/>
  <c r="Y19" i="2"/>
  <c r="Z17" i="2"/>
  <c r="Y17" i="2"/>
  <c r="X17" i="2"/>
  <c r="X19" i="2" s="1"/>
  <c r="W17" i="2"/>
  <c r="W19" i="2" s="1"/>
  <c r="Z16" i="2"/>
  <c r="Y16" i="2"/>
  <c r="X16" i="2"/>
  <c r="W16" i="2"/>
  <c r="Z15" i="2"/>
  <c r="Y15" i="2"/>
  <c r="X15" i="2"/>
  <c r="W15" i="2"/>
  <c r="Z13" i="2"/>
  <c r="Y13" i="2"/>
  <c r="X13" i="2"/>
  <c r="W13" i="2"/>
  <c r="W9" i="2"/>
  <c r="Z9" i="2"/>
  <c r="Y9" i="2"/>
  <c r="X9" i="2"/>
  <c r="Z8" i="2"/>
  <c r="X8" i="2"/>
  <c r="W8" i="2"/>
  <c r="Y8" i="2"/>
  <c r="Y3" i="2"/>
  <c r="Y5" i="2" s="1"/>
  <c r="W3" i="2"/>
  <c r="W5" i="2" s="1"/>
  <c r="W7" i="2" s="1"/>
  <c r="W6" i="2" s="1"/>
  <c r="X3" i="2"/>
  <c r="X5" i="2" s="1"/>
  <c r="X7" i="2" s="1"/>
  <c r="X6" i="2" s="1"/>
  <c r="Z7" i="2"/>
  <c r="Z6" i="2"/>
  <c r="Z5" i="2"/>
  <c r="X4" i="2"/>
  <c r="Z4" i="2"/>
  <c r="Y4" i="2"/>
  <c r="W4" i="2"/>
  <c r="Z3" i="2"/>
  <c r="V7" i="2"/>
  <c r="D6" i="1"/>
  <c r="Y7" i="2" l="1"/>
  <c r="Y6" i="2"/>
  <c r="AF4" i="2"/>
  <c r="V21" i="2"/>
  <c r="U5" i="2"/>
  <c r="U7" i="2" s="1"/>
  <c r="U13" i="2" s="1"/>
  <c r="U15" i="2" s="1"/>
  <c r="U29" i="2" s="1"/>
  <c r="T5" i="2"/>
  <c r="S5" i="2"/>
  <c r="S28" i="2" s="1"/>
  <c r="R5" i="2"/>
  <c r="R28" i="2" s="1"/>
  <c r="Q5" i="2"/>
  <c r="Q28" i="2" s="1"/>
  <c r="P5" i="2"/>
  <c r="P28" i="2" s="1"/>
  <c r="O5" i="2"/>
  <c r="O28" i="2" s="1"/>
  <c r="N5" i="2"/>
  <c r="N28" i="2" s="1"/>
  <c r="M5" i="2"/>
  <c r="M7" i="2" s="1"/>
  <c r="M13" i="2" s="1"/>
  <c r="M15" i="2" s="1"/>
  <c r="M17" i="2" s="1"/>
  <c r="M19" i="2" s="1"/>
  <c r="L5" i="2"/>
  <c r="K5" i="2"/>
  <c r="K7" i="2" s="1"/>
  <c r="K13" i="2" s="1"/>
  <c r="K15" i="2" s="1"/>
  <c r="K17" i="2" s="1"/>
  <c r="K19" i="2" s="1"/>
  <c r="J5" i="2"/>
  <c r="J28" i="2" s="1"/>
  <c r="I5" i="2"/>
  <c r="I28" i="2" s="1"/>
  <c r="H5" i="2"/>
  <c r="H28" i="2" s="1"/>
  <c r="G5" i="2"/>
  <c r="F5" i="2"/>
  <c r="E5" i="2"/>
  <c r="E28" i="2" s="1"/>
  <c r="D5" i="2"/>
  <c r="C5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F16" i="2"/>
  <c r="AF14" i="2"/>
  <c r="AH14" i="2" s="1"/>
  <c r="AF12" i="2"/>
  <c r="AF9" i="2"/>
  <c r="AE16" i="2"/>
  <c r="AE14" i="2"/>
  <c r="AE12" i="2"/>
  <c r="AE10" i="2"/>
  <c r="AE9" i="2"/>
  <c r="AE8" i="2"/>
  <c r="AE6" i="2"/>
  <c r="AE4" i="2"/>
  <c r="AE3" i="2"/>
  <c r="AE5" i="2" s="1"/>
  <c r="AD16" i="2"/>
  <c r="AD14" i="2"/>
  <c r="AD11" i="2"/>
  <c r="AD10" i="2"/>
  <c r="AD9" i="2"/>
  <c r="AD8" i="2"/>
  <c r="AD6" i="2"/>
  <c r="AD4" i="2"/>
  <c r="AD3" i="2"/>
  <c r="AC4" i="2"/>
  <c r="AC3" i="2"/>
  <c r="AB3" i="2"/>
  <c r="AB4" i="2"/>
  <c r="G7" i="2"/>
  <c r="G24" i="2" s="1"/>
  <c r="J27" i="2"/>
  <c r="I27" i="2"/>
  <c r="H27" i="2"/>
  <c r="G27" i="2"/>
  <c r="J26" i="2"/>
  <c r="I26" i="2"/>
  <c r="H26" i="2"/>
  <c r="G26" i="2"/>
  <c r="C11" i="2"/>
  <c r="AB11" i="2" s="1"/>
  <c r="AB12" i="2"/>
  <c r="AB16" i="2"/>
  <c r="AB14" i="2"/>
  <c r="AB10" i="2"/>
  <c r="AB9" i="2"/>
  <c r="AB8" i="2"/>
  <c r="AB6" i="2"/>
  <c r="M28" i="2"/>
  <c r="L28" i="2"/>
  <c r="Q27" i="2"/>
  <c r="P27" i="2"/>
  <c r="O27" i="2"/>
  <c r="N27" i="2"/>
  <c r="M27" i="2"/>
  <c r="L27" i="2"/>
  <c r="K27" i="2"/>
  <c r="Q26" i="2"/>
  <c r="P26" i="2"/>
  <c r="O26" i="2"/>
  <c r="N26" i="2"/>
  <c r="M26" i="2"/>
  <c r="L26" i="2"/>
  <c r="K26" i="2"/>
  <c r="AC16" i="2"/>
  <c r="AC14" i="2"/>
  <c r="AC10" i="2"/>
  <c r="AC9" i="2"/>
  <c r="AC8" i="2"/>
  <c r="AC6" i="2"/>
  <c r="G12" i="2"/>
  <c r="I11" i="2"/>
  <c r="I12" i="2"/>
  <c r="H11" i="2"/>
  <c r="L7" i="2"/>
  <c r="L13" i="2" s="1"/>
  <c r="L15" i="2" s="1"/>
  <c r="L17" i="2" s="1"/>
  <c r="L19" i="2" s="1"/>
  <c r="U27" i="2"/>
  <c r="T27" i="2"/>
  <c r="S27" i="2"/>
  <c r="R27" i="2"/>
  <c r="D8" i="1"/>
  <c r="AS28" i="2" s="1"/>
  <c r="AS31" i="2"/>
  <c r="AF11" i="2"/>
  <c r="AF10" i="2"/>
  <c r="AF8" i="2"/>
  <c r="U23" i="2"/>
  <c r="U26" i="2"/>
  <c r="T26" i="2"/>
  <c r="S26" i="2"/>
  <c r="R26" i="2"/>
  <c r="T28" i="2"/>
  <c r="N12" i="2"/>
  <c r="AD12" i="2" s="1"/>
  <c r="N7" i="2"/>
  <c r="N24" i="2" s="1"/>
  <c r="R11" i="2"/>
  <c r="AE11" i="2" s="1"/>
  <c r="R7" i="2"/>
  <c r="O7" i="2"/>
  <c r="O13" i="2" s="1"/>
  <c r="O15" i="2" s="1"/>
  <c r="O17" i="2" s="1"/>
  <c r="O19" i="2" s="1"/>
  <c r="P7" i="2"/>
  <c r="P13" i="2" s="1"/>
  <c r="P15" i="2" s="1"/>
  <c r="P17" i="2" s="1"/>
  <c r="P19" i="2" s="1"/>
  <c r="T7" i="2"/>
  <c r="T13" i="2" s="1"/>
  <c r="T15" i="2" s="1"/>
  <c r="T17" i="2" s="1"/>
  <c r="T19" i="2" s="1"/>
  <c r="D5" i="1"/>
  <c r="F3" i="1"/>
  <c r="AD22" i="2" l="1"/>
  <c r="P23" i="2"/>
  <c r="AB5" i="2"/>
  <c r="AB28" i="2" s="1"/>
  <c r="T23" i="2"/>
  <c r="S23" i="2"/>
  <c r="AC5" i="2"/>
  <c r="AC7" i="2" s="1"/>
  <c r="AC24" i="2" s="1"/>
  <c r="AD5" i="2"/>
  <c r="AD7" i="2" s="1"/>
  <c r="AE22" i="2"/>
  <c r="AF3" i="2"/>
  <c r="AF5" i="2" s="1"/>
  <c r="AE21" i="2"/>
  <c r="AC22" i="2"/>
  <c r="R23" i="2"/>
  <c r="V5" i="2"/>
  <c r="V13" i="2" s="1"/>
  <c r="V15" i="2" s="1"/>
  <c r="Q23" i="2"/>
  <c r="Q7" i="2"/>
  <c r="Q13" i="2" s="1"/>
  <c r="Q15" i="2" s="1"/>
  <c r="Q17" i="2" s="1"/>
  <c r="Q19" i="2" s="1"/>
  <c r="K28" i="2"/>
  <c r="AC21" i="2"/>
  <c r="S7" i="2"/>
  <c r="S13" i="2" s="1"/>
  <c r="S15" i="2" s="1"/>
  <c r="S17" i="2" s="1"/>
  <c r="S19" i="2" s="1"/>
  <c r="AD21" i="2"/>
  <c r="AG22" i="2"/>
  <c r="AF22" i="2"/>
  <c r="V22" i="2"/>
  <c r="O23" i="2"/>
  <c r="AH10" i="2"/>
  <c r="AI10" i="2" s="1"/>
  <c r="AJ10" i="2" s="1"/>
  <c r="AK10" i="2" s="1"/>
  <c r="AL10" i="2" s="1"/>
  <c r="AM10" i="2" s="1"/>
  <c r="AN10" i="2" s="1"/>
  <c r="AO10" i="2" s="1"/>
  <c r="AP10" i="2" s="1"/>
  <c r="E7" i="2"/>
  <c r="E13" i="2" s="1"/>
  <c r="E15" i="2" s="1"/>
  <c r="E17" i="2" s="1"/>
  <c r="E19" i="2" s="1"/>
  <c r="J23" i="2"/>
  <c r="J7" i="2"/>
  <c r="J13" i="2" s="1"/>
  <c r="J15" i="2" s="1"/>
  <c r="J17" i="2" s="1"/>
  <c r="J19" i="2" s="1"/>
  <c r="N23" i="2"/>
  <c r="M23" i="2"/>
  <c r="I23" i="2"/>
  <c r="I7" i="2"/>
  <c r="I24" i="2" s="1"/>
  <c r="L23" i="2"/>
  <c r="H23" i="2"/>
  <c r="H7" i="2"/>
  <c r="H24" i="2" s="1"/>
  <c r="K23" i="2"/>
  <c r="G28" i="2"/>
  <c r="G23" i="2"/>
  <c r="F7" i="2"/>
  <c r="F13" i="2" s="1"/>
  <c r="F15" i="2" s="1"/>
  <c r="F17" i="2" s="1"/>
  <c r="F19" i="2" s="1"/>
  <c r="F28" i="2"/>
  <c r="D7" i="2"/>
  <c r="D13" i="2" s="1"/>
  <c r="D15" i="2" s="1"/>
  <c r="D17" i="2" s="1"/>
  <c r="D19" i="2" s="1"/>
  <c r="D28" i="2"/>
  <c r="C28" i="2"/>
  <c r="C7" i="2"/>
  <c r="C24" i="2" s="1"/>
  <c r="AC26" i="2"/>
  <c r="AC27" i="2"/>
  <c r="AH11" i="2"/>
  <c r="AI11" i="2" s="1"/>
  <c r="AJ11" i="2" s="1"/>
  <c r="AK11" i="2" s="1"/>
  <c r="AL11" i="2" s="1"/>
  <c r="AM11" i="2" s="1"/>
  <c r="AN11" i="2" s="1"/>
  <c r="AO11" i="2" s="1"/>
  <c r="AP11" i="2" s="1"/>
  <c r="AC11" i="2"/>
  <c r="O24" i="2"/>
  <c r="AC12" i="2"/>
  <c r="O25" i="2"/>
  <c r="M29" i="2"/>
  <c r="M24" i="2"/>
  <c r="L29" i="2"/>
  <c r="P24" i="2"/>
  <c r="Q25" i="2"/>
  <c r="O29" i="2"/>
  <c r="Q24" i="2"/>
  <c r="P29" i="2"/>
  <c r="P25" i="2"/>
  <c r="K25" i="2"/>
  <c r="Q29" i="2"/>
  <c r="AD26" i="2"/>
  <c r="K24" i="2"/>
  <c r="L25" i="2"/>
  <c r="K29" i="2"/>
  <c r="L24" i="2"/>
  <c r="M25" i="2"/>
  <c r="AD27" i="2"/>
  <c r="G13" i="2"/>
  <c r="G25" i="2" s="1"/>
  <c r="R13" i="2"/>
  <c r="R15" i="2" s="1"/>
  <c r="R17" i="2" s="1"/>
  <c r="R19" i="2" s="1"/>
  <c r="T29" i="2"/>
  <c r="AD28" i="2"/>
  <c r="N13" i="2"/>
  <c r="R24" i="2"/>
  <c r="T25" i="2"/>
  <c r="V26" i="2"/>
  <c r="T24" i="2"/>
  <c r="U17" i="2"/>
  <c r="U19" i="2" s="1"/>
  <c r="AF26" i="2"/>
  <c r="AE26" i="2"/>
  <c r="D9" i="1"/>
  <c r="U24" i="2"/>
  <c r="U25" i="2"/>
  <c r="U28" i="2"/>
  <c r="S25" i="2" l="1"/>
  <c r="V23" i="2"/>
  <c r="AG5" i="2"/>
  <c r="AF21" i="2"/>
  <c r="S29" i="2"/>
  <c r="S24" i="2"/>
  <c r="E24" i="2"/>
  <c r="J25" i="2"/>
  <c r="C13" i="2"/>
  <c r="C15" i="2" s="1"/>
  <c r="I13" i="2"/>
  <c r="I25" i="2" s="1"/>
  <c r="E29" i="2"/>
  <c r="E25" i="2"/>
  <c r="J24" i="2"/>
  <c r="J29" i="2"/>
  <c r="H13" i="2"/>
  <c r="H25" i="2" s="1"/>
  <c r="AC28" i="2"/>
  <c r="AD23" i="2"/>
  <c r="F29" i="2"/>
  <c r="F25" i="2"/>
  <c r="F24" i="2"/>
  <c r="AB7" i="2"/>
  <c r="AB13" i="2" s="1"/>
  <c r="D24" i="2"/>
  <c r="AC23" i="2"/>
  <c r="D25" i="2"/>
  <c r="D29" i="2"/>
  <c r="AC13" i="2"/>
  <c r="AC15" i="2" s="1"/>
  <c r="AC17" i="2" s="1"/>
  <c r="AC19" i="2" s="1"/>
  <c r="G15" i="2"/>
  <c r="G29" i="2" s="1"/>
  <c r="N15" i="2"/>
  <c r="N25" i="2"/>
  <c r="V29" i="2"/>
  <c r="V17" i="2"/>
  <c r="V19" i="2" s="1"/>
  <c r="R25" i="2"/>
  <c r="R29" i="2"/>
  <c r="V27" i="2"/>
  <c r="AE23" i="2"/>
  <c r="AD13" i="2"/>
  <c r="AD24" i="2"/>
  <c r="V28" i="2"/>
  <c r="AG26" i="2"/>
  <c r="V24" i="2"/>
  <c r="AF23" i="2"/>
  <c r="V25" i="2"/>
  <c r="AH5" i="2" l="1"/>
  <c r="AG21" i="2"/>
  <c r="I15" i="2"/>
  <c r="I29" i="2" s="1"/>
  <c r="AI22" i="2"/>
  <c r="AH22" i="2"/>
  <c r="AE7" i="2"/>
  <c r="AE13" i="2" s="1"/>
  <c r="AF6" i="2"/>
  <c r="AF7" i="2" s="1"/>
  <c r="AF13" i="2" s="1"/>
  <c r="AF15" i="2" s="1"/>
  <c r="AF17" i="2" s="1"/>
  <c r="AF19" i="2" s="1"/>
  <c r="C25" i="2"/>
  <c r="H15" i="2"/>
  <c r="H29" i="2" s="1"/>
  <c r="AB24" i="2"/>
  <c r="C17" i="2"/>
  <c r="C19" i="2" s="1"/>
  <c r="C29" i="2"/>
  <c r="AB15" i="2"/>
  <c r="AB25" i="2"/>
  <c r="AC29" i="2"/>
  <c r="AC25" i="2"/>
  <c r="G17" i="2"/>
  <c r="G19" i="2" s="1"/>
  <c r="N17" i="2"/>
  <c r="N19" i="2" s="1"/>
  <c r="N29" i="2"/>
  <c r="AE27" i="2"/>
  <c r="AP27" i="2"/>
  <c r="AE28" i="2"/>
  <c r="AD15" i="2"/>
  <c r="AD25" i="2"/>
  <c r="AI8" i="2"/>
  <c r="AH26" i="2"/>
  <c r="AG23" i="2"/>
  <c r="I17" i="2" l="1"/>
  <c r="I19" i="2" s="1"/>
  <c r="AI5" i="2"/>
  <c r="AH21" i="2"/>
  <c r="AF24" i="2"/>
  <c r="AJ22" i="2"/>
  <c r="AE24" i="2"/>
  <c r="H17" i="2"/>
  <c r="H19" i="2" s="1"/>
  <c r="AB17" i="2"/>
  <c r="AB19" i="2" s="1"/>
  <c r="AB29" i="2"/>
  <c r="AF27" i="2"/>
  <c r="AF28" i="2"/>
  <c r="AG28" i="2"/>
  <c r="AG27" i="2"/>
  <c r="AD17" i="2"/>
  <c r="AD19" i="2" s="1"/>
  <c r="AD29" i="2"/>
  <c r="AI26" i="2"/>
  <c r="AJ8" i="2"/>
  <c r="AH23" i="2"/>
  <c r="AG24" i="2"/>
  <c r="AG13" i="2"/>
  <c r="AE15" i="2"/>
  <c r="AE25" i="2"/>
  <c r="AI21" i="2" l="1"/>
  <c r="AF25" i="2"/>
  <c r="AH28" i="2"/>
  <c r="AH27" i="2"/>
  <c r="AK8" i="2"/>
  <c r="AJ26" i="2"/>
  <c r="AH24" i="2"/>
  <c r="AH13" i="2"/>
  <c r="AF29" i="2"/>
  <c r="AE17" i="2"/>
  <c r="AE19" i="2" s="1"/>
  <c r="AE29" i="2"/>
  <c r="AI23" i="2"/>
  <c r="AH6" i="2"/>
  <c r="AG15" i="2"/>
  <c r="AG25" i="2"/>
  <c r="AJ21" i="2" l="1"/>
  <c r="AJ5" i="2"/>
  <c r="AJ6" i="2" s="1"/>
  <c r="AK22" i="2"/>
  <c r="AI28" i="2"/>
  <c r="AI27" i="2"/>
  <c r="AL8" i="2"/>
  <c r="AK26" i="2"/>
  <c r="AI24" i="2"/>
  <c r="AI13" i="2"/>
  <c r="AH25" i="2"/>
  <c r="AH15" i="2"/>
  <c r="AG29" i="2"/>
  <c r="AI6" i="2"/>
  <c r="AL3" i="2" l="1"/>
  <c r="AL5" i="2" s="1"/>
  <c r="AK21" i="2"/>
  <c r="AJ23" i="2"/>
  <c r="AK5" i="2"/>
  <c r="AK23" i="2" s="1"/>
  <c r="AL22" i="2"/>
  <c r="AM22" i="2"/>
  <c r="AJ28" i="2"/>
  <c r="AJ27" i="2"/>
  <c r="AM8" i="2"/>
  <c r="AL26" i="2"/>
  <c r="AG17" i="2"/>
  <c r="AJ24" i="2"/>
  <c r="AJ13" i="2"/>
  <c r="AI25" i="2"/>
  <c r="AH16" i="2"/>
  <c r="AH29" i="2" s="1"/>
  <c r="AK6" i="2" l="1"/>
  <c r="AM3" i="2"/>
  <c r="AL21" i="2"/>
  <c r="AN22" i="2"/>
  <c r="AG19" i="2"/>
  <c r="AK28" i="2"/>
  <c r="AK27" i="2"/>
  <c r="AH17" i="2"/>
  <c r="AN8" i="2"/>
  <c r="AM26" i="2"/>
  <c r="AJ25" i="2"/>
  <c r="AL23" i="2"/>
  <c r="AL6" i="2"/>
  <c r="AK24" i="2"/>
  <c r="AK13" i="2"/>
  <c r="AN3" i="2" l="1"/>
  <c r="AM21" i="2"/>
  <c r="AM5" i="2"/>
  <c r="AM23" i="2" s="1"/>
  <c r="AH19" i="2"/>
  <c r="AI15" i="2"/>
  <c r="AI16" i="2" s="1"/>
  <c r="AI29" i="2" s="1"/>
  <c r="AO22" i="2"/>
  <c r="AL28" i="2"/>
  <c r="AL27" i="2"/>
  <c r="AO8" i="2"/>
  <c r="AN26" i="2"/>
  <c r="AL24" i="2"/>
  <c r="AL13" i="2"/>
  <c r="AK25" i="2"/>
  <c r="AM6" i="2" l="1"/>
  <c r="AO3" i="2"/>
  <c r="AN21" i="2"/>
  <c r="AN5" i="2"/>
  <c r="AN23" i="2" s="1"/>
  <c r="AI17" i="2"/>
  <c r="AJ14" i="2" s="1"/>
  <c r="AO26" i="2"/>
  <c r="AP8" i="2"/>
  <c r="AP26" i="2" s="1"/>
  <c r="AP22" i="2"/>
  <c r="AM28" i="2"/>
  <c r="AM27" i="2"/>
  <c r="AL25" i="2"/>
  <c r="AJ15" i="2" l="1"/>
  <c r="AJ16" i="2" s="1"/>
  <c r="AJ29" i="2" s="1"/>
  <c r="AN6" i="2"/>
  <c r="AM24" i="2"/>
  <c r="AM13" i="2"/>
  <c r="AM25" i="2" s="1"/>
  <c r="AP3" i="2"/>
  <c r="AO21" i="2"/>
  <c r="AO5" i="2"/>
  <c r="AO23" i="2" s="1"/>
  <c r="AI19" i="2"/>
  <c r="AN28" i="2"/>
  <c r="AN27" i="2"/>
  <c r="AJ17" i="2" l="1"/>
  <c r="AO13" i="2"/>
  <c r="AN13" i="2"/>
  <c r="AN25" i="2" s="1"/>
  <c r="AN24" i="2"/>
  <c r="AP21" i="2"/>
  <c r="AP5" i="2"/>
  <c r="AO28" i="2"/>
  <c r="AO27" i="2"/>
  <c r="AJ19" i="2" l="1"/>
  <c r="AK14" i="2"/>
  <c r="AK15" i="2"/>
  <c r="AK16" i="2" s="1"/>
  <c r="AK29" i="2" s="1"/>
  <c r="AO24" i="2"/>
  <c r="AO6" i="2"/>
  <c r="AP28" i="2"/>
  <c r="AP23" i="2"/>
  <c r="AP6" i="2"/>
  <c r="AO25" i="2"/>
  <c r="AP24" i="2" l="1"/>
  <c r="AP13" i="2"/>
  <c r="AP25" i="2" s="1"/>
  <c r="AK17" i="2"/>
  <c r="AL14" i="2" s="1"/>
  <c r="AK19" i="2" l="1"/>
  <c r="AL15" i="2"/>
  <c r="AL16" i="2" l="1"/>
  <c r="AL29" i="2" s="1"/>
  <c r="AL17" i="2" l="1"/>
  <c r="AM14" i="2" s="1"/>
  <c r="AM15" i="2" l="1"/>
  <c r="AM16" i="2" s="1"/>
  <c r="AM29" i="2" s="1"/>
  <c r="AL19" i="2"/>
  <c r="AM17" i="2" l="1"/>
  <c r="AN14" i="2" s="1"/>
  <c r="AM19" i="2" l="1"/>
  <c r="AN15" i="2"/>
  <c r="AN16" i="2" l="1"/>
  <c r="AN29" i="2" s="1"/>
  <c r="AN17" i="2" l="1"/>
  <c r="AO14" i="2" l="1"/>
  <c r="AO15" i="2" s="1"/>
  <c r="AO16" i="2" s="1"/>
  <c r="AO29" i="2" s="1"/>
  <c r="AN19" i="2"/>
  <c r="AO17" i="2" l="1"/>
  <c r="AP14" i="2" s="1"/>
  <c r="AP15" i="2" l="1"/>
  <c r="AO19" i="2"/>
  <c r="AP16" i="2" l="1"/>
  <c r="AP29" i="2" s="1"/>
  <c r="AP17" i="2" l="1"/>
  <c r="AP19" i="2" l="1"/>
  <c r="AQ17" i="2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AS27" i="2" s="1"/>
  <c r="AS29" i="2" l="1"/>
  <c r="AS30" i="2" s="1"/>
  <c r="AS32" i="2" s="1"/>
</calcChain>
</file>

<file path=xl/sharedStrings.xml><?xml version="1.0" encoding="utf-8"?>
<sst xmlns="http://schemas.openxmlformats.org/spreadsheetml/2006/main" count="74" uniqueCount="69">
  <si>
    <t>BB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</si>
  <si>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</si>
  <si>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</si>
  <si>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</si>
  <si>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</si>
  <si>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</si>
  <si>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</si>
  <si>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</si>
  <si>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</si>
  <si>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</si>
  <si>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</si>
  <si>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Q220</t>
  </si>
  <si>
    <t>Revenue</t>
  </si>
  <si>
    <t>Cost of sales</t>
  </si>
  <si>
    <t>Gross profit</t>
  </si>
  <si>
    <t>R&amp;D</t>
  </si>
  <si>
    <t>SM&amp;A</t>
  </si>
  <si>
    <t>Amortisation</t>
  </si>
  <si>
    <t>Impairment</t>
  </si>
  <si>
    <t>Debenture fair value</t>
  </si>
  <si>
    <t>Operating profit</t>
  </si>
  <si>
    <t>Investment income</t>
  </si>
  <si>
    <t>Pretax profit</t>
  </si>
  <si>
    <t>Taxes</t>
  </si>
  <si>
    <t>Net profit</t>
  </si>
  <si>
    <t>EPS</t>
  </si>
  <si>
    <t>Q418</t>
  </si>
  <si>
    <t>Q119</t>
  </si>
  <si>
    <t>Q219</t>
  </si>
  <si>
    <t>Q319</t>
  </si>
  <si>
    <t>Q419</t>
  </si>
  <si>
    <t>Q120</t>
  </si>
  <si>
    <t>Q320</t>
  </si>
  <si>
    <t>Q420</t>
  </si>
  <si>
    <t>Revenue y/y</t>
  </si>
  <si>
    <t>Gross Margin</t>
  </si>
  <si>
    <t>Operating Margin</t>
  </si>
  <si>
    <t>SM&amp;A Margin</t>
  </si>
  <si>
    <t>R&amp;D y/y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</si>
  <si>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</si>
  <si>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</si>
  <si>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</si>
  <si>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</si>
  <si>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</si>
  <si>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</si>
  <si>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</si>
  <si>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</si>
  <si>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</si>
  <si>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SM&amp;A y/y</t>
  </si>
  <si>
    <t>Q421</t>
  </si>
  <si>
    <t>Q121</t>
  </si>
  <si>
    <t>Q221</t>
  </si>
  <si>
    <t>Q321</t>
  </si>
  <si>
    <t>Q118</t>
  </si>
  <si>
    <t>Q218</t>
  </si>
  <si>
    <t>Q318</t>
  </si>
  <si>
    <t>Q117</t>
  </si>
  <si>
    <t>Q217</t>
  </si>
  <si>
    <t>Q317</t>
  </si>
  <si>
    <t>Q417</t>
  </si>
  <si>
    <t>Software &amp; services</t>
  </si>
  <si>
    <t>Licensing &amp; other</t>
  </si>
  <si>
    <t>S&amp;S revenue y/y</t>
  </si>
  <si>
    <t>Licensing revenue y/y</t>
  </si>
  <si>
    <t>Q122</t>
  </si>
  <si>
    <t>Q222</t>
  </si>
  <si>
    <t>Q322</t>
  </si>
  <si>
    <t>Q422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</si>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</sst>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164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0</xdr:row>
      <xdr:rowOff>0</xdr:rowOff>
    </xdr:from>
    <xdr:to>
      <xdr:col>22</xdr:col>
      <xdr:colOff>22860</xdr:colOff>
      <xdr:row>29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4947BC2-4468-4BA2-9E3B-0267E135E1AB}"/>
            </a:ext>
          </a:extLst>
        </xdr:cNvPr>
        <xdr:cNvCxnSpPr/>
      </xdr:nvCxnSpPr>
      <xdr:spPr>
        <a:xfrm>
          <a:off x="17335500" y="0"/>
          <a:ext cx="0" cy="5417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30480</xdr:colOff>
      <xdr:row>0</xdr:row>
      <xdr:rowOff>7620</xdr:rowOff>
    </xdr:from>
    <xdr:to>
      <xdr:col>32</xdr:col>
      <xdr:colOff>30480</xdr:colOff>
      <xdr:row>32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1CAFA5-1093-449C-9789-306193FC2DAE}"/>
            </a:ext>
          </a:extLst>
        </xdr:cNvPr>
        <xdr:cNvCxnSpPr/>
      </xdr:nvCxnSpPr>
      <xdr:spPr>
        <a:xfrm>
          <a:off x="21000720" y="7620"/>
          <a:ext cx="0" cy="5958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F32D-DADE-4D73-A9EC-297B4A3DF070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12">
        <v>7.97</v>
      </c>
      <c r="E3" s="4">
        <v>44330</v>
      </c>
      <c r="F3" s="4">
        <f ca="1">TODAY()</f>
        <v>44330</v>
      </c>
      <c r="G3" s="4">
        <v>44371</v>
      </c>
    </row>
    <row r="4" spans="2:7" x14ac:dyDescent="0.3">
      <c r="C4" t="s">
        <v>2</v>
      </c>
      <c r="D4" s="5">
        <v>566.1</v>
      </c>
      <c r="E4" s="3" t="s">
        <v>49</v>
      </c>
    </row>
    <row r="5" spans="2:7" x14ac:dyDescent="0.3">
      <c r="C5" t="s">
        <v>3</v>
      </c>
      <c r="D5" s="5">
        <f>D3*D4</f>
        <v>4511.817</v>
      </c>
    </row>
    <row r="6" spans="2:7" x14ac:dyDescent="0.3">
      <c r="C6" t="s">
        <v>4</v>
      </c>
      <c r="D6" s="5">
        <f>215+525+37</f>
        <v>777</v>
      </c>
      <c r="E6" s="3" t="s">
        <v>49</v>
      </c>
    </row>
    <row r="7" spans="2:7" x14ac:dyDescent="0.3">
      <c r="C7" t="s">
        <v>5</v>
      </c>
      <c r="D7" s="5">
        <v>720</v>
      </c>
      <c r="E7" s="3" t="s">
        <v>49</v>
      </c>
    </row>
    <row r="8" spans="2:7" x14ac:dyDescent="0.3">
      <c r="C8" t="s">
        <v>6</v>
      </c>
      <c r="D8" s="5">
        <f>D6-D7</f>
        <v>57</v>
      </c>
    </row>
    <row r="9" spans="2:7" x14ac:dyDescent="0.3">
      <c r="C9" t="s">
        <v>7</v>
      </c>
      <c r="D9" s="5">
        <f>D5-D8</f>
        <v>4454.817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DEB3-A129-4754-A913-59D91A7E0CAC}">
  <dimension ref="B1:ET33"/>
  <sheetViews>
    <sheetView tabSelected="1" workbookViewId="0">
      <pane xSplit="2" ySplit="2" topLeftCell="AJ8" activePane="bottomRight" state="frozen"/>
      <selection pane="topRight" activeCell="C1" sqref="C1"/>
      <selection pane="bottomLeft" activeCell="A3" sqref="A3"/>
      <selection pane="bottomRight" activeCell="AS33" sqref="AS33"/>
    </sheetView>
  </sheetViews>
  <sheetFormatPr defaultRowHeight="14.4" x14ac:dyDescent="0.3"/>
  <cols>
    <col min="2" max="2" width="32.44140625" bestFit="1" customWidth="1"/>
    <col min="3" max="26" width="10.5546875" customWidth="1"/>
    <col min="43" max="43" width="11.88671875" bestFit="1" customWidth="1"/>
    <col min="44" max="44" width="12.5546875" customWidth="1"/>
    <col min="45" max="45" width="17.33203125" bestFit="1" customWidth="1"/>
  </cols>
  <sheetData>
    <row r="1" spans="2:42" x14ac:dyDescent="0.3">
      <c r="C1" s="2">
        <v>42521</v>
      </c>
      <c r="D1" s="2">
        <v>42613</v>
      </c>
      <c r="E1" s="2">
        <v>42704</v>
      </c>
      <c r="F1" s="2">
        <v>42794</v>
      </c>
      <c r="G1" s="2">
        <v>42886</v>
      </c>
      <c r="H1" s="2">
        <v>42978</v>
      </c>
      <c r="I1" s="2">
        <v>43069</v>
      </c>
      <c r="J1" s="2">
        <v>43159</v>
      </c>
      <c r="K1" s="2">
        <v>43251</v>
      </c>
      <c r="L1" s="2">
        <v>43343</v>
      </c>
      <c r="M1" s="2">
        <v>43434</v>
      </c>
      <c r="N1" s="2">
        <v>43524</v>
      </c>
      <c r="O1" s="2">
        <v>43616</v>
      </c>
      <c r="P1" s="2">
        <v>43708</v>
      </c>
      <c r="Q1" s="2">
        <v>43799</v>
      </c>
      <c r="R1" s="2">
        <v>43890</v>
      </c>
      <c r="S1" s="2">
        <v>43982</v>
      </c>
      <c r="T1" s="2">
        <v>44074</v>
      </c>
      <c r="U1" s="2">
        <v>44165</v>
      </c>
      <c r="V1" s="2">
        <v>44255</v>
      </c>
      <c r="W1" s="2">
        <v>44347</v>
      </c>
      <c r="X1" s="2">
        <v>44439</v>
      </c>
      <c r="Y1" s="2">
        <v>44530</v>
      </c>
      <c r="Z1" s="2">
        <v>44620</v>
      </c>
    </row>
    <row r="2" spans="2:42" x14ac:dyDescent="0.3">
      <c r="C2" s="6" t="s">
        <v>56</v>
      </c>
      <c r="D2" s="6" t="s">
        <v>57</v>
      </c>
      <c r="E2" s="6" t="s">
        <v>58</v>
      </c>
      <c r="F2" s="6" t="s">
        <v>59</v>
      </c>
      <c r="G2" s="6" t="s">
        <v>53</v>
      </c>
      <c r="H2" s="6" t="s">
        <v>54</v>
      </c>
      <c r="I2" s="6" t="s">
        <v>55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11</v>
      </c>
      <c r="Q2" s="6" t="s">
        <v>32</v>
      </c>
      <c r="R2" s="6" t="s">
        <v>33</v>
      </c>
      <c r="S2" s="6" t="s">
        <v>50</v>
      </c>
      <c r="T2" s="6" t="s">
        <v>51</v>
      </c>
      <c r="U2" s="6" t="s">
        <v>52</v>
      </c>
      <c r="V2" s="6" t="s">
        <v>49</v>
      </c>
      <c r="W2" s="6" t="s">
        <v>64</v>
      </c>
      <c r="X2" s="6" t="s">
        <v>65</v>
      </c>
      <c r="Y2" s="6" t="s">
        <v>66</v>
      </c>
      <c r="Z2" s="6" t="s">
        <v>67</v>
      </c>
      <c r="AB2">
        <v>2017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2025</v>
      </c>
      <c r="AK2">
        <v>2026</v>
      </c>
      <c r="AL2">
        <v>2027</v>
      </c>
      <c r="AM2">
        <v>2028</v>
      </c>
      <c r="AN2">
        <v>2029</v>
      </c>
      <c r="AO2">
        <v>2030</v>
      </c>
      <c r="AP2">
        <v>2031</v>
      </c>
    </row>
    <row r="3" spans="2:42" x14ac:dyDescent="0.3">
      <c r="B3" t="s">
        <v>60</v>
      </c>
      <c r="C3" s="6">
        <v>117</v>
      </c>
      <c r="D3" s="6">
        <v>122</v>
      </c>
      <c r="E3" s="6">
        <v>130</v>
      </c>
      <c r="F3" s="6">
        <v>126</v>
      </c>
      <c r="G3" s="6">
        <v>128</v>
      </c>
      <c r="H3" s="6">
        <v>129</v>
      </c>
      <c r="I3" s="6">
        <v>140</v>
      </c>
      <c r="J3" s="6">
        <v>154</v>
      </c>
      <c r="K3" s="6">
        <v>126</v>
      </c>
      <c r="L3" s="6">
        <v>137</v>
      </c>
      <c r="M3" s="6">
        <v>149</v>
      </c>
      <c r="N3" s="6">
        <v>147</v>
      </c>
      <c r="O3" s="6">
        <v>168</v>
      </c>
      <c r="P3" s="6">
        <v>168</v>
      </c>
      <c r="Q3" s="6">
        <v>185</v>
      </c>
      <c r="R3" s="6">
        <v>170</v>
      </c>
      <c r="S3" s="6">
        <v>148</v>
      </c>
      <c r="T3" s="6">
        <v>151</v>
      </c>
      <c r="U3" s="6">
        <v>162</v>
      </c>
      <c r="V3" s="14">
        <v>160</v>
      </c>
      <c r="W3" s="14">
        <f>S3*1.15</f>
        <v>170.2</v>
      </c>
      <c r="X3" s="14">
        <f>T3*1.2</f>
        <v>181.2</v>
      </c>
      <c r="Y3" s="14">
        <f>U3*1.15</f>
        <v>186.29999999999998</v>
      </c>
      <c r="Z3" s="14">
        <f>V3*1.15</f>
        <v>184</v>
      </c>
      <c r="AB3" s="11">
        <f>SUM(C3:F3)</f>
        <v>495</v>
      </c>
      <c r="AC3" s="11">
        <f t="shared" ref="AC3:AC4" si="0">SUM(G3:J3)</f>
        <v>551</v>
      </c>
      <c r="AD3" s="11">
        <f>SUM(K3:N3)</f>
        <v>559</v>
      </c>
      <c r="AE3" s="11">
        <f>SUM(O3:R3)</f>
        <v>691</v>
      </c>
      <c r="AF3" s="5">
        <f>SUM(S3:V3)</f>
        <v>621</v>
      </c>
      <c r="AG3" s="5">
        <f>SUM(W3:Z3)</f>
        <v>721.69999999999993</v>
      </c>
      <c r="AH3" s="5">
        <f>AG3*1.15</f>
        <v>829.95499999999981</v>
      </c>
      <c r="AI3" s="5">
        <f>AH3*1.12</f>
        <v>929.54959999999983</v>
      </c>
      <c r="AJ3" s="5">
        <f>AI3*1.1</f>
        <v>1022.5045599999999</v>
      </c>
      <c r="AK3" s="5">
        <f>AJ3*1.09</f>
        <v>1114.5299703999999</v>
      </c>
      <c r="AL3" s="5">
        <f>AK3*1.08</f>
        <v>1203.6923680319999</v>
      </c>
      <c r="AM3" s="5">
        <f>AL3*1.06</f>
        <v>1275.9139101139199</v>
      </c>
      <c r="AN3" s="5">
        <f>AM3*1.05</f>
        <v>1339.709605619616</v>
      </c>
      <c r="AO3" s="5">
        <f>AN3*1.04</f>
        <v>1393.2979898444007</v>
      </c>
      <c r="AP3" s="5">
        <f>AO3*1.03</f>
        <v>1435.0969295397329</v>
      </c>
    </row>
    <row r="4" spans="2:42" x14ac:dyDescent="0.3">
      <c r="B4" t="s">
        <v>61</v>
      </c>
      <c r="C4" s="6">
        <v>283</v>
      </c>
      <c r="D4" s="6">
        <v>212</v>
      </c>
      <c r="E4" s="6">
        <v>159</v>
      </c>
      <c r="F4" s="6">
        <v>160</v>
      </c>
      <c r="G4" s="6">
        <v>107</v>
      </c>
      <c r="H4" s="6">
        <v>109</v>
      </c>
      <c r="I4" s="6">
        <v>86</v>
      </c>
      <c r="J4" s="6">
        <v>79</v>
      </c>
      <c r="K4" s="6">
        <v>87</v>
      </c>
      <c r="L4" s="6">
        <v>73</v>
      </c>
      <c r="M4" s="6">
        <v>77</v>
      </c>
      <c r="N4" s="6">
        <v>108</v>
      </c>
      <c r="O4" s="6">
        <v>79</v>
      </c>
      <c r="P4" s="6">
        <v>76</v>
      </c>
      <c r="Q4" s="6">
        <v>82</v>
      </c>
      <c r="R4" s="6">
        <v>112</v>
      </c>
      <c r="S4" s="6">
        <v>58</v>
      </c>
      <c r="T4" s="6">
        <v>108</v>
      </c>
      <c r="U4" s="6">
        <v>56</v>
      </c>
      <c r="V4" s="14">
        <v>50</v>
      </c>
      <c r="W4" s="14">
        <f>S4*1.04</f>
        <v>60.32</v>
      </c>
      <c r="X4" s="14">
        <f>T4*0.6</f>
        <v>64.8</v>
      </c>
      <c r="Y4" s="14">
        <f t="shared" ref="Y4:Z4" si="1">U4*1.04</f>
        <v>58.24</v>
      </c>
      <c r="Z4" s="14">
        <f t="shared" si="1"/>
        <v>52</v>
      </c>
      <c r="AB4" s="11">
        <f>SUM(C4:F4)</f>
        <v>814</v>
      </c>
      <c r="AC4" s="11">
        <f t="shared" si="0"/>
        <v>381</v>
      </c>
      <c r="AD4" s="11">
        <f>SUM(K4:N4)</f>
        <v>345</v>
      </c>
      <c r="AE4" s="11">
        <f>SUM(O4:R4)</f>
        <v>349</v>
      </c>
      <c r="AF4" s="5">
        <f>SUM(S4:V4)</f>
        <v>272</v>
      </c>
      <c r="AG4" s="5">
        <f>SUM(W4:Z4)</f>
        <v>235.36</v>
      </c>
      <c r="AH4" s="5">
        <f>AG4*1.03</f>
        <v>242.42080000000001</v>
      </c>
      <c r="AI4" s="5">
        <f>AH4*1.02</f>
        <v>247.26921600000003</v>
      </c>
      <c r="AJ4" s="5">
        <f t="shared" ref="AJ4:AP4" si="2">AI4*1.01</f>
        <v>249.74190816000004</v>
      </c>
      <c r="AK4" s="5">
        <f t="shared" si="2"/>
        <v>252.23932724160005</v>
      </c>
      <c r="AL4" s="5">
        <f t="shared" si="2"/>
        <v>254.76172051401605</v>
      </c>
      <c r="AM4" s="5">
        <f t="shared" si="2"/>
        <v>257.30933771915619</v>
      </c>
      <c r="AN4" s="5">
        <f t="shared" si="2"/>
        <v>259.88243109634777</v>
      </c>
      <c r="AO4" s="5">
        <f t="shared" si="2"/>
        <v>262.48125540731127</v>
      </c>
      <c r="AP4" s="5">
        <f t="shared" si="2"/>
        <v>265.10606796138438</v>
      </c>
    </row>
    <row r="5" spans="2:42" s="1" customFormat="1" x14ac:dyDescent="0.3">
      <c r="B5" s="1" t="s">
        <v>12</v>
      </c>
      <c r="C5" s="9">
        <f>C3+C4</f>
        <v>400</v>
      </c>
      <c r="D5" s="9">
        <f t="shared" ref="D5:Z5" si="3">D3+D4</f>
        <v>334</v>
      </c>
      <c r="E5" s="9">
        <f t="shared" si="3"/>
        <v>289</v>
      </c>
      <c r="F5" s="9">
        <f t="shared" si="3"/>
        <v>286</v>
      </c>
      <c r="G5" s="9">
        <f t="shared" si="3"/>
        <v>235</v>
      </c>
      <c r="H5" s="9">
        <f t="shared" si="3"/>
        <v>238</v>
      </c>
      <c r="I5" s="9">
        <f t="shared" si="3"/>
        <v>226</v>
      </c>
      <c r="J5" s="9">
        <f t="shared" si="3"/>
        <v>233</v>
      </c>
      <c r="K5" s="9">
        <f t="shared" si="3"/>
        <v>213</v>
      </c>
      <c r="L5" s="9">
        <f t="shared" si="3"/>
        <v>210</v>
      </c>
      <c r="M5" s="9">
        <f t="shared" si="3"/>
        <v>226</v>
      </c>
      <c r="N5" s="9">
        <f t="shared" si="3"/>
        <v>255</v>
      </c>
      <c r="O5" s="9">
        <f t="shared" si="3"/>
        <v>247</v>
      </c>
      <c r="P5" s="9">
        <f t="shared" si="3"/>
        <v>244</v>
      </c>
      <c r="Q5" s="9">
        <f t="shared" si="3"/>
        <v>267</v>
      </c>
      <c r="R5" s="9">
        <f t="shared" si="3"/>
        <v>282</v>
      </c>
      <c r="S5" s="9">
        <f t="shared" si="3"/>
        <v>206</v>
      </c>
      <c r="T5" s="9">
        <f t="shared" si="3"/>
        <v>259</v>
      </c>
      <c r="U5" s="9">
        <f t="shared" si="3"/>
        <v>218</v>
      </c>
      <c r="V5" s="9">
        <f t="shared" si="3"/>
        <v>210</v>
      </c>
      <c r="W5" s="9">
        <f t="shared" si="3"/>
        <v>230.51999999999998</v>
      </c>
      <c r="X5" s="9">
        <f t="shared" si="3"/>
        <v>246</v>
      </c>
      <c r="Y5" s="9">
        <f t="shared" si="3"/>
        <v>244.54</v>
      </c>
      <c r="Z5" s="9">
        <f t="shared" si="3"/>
        <v>236</v>
      </c>
      <c r="AB5" s="9">
        <f t="shared" ref="AB5" si="4">AB3+AB4</f>
        <v>1309</v>
      </c>
      <c r="AC5" s="9">
        <f t="shared" ref="AC5" si="5">AC3+AC4</f>
        <v>932</v>
      </c>
      <c r="AD5" s="9">
        <f t="shared" ref="AD5" si="6">AD3+AD4</f>
        <v>904</v>
      </c>
      <c r="AE5" s="9">
        <f t="shared" ref="AE5" si="7">AE3+AE4</f>
        <v>1040</v>
      </c>
      <c r="AF5" s="9">
        <f t="shared" ref="AF5" si="8">AF3+AF4</f>
        <v>893</v>
      </c>
      <c r="AG5" s="9">
        <f t="shared" ref="AG5" si="9">AG3+AG4</f>
        <v>957.06</v>
      </c>
      <c r="AH5" s="9">
        <f t="shared" ref="AH5" si="10">AH3+AH4</f>
        <v>1072.3757999999998</v>
      </c>
      <c r="AI5" s="9">
        <f t="shared" ref="AI5" si="11">AI3+AI4</f>
        <v>1176.818816</v>
      </c>
      <c r="AJ5" s="9">
        <f t="shared" ref="AJ5" si="12">AJ3+AJ4</f>
        <v>1272.2464681599999</v>
      </c>
      <c r="AK5" s="9">
        <f t="shared" ref="AK5" si="13">AK3+AK4</f>
        <v>1366.7692976415999</v>
      </c>
      <c r="AL5" s="9">
        <f t="shared" ref="AL5" si="14">AL3+AL4</f>
        <v>1458.454088546016</v>
      </c>
      <c r="AM5" s="9">
        <f t="shared" ref="AM5" si="15">AM3+AM4</f>
        <v>1533.2232478330761</v>
      </c>
      <c r="AN5" s="9">
        <f t="shared" ref="AN5" si="16">AN3+AN4</f>
        <v>1599.5920367159638</v>
      </c>
      <c r="AO5" s="9">
        <f t="shared" ref="AO5:AP5" si="17">AO3+AO4</f>
        <v>1655.7792452517119</v>
      </c>
      <c r="AP5" s="9">
        <f t="shared" si="17"/>
        <v>1700.2029975011174</v>
      </c>
    </row>
    <row r="6" spans="2:42" x14ac:dyDescent="0.3">
      <c r="B6" t="s">
        <v>13</v>
      </c>
      <c r="C6" s="5">
        <v>246</v>
      </c>
      <c r="D6" s="5">
        <v>236</v>
      </c>
      <c r="E6" s="5">
        <v>96</v>
      </c>
      <c r="F6" s="5">
        <v>114</v>
      </c>
      <c r="G6" s="5">
        <v>85</v>
      </c>
      <c r="H6" s="5">
        <v>63</v>
      </c>
      <c r="I6" s="5">
        <v>58</v>
      </c>
      <c r="J6" s="5">
        <v>56</v>
      </c>
      <c r="K6" s="5">
        <v>52</v>
      </c>
      <c r="L6" s="5">
        <v>49</v>
      </c>
      <c r="M6" s="5">
        <v>56</v>
      </c>
      <c r="N6" s="5">
        <v>49</v>
      </c>
      <c r="O6" s="5">
        <v>70</v>
      </c>
      <c r="P6" s="5">
        <v>68</v>
      </c>
      <c r="Q6" s="5">
        <v>69</v>
      </c>
      <c r="R6" s="5">
        <v>70</v>
      </c>
      <c r="S6" s="5">
        <v>63</v>
      </c>
      <c r="T6" s="5">
        <v>60</v>
      </c>
      <c r="U6" s="5">
        <v>69</v>
      </c>
      <c r="V6" s="5">
        <v>58</v>
      </c>
      <c r="W6" s="5">
        <f>W5-W7</f>
        <v>69.156000000000006</v>
      </c>
      <c r="X6" s="5">
        <f t="shared" ref="X6:Z6" si="18">X5-X7</f>
        <v>68.88</v>
      </c>
      <c r="Y6" s="5">
        <f t="shared" si="18"/>
        <v>73.361999999999995</v>
      </c>
      <c r="Z6" s="5">
        <f t="shared" si="18"/>
        <v>66.080000000000013</v>
      </c>
      <c r="AB6" s="11">
        <f>SUM(C6:F6)</f>
        <v>692</v>
      </c>
      <c r="AC6" s="11">
        <f>SUM(G6:J6)</f>
        <v>262</v>
      </c>
      <c r="AD6" s="11">
        <f>SUM(K6:N6)</f>
        <v>206</v>
      </c>
      <c r="AE6" s="11">
        <f>SUM(O6:R6)</f>
        <v>277</v>
      </c>
      <c r="AF6" s="5">
        <f>SUM(S6:V6)</f>
        <v>250</v>
      </c>
      <c r="AG6" s="5">
        <f>SUM(W6:Z6)</f>
        <v>277.47800000000001</v>
      </c>
      <c r="AH6" s="5">
        <f t="shared" ref="AH6:AP6" si="19">AH5-AH7</f>
        <v>289.54146600000001</v>
      </c>
      <c r="AI6" s="5">
        <f t="shared" si="19"/>
        <v>317.74108032000004</v>
      </c>
      <c r="AJ6" s="5">
        <f t="shared" si="19"/>
        <v>343.50654640319999</v>
      </c>
      <c r="AK6" s="5">
        <f t="shared" si="19"/>
        <v>369.02771036323202</v>
      </c>
      <c r="AL6" s="5">
        <f t="shared" si="19"/>
        <v>393.78260390742435</v>
      </c>
      <c r="AM6" s="5">
        <f t="shared" si="19"/>
        <v>413.97027691493054</v>
      </c>
      <c r="AN6" s="5">
        <f t="shared" si="19"/>
        <v>431.88984991331017</v>
      </c>
      <c r="AO6" s="5">
        <f t="shared" si="19"/>
        <v>447.06039621796231</v>
      </c>
      <c r="AP6" s="5">
        <f t="shared" si="19"/>
        <v>459.05480932530168</v>
      </c>
    </row>
    <row r="7" spans="2:42" s="1" customFormat="1" x14ac:dyDescent="0.3">
      <c r="B7" s="1" t="s">
        <v>14</v>
      </c>
      <c r="C7" s="9">
        <f t="shared" ref="C7" si="20">C5-C6</f>
        <v>154</v>
      </c>
      <c r="D7" s="9">
        <f t="shared" ref="D7:E7" si="21">D5-D6</f>
        <v>98</v>
      </c>
      <c r="E7" s="9">
        <f t="shared" si="21"/>
        <v>193</v>
      </c>
      <c r="F7" s="9">
        <f t="shared" ref="F7:G7" si="22">F5-F6</f>
        <v>172</v>
      </c>
      <c r="G7" s="9">
        <f t="shared" si="22"/>
        <v>150</v>
      </c>
      <c r="H7" s="9">
        <f t="shared" ref="H7:I7" si="23">H5-H6</f>
        <v>175</v>
      </c>
      <c r="I7" s="9">
        <f t="shared" si="23"/>
        <v>168</v>
      </c>
      <c r="J7" s="9">
        <f t="shared" ref="J7:K7" si="24">J5-J6</f>
        <v>177</v>
      </c>
      <c r="K7" s="9">
        <f t="shared" si="24"/>
        <v>161</v>
      </c>
      <c r="L7" s="9">
        <f t="shared" ref="L7:M7" si="25">L5-L6</f>
        <v>161</v>
      </c>
      <c r="M7" s="9">
        <f t="shared" si="25"/>
        <v>170</v>
      </c>
      <c r="N7" s="9">
        <f t="shared" ref="N7:V7" si="26">N5-N6</f>
        <v>206</v>
      </c>
      <c r="O7" s="9">
        <f t="shared" si="26"/>
        <v>177</v>
      </c>
      <c r="P7" s="9">
        <f t="shared" si="26"/>
        <v>176</v>
      </c>
      <c r="Q7" s="9">
        <f t="shared" si="26"/>
        <v>198</v>
      </c>
      <c r="R7" s="9">
        <f t="shared" si="26"/>
        <v>212</v>
      </c>
      <c r="S7" s="9">
        <f t="shared" si="26"/>
        <v>143</v>
      </c>
      <c r="T7" s="9">
        <f t="shared" si="26"/>
        <v>199</v>
      </c>
      <c r="U7" s="9">
        <f t="shared" si="26"/>
        <v>149</v>
      </c>
      <c r="V7" s="9">
        <f t="shared" si="26"/>
        <v>152</v>
      </c>
      <c r="W7" s="9">
        <f>W5*0.7</f>
        <v>161.36399999999998</v>
      </c>
      <c r="X7" s="9">
        <f>X5*0.72</f>
        <v>177.12</v>
      </c>
      <c r="Y7" s="9">
        <f t="shared" ref="Y7" si="27">Y5*0.7</f>
        <v>171.178</v>
      </c>
      <c r="Z7" s="9">
        <f>Z5*0.72</f>
        <v>169.92</v>
      </c>
      <c r="AB7" s="9">
        <f>AB5-AB6</f>
        <v>617</v>
      </c>
      <c r="AC7" s="9">
        <f>AC5-AC6</f>
        <v>670</v>
      </c>
      <c r="AD7" s="9">
        <f>AD5-AD6</f>
        <v>698</v>
      </c>
      <c r="AE7" s="9">
        <f>AE5-AE6</f>
        <v>763</v>
      </c>
      <c r="AF7" s="9">
        <f>AF5-AF6</f>
        <v>643</v>
      </c>
      <c r="AG7" s="9">
        <f>AG5*0.73</f>
        <v>698.65379999999993</v>
      </c>
      <c r="AH7" s="9">
        <f t="shared" ref="AH7:AP7" si="28">AH5*0.73</f>
        <v>782.83433399999979</v>
      </c>
      <c r="AI7" s="9">
        <f t="shared" si="28"/>
        <v>859.07773567999993</v>
      </c>
      <c r="AJ7" s="9">
        <f t="shared" si="28"/>
        <v>928.73992175679996</v>
      </c>
      <c r="AK7" s="9">
        <f t="shared" si="28"/>
        <v>997.74158727836789</v>
      </c>
      <c r="AL7" s="9">
        <f t="shared" si="28"/>
        <v>1064.6714846385917</v>
      </c>
      <c r="AM7" s="9">
        <f t="shared" si="28"/>
        <v>1119.2529709181456</v>
      </c>
      <c r="AN7" s="9">
        <f t="shared" si="28"/>
        <v>1167.7021868026536</v>
      </c>
      <c r="AO7" s="9">
        <f t="shared" si="28"/>
        <v>1208.7188490337496</v>
      </c>
      <c r="AP7" s="9">
        <f t="shared" si="28"/>
        <v>1241.1481881758157</v>
      </c>
    </row>
    <row r="8" spans="2:42" x14ac:dyDescent="0.3">
      <c r="B8" t="s">
        <v>15</v>
      </c>
      <c r="C8" s="5">
        <v>89</v>
      </c>
      <c r="D8" s="5">
        <v>85</v>
      </c>
      <c r="E8" s="5">
        <v>75</v>
      </c>
      <c r="F8" s="5">
        <v>57</v>
      </c>
      <c r="G8" s="5">
        <v>61</v>
      </c>
      <c r="H8" s="5">
        <v>60</v>
      </c>
      <c r="I8" s="5">
        <v>60</v>
      </c>
      <c r="J8" s="5">
        <v>58</v>
      </c>
      <c r="K8" s="5">
        <v>61</v>
      </c>
      <c r="L8" s="5">
        <v>51</v>
      </c>
      <c r="M8" s="5">
        <v>55</v>
      </c>
      <c r="N8" s="5">
        <v>52</v>
      </c>
      <c r="O8" s="5">
        <v>71</v>
      </c>
      <c r="P8" s="5">
        <v>62</v>
      </c>
      <c r="Q8" s="5">
        <v>66</v>
      </c>
      <c r="R8" s="5">
        <v>60</v>
      </c>
      <c r="S8" s="5">
        <v>57</v>
      </c>
      <c r="T8" s="5">
        <v>57</v>
      </c>
      <c r="U8" s="5">
        <v>53</v>
      </c>
      <c r="V8" s="5">
        <v>48</v>
      </c>
      <c r="W8" s="5">
        <f>S8*0.98</f>
        <v>55.86</v>
      </c>
      <c r="X8" s="5">
        <f>T8*1.05</f>
        <v>59.85</v>
      </c>
      <c r="Y8" s="5">
        <f t="shared" ref="Y8:Y9" si="29">U8*1.1</f>
        <v>58.300000000000004</v>
      </c>
      <c r="Z8" s="5">
        <f>V8*1.15</f>
        <v>55.199999999999996</v>
      </c>
      <c r="AB8" s="11">
        <f>SUM(C8:F8)</f>
        <v>306</v>
      </c>
      <c r="AC8" s="11">
        <f>SUM(G8:J8)</f>
        <v>239</v>
      </c>
      <c r="AD8" s="11">
        <f>SUM(K8:N8)</f>
        <v>219</v>
      </c>
      <c r="AE8" s="11">
        <f>SUM(O8:R8)</f>
        <v>259</v>
      </c>
      <c r="AF8" s="5">
        <f>SUM(S8:V8)</f>
        <v>215</v>
      </c>
      <c r="AG8" s="5">
        <f>SUM(W8:Z8)</f>
        <v>229.21</v>
      </c>
      <c r="AH8" s="5">
        <f>AG8*1.03</f>
        <v>236.08630000000002</v>
      </c>
      <c r="AI8" s="5">
        <f t="shared" ref="AI8:AJ8" si="30">AH8*1.02</f>
        <v>240.80802600000004</v>
      </c>
      <c r="AJ8" s="5">
        <f t="shared" si="30"/>
        <v>245.62418652000005</v>
      </c>
      <c r="AK8" s="5">
        <f>AJ8*1.01</f>
        <v>248.08042838520007</v>
      </c>
      <c r="AL8" s="5">
        <f t="shared" ref="AL8:AP9" si="31">AK8*1.01</f>
        <v>250.56123266905206</v>
      </c>
      <c r="AM8" s="5">
        <f t="shared" si="31"/>
        <v>253.06684499574257</v>
      </c>
      <c r="AN8" s="5">
        <f t="shared" si="31"/>
        <v>255.5975134457</v>
      </c>
      <c r="AO8" s="5">
        <f t="shared" si="31"/>
        <v>258.15348858015699</v>
      </c>
      <c r="AP8" s="5">
        <f t="shared" si="31"/>
        <v>260.73502346595853</v>
      </c>
    </row>
    <row r="9" spans="2:42" x14ac:dyDescent="0.3">
      <c r="B9" t="s">
        <v>16</v>
      </c>
      <c r="C9" s="5">
        <v>129</v>
      </c>
      <c r="D9" s="5">
        <v>138</v>
      </c>
      <c r="E9" s="5">
        <v>141</v>
      </c>
      <c r="F9" s="5">
        <v>144</v>
      </c>
      <c r="G9" s="5">
        <v>109</v>
      </c>
      <c r="H9" s="5">
        <v>110</v>
      </c>
      <c r="I9" s="5">
        <v>118</v>
      </c>
      <c r="J9" s="5">
        <v>131</v>
      </c>
      <c r="K9" s="5">
        <v>100</v>
      </c>
      <c r="L9" s="5">
        <v>106</v>
      </c>
      <c r="M9" s="5">
        <v>91</v>
      </c>
      <c r="N9" s="5">
        <v>110</v>
      </c>
      <c r="O9" s="5">
        <v>121</v>
      </c>
      <c r="P9" s="5">
        <v>130</v>
      </c>
      <c r="Q9" s="5">
        <v>132</v>
      </c>
      <c r="R9" s="5">
        <v>113</v>
      </c>
      <c r="S9" s="5">
        <v>90</v>
      </c>
      <c r="T9" s="5">
        <v>79</v>
      </c>
      <c r="U9" s="5">
        <v>83</v>
      </c>
      <c r="V9" s="5">
        <v>92</v>
      </c>
      <c r="W9" s="5">
        <f>S9*1.01</f>
        <v>90.9</v>
      </c>
      <c r="X9" s="5">
        <f t="shared" ref="X9" si="32">T9*1.1</f>
        <v>86.9</v>
      </c>
      <c r="Y9" s="5">
        <f t="shared" si="29"/>
        <v>91.300000000000011</v>
      </c>
      <c r="Z9" s="5">
        <f>V9*1.05</f>
        <v>96.600000000000009</v>
      </c>
      <c r="AB9" s="11">
        <f>SUM(C9:F9)</f>
        <v>552</v>
      </c>
      <c r="AC9" s="11">
        <f>SUM(G9:J9)</f>
        <v>468</v>
      </c>
      <c r="AD9" s="11">
        <f>SUM(K9:N9)</f>
        <v>407</v>
      </c>
      <c r="AE9" s="11">
        <f>SUM(O9:R9)</f>
        <v>496</v>
      </c>
      <c r="AF9" s="5">
        <f>SUM(S9:V9)</f>
        <v>344</v>
      </c>
      <c r="AG9" s="5">
        <f>SUM(W9:Z9)</f>
        <v>365.70000000000005</v>
      </c>
      <c r="AH9" s="5">
        <f>AG9*1.01</f>
        <v>369.35700000000003</v>
      </c>
      <c r="AI9" s="5">
        <f t="shared" ref="AI9:AK9" si="33">AH9*1.01</f>
        <v>373.05057000000005</v>
      </c>
      <c r="AJ9" s="5">
        <f t="shared" si="33"/>
        <v>376.78107570000003</v>
      </c>
      <c r="AK9" s="5">
        <f t="shared" si="33"/>
        <v>380.54888645700004</v>
      </c>
      <c r="AL9" s="5">
        <f t="shared" si="31"/>
        <v>384.35437532157005</v>
      </c>
      <c r="AM9" s="5">
        <f t="shared" si="31"/>
        <v>388.19791907478577</v>
      </c>
      <c r="AN9" s="5">
        <f t="shared" si="31"/>
        <v>392.07989826553364</v>
      </c>
      <c r="AO9" s="5">
        <f t="shared" si="31"/>
        <v>396.000697248189</v>
      </c>
      <c r="AP9" s="5">
        <f t="shared" si="31"/>
        <v>399.96070422067089</v>
      </c>
    </row>
    <row r="10" spans="2:42" x14ac:dyDescent="0.3">
      <c r="B10" t="s">
        <v>17</v>
      </c>
      <c r="C10" s="5">
        <v>54</v>
      </c>
      <c r="D10" s="5">
        <v>44</v>
      </c>
      <c r="E10" s="5">
        <v>43</v>
      </c>
      <c r="F10" s="5">
        <v>45</v>
      </c>
      <c r="G10" s="5">
        <v>40</v>
      </c>
      <c r="H10" s="5">
        <v>39</v>
      </c>
      <c r="I10" s="5">
        <v>37</v>
      </c>
      <c r="J10" s="5">
        <v>37</v>
      </c>
      <c r="K10" s="5">
        <v>37</v>
      </c>
      <c r="L10" s="5">
        <v>35</v>
      </c>
      <c r="M10" s="5">
        <v>33</v>
      </c>
      <c r="N10" s="5">
        <v>31</v>
      </c>
      <c r="O10" s="5">
        <v>49</v>
      </c>
      <c r="P10" s="5">
        <v>48</v>
      </c>
      <c r="Q10" s="5">
        <v>49</v>
      </c>
      <c r="R10" s="5">
        <v>48</v>
      </c>
      <c r="S10" s="5">
        <v>46</v>
      </c>
      <c r="T10" s="5">
        <v>46</v>
      </c>
      <c r="U10" s="5">
        <v>45</v>
      </c>
      <c r="V10" s="5">
        <v>45</v>
      </c>
      <c r="W10" s="5">
        <v>45</v>
      </c>
      <c r="X10" s="5">
        <v>45</v>
      </c>
      <c r="Y10" s="5">
        <v>44</v>
      </c>
      <c r="Z10" s="5">
        <v>44</v>
      </c>
      <c r="AB10" s="11">
        <f>SUM(C10:F10)</f>
        <v>186</v>
      </c>
      <c r="AC10" s="11">
        <f>SUM(G10:J10)</f>
        <v>153</v>
      </c>
      <c r="AD10" s="11">
        <f>SUM(K10:N10)</f>
        <v>136</v>
      </c>
      <c r="AE10" s="11">
        <f>SUM(O10:R10)</f>
        <v>194</v>
      </c>
      <c r="AF10" s="5">
        <f>SUM(S10:V10)</f>
        <v>182</v>
      </c>
      <c r="AG10" s="5">
        <f>SUM(W10:Z10)</f>
        <v>178</v>
      </c>
      <c r="AH10" s="5">
        <f t="shared" ref="AH10:AP10" si="34">AG10*0.9</f>
        <v>160.20000000000002</v>
      </c>
      <c r="AI10" s="5">
        <f t="shared" si="34"/>
        <v>144.18</v>
      </c>
      <c r="AJ10" s="5">
        <f t="shared" si="34"/>
        <v>129.762</v>
      </c>
      <c r="AK10" s="5">
        <f t="shared" si="34"/>
        <v>116.78580000000001</v>
      </c>
      <c r="AL10" s="5">
        <f t="shared" si="34"/>
        <v>105.10722000000001</v>
      </c>
      <c r="AM10" s="5">
        <f t="shared" si="34"/>
        <v>94.596498000000011</v>
      </c>
      <c r="AN10" s="5">
        <f t="shared" si="34"/>
        <v>85.136848200000017</v>
      </c>
      <c r="AO10" s="5">
        <f t="shared" si="34"/>
        <v>76.623163380000022</v>
      </c>
      <c r="AP10" s="5">
        <f t="shared" si="34"/>
        <v>68.960847042000026</v>
      </c>
    </row>
    <row r="11" spans="2:42" x14ac:dyDescent="0.3">
      <c r="B11" t="s">
        <v>18</v>
      </c>
      <c r="C11" s="5">
        <f>57+501+3</f>
        <v>561</v>
      </c>
      <c r="D11" s="5">
        <v>124</v>
      </c>
      <c r="E11" s="5">
        <v>46</v>
      </c>
      <c r="F11" s="5">
        <v>-1</v>
      </c>
      <c r="G11" s="5">
        <v>1</v>
      </c>
      <c r="H11" s="5">
        <f>11+3</f>
        <v>14</v>
      </c>
      <c r="I11" s="5">
        <f>2</f>
        <v>2</v>
      </c>
      <c r="J11" s="5">
        <v>2</v>
      </c>
      <c r="K11" s="5">
        <v>0</v>
      </c>
      <c r="L11" s="5">
        <v>0</v>
      </c>
      <c r="M11" s="5">
        <v>2</v>
      </c>
      <c r="N11" s="5">
        <v>0</v>
      </c>
      <c r="O11" s="5">
        <v>0</v>
      </c>
      <c r="P11" s="5">
        <v>2</v>
      </c>
      <c r="Q11" s="5">
        <v>0</v>
      </c>
      <c r="R11" s="5">
        <f>5+22</f>
        <v>27</v>
      </c>
      <c r="S11" s="5">
        <v>594</v>
      </c>
      <c r="T11" s="5">
        <v>21</v>
      </c>
      <c r="U11" s="5">
        <v>0</v>
      </c>
      <c r="V11" s="5">
        <v>22</v>
      </c>
      <c r="W11" s="5">
        <v>15</v>
      </c>
      <c r="X11" s="5">
        <v>15</v>
      </c>
      <c r="Y11" s="5">
        <v>15</v>
      </c>
      <c r="Z11" s="5">
        <v>15</v>
      </c>
      <c r="AB11" s="11">
        <f>SUM(C11:F11)</f>
        <v>730</v>
      </c>
      <c r="AC11" s="11">
        <f>SUM(G11:J11)</f>
        <v>19</v>
      </c>
      <c r="AD11" s="11">
        <f>SUM(K11:N11)</f>
        <v>2</v>
      </c>
      <c r="AE11" s="11">
        <f>SUM(O11:R11)</f>
        <v>29</v>
      </c>
      <c r="AF11" s="5">
        <f>SUM(S11:V11)</f>
        <v>637</v>
      </c>
      <c r="AG11" s="5">
        <f>SUM(W11:Z11)</f>
        <v>60</v>
      </c>
      <c r="AH11" s="5">
        <f t="shared" ref="AH11:AP11" si="35">AG11*0.9</f>
        <v>54</v>
      </c>
      <c r="AI11" s="5">
        <f t="shared" si="35"/>
        <v>48.6</v>
      </c>
      <c r="AJ11" s="5">
        <f t="shared" si="35"/>
        <v>43.74</v>
      </c>
      <c r="AK11" s="5">
        <f t="shared" si="35"/>
        <v>39.366</v>
      </c>
      <c r="AL11" s="5">
        <f t="shared" si="35"/>
        <v>35.429400000000001</v>
      </c>
      <c r="AM11" s="5">
        <f t="shared" si="35"/>
        <v>31.886460000000003</v>
      </c>
      <c r="AN11" s="5">
        <f t="shared" si="35"/>
        <v>28.697814000000005</v>
      </c>
      <c r="AO11" s="5">
        <f t="shared" si="35"/>
        <v>25.828032600000004</v>
      </c>
      <c r="AP11" s="5">
        <f t="shared" si="35"/>
        <v>23.245229340000005</v>
      </c>
    </row>
    <row r="12" spans="2:42" x14ac:dyDescent="0.3">
      <c r="B12" t="s">
        <v>19</v>
      </c>
      <c r="C12" s="5">
        <v>-24</v>
      </c>
      <c r="D12" s="5">
        <v>62</v>
      </c>
      <c r="E12" s="5">
        <v>2</v>
      </c>
      <c r="F12" s="5">
        <v>-16</v>
      </c>
      <c r="G12" s="5">
        <f>218-815</f>
        <v>-597</v>
      </c>
      <c r="H12" s="5">
        <v>-70</v>
      </c>
      <c r="I12" s="5">
        <f>77+132</f>
        <v>209</v>
      </c>
      <c r="J12" s="5">
        <v>-34</v>
      </c>
      <c r="K12" s="5">
        <v>28</v>
      </c>
      <c r="L12" s="5">
        <v>-70</v>
      </c>
      <c r="M12" s="5">
        <v>-69</v>
      </c>
      <c r="N12" s="5">
        <f>-6-9</f>
        <v>-15</v>
      </c>
      <c r="O12" s="5">
        <v>-28</v>
      </c>
      <c r="P12" s="5">
        <v>-23</v>
      </c>
      <c r="Q12" s="5">
        <v>-20</v>
      </c>
      <c r="R12" s="5">
        <v>5</v>
      </c>
      <c r="S12" s="5">
        <v>1</v>
      </c>
      <c r="T12" s="5">
        <v>18</v>
      </c>
      <c r="U12" s="5">
        <v>95</v>
      </c>
      <c r="V12" s="5">
        <v>258</v>
      </c>
      <c r="W12" s="5">
        <v>0</v>
      </c>
      <c r="X12" s="5">
        <v>0</v>
      </c>
      <c r="Y12" s="5">
        <v>0</v>
      </c>
      <c r="Z12" s="5">
        <v>0</v>
      </c>
      <c r="AB12" s="11">
        <f>SUM(C12:F12)</f>
        <v>24</v>
      </c>
      <c r="AC12" s="11">
        <f>SUM(G12:J12)</f>
        <v>-492</v>
      </c>
      <c r="AD12" s="11">
        <f>SUM(K12:N12)</f>
        <v>-126</v>
      </c>
      <c r="AE12" s="11">
        <f>SUM(O12:R12)</f>
        <v>-66</v>
      </c>
      <c r="AF12" s="5">
        <f>SUM(S12:V12)</f>
        <v>372</v>
      </c>
      <c r="AG12" s="5">
        <f>SUM(W12:Z12)</f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</row>
    <row r="13" spans="2:42" s="1" customFormat="1" x14ac:dyDescent="0.3">
      <c r="B13" s="1" t="s">
        <v>20</v>
      </c>
      <c r="C13" s="9">
        <f t="shared" ref="C13" si="36">C7-C8-C9-C10-C11-C12</f>
        <v>-655</v>
      </c>
      <c r="D13" s="9">
        <f t="shared" ref="D13:E13" si="37">D7-D8-D9-D10-D11-D12</f>
        <v>-355</v>
      </c>
      <c r="E13" s="9">
        <f t="shared" si="37"/>
        <v>-114</v>
      </c>
      <c r="F13" s="9">
        <f t="shared" ref="F13:G13" si="38">F7-F8-F9-F10-F11-F12</f>
        <v>-57</v>
      </c>
      <c r="G13" s="9">
        <f t="shared" si="38"/>
        <v>536</v>
      </c>
      <c r="H13" s="9">
        <f t="shared" ref="H13:I13" si="39">H7-H8-H9-H10-H11-H12</f>
        <v>22</v>
      </c>
      <c r="I13" s="9">
        <f t="shared" si="39"/>
        <v>-258</v>
      </c>
      <c r="J13" s="9">
        <f t="shared" ref="J13:K13" si="40">J7-J8-J9-J10-J11-J12</f>
        <v>-17</v>
      </c>
      <c r="K13" s="9">
        <f t="shared" si="40"/>
        <v>-65</v>
      </c>
      <c r="L13" s="9">
        <f t="shared" ref="L13:M13" si="41">L7-L8-L9-L10-L11-L12</f>
        <v>39</v>
      </c>
      <c r="M13" s="9">
        <f t="shared" si="41"/>
        <v>58</v>
      </c>
      <c r="N13" s="9">
        <f t="shared" ref="N13:T13" si="42">N7-N8-N9-N10-N11-N12</f>
        <v>28</v>
      </c>
      <c r="O13" s="9">
        <f t="shared" si="42"/>
        <v>-36</v>
      </c>
      <c r="P13" s="9">
        <f t="shared" si="42"/>
        <v>-43</v>
      </c>
      <c r="Q13" s="9">
        <f t="shared" si="42"/>
        <v>-29</v>
      </c>
      <c r="R13" s="9">
        <f t="shared" si="42"/>
        <v>-41</v>
      </c>
      <c r="S13" s="9">
        <f t="shared" si="42"/>
        <v>-645</v>
      </c>
      <c r="T13" s="9">
        <f t="shared" si="42"/>
        <v>-22</v>
      </c>
      <c r="U13" s="9">
        <f t="shared" ref="U13:Z13" si="43">U7-U8-U9-U10-U11-U12</f>
        <v>-127</v>
      </c>
      <c r="V13" s="9">
        <f t="shared" si="43"/>
        <v>-313</v>
      </c>
      <c r="W13" s="9">
        <f t="shared" si="43"/>
        <v>-45.396000000000029</v>
      </c>
      <c r="X13" s="9">
        <f t="shared" si="43"/>
        <v>-29.629999999999995</v>
      </c>
      <c r="Y13" s="9">
        <f t="shared" si="43"/>
        <v>-37.422000000000025</v>
      </c>
      <c r="Z13" s="9">
        <f t="shared" si="43"/>
        <v>-40.88000000000001</v>
      </c>
      <c r="AB13" s="9">
        <f>AB7-AB8-AB9-AB10-AB11-AB12</f>
        <v>-1181</v>
      </c>
      <c r="AC13" s="9">
        <f>AC7-AC8-AC9-AC10-AC11-AC12</f>
        <v>283</v>
      </c>
      <c r="AD13" s="9">
        <f>AD7-AD8-AD9-AD10-AD11-AD12</f>
        <v>60</v>
      </c>
      <c r="AE13" s="9">
        <f>AE7-AE8-AE9-AE10-AE11-AE12</f>
        <v>-149</v>
      </c>
      <c r="AF13" s="9">
        <f t="shared" ref="AF13:AO13" si="44">AF7-AF8-AF9-AF10-AF11-AF12</f>
        <v>-1107</v>
      </c>
      <c r="AG13" s="9">
        <f t="shared" si="44"/>
        <v>-134.25620000000015</v>
      </c>
      <c r="AH13" s="9">
        <f t="shared" si="44"/>
        <v>-36.808966000000311</v>
      </c>
      <c r="AI13" s="9">
        <f t="shared" si="44"/>
        <v>52.439139679999833</v>
      </c>
      <c r="AJ13" s="9">
        <f t="shared" si="44"/>
        <v>132.83265953679984</v>
      </c>
      <c r="AK13" s="9">
        <f t="shared" si="44"/>
        <v>212.96047243616778</v>
      </c>
      <c r="AL13" s="9">
        <f t="shared" si="44"/>
        <v>289.21925664796959</v>
      </c>
      <c r="AM13" s="9">
        <f t="shared" si="44"/>
        <v>351.50524884761722</v>
      </c>
      <c r="AN13" s="9">
        <f t="shared" si="44"/>
        <v>406.19011289141997</v>
      </c>
      <c r="AO13" s="9">
        <f t="shared" si="44"/>
        <v>452.1134672254035</v>
      </c>
      <c r="AP13" s="9">
        <f t="shared" ref="AP13" si="45">AP7-AP8-AP9-AP10-AP11-AP12</f>
        <v>488.24638410718626</v>
      </c>
    </row>
    <row r="14" spans="2:42" x14ac:dyDescent="0.3">
      <c r="B14" t="s">
        <v>21</v>
      </c>
      <c r="C14" s="5">
        <v>15</v>
      </c>
      <c r="D14" s="5">
        <v>16</v>
      </c>
      <c r="E14" s="5">
        <v>4</v>
      </c>
      <c r="F14" s="5">
        <v>-8</v>
      </c>
      <c r="G14" s="5">
        <v>-136</v>
      </c>
      <c r="H14" s="5">
        <v>-1</v>
      </c>
      <c r="I14" s="5">
        <v>17</v>
      </c>
      <c r="J14" s="5">
        <v>-3</v>
      </c>
      <c r="K14" s="5">
        <v>-6</v>
      </c>
      <c r="L14" s="5">
        <v>-5</v>
      </c>
      <c r="M14" s="5">
        <v>-2</v>
      </c>
      <c r="N14" s="5">
        <v>-4</v>
      </c>
      <c r="O14" s="5">
        <v>-3</v>
      </c>
      <c r="P14" s="5">
        <v>0</v>
      </c>
      <c r="Q14" s="5">
        <v>1</v>
      </c>
      <c r="R14" s="5">
        <v>1</v>
      </c>
      <c r="S14" s="5">
        <v>0</v>
      </c>
      <c r="T14" s="5">
        <v>5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B14" s="11">
        <f>SUM(C14:F14)</f>
        <v>27</v>
      </c>
      <c r="AC14" s="11">
        <f>SUM(G14:J14)</f>
        <v>-123</v>
      </c>
      <c r="AD14" s="11">
        <f>SUM(K14:N14)</f>
        <v>-17</v>
      </c>
      <c r="AE14" s="11">
        <f>SUM(O14:R14)</f>
        <v>-1</v>
      </c>
      <c r="AF14" s="5">
        <f>SUM(S14:V14)</f>
        <v>6</v>
      </c>
      <c r="AG14" s="5">
        <f>SUM(W14:Z14)</f>
        <v>0</v>
      </c>
      <c r="AH14" s="5">
        <f t="shared" ref="AH14:AI14" si="46">AG14*1.01</f>
        <v>0</v>
      </c>
      <c r="AI14" s="5">
        <f t="shared" si="46"/>
        <v>0</v>
      </c>
      <c r="AJ14" s="5">
        <f t="shared" ref="AJ14:AP14" si="47">-AI17*0.02</f>
        <v>-0.89146537455999719</v>
      </c>
      <c r="AK14" s="5">
        <f t="shared" si="47"/>
        <v>-2.2733101234931175</v>
      </c>
      <c r="AL14" s="5">
        <f t="shared" si="47"/>
        <v>-3.6589743035142352</v>
      </c>
      <c r="AM14" s="5">
        <f t="shared" si="47"/>
        <v>-4.9789299261752253</v>
      </c>
      <c r="AN14" s="5">
        <f t="shared" si="47"/>
        <v>-6.0602310391544716</v>
      </c>
      <c r="AO14" s="5">
        <f t="shared" si="47"/>
        <v>-7.0082558468197655</v>
      </c>
      <c r="AP14" s="5">
        <f t="shared" si="47"/>
        <v>-7.8050692922277962</v>
      </c>
    </row>
    <row r="15" spans="2:42" s="1" customFormat="1" x14ac:dyDescent="0.3">
      <c r="B15" s="1" t="s">
        <v>22</v>
      </c>
      <c r="C15" s="9">
        <f t="shared" ref="C15" si="48">C13-C14</f>
        <v>-670</v>
      </c>
      <c r="D15" s="9">
        <f t="shared" ref="D15:E15" si="49">D13-D14</f>
        <v>-371</v>
      </c>
      <c r="E15" s="9">
        <f t="shared" si="49"/>
        <v>-118</v>
      </c>
      <c r="F15" s="9">
        <f t="shared" ref="F15:G15" si="50">F13-F14</f>
        <v>-49</v>
      </c>
      <c r="G15" s="9">
        <f t="shared" si="50"/>
        <v>672</v>
      </c>
      <c r="H15" s="9">
        <f t="shared" ref="H15:I15" si="51">H13-H14</f>
        <v>23</v>
      </c>
      <c r="I15" s="9">
        <f t="shared" si="51"/>
        <v>-275</v>
      </c>
      <c r="J15" s="9">
        <f t="shared" ref="J15:K15" si="52">J13-J14</f>
        <v>-14</v>
      </c>
      <c r="K15" s="9">
        <f t="shared" si="52"/>
        <v>-59</v>
      </c>
      <c r="L15" s="9">
        <f t="shared" ref="L15:M15" si="53">L13-L14</f>
        <v>44</v>
      </c>
      <c r="M15" s="9">
        <f t="shared" si="53"/>
        <v>60</v>
      </c>
      <c r="N15" s="9">
        <f t="shared" ref="N15:Z15" si="54">N13-N14</f>
        <v>32</v>
      </c>
      <c r="O15" s="9">
        <f t="shared" si="54"/>
        <v>-33</v>
      </c>
      <c r="P15" s="9">
        <f t="shared" si="54"/>
        <v>-43</v>
      </c>
      <c r="Q15" s="9">
        <f t="shared" si="54"/>
        <v>-30</v>
      </c>
      <c r="R15" s="9">
        <f t="shared" si="54"/>
        <v>-42</v>
      </c>
      <c r="S15" s="9">
        <f t="shared" si="54"/>
        <v>-645</v>
      </c>
      <c r="T15" s="9">
        <f t="shared" si="54"/>
        <v>-27</v>
      </c>
      <c r="U15" s="9">
        <f t="shared" si="54"/>
        <v>-128</v>
      </c>
      <c r="V15" s="9">
        <f t="shared" si="54"/>
        <v>-313</v>
      </c>
      <c r="W15" s="9">
        <f t="shared" si="54"/>
        <v>-45.396000000000029</v>
      </c>
      <c r="X15" s="9">
        <f t="shared" si="54"/>
        <v>-29.629999999999995</v>
      </c>
      <c r="Y15" s="9">
        <f t="shared" si="54"/>
        <v>-37.422000000000025</v>
      </c>
      <c r="Z15" s="9">
        <f t="shared" si="54"/>
        <v>-40.88000000000001</v>
      </c>
      <c r="AB15" s="9">
        <f>AB13-AB14</f>
        <v>-1208</v>
      </c>
      <c r="AC15" s="9">
        <f>AC13-AC14</f>
        <v>406</v>
      </c>
      <c r="AD15" s="9">
        <f>AD13-AD14</f>
        <v>77</v>
      </c>
      <c r="AE15" s="9">
        <f>AE13-AE14</f>
        <v>-148</v>
      </c>
      <c r="AF15" s="9">
        <f t="shared" ref="AF15:AO15" si="55">AF13-AF14</f>
        <v>-1113</v>
      </c>
      <c r="AG15" s="9">
        <f t="shared" si="55"/>
        <v>-134.25620000000015</v>
      </c>
      <c r="AH15" s="9">
        <f t="shared" si="55"/>
        <v>-36.808966000000311</v>
      </c>
      <c r="AI15" s="9">
        <f t="shared" si="55"/>
        <v>52.439139679999833</v>
      </c>
      <c r="AJ15" s="9">
        <f t="shared" si="55"/>
        <v>133.72412491135984</v>
      </c>
      <c r="AK15" s="9">
        <f t="shared" si="55"/>
        <v>215.23378255966088</v>
      </c>
      <c r="AL15" s="9">
        <f t="shared" si="55"/>
        <v>292.87823095148383</v>
      </c>
      <c r="AM15" s="9">
        <f t="shared" si="55"/>
        <v>356.48417877379245</v>
      </c>
      <c r="AN15" s="9">
        <f t="shared" si="55"/>
        <v>412.25034393057445</v>
      </c>
      <c r="AO15" s="9">
        <f t="shared" si="55"/>
        <v>459.12172307222329</v>
      </c>
      <c r="AP15" s="9">
        <f t="shared" ref="AP15" si="56">AP13-AP14</f>
        <v>496.05145339941407</v>
      </c>
    </row>
    <row r="16" spans="2:42" x14ac:dyDescent="0.3">
      <c r="B16" t="s">
        <v>23</v>
      </c>
      <c r="C16" s="5">
        <v>0</v>
      </c>
      <c r="D16" s="5">
        <v>1</v>
      </c>
      <c r="E16" s="5">
        <v>-1</v>
      </c>
      <c r="F16" s="5">
        <v>-2</v>
      </c>
      <c r="G16" s="5">
        <v>1</v>
      </c>
      <c r="H16" s="5">
        <v>4</v>
      </c>
      <c r="I16" s="5">
        <v>0</v>
      </c>
      <c r="J16" s="5">
        <v>-4</v>
      </c>
      <c r="K16" s="5">
        <v>1</v>
      </c>
      <c r="L16" s="5">
        <v>1</v>
      </c>
      <c r="M16" s="5">
        <v>1</v>
      </c>
      <c r="N16" s="5">
        <v>-19</v>
      </c>
      <c r="O16" s="5">
        <v>2</v>
      </c>
      <c r="P16" s="5">
        <v>1</v>
      </c>
      <c r="Q16" s="5">
        <v>2</v>
      </c>
      <c r="R16" s="5">
        <v>-1</v>
      </c>
      <c r="S16" s="5">
        <v>-9</v>
      </c>
      <c r="T16" s="5">
        <v>-4</v>
      </c>
      <c r="U16" s="5">
        <v>2</v>
      </c>
      <c r="V16" s="5">
        <v>2</v>
      </c>
      <c r="W16" s="5">
        <f>W15*0.01</f>
        <v>-0.45396000000000031</v>
      </c>
      <c r="X16" s="5">
        <f t="shared" ref="X16:Z16" si="57">X15*0.01</f>
        <v>-0.29629999999999995</v>
      </c>
      <c r="Y16" s="5">
        <f t="shared" si="57"/>
        <v>-0.37422000000000027</v>
      </c>
      <c r="Z16" s="5">
        <f t="shared" si="57"/>
        <v>-0.40880000000000011</v>
      </c>
      <c r="AB16" s="11">
        <f>SUM(C16:F16)</f>
        <v>-2</v>
      </c>
      <c r="AC16" s="11">
        <f>SUM(G16:J16)</f>
        <v>1</v>
      </c>
      <c r="AD16" s="11">
        <f>SUM(K16:N16)</f>
        <v>-16</v>
      </c>
      <c r="AE16" s="11">
        <f>SUM(O16:R16)</f>
        <v>4</v>
      </c>
      <c r="AF16" s="5">
        <f>SUM(S16:V16)</f>
        <v>-9</v>
      </c>
      <c r="AG16" s="5">
        <f>SUM(W16:Z16)</f>
        <v>-1.5332800000000006</v>
      </c>
      <c r="AH16" s="5">
        <f t="shared" ref="AH16:AO16" si="58">AH15*0.15</f>
        <v>-5.5213449000000461</v>
      </c>
      <c r="AI16" s="5">
        <f t="shared" si="58"/>
        <v>7.865870951999975</v>
      </c>
      <c r="AJ16" s="5">
        <f t="shared" si="58"/>
        <v>20.058618736703973</v>
      </c>
      <c r="AK16" s="5">
        <f t="shared" si="58"/>
        <v>32.285067383949134</v>
      </c>
      <c r="AL16" s="5">
        <f t="shared" si="58"/>
        <v>43.931734642722574</v>
      </c>
      <c r="AM16" s="5">
        <f t="shared" si="58"/>
        <v>53.472626816068868</v>
      </c>
      <c r="AN16" s="5">
        <f t="shared" si="58"/>
        <v>61.837551589586162</v>
      </c>
      <c r="AO16" s="5">
        <f t="shared" si="58"/>
        <v>68.868258460833488</v>
      </c>
      <c r="AP16" s="5">
        <f t="shared" ref="AP16" si="59">AP15*0.15</f>
        <v>74.407718009912102</v>
      </c>
    </row>
    <row r="17" spans="2:150" s="1" customFormat="1" x14ac:dyDescent="0.3">
      <c r="B17" s="1" t="s">
        <v>24</v>
      </c>
      <c r="C17" s="9">
        <f t="shared" ref="C17" si="60">C15-C16</f>
        <v>-670</v>
      </c>
      <c r="D17" s="9">
        <f t="shared" ref="D17:E17" si="61">D15-D16</f>
        <v>-372</v>
      </c>
      <c r="E17" s="9">
        <f t="shared" si="61"/>
        <v>-117</v>
      </c>
      <c r="F17" s="9">
        <f t="shared" ref="F17:G17" si="62">F15-F16</f>
        <v>-47</v>
      </c>
      <c r="G17" s="9">
        <f t="shared" si="62"/>
        <v>671</v>
      </c>
      <c r="H17" s="9">
        <f t="shared" ref="H17:I17" si="63">H15-H16</f>
        <v>19</v>
      </c>
      <c r="I17" s="9">
        <f t="shared" si="63"/>
        <v>-275</v>
      </c>
      <c r="J17" s="9">
        <f t="shared" ref="J17:K17" si="64">J15-J16</f>
        <v>-10</v>
      </c>
      <c r="K17" s="9">
        <f t="shared" si="64"/>
        <v>-60</v>
      </c>
      <c r="L17" s="9">
        <f t="shared" ref="L17:M17" si="65">L15-L16</f>
        <v>43</v>
      </c>
      <c r="M17" s="9">
        <f t="shared" si="65"/>
        <v>59</v>
      </c>
      <c r="N17" s="9">
        <f t="shared" ref="N17:V17" si="66">N15-N16</f>
        <v>51</v>
      </c>
      <c r="O17" s="9">
        <f t="shared" si="66"/>
        <v>-35</v>
      </c>
      <c r="P17" s="9">
        <f t="shared" si="66"/>
        <v>-44</v>
      </c>
      <c r="Q17" s="9">
        <f t="shared" si="66"/>
        <v>-32</v>
      </c>
      <c r="R17" s="9">
        <f t="shared" si="66"/>
        <v>-41</v>
      </c>
      <c r="S17" s="9">
        <f t="shared" si="66"/>
        <v>-636</v>
      </c>
      <c r="T17" s="9">
        <f t="shared" si="66"/>
        <v>-23</v>
      </c>
      <c r="U17" s="9">
        <f t="shared" si="66"/>
        <v>-130</v>
      </c>
      <c r="V17" s="9">
        <f t="shared" si="66"/>
        <v>-315</v>
      </c>
      <c r="W17" s="9">
        <f t="shared" ref="W17:Z17" si="67">W15-W16</f>
        <v>-44.942040000000027</v>
      </c>
      <c r="X17" s="9">
        <f t="shared" si="67"/>
        <v>-29.333699999999997</v>
      </c>
      <c r="Y17" s="9">
        <f t="shared" si="67"/>
        <v>-37.047780000000024</v>
      </c>
      <c r="Z17" s="9">
        <f t="shared" si="67"/>
        <v>-40.47120000000001</v>
      </c>
      <c r="AB17" s="9">
        <f>AB15-AB16</f>
        <v>-1206</v>
      </c>
      <c r="AC17" s="9">
        <f>AC15-AC16</f>
        <v>405</v>
      </c>
      <c r="AD17" s="9">
        <f>AD15-AD16</f>
        <v>93</v>
      </c>
      <c r="AE17" s="9">
        <f>AE15-AE16</f>
        <v>-152</v>
      </c>
      <c r="AF17" s="9">
        <f t="shared" ref="AF17:AO17" si="68">AF15-AF16</f>
        <v>-1104</v>
      </c>
      <c r="AG17" s="9">
        <f t="shared" si="68"/>
        <v>-132.72292000000016</v>
      </c>
      <c r="AH17" s="9">
        <f t="shared" si="68"/>
        <v>-31.287621100000266</v>
      </c>
      <c r="AI17" s="9">
        <f t="shared" si="68"/>
        <v>44.57326872799986</v>
      </c>
      <c r="AJ17" s="9">
        <f t="shared" si="68"/>
        <v>113.66550617465586</v>
      </c>
      <c r="AK17" s="9">
        <f t="shared" si="68"/>
        <v>182.94871517571175</v>
      </c>
      <c r="AL17" s="9">
        <f t="shared" si="68"/>
        <v>248.94649630876125</v>
      </c>
      <c r="AM17" s="9">
        <f t="shared" si="68"/>
        <v>303.01155195772355</v>
      </c>
      <c r="AN17" s="9">
        <f t="shared" si="68"/>
        <v>350.41279234098829</v>
      </c>
      <c r="AO17" s="9">
        <f t="shared" si="68"/>
        <v>390.2534646113898</v>
      </c>
      <c r="AP17" s="9">
        <f t="shared" ref="AP17" si="69">AP15-AP16</f>
        <v>421.64373538950196</v>
      </c>
      <c r="AQ17" s="1">
        <f t="shared" ref="AQ17:BV17" si="70">AP17*(1+$AS$25)</f>
        <v>417.42729803560695</v>
      </c>
      <c r="AR17" s="1">
        <f t="shared" si="70"/>
        <v>413.25302505525087</v>
      </c>
      <c r="AS17" s="1">
        <f t="shared" si="70"/>
        <v>409.12049480469835</v>
      </c>
      <c r="AT17" s="1">
        <f t="shared" si="70"/>
        <v>405.02928985665136</v>
      </c>
      <c r="AU17" s="1">
        <f t="shared" si="70"/>
        <v>400.97899695808485</v>
      </c>
      <c r="AV17" s="1">
        <f t="shared" si="70"/>
        <v>396.96920698850397</v>
      </c>
      <c r="AW17" s="1">
        <f t="shared" si="70"/>
        <v>392.9995149186189</v>
      </c>
      <c r="AX17" s="1">
        <f t="shared" si="70"/>
        <v>389.0695197694327</v>
      </c>
      <c r="AY17" s="1">
        <f t="shared" si="70"/>
        <v>385.17882457173835</v>
      </c>
      <c r="AZ17" s="1">
        <f t="shared" si="70"/>
        <v>381.32703632602096</v>
      </c>
      <c r="BA17" s="1">
        <f t="shared" si="70"/>
        <v>377.51376596276077</v>
      </c>
      <c r="BB17" s="1">
        <f t="shared" si="70"/>
        <v>373.73862830313317</v>
      </c>
      <c r="BC17" s="1">
        <f t="shared" si="70"/>
        <v>370.00124202010181</v>
      </c>
      <c r="BD17" s="1">
        <f t="shared" si="70"/>
        <v>366.30122959990081</v>
      </c>
      <c r="BE17" s="1">
        <f t="shared" si="70"/>
        <v>362.6382173039018</v>
      </c>
      <c r="BF17" s="1">
        <f t="shared" si="70"/>
        <v>359.01183513086278</v>
      </c>
      <c r="BG17" s="1">
        <f t="shared" si="70"/>
        <v>355.42171677955417</v>
      </c>
      <c r="BH17" s="1">
        <f t="shared" si="70"/>
        <v>351.8674996117586</v>
      </c>
      <c r="BI17" s="1">
        <f t="shared" si="70"/>
        <v>348.34882461564104</v>
      </c>
      <c r="BJ17" s="1">
        <f t="shared" si="70"/>
        <v>344.86533636948462</v>
      </c>
      <c r="BK17" s="1">
        <f t="shared" si="70"/>
        <v>341.41668300578976</v>
      </c>
      <c r="BL17" s="1">
        <f t="shared" si="70"/>
        <v>338.00251617573184</v>
      </c>
      <c r="BM17" s="1">
        <f t="shared" si="70"/>
        <v>334.62249101397452</v>
      </c>
      <c r="BN17" s="1">
        <f t="shared" si="70"/>
        <v>331.27626610383476</v>
      </c>
      <c r="BO17" s="1">
        <f t="shared" si="70"/>
        <v>327.96350344279642</v>
      </c>
      <c r="BP17" s="1">
        <f t="shared" si="70"/>
        <v>324.68386840836848</v>
      </c>
      <c r="BQ17" s="1">
        <f t="shared" si="70"/>
        <v>321.4370297242848</v>
      </c>
      <c r="BR17" s="1">
        <f t="shared" si="70"/>
        <v>318.22265942704195</v>
      </c>
      <c r="BS17" s="1">
        <f t="shared" si="70"/>
        <v>315.0404328327715</v>
      </c>
      <c r="BT17" s="1">
        <f t="shared" si="70"/>
        <v>311.89002850444376</v>
      </c>
      <c r="BU17" s="1">
        <f t="shared" si="70"/>
        <v>308.77112821939932</v>
      </c>
      <c r="BV17" s="1">
        <f t="shared" si="70"/>
        <v>305.68341693720532</v>
      </c>
      <c r="BW17" s="1">
        <f t="shared" ref="BW17:DB17" si="71">BV17*(1+$AS$25)</f>
        <v>302.62658276783327</v>
      </c>
      <c r="BX17" s="1">
        <f t="shared" si="71"/>
        <v>299.60031694015493</v>
      </c>
      <c r="BY17" s="1">
        <f t="shared" si="71"/>
        <v>296.60431377075338</v>
      </c>
      <c r="BZ17" s="1">
        <f t="shared" si="71"/>
        <v>293.63827063304586</v>
      </c>
      <c r="CA17" s="1">
        <f t="shared" si="71"/>
        <v>290.70188792671541</v>
      </c>
      <c r="CB17" s="1">
        <f t="shared" si="71"/>
        <v>287.79486904744823</v>
      </c>
      <c r="CC17" s="1">
        <f t="shared" si="71"/>
        <v>284.91692035697372</v>
      </c>
      <c r="CD17" s="1">
        <f t="shared" si="71"/>
        <v>282.067751153404</v>
      </c>
      <c r="CE17" s="1">
        <f t="shared" si="71"/>
        <v>279.24707364186997</v>
      </c>
      <c r="CF17" s="1">
        <f t="shared" si="71"/>
        <v>276.45460290545128</v>
      </c>
      <c r="CG17" s="1">
        <f t="shared" si="71"/>
        <v>273.69005687639674</v>
      </c>
      <c r="CH17" s="1">
        <f t="shared" si="71"/>
        <v>270.95315630763275</v>
      </c>
      <c r="CI17" s="1">
        <f t="shared" si="71"/>
        <v>268.24362474455643</v>
      </c>
      <c r="CJ17" s="1">
        <f t="shared" si="71"/>
        <v>265.56118849711083</v>
      </c>
      <c r="CK17" s="1">
        <f t="shared" si="71"/>
        <v>262.90557661213973</v>
      </c>
      <c r="CL17" s="1">
        <f t="shared" si="71"/>
        <v>260.27652084601834</v>
      </c>
      <c r="CM17" s="1">
        <f t="shared" si="71"/>
        <v>257.67375563755814</v>
      </c>
      <c r="CN17" s="1">
        <f t="shared" si="71"/>
        <v>255.09701808118257</v>
      </c>
      <c r="CO17" s="1">
        <f t="shared" si="71"/>
        <v>252.54604790037075</v>
      </c>
      <c r="CP17" s="1">
        <f t="shared" si="71"/>
        <v>250.02058742136705</v>
      </c>
      <c r="CQ17" s="1">
        <f t="shared" si="71"/>
        <v>247.52038154715339</v>
      </c>
      <c r="CR17" s="1">
        <f t="shared" si="71"/>
        <v>245.04517773168186</v>
      </c>
      <c r="CS17" s="1">
        <f t="shared" si="71"/>
        <v>242.59472595436503</v>
      </c>
      <c r="CT17" s="1">
        <f t="shared" si="71"/>
        <v>240.16877869482138</v>
      </c>
      <c r="CU17" s="1">
        <f t="shared" si="71"/>
        <v>237.76709090787315</v>
      </c>
      <c r="CV17" s="1">
        <f t="shared" si="71"/>
        <v>235.38941999879441</v>
      </c>
      <c r="CW17" s="1">
        <f t="shared" si="71"/>
        <v>233.03552579880647</v>
      </c>
      <c r="CX17" s="1">
        <f t="shared" si="71"/>
        <v>230.70517054081841</v>
      </c>
      <c r="CY17" s="1">
        <f t="shared" si="71"/>
        <v>228.39811883541023</v>
      </c>
      <c r="CZ17" s="1">
        <f t="shared" si="71"/>
        <v>226.11413764705614</v>
      </c>
      <c r="DA17" s="1">
        <f t="shared" si="71"/>
        <v>223.85299627058558</v>
      </c>
      <c r="DB17" s="1">
        <f t="shared" si="71"/>
        <v>221.61446630787972</v>
      </c>
      <c r="DC17" s="1">
        <f t="shared" ref="DC17:EH17" si="72">DB17*(1+$AS$25)</f>
        <v>219.39832164480092</v>
      </c>
      <c r="DD17" s="1">
        <f t="shared" si="72"/>
        <v>217.20433842835291</v>
      </c>
      <c r="DE17" s="1">
        <f t="shared" si="72"/>
        <v>215.03229504406937</v>
      </c>
      <c r="DF17" s="1">
        <f t="shared" si="72"/>
        <v>212.88197209362869</v>
      </c>
      <c r="DG17" s="1">
        <f t="shared" si="72"/>
        <v>210.7531523726924</v>
      </c>
      <c r="DH17" s="1">
        <f t="shared" si="72"/>
        <v>208.64562084896548</v>
      </c>
      <c r="DI17" s="1">
        <f t="shared" si="72"/>
        <v>206.55916464047581</v>
      </c>
      <c r="DJ17" s="1">
        <f t="shared" si="72"/>
        <v>204.49357299407106</v>
      </c>
      <c r="DK17" s="1">
        <f t="shared" si="72"/>
        <v>202.44863726413035</v>
      </c>
      <c r="DL17" s="1">
        <f t="shared" si="72"/>
        <v>200.42415089148906</v>
      </c>
      <c r="DM17" s="1">
        <f t="shared" si="72"/>
        <v>198.41990938257416</v>
      </c>
      <c r="DN17" s="1">
        <f t="shared" si="72"/>
        <v>196.43571028874842</v>
      </c>
      <c r="DO17" s="1">
        <f t="shared" si="72"/>
        <v>194.47135318586095</v>
      </c>
      <c r="DP17" s="1">
        <f t="shared" si="72"/>
        <v>192.52663965400234</v>
      </c>
      <c r="DQ17" s="1">
        <f t="shared" si="72"/>
        <v>190.60137325746231</v>
      </c>
      <c r="DR17" s="1">
        <f t="shared" si="72"/>
        <v>188.69535952488769</v>
      </c>
      <c r="DS17" s="1">
        <f t="shared" si="72"/>
        <v>186.80840592963881</v>
      </c>
      <c r="DT17" s="1">
        <f t="shared" si="72"/>
        <v>184.94032187034242</v>
      </c>
      <c r="DU17" s="1">
        <f t="shared" si="72"/>
        <v>183.09091865163899</v>
      </c>
      <c r="DV17" s="1">
        <f t="shared" si="72"/>
        <v>181.26000946512261</v>
      </c>
      <c r="DW17" s="1">
        <f t="shared" si="72"/>
        <v>179.44740937047138</v>
      </c>
      <c r="DX17" s="1">
        <f t="shared" si="72"/>
        <v>177.65293527676667</v>
      </c>
      <c r="DY17" s="1">
        <f t="shared" si="72"/>
        <v>175.87640592399899</v>
      </c>
      <c r="DZ17" s="1">
        <f t="shared" si="72"/>
        <v>174.11764186475901</v>
      </c>
      <c r="EA17" s="1">
        <f t="shared" si="72"/>
        <v>172.37646544611141</v>
      </c>
      <c r="EB17" s="1">
        <f t="shared" si="72"/>
        <v>170.65270079165029</v>
      </c>
      <c r="EC17" s="1">
        <f t="shared" si="72"/>
        <v>168.9461737837338</v>
      </c>
      <c r="ED17" s="1">
        <f t="shared" si="72"/>
        <v>167.25671204589645</v>
      </c>
      <c r="EE17" s="1">
        <f t="shared" si="72"/>
        <v>165.58414492543747</v>
      </c>
      <c r="EF17" s="1">
        <f t="shared" si="72"/>
        <v>163.92830347618309</v>
      </c>
      <c r="EG17" s="1">
        <f t="shared" si="72"/>
        <v>162.28902044142126</v>
      </c>
      <c r="EH17" s="1">
        <f t="shared" si="72"/>
        <v>160.66613023700705</v>
      </c>
      <c r="EI17" s="1">
        <f t="shared" ref="EI17:ET17" si="73">EH17*(1+$AS$25)</f>
        <v>159.05946893463698</v>
      </c>
      <c r="EJ17" s="1">
        <f t="shared" si="73"/>
        <v>157.46887424529061</v>
      </c>
      <c r="EK17" s="1">
        <f t="shared" si="73"/>
        <v>155.8941855028377</v>
      </c>
      <c r="EL17" s="1">
        <f t="shared" si="73"/>
        <v>154.33524364780934</v>
      </c>
      <c r="EM17" s="1">
        <f t="shared" si="73"/>
        <v>152.79189121133123</v>
      </c>
      <c r="EN17" s="1">
        <f t="shared" si="73"/>
        <v>151.26397229921793</v>
      </c>
      <c r="EO17" s="1">
        <f t="shared" si="73"/>
        <v>149.75133257622574</v>
      </c>
      <c r="EP17" s="1">
        <f t="shared" si="73"/>
        <v>148.25381925046347</v>
      </c>
      <c r="EQ17" s="1">
        <f t="shared" si="73"/>
        <v>146.77128105795882</v>
      </c>
      <c r="ER17" s="1">
        <f t="shared" si="73"/>
        <v>145.30356824737922</v>
      </c>
      <c r="ES17" s="1">
        <f t="shared" si="73"/>
        <v>143.85053256490542</v>
      </c>
      <c r="ET17" s="1">
        <f t="shared" si="73"/>
        <v>142.41202723925636</v>
      </c>
    </row>
    <row r="18" spans="2:150" x14ac:dyDescent="0.3">
      <c r="B18" t="s">
        <v>2</v>
      </c>
      <c r="C18" s="5">
        <v>557</v>
      </c>
      <c r="D18" s="5">
        <v>557</v>
      </c>
      <c r="E18" s="5">
        <v>557</v>
      </c>
      <c r="F18" s="5">
        <v>557</v>
      </c>
      <c r="G18" s="5">
        <v>557</v>
      </c>
      <c r="H18" s="5">
        <v>557</v>
      </c>
      <c r="I18" s="5">
        <v>557</v>
      </c>
      <c r="J18" s="5">
        <v>557</v>
      </c>
      <c r="K18" s="5">
        <v>557</v>
      </c>
      <c r="L18" s="5">
        <v>557</v>
      </c>
      <c r="M18" s="5">
        <v>557</v>
      </c>
      <c r="N18" s="5">
        <v>557</v>
      </c>
      <c r="O18" s="5">
        <v>557</v>
      </c>
      <c r="P18" s="5">
        <v>557</v>
      </c>
      <c r="Q18" s="5">
        <v>557</v>
      </c>
      <c r="R18" s="5">
        <v>557</v>
      </c>
      <c r="S18" s="5">
        <v>557</v>
      </c>
      <c r="T18" s="5">
        <v>557</v>
      </c>
      <c r="U18" s="5">
        <v>563</v>
      </c>
      <c r="V18" s="5">
        <v>566.1</v>
      </c>
      <c r="W18" s="5">
        <v>566.1</v>
      </c>
      <c r="X18" s="5">
        <v>566.1</v>
      </c>
      <c r="Y18" s="5">
        <v>566.1</v>
      </c>
      <c r="Z18" s="5">
        <v>566.1</v>
      </c>
      <c r="AB18" s="5">
        <v>557</v>
      </c>
      <c r="AC18" s="5">
        <v>557</v>
      </c>
      <c r="AD18" s="5">
        <v>557</v>
      </c>
      <c r="AE18" s="5">
        <v>557</v>
      </c>
      <c r="AF18" s="5">
        <v>563</v>
      </c>
      <c r="AG18" s="5">
        <v>566.1</v>
      </c>
      <c r="AH18" s="5">
        <v>566.1</v>
      </c>
      <c r="AI18" s="5">
        <v>566.1</v>
      </c>
      <c r="AJ18" s="5">
        <v>566.1</v>
      </c>
      <c r="AK18" s="5">
        <v>566.1</v>
      </c>
      <c r="AL18" s="5">
        <v>566.1</v>
      </c>
      <c r="AM18" s="5">
        <v>566.1</v>
      </c>
      <c r="AN18" s="5">
        <v>566.1</v>
      </c>
      <c r="AO18" s="5">
        <v>566.1</v>
      </c>
      <c r="AP18" s="5">
        <v>566.1</v>
      </c>
    </row>
    <row r="19" spans="2:150" s="1" customFormat="1" x14ac:dyDescent="0.3">
      <c r="B19" s="1" t="s">
        <v>25</v>
      </c>
      <c r="C19" s="8">
        <f t="shared" ref="C19" si="74">C17/C18</f>
        <v>-1.2028725314183124</v>
      </c>
      <c r="D19" s="8">
        <f t="shared" ref="D19:E19" si="75">D17/D18</f>
        <v>-0.66786355475763015</v>
      </c>
      <c r="E19" s="8">
        <f t="shared" si="75"/>
        <v>-0.21005385996409337</v>
      </c>
      <c r="F19" s="8">
        <f t="shared" ref="F19:G19" si="76">F17/F18</f>
        <v>-8.4380610412926396E-2</v>
      </c>
      <c r="G19" s="8">
        <f t="shared" si="76"/>
        <v>1.2046678635547576</v>
      </c>
      <c r="H19" s="8">
        <f t="shared" ref="H19:I19" si="77">H17/H18</f>
        <v>3.4111310592459608E-2</v>
      </c>
      <c r="I19" s="8">
        <f t="shared" si="77"/>
        <v>-0.49371633752244165</v>
      </c>
      <c r="J19" s="8">
        <f t="shared" ref="J19:K19" si="78">J17/J18</f>
        <v>-1.7953321364452424E-2</v>
      </c>
      <c r="K19" s="8">
        <f t="shared" si="78"/>
        <v>-0.10771992818671454</v>
      </c>
      <c r="L19" s="8">
        <f t="shared" ref="L19:M19" si="79">L17/L18</f>
        <v>7.719928186714542E-2</v>
      </c>
      <c r="M19" s="8">
        <f t="shared" si="79"/>
        <v>0.1059245960502693</v>
      </c>
      <c r="N19" s="8">
        <f t="shared" ref="N19:V19" si="80">N17/N18</f>
        <v>9.1561938958707359E-2</v>
      </c>
      <c r="O19" s="8">
        <f t="shared" si="80"/>
        <v>-6.283662477558348E-2</v>
      </c>
      <c r="P19" s="8">
        <f t="shared" si="80"/>
        <v>-7.899461400359066E-2</v>
      </c>
      <c r="Q19" s="8">
        <f t="shared" si="80"/>
        <v>-5.7450628366247758E-2</v>
      </c>
      <c r="R19" s="8">
        <f t="shared" si="80"/>
        <v>-7.3608617594254938E-2</v>
      </c>
      <c r="S19" s="8">
        <f t="shared" si="80"/>
        <v>-1.1418312387791743</v>
      </c>
      <c r="T19" s="8">
        <f t="shared" si="80"/>
        <v>-4.1292639138240578E-2</v>
      </c>
      <c r="U19" s="8">
        <f t="shared" si="80"/>
        <v>-0.23090586145648312</v>
      </c>
      <c r="V19" s="8">
        <f t="shared" si="80"/>
        <v>-0.55643879173290933</v>
      </c>
      <c r="W19" s="8">
        <f t="shared" ref="W19:Z19" si="81">W17/W18</f>
        <v>-7.938887122416538E-2</v>
      </c>
      <c r="X19" s="8">
        <f t="shared" si="81"/>
        <v>-5.1817170111287753E-2</v>
      </c>
      <c r="Y19" s="8">
        <f t="shared" si="81"/>
        <v>-6.5443879173290975E-2</v>
      </c>
      <c r="Z19" s="8">
        <f t="shared" si="81"/>
        <v>-7.1491255961844219E-2</v>
      </c>
      <c r="AB19" s="8">
        <f>AB17/AB18</f>
        <v>-2.1651705565529622</v>
      </c>
      <c r="AC19" s="8">
        <f>AC17/AC18</f>
        <v>0.72710951526032319</v>
      </c>
      <c r="AD19" s="8">
        <f>AD17/AD18</f>
        <v>0.16696588868940754</v>
      </c>
      <c r="AE19" s="8">
        <f>AE17/AE18</f>
        <v>-0.27289048473967686</v>
      </c>
      <c r="AF19" s="8">
        <f t="shared" ref="AF19:AO19" si="82">AF17/AF18</f>
        <v>-1.9609236234458258</v>
      </c>
      <c r="AG19" s="8">
        <f t="shared" si="82"/>
        <v>-0.23445136901607516</v>
      </c>
      <c r="AH19" s="8">
        <f t="shared" si="82"/>
        <v>-5.5268717717718185E-2</v>
      </c>
      <c r="AI19" s="8">
        <f t="shared" si="82"/>
        <v>7.8737446966966718E-2</v>
      </c>
      <c r="AJ19" s="8">
        <f t="shared" si="82"/>
        <v>0.20078697434138112</v>
      </c>
      <c r="AK19" s="8">
        <f t="shared" si="82"/>
        <v>0.32317384768717849</v>
      </c>
      <c r="AL19" s="8">
        <f t="shared" si="82"/>
        <v>0.43975710353075648</v>
      </c>
      <c r="AM19" s="8">
        <f t="shared" si="82"/>
        <v>0.53526152969037899</v>
      </c>
      <c r="AN19" s="8">
        <f t="shared" si="82"/>
        <v>0.61899451040626796</v>
      </c>
      <c r="AO19" s="8">
        <f t="shared" si="82"/>
        <v>0.6893719565648998</v>
      </c>
      <c r="AP19" s="8">
        <f t="shared" ref="AP19" si="83">AP17/AP18</f>
        <v>0.74482200210122229</v>
      </c>
    </row>
    <row r="21" spans="2:150" x14ac:dyDescent="0.3">
      <c r="B21" s="10" t="s">
        <v>62</v>
      </c>
      <c r="G21" s="7">
        <f t="shared" ref="G21:G22" si="84">G3/C3-1</f>
        <v>9.4017094017094127E-2</v>
      </c>
      <c r="H21" s="7">
        <f t="shared" ref="H21:H22" si="85">H3/D3-1</f>
        <v>5.7377049180327822E-2</v>
      </c>
      <c r="I21" s="7">
        <f t="shared" ref="I21:I22" si="86">I3/E3-1</f>
        <v>7.6923076923076872E-2</v>
      </c>
      <c r="J21" s="7">
        <f t="shared" ref="J21:J22" si="87">J3/F3-1</f>
        <v>0.22222222222222232</v>
      </c>
      <c r="K21" s="7">
        <f t="shared" ref="K21:K22" si="88">K3/G3-1</f>
        <v>-1.5625E-2</v>
      </c>
      <c r="L21" s="7">
        <f t="shared" ref="L21:L22" si="89">L3/H3-1</f>
        <v>6.2015503875969102E-2</v>
      </c>
      <c r="M21" s="7">
        <f t="shared" ref="M21:M22" si="90">M3/I3-1</f>
        <v>6.4285714285714279E-2</v>
      </c>
      <c r="N21" s="7">
        <f t="shared" ref="N21:N22" si="91">N3/J3-1</f>
        <v>-4.5454545454545414E-2</v>
      </c>
      <c r="O21" s="7">
        <f t="shared" ref="O21:O22" si="92">O3/K3-1</f>
        <v>0.33333333333333326</v>
      </c>
      <c r="P21" s="7">
        <f t="shared" ref="P21:P22" si="93">P3/L3-1</f>
        <v>0.22627737226277378</v>
      </c>
      <c r="Q21" s="7">
        <f t="shared" ref="Q21:Q22" si="94">Q3/M3-1</f>
        <v>0.24161073825503365</v>
      </c>
      <c r="R21" s="7">
        <f t="shared" ref="R21:R22" si="95">R3/N3-1</f>
        <v>0.15646258503401356</v>
      </c>
      <c r="S21" s="7">
        <f t="shared" ref="S21:S22" si="96">S3/O3-1</f>
        <v>-0.11904761904761907</v>
      </c>
      <c r="T21" s="7">
        <f t="shared" ref="T21:T22" si="97">T3/P3-1</f>
        <v>-0.10119047619047616</v>
      </c>
      <c r="U21" s="7">
        <f t="shared" ref="U21:U22" si="98">U3/Q3-1</f>
        <v>-0.12432432432432428</v>
      </c>
      <c r="V21" s="7">
        <f t="shared" ref="V21:V22" si="99">V3/R3-1</f>
        <v>-5.8823529411764719E-2</v>
      </c>
      <c r="W21" s="7">
        <f t="shared" ref="W21:W23" si="100">W3/S3-1</f>
        <v>0.14999999999999991</v>
      </c>
      <c r="X21" s="7">
        <f t="shared" ref="X21:X23" si="101">X3/T3-1</f>
        <v>0.19999999999999996</v>
      </c>
      <c r="Y21" s="7">
        <f t="shared" ref="Y21:Y23" si="102">Y3/U3-1</f>
        <v>0.14999999999999991</v>
      </c>
      <c r="Z21" s="7">
        <f t="shared" ref="Z21:Z23" si="103">Z3/V3-1</f>
        <v>0.14999999999999991</v>
      </c>
      <c r="AC21" s="7">
        <f t="shared" ref="AC21:AO21" si="104">AC3/AB3-1</f>
        <v>0.11313131313131319</v>
      </c>
      <c r="AD21" s="7">
        <f t="shared" si="104"/>
        <v>1.4519056261343088E-2</v>
      </c>
      <c r="AE21" s="7">
        <f t="shared" si="104"/>
        <v>0.23613595706618962</v>
      </c>
      <c r="AF21" s="7">
        <f t="shared" si="104"/>
        <v>-0.10130246020260492</v>
      </c>
      <c r="AG21" s="7">
        <f t="shared" si="104"/>
        <v>0.16215780998389673</v>
      </c>
      <c r="AH21" s="7">
        <f t="shared" si="104"/>
        <v>0.14999999999999991</v>
      </c>
      <c r="AI21" s="7">
        <f t="shared" si="104"/>
        <v>0.12000000000000011</v>
      </c>
      <c r="AJ21" s="7">
        <f t="shared" si="104"/>
        <v>0.10000000000000009</v>
      </c>
      <c r="AK21" s="7">
        <f t="shared" si="104"/>
        <v>9.000000000000008E-2</v>
      </c>
      <c r="AL21" s="7">
        <f t="shared" si="104"/>
        <v>8.0000000000000071E-2</v>
      </c>
      <c r="AM21" s="7">
        <f t="shared" si="104"/>
        <v>6.0000000000000053E-2</v>
      </c>
      <c r="AN21" s="7">
        <f t="shared" si="104"/>
        <v>5.0000000000000044E-2</v>
      </c>
      <c r="AO21" s="7">
        <f t="shared" si="104"/>
        <v>4.0000000000000036E-2</v>
      </c>
      <c r="AP21" s="7">
        <f t="shared" ref="AP21" si="105">AP3/AO3-1</f>
        <v>3.0000000000000027E-2</v>
      </c>
    </row>
    <row r="22" spans="2:150" x14ac:dyDescent="0.3">
      <c r="B22" s="10" t="s">
        <v>63</v>
      </c>
      <c r="G22" s="7">
        <f t="shared" si="84"/>
        <v>-0.62190812720848054</v>
      </c>
      <c r="H22" s="7">
        <f t="shared" si="85"/>
        <v>-0.48584905660377353</v>
      </c>
      <c r="I22" s="7">
        <f t="shared" si="86"/>
        <v>-0.45911949685534592</v>
      </c>
      <c r="J22" s="7">
        <f t="shared" si="87"/>
        <v>-0.50624999999999998</v>
      </c>
      <c r="K22" s="7">
        <f t="shared" si="88"/>
        <v>-0.18691588785046731</v>
      </c>
      <c r="L22" s="7">
        <f t="shared" si="89"/>
        <v>-0.33027522935779818</v>
      </c>
      <c r="M22" s="7">
        <f t="shared" si="90"/>
        <v>-0.10465116279069764</v>
      </c>
      <c r="N22" s="7">
        <f t="shared" si="91"/>
        <v>0.36708860759493667</v>
      </c>
      <c r="O22" s="7">
        <f t="shared" si="92"/>
        <v>-9.1954022988505746E-2</v>
      </c>
      <c r="P22" s="7">
        <f t="shared" si="93"/>
        <v>4.1095890410958846E-2</v>
      </c>
      <c r="Q22" s="7">
        <f t="shared" si="94"/>
        <v>6.4935064935064846E-2</v>
      </c>
      <c r="R22" s="7">
        <f t="shared" si="95"/>
        <v>3.7037037037036979E-2</v>
      </c>
      <c r="S22" s="7">
        <f t="shared" si="96"/>
        <v>-0.26582278481012656</v>
      </c>
      <c r="T22" s="7">
        <f t="shared" si="97"/>
        <v>0.42105263157894735</v>
      </c>
      <c r="U22" s="7">
        <f t="shared" si="98"/>
        <v>-0.31707317073170727</v>
      </c>
      <c r="V22" s="7">
        <f t="shared" si="99"/>
        <v>-0.5535714285714286</v>
      </c>
      <c r="W22" s="7">
        <f t="shared" si="100"/>
        <v>4.0000000000000036E-2</v>
      </c>
      <c r="X22" s="7">
        <f t="shared" si="101"/>
        <v>-0.4</v>
      </c>
      <c r="Y22" s="7">
        <f t="shared" si="102"/>
        <v>4.0000000000000036E-2</v>
      </c>
      <c r="Z22" s="7">
        <f t="shared" si="103"/>
        <v>4.0000000000000036E-2</v>
      </c>
      <c r="AC22" s="7">
        <f t="shared" ref="AC22:AO22" si="106">AC4/AB4-1</f>
        <v>-0.53194103194103193</v>
      </c>
      <c r="AD22" s="7">
        <f t="shared" si="106"/>
        <v>-9.4488188976378007E-2</v>
      </c>
      <c r="AE22" s="7">
        <f t="shared" si="106"/>
        <v>1.1594202898550732E-2</v>
      </c>
      <c r="AF22" s="7">
        <f t="shared" si="106"/>
        <v>-0.22063037249283668</v>
      </c>
      <c r="AG22" s="7">
        <f t="shared" si="106"/>
        <v>-0.13470588235294112</v>
      </c>
      <c r="AH22" s="7">
        <f t="shared" si="106"/>
        <v>3.0000000000000027E-2</v>
      </c>
      <c r="AI22" s="7">
        <f t="shared" si="106"/>
        <v>2.0000000000000018E-2</v>
      </c>
      <c r="AJ22" s="7">
        <f t="shared" si="106"/>
        <v>1.0000000000000009E-2</v>
      </c>
      <c r="AK22" s="7">
        <f t="shared" si="106"/>
        <v>1.0000000000000009E-2</v>
      </c>
      <c r="AL22" s="7">
        <f t="shared" si="106"/>
        <v>1.0000000000000009E-2</v>
      </c>
      <c r="AM22" s="7">
        <f t="shared" si="106"/>
        <v>1.0000000000000009E-2</v>
      </c>
      <c r="AN22" s="7">
        <f t="shared" si="106"/>
        <v>1.0000000000000009E-2</v>
      </c>
      <c r="AO22" s="7">
        <f t="shared" si="106"/>
        <v>1.0000000000000009E-2</v>
      </c>
      <c r="AP22" s="7">
        <f t="shared" ref="AP22" si="107">AP4/AO4-1</f>
        <v>1.0000000000000009E-2</v>
      </c>
    </row>
    <row r="23" spans="2:150" x14ac:dyDescent="0.3">
      <c r="B23" s="1" t="s">
        <v>34</v>
      </c>
      <c r="C23" s="1"/>
      <c r="D23" s="1"/>
      <c r="E23" s="1"/>
      <c r="F23" s="1"/>
      <c r="G23" s="7">
        <f t="shared" ref="G23" si="108">G5/C5-1</f>
        <v>-0.41249999999999998</v>
      </c>
      <c r="H23" s="7">
        <f t="shared" ref="H23" si="109">H5/D5-1</f>
        <v>-0.28742514970059885</v>
      </c>
      <c r="I23" s="7">
        <f t="shared" ref="I23" si="110">I5/E5-1</f>
        <v>-0.2179930795847751</v>
      </c>
      <c r="J23" s="7">
        <f t="shared" ref="J23" si="111">J5/F5-1</f>
        <v>-0.18531468531468531</v>
      </c>
      <c r="K23" s="7">
        <f t="shared" ref="K23:Q23" si="112">K5/G5-1</f>
        <v>-9.3617021276595769E-2</v>
      </c>
      <c r="L23" s="7">
        <f t="shared" si="112"/>
        <v>-0.11764705882352944</v>
      </c>
      <c r="M23" s="7">
        <f t="shared" si="112"/>
        <v>0</v>
      </c>
      <c r="N23" s="7">
        <f t="shared" si="112"/>
        <v>9.4420600858369008E-2</v>
      </c>
      <c r="O23" s="7">
        <f t="shared" si="112"/>
        <v>0.15962441314553999</v>
      </c>
      <c r="P23" s="7">
        <f t="shared" si="112"/>
        <v>0.161904761904762</v>
      </c>
      <c r="Q23" s="7">
        <f t="shared" si="112"/>
        <v>0.18141592920353977</v>
      </c>
      <c r="R23" s="7">
        <f>R5/N5-1</f>
        <v>0.10588235294117654</v>
      </c>
      <c r="S23" s="7">
        <f t="shared" ref="S23:V23" si="113">S5/O5-1</f>
        <v>-0.16599190283400811</v>
      </c>
      <c r="T23" s="7">
        <f t="shared" si="113"/>
        <v>6.1475409836065475E-2</v>
      </c>
      <c r="U23" s="7">
        <f t="shared" si="113"/>
        <v>-0.18352059925093633</v>
      </c>
      <c r="V23" s="7">
        <f t="shared" si="113"/>
        <v>-0.25531914893617025</v>
      </c>
      <c r="W23" s="7">
        <f t="shared" si="100"/>
        <v>0.11902912621359207</v>
      </c>
      <c r="X23" s="7">
        <f t="shared" si="101"/>
        <v>-5.0193050193050204E-2</v>
      </c>
      <c r="Y23" s="7">
        <f t="shared" si="102"/>
        <v>0.12174311926605497</v>
      </c>
      <c r="Z23" s="7">
        <f t="shared" si="103"/>
        <v>0.12380952380952381</v>
      </c>
      <c r="AC23" s="7">
        <f>AC5/AB5-1</f>
        <v>-0.28800611153552325</v>
      </c>
      <c r="AD23" s="7">
        <f>AD5/AC5-1</f>
        <v>-3.0042918454935674E-2</v>
      </c>
      <c r="AE23" s="7">
        <f t="shared" ref="AE23:AP23" si="114">AE5/AD5-1</f>
        <v>0.15044247787610621</v>
      </c>
      <c r="AF23" s="7">
        <f t="shared" si="114"/>
        <v>-0.1413461538461539</v>
      </c>
      <c r="AG23" s="7">
        <f t="shared" si="114"/>
        <v>7.1735722284434367E-2</v>
      </c>
      <c r="AH23" s="7">
        <f t="shared" si="114"/>
        <v>0.12048962447495448</v>
      </c>
      <c r="AI23" s="7">
        <f t="shared" si="114"/>
        <v>9.7394044140123537E-2</v>
      </c>
      <c r="AJ23" s="7">
        <f t="shared" si="114"/>
        <v>8.1089502362273524E-2</v>
      </c>
      <c r="AK23" s="7">
        <f t="shared" si="114"/>
        <v>7.4296004624249123E-2</v>
      </c>
      <c r="AL23" s="7">
        <f t="shared" si="114"/>
        <v>6.7081394835705632E-2</v>
      </c>
      <c r="AM23" s="7">
        <f t="shared" si="114"/>
        <v>5.126603564298704E-2</v>
      </c>
      <c r="AN23" s="7">
        <f t="shared" si="114"/>
        <v>4.328710054239493E-2</v>
      </c>
      <c r="AO23" s="7">
        <f t="shared" si="114"/>
        <v>3.5125961649010939E-2</v>
      </c>
      <c r="AP23" s="7">
        <f t="shared" si="114"/>
        <v>2.6829513884051748E-2</v>
      </c>
    </row>
    <row r="24" spans="2:150" x14ac:dyDescent="0.3">
      <c r="B24" s="1" t="s">
        <v>35</v>
      </c>
      <c r="C24" s="7">
        <f t="shared" ref="C24:F24" si="115">C7/C5</f>
        <v>0.38500000000000001</v>
      </c>
      <c r="D24" s="7">
        <f t="shared" si="115"/>
        <v>0.29341317365269459</v>
      </c>
      <c r="E24" s="7">
        <f t="shared" si="115"/>
        <v>0.66782006920415227</v>
      </c>
      <c r="F24" s="7">
        <f t="shared" si="115"/>
        <v>0.60139860139860135</v>
      </c>
      <c r="G24" s="7">
        <f t="shared" ref="G24:J24" si="116">G7/G5</f>
        <v>0.63829787234042556</v>
      </c>
      <c r="H24" s="7">
        <f t="shared" si="116"/>
        <v>0.73529411764705888</v>
      </c>
      <c r="I24" s="7">
        <f t="shared" si="116"/>
        <v>0.74336283185840712</v>
      </c>
      <c r="J24" s="7">
        <f t="shared" si="116"/>
        <v>0.75965665236051505</v>
      </c>
      <c r="K24" s="7">
        <f t="shared" ref="K24:Q24" si="117">K7/K5</f>
        <v>0.755868544600939</v>
      </c>
      <c r="L24" s="7">
        <f t="shared" si="117"/>
        <v>0.76666666666666672</v>
      </c>
      <c r="M24" s="7">
        <f t="shared" si="117"/>
        <v>0.75221238938053092</v>
      </c>
      <c r="N24" s="7">
        <f t="shared" si="117"/>
        <v>0.80784313725490198</v>
      </c>
      <c r="O24" s="7">
        <f t="shared" si="117"/>
        <v>0.7165991902834008</v>
      </c>
      <c r="P24" s="7">
        <f t="shared" si="117"/>
        <v>0.72131147540983609</v>
      </c>
      <c r="Q24" s="7">
        <f t="shared" si="117"/>
        <v>0.7415730337078652</v>
      </c>
      <c r="R24" s="7">
        <f t="shared" ref="R24:V24" si="118">R7/R5</f>
        <v>0.75177304964539005</v>
      </c>
      <c r="S24" s="7">
        <f t="shared" si="118"/>
        <v>0.69417475728155342</v>
      </c>
      <c r="T24" s="7">
        <f t="shared" si="118"/>
        <v>0.76833976833976836</v>
      </c>
      <c r="U24" s="7">
        <f t="shared" si="118"/>
        <v>0.6834862385321101</v>
      </c>
      <c r="V24" s="7">
        <f t="shared" si="118"/>
        <v>0.72380952380952379</v>
      </c>
      <c r="W24" s="7">
        <f t="shared" ref="W24:Z24" si="119">W7/W5</f>
        <v>0.7</v>
      </c>
      <c r="X24" s="7">
        <f t="shared" si="119"/>
        <v>0.72</v>
      </c>
      <c r="Y24" s="7">
        <f t="shared" si="119"/>
        <v>0.70000000000000007</v>
      </c>
      <c r="Z24" s="7">
        <f t="shared" si="119"/>
        <v>0.72</v>
      </c>
      <c r="AB24" s="7">
        <f t="shared" ref="AB24" si="120">AB7/AB5</f>
        <v>0.47135217723453016</v>
      </c>
      <c r="AC24" s="7">
        <f t="shared" ref="AC24:AO24" si="121">AC7/AC5</f>
        <v>0.7188841201716738</v>
      </c>
      <c r="AD24" s="7">
        <f t="shared" si="121"/>
        <v>0.77212389380530977</v>
      </c>
      <c r="AE24" s="7">
        <f t="shared" si="121"/>
        <v>0.7336538461538461</v>
      </c>
      <c r="AF24" s="7">
        <f t="shared" si="121"/>
        <v>0.72004479283314671</v>
      </c>
      <c r="AG24" s="7">
        <f t="shared" si="121"/>
        <v>0.73</v>
      </c>
      <c r="AH24" s="7">
        <f t="shared" si="121"/>
        <v>0.73</v>
      </c>
      <c r="AI24" s="7">
        <f t="shared" si="121"/>
        <v>0.73</v>
      </c>
      <c r="AJ24" s="7">
        <f t="shared" si="121"/>
        <v>0.73</v>
      </c>
      <c r="AK24" s="7">
        <f t="shared" si="121"/>
        <v>0.73</v>
      </c>
      <c r="AL24" s="7">
        <f t="shared" si="121"/>
        <v>0.73</v>
      </c>
      <c r="AM24" s="7">
        <f t="shared" si="121"/>
        <v>0.73</v>
      </c>
      <c r="AN24" s="7">
        <f t="shared" si="121"/>
        <v>0.73</v>
      </c>
      <c r="AO24" s="7">
        <f t="shared" si="121"/>
        <v>0.73</v>
      </c>
      <c r="AP24" s="7">
        <f t="shared" ref="AP24" si="122">AP7/AP5</f>
        <v>0.73</v>
      </c>
    </row>
    <row r="25" spans="2:150" x14ac:dyDescent="0.3">
      <c r="B25" s="10" t="s">
        <v>36</v>
      </c>
      <c r="C25" s="7">
        <f t="shared" ref="C25:F25" si="123">C13/C5</f>
        <v>-1.6375</v>
      </c>
      <c r="D25" s="7">
        <f t="shared" si="123"/>
        <v>-1.062874251497006</v>
      </c>
      <c r="E25" s="7">
        <f t="shared" si="123"/>
        <v>-0.3944636678200692</v>
      </c>
      <c r="F25" s="7">
        <f t="shared" si="123"/>
        <v>-0.1993006993006993</v>
      </c>
      <c r="G25" s="7">
        <f t="shared" ref="G25:J25" si="124">G13/G5</f>
        <v>2.2808510638297874</v>
      </c>
      <c r="H25" s="7">
        <f t="shared" si="124"/>
        <v>9.2436974789915971E-2</v>
      </c>
      <c r="I25" s="7">
        <f t="shared" si="124"/>
        <v>-1.1415929203539823</v>
      </c>
      <c r="J25" s="7">
        <f t="shared" si="124"/>
        <v>-7.2961373390557943E-2</v>
      </c>
      <c r="K25" s="7">
        <f t="shared" ref="K25:Q25" si="125">K13/K5</f>
        <v>-0.30516431924882631</v>
      </c>
      <c r="L25" s="7">
        <f t="shared" si="125"/>
        <v>0.18571428571428572</v>
      </c>
      <c r="M25" s="7">
        <f t="shared" si="125"/>
        <v>0.25663716814159293</v>
      </c>
      <c r="N25" s="7">
        <f t="shared" si="125"/>
        <v>0.10980392156862745</v>
      </c>
      <c r="O25" s="7">
        <f t="shared" si="125"/>
        <v>-0.145748987854251</v>
      </c>
      <c r="P25" s="7">
        <f t="shared" si="125"/>
        <v>-0.17622950819672131</v>
      </c>
      <c r="Q25" s="7">
        <f t="shared" si="125"/>
        <v>-0.10861423220973783</v>
      </c>
      <c r="R25" s="7">
        <f t="shared" ref="R25:V25" si="126">R13/R5</f>
        <v>-0.1453900709219858</v>
      </c>
      <c r="S25" s="7">
        <f t="shared" si="126"/>
        <v>-3.1310679611650487</v>
      </c>
      <c r="T25" s="7">
        <f t="shared" si="126"/>
        <v>-8.4942084942084939E-2</v>
      </c>
      <c r="U25" s="7">
        <f t="shared" si="126"/>
        <v>-0.58256880733944949</v>
      </c>
      <c r="V25" s="7">
        <f t="shared" si="126"/>
        <v>-1.4904761904761905</v>
      </c>
      <c r="W25" s="7">
        <f t="shared" ref="W25:Z25" si="127">W13/W5</f>
        <v>-0.19692868297761595</v>
      </c>
      <c r="X25" s="7">
        <f t="shared" si="127"/>
        <v>-0.12044715447154469</v>
      </c>
      <c r="Y25" s="7">
        <f t="shared" si="127"/>
        <v>-0.15303017911180186</v>
      </c>
      <c r="Z25" s="7">
        <f t="shared" si="127"/>
        <v>-0.17322033898305089</v>
      </c>
      <c r="AB25" s="7">
        <f t="shared" ref="AB25" si="128">AB13/AB5</f>
        <v>-0.90221543162719631</v>
      </c>
      <c r="AC25" s="7">
        <f t="shared" ref="AC25:AO25" si="129">AC13/AC5</f>
        <v>0.30364806866952787</v>
      </c>
      <c r="AD25" s="7">
        <f t="shared" si="129"/>
        <v>6.637168141592921E-2</v>
      </c>
      <c r="AE25" s="7">
        <f t="shared" si="129"/>
        <v>-0.14326923076923076</v>
      </c>
      <c r="AF25" s="7">
        <f t="shared" si="129"/>
        <v>-1.2396416573348263</v>
      </c>
      <c r="AG25" s="7">
        <f t="shared" si="129"/>
        <v>-0.14027981526759048</v>
      </c>
      <c r="AH25" s="7">
        <f t="shared" si="129"/>
        <v>-3.4324689162139169E-2</v>
      </c>
      <c r="AI25" s="7">
        <f t="shared" si="129"/>
        <v>4.4560079229732368E-2</v>
      </c>
      <c r="AJ25" s="7">
        <f t="shared" si="129"/>
        <v>0.10440796092671453</v>
      </c>
      <c r="AK25" s="7">
        <f t="shared" si="129"/>
        <v>0.15581303501888524</v>
      </c>
      <c r="AL25" s="7">
        <f t="shared" si="129"/>
        <v>0.19830535559491105</v>
      </c>
      <c r="AM25" s="7">
        <f t="shared" si="129"/>
        <v>0.2292590132222454</v>
      </c>
      <c r="AN25" s="7">
        <f t="shared" si="129"/>
        <v>0.25393356778978909</v>
      </c>
      <c r="AO25" s="7">
        <f t="shared" si="129"/>
        <v>0.2730517782016727</v>
      </c>
      <c r="AP25" s="7">
        <f t="shared" ref="AP25" si="130">AP13/AP5</f>
        <v>0.28716946436677798</v>
      </c>
      <c r="AR25" t="s">
        <v>39</v>
      </c>
      <c r="AS25" s="7">
        <v>-0.01</v>
      </c>
    </row>
    <row r="26" spans="2:150" x14ac:dyDescent="0.3">
      <c r="B26" s="10" t="s">
        <v>38</v>
      </c>
      <c r="C26" s="10"/>
      <c r="D26" s="10"/>
      <c r="E26" s="10"/>
      <c r="F26" s="10"/>
      <c r="G26" s="7">
        <f t="shared" ref="G26:G27" si="131">G8/C8-1</f>
        <v>-0.3146067415730337</v>
      </c>
      <c r="H26" s="7">
        <f t="shared" ref="H26:H27" si="132">H8/D8-1</f>
        <v>-0.29411764705882348</v>
      </c>
      <c r="I26" s="7">
        <f t="shared" ref="I26:I27" si="133">I8/E8-1</f>
        <v>-0.19999999999999996</v>
      </c>
      <c r="J26" s="7">
        <f t="shared" ref="J26:J27" si="134">J8/F8-1</f>
        <v>1.7543859649122862E-2</v>
      </c>
      <c r="K26" s="7">
        <f t="shared" ref="K26:K27" si="135">K8/G8-1</f>
        <v>0</v>
      </c>
      <c r="L26" s="7">
        <f t="shared" ref="L26:L27" si="136">L8/H8-1</f>
        <v>-0.15000000000000002</v>
      </c>
      <c r="M26" s="7">
        <f t="shared" ref="M26:M27" si="137">M8/I8-1</f>
        <v>-8.333333333333337E-2</v>
      </c>
      <c r="N26" s="7">
        <f t="shared" ref="N26:N27" si="138">N8/J8-1</f>
        <v>-0.10344827586206895</v>
      </c>
      <c r="O26" s="7">
        <f t="shared" ref="O26:O27" si="139">O8/K8-1</f>
        <v>0.16393442622950816</v>
      </c>
      <c r="P26" s="7">
        <f t="shared" ref="P26:P27" si="140">P8/L8-1</f>
        <v>0.21568627450980382</v>
      </c>
      <c r="Q26" s="7">
        <f t="shared" ref="Q26:Q27" si="141">Q8/M8-1</f>
        <v>0.19999999999999996</v>
      </c>
      <c r="R26" s="7">
        <f t="shared" ref="R26:V26" si="142">R8/N8-1</f>
        <v>0.15384615384615374</v>
      </c>
      <c r="S26" s="7">
        <f t="shared" si="142"/>
        <v>-0.19718309859154926</v>
      </c>
      <c r="T26" s="7">
        <f t="shared" si="142"/>
        <v>-8.064516129032262E-2</v>
      </c>
      <c r="U26" s="7">
        <f t="shared" si="142"/>
        <v>-0.19696969696969702</v>
      </c>
      <c r="V26" s="7">
        <f t="shared" si="142"/>
        <v>-0.19999999999999996</v>
      </c>
      <c r="W26" s="7">
        <f t="shared" ref="W26:W27" si="143">W8/S8-1</f>
        <v>-2.0000000000000018E-2</v>
      </c>
      <c r="X26" s="7">
        <f t="shared" ref="X26:X27" si="144">X8/T8-1</f>
        <v>5.0000000000000044E-2</v>
      </c>
      <c r="Y26" s="7">
        <f t="shared" ref="Y26:Y27" si="145">Y8/U8-1</f>
        <v>0.10000000000000009</v>
      </c>
      <c r="Z26" s="7">
        <f t="shared" ref="Z26:Z27" si="146">Z8/V8-1</f>
        <v>0.14999999999999991</v>
      </c>
      <c r="AC26" s="7">
        <f t="shared" ref="AC26:AC27" si="147">AC8/AB8-1</f>
        <v>-0.21895424836601307</v>
      </c>
      <c r="AD26" s="7">
        <f t="shared" ref="AD26:AP26" si="148">AD8/AC8-1</f>
        <v>-8.3682008368200833E-2</v>
      </c>
      <c r="AE26" s="7">
        <f t="shared" si="148"/>
        <v>0.18264840182648401</v>
      </c>
      <c r="AF26" s="7">
        <f t="shared" si="148"/>
        <v>-0.16988416988416988</v>
      </c>
      <c r="AG26" s="7">
        <f t="shared" si="148"/>
        <v>6.6093023255813899E-2</v>
      </c>
      <c r="AH26" s="7">
        <f t="shared" si="148"/>
        <v>3.0000000000000027E-2</v>
      </c>
      <c r="AI26" s="7">
        <f t="shared" si="148"/>
        <v>2.0000000000000018E-2</v>
      </c>
      <c r="AJ26" s="7">
        <f t="shared" si="148"/>
        <v>2.0000000000000018E-2</v>
      </c>
      <c r="AK26" s="7">
        <f t="shared" si="148"/>
        <v>1.0000000000000009E-2</v>
      </c>
      <c r="AL26" s="7">
        <f t="shared" si="148"/>
        <v>1.0000000000000009E-2</v>
      </c>
      <c r="AM26" s="7">
        <f t="shared" si="148"/>
        <v>1.0000000000000009E-2</v>
      </c>
      <c r="AN26" s="7">
        <f t="shared" si="148"/>
        <v>1.0000000000000009E-2</v>
      </c>
      <c r="AO26" s="7">
        <f t="shared" si="148"/>
        <v>1.0000000000000009E-2</v>
      </c>
      <c r="AP26" s="7">
        <f t="shared" si="148"/>
        <v>1.0000000000000009E-2</v>
      </c>
      <c r="AR26" t="s">
        <v>40</v>
      </c>
      <c r="AS26" s="7">
        <v>7.0000000000000007E-2</v>
      </c>
    </row>
    <row r="27" spans="2:150" x14ac:dyDescent="0.3">
      <c r="B27" s="10" t="s">
        <v>48</v>
      </c>
      <c r="C27" s="10"/>
      <c r="D27" s="10"/>
      <c r="E27" s="10"/>
      <c r="F27" s="10"/>
      <c r="G27" s="7">
        <f t="shared" si="131"/>
        <v>-0.15503875968992253</v>
      </c>
      <c r="H27" s="7">
        <f t="shared" si="132"/>
        <v>-0.20289855072463769</v>
      </c>
      <c r="I27" s="7">
        <f t="shared" si="133"/>
        <v>-0.16312056737588654</v>
      </c>
      <c r="J27" s="7">
        <f t="shared" si="134"/>
        <v>-9.027777777777779E-2</v>
      </c>
      <c r="K27" s="7">
        <f t="shared" si="135"/>
        <v>-8.256880733944949E-2</v>
      </c>
      <c r="L27" s="7">
        <f t="shared" si="136"/>
        <v>-3.6363636363636376E-2</v>
      </c>
      <c r="M27" s="7">
        <f t="shared" si="137"/>
        <v>-0.22881355932203384</v>
      </c>
      <c r="N27" s="7">
        <f t="shared" si="138"/>
        <v>-0.16030534351145043</v>
      </c>
      <c r="O27" s="7">
        <f t="shared" si="139"/>
        <v>0.20999999999999996</v>
      </c>
      <c r="P27" s="7">
        <f t="shared" si="140"/>
        <v>0.22641509433962259</v>
      </c>
      <c r="Q27" s="7">
        <f t="shared" si="141"/>
        <v>0.4505494505494505</v>
      </c>
      <c r="R27" s="7">
        <f t="shared" ref="R27" si="149">R9/N9-1</f>
        <v>2.7272727272727337E-2</v>
      </c>
      <c r="S27" s="7">
        <f t="shared" ref="S27" si="150">S9/O9-1</f>
        <v>-0.25619834710743805</v>
      </c>
      <c r="T27" s="7">
        <f t="shared" ref="T27" si="151">T9/P9-1</f>
        <v>-0.39230769230769236</v>
      </c>
      <c r="U27" s="7">
        <f t="shared" ref="U27" si="152">U9/Q9-1</f>
        <v>-0.37121212121212122</v>
      </c>
      <c r="V27" s="7">
        <f t="shared" ref="V27" si="153">V9/R9-1</f>
        <v>-0.18584070796460173</v>
      </c>
      <c r="W27" s="7">
        <f t="shared" si="143"/>
        <v>1.0000000000000009E-2</v>
      </c>
      <c r="X27" s="7">
        <f t="shared" si="144"/>
        <v>0.10000000000000009</v>
      </c>
      <c r="Y27" s="7">
        <f t="shared" si="145"/>
        <v>0.10000000000000009</v>
      </c>
      <c r="Z27" s="7">
        <f t="shared" si="146"/>
        <v>5.0000000000000044E-2</v>
      </c>
      <c r="AC27" s="7">
        <f t="shared" si="147"/>
        <v>-0.15217391304347827</v>
      </c>
      <c r="AD27" s="7">
        <f t="shared" ref="AD27" si="154">AD9/AC9-1</f>
        <v>-0.13034188034188032</v>
      </c>
      <c r="AE27" s="7">
        <f t="shared" ref="AE27" si="155">AE9/AD9-1</f>
        <v>0.21867321867321876</v>
      </c>
      <c r="AF27" s="7">
        <f t="shared" ref="AF27" si="156">AF9/AE9-1</f>
        <v>-0.30645161290322576</v>
      </c>
      <c r="AG27" s="7">
        <f t="shared" ref="AG27" si="157">AG9/AF9-1</f>
        <v>6.3081395348837388E-2</v>
      </c>
      <c r="AH27" s="7">
        <f t="shared" ref="AH27" si="158">AH9/AG9-1</f>
        <v>1.0000000000000009E-2</v>
      </c>
      <c r="AI27" s="7">
        <f t="shared" ref="AI27" si="159">AI9/AH9-1</f>
        <v>1.0000000000000009E-2</v>
      </c>
      <c r="AJ27" s="7">
        <f t="shared" ref="AJ27" si="160">AJ9/AI9-1</f>
        <v>1.0000000000000009E-2</v>
      </c>
      <c r="AK27" s="7">
        <f t="shared" ref="AK27" si="161">AK9/AJ9-1</f>
        <v>1.0000000000000009E-2</v>
      </c>
      <c r="AL27" s="7">
        <f t="shared" ref="AL27" si="162">AL9/AK9-1</f>
        <v>1.0000000000000009E-2</v>
      </c>
      <c r="AM27" s="7">
        <f t="shared" ref="AM27" si="163">AM9/AL9-1</f>
        <v>1.0000000000000009E-2</v>
      </c>
      <c r="AN27" s="7">
        <f t="shared" ref="AN27" si="164">AN9/AM9-1</f>
        <v>1.0000000000000009E-2</v>
      </c>
      <c r="AO27" s="7">
        <f t="shared" ref="AO27:AP27" si="165">AO9/AN9-1</f>
        <v>1.0000000000000009E-2</v>
      </c>
      <c r="AP27" s="7">
        <f t="shared" si="165"/>
        <v>1.0000000000000009E-2</v>
      </c>
      <c r="AR27" t="s">
        <v>41</v>
      </c>
      <c r="AS27" s="5">
        <f>NPV(AS26,AG17:ET17)</f>
        <v>3739.198581638565</v>
      </c>
    </row>
    <row r="28" spans="2:150" x14ac:dyDescent="0.3">
      <c r="B28" s="10" t="s">
        <v>37</v>
      </c>
      <c r="C28" s="7">
        <f t="shared" ref="C28:F28" si="166">C9/C5</f>
        <v>0.32250000000000001</v>
      </c>
      <c r="D28" s="7">
        <f t="shared" si="166"/>
        <v>0.41317365269461076</v>
      </c>
      <c r="E28" s="7">
        <f t="shared" si="166"/>
        <v>0.48788927335640137</v>
      </c>
      <c r="F28" s="7">
        <f t="shared" si="166"/>
        <v>0.50349650349650354</v>
      </c>
      <c r="G28" s="7">
        <f t="shared" ref="G28:J28" si="167">G9/G5</f>
        <v>0.46382978723404256</v>
      </c>
      <c r="H28" s="7">
        <f t="shared" si="167"/>
        <v>0.46218487394957986</v>
      </c>
      <c r="I28" s="7">
        <f t="shared" si="167"/>
        <v>0.52212389380530977</v>
      </c>
      <c r="J28" s="7">
        <f t="shared" si="167"/>
        <v>0.5622317596566524</v>
      </c>
      <c r="K28" s="7">
        <f t="shared" ref="K28:Q28" si="168">K9/K5</f>
        <v>0.46948356807511737</v>
      </c>
      <c r="L28" s="7">
        <f t="shared" si="168"/>
        <v>0.50476190476190474</v>
      </c>
      <c r="M28" s="7">
        <f t="shared" si="168"/>
        <v>0.40265486725663718</v>
      </c>
      <c r="N28" s="7">
        <f t="shared" si="168"/>
        <v>0.43137254901960786</v>
      </c>
      <c r="O28" s="7">
        <f t="shared" si="168"/>
        <v>0.48987854251012147</v>
      </c>
      <c r="P28" s="7">
        <f t="shared" si="168"/>
        <v>0.53278688524590168</v>
      </c>
      <c r="Q28" s="7">
        <f t="shared" si="168"/>
        <v>0.4943820224719101</v>
      </c>
      <c r="R28" s="7">
        <f t="shared" ref="R28:V28" si="169">R9/R5</f>
        <v>0.40070921985815605</v>
      </c>
      <c r="S28" s="7">
        <f t="shared" si="169"/>
        <v>0.43689320388349512</v>
      </c>
      <c r="T28" s="7">
        <f t="shared" si="169"/>
        <v>0.30501930501930502</v>
      </c>
      <c r="U28" s="7">
        <f t="shared" si="169"/>
        <v>0.38073394495412843</v>
      </c>
      <c r="V28" s="7">
        <f t="shared" si="169"/>
        <v>0.43809523809523809</v>
      </c>
      <c r="W28" s="7">
        <f t="shared" ref="W28:Z28" si="170">W9/W5</f>
        <v>0.3943258719416971</v>
      </c>
      <c r="X28" s="7">
        <f t="shared" si="170"/>
        <v>0.35325203252032522</v>
      </c>
      <c r="Y28" s="7">
        <f t="shared" si="170"/>
        <v>0.37335405250674741</v>
      </c>
      <c r="Z28" s="7">
        <f t="shared" si="170"/>
        <v>0.40932203389830513</v>
      </c>
      <c r="AB28" s="7">
        <f t="shared" ref="AB28" si="171">AB9/AB5</f>
        <v>0.42169595110771579</v>
      </c>
      <c r="AC28" s="7">
        <f t="shared" ref="AC28:AO28" si="172">AC9/AC5</f>
        <v>0.50214592274678116</v>
      </c>
      <c r="AD28" s="7">
        <f t="shared" si="172"/>
        <v>0.4502212389380531</v>
      </c>
      <c r="AE28" s="7">
        <f t="shared" si="172"/>
        <v>0.47692307692307695</v>
      </c>
      <c r="AF28" s="7">
        <f t="shared" si="172"/>
        <v>0.38521836506159013</v>
      </c>
      <c r="AG28" s="7">
        <f t="shared" si="172"/>
        <v>0.38210770484609125</v>
      </c>
      <c r="AH28" s="7">
        <f t="shared" si="172"/>
        <v>0.3444286974771345</v>
      </c>
      <c r="AI28" s="7">
        <f t="shared" si="172"/>
        <v>0.31699915477898005</v>
      </c>
      <c r="AJ28" s="7">
        <f t="shared" si="172"/>
        <v>0.29615415340466511</v>
      </c>
      <c r="AK28" s="7">
        <f t="shared" si="172"/>
        <v>0.27842949582906801</v>
      </c>
      <c r="AL28" s="7">
        <f t="shared" si="172"/>
        <v>0.26353546425636643</v>
      </c>
      <c r="AM28" s="7">
        <f t="shared" si="172"/>
        <v>0.25319073371958767</v>
      </c>
      <c r="AN28" s="7">
        <f t="shared" si="172"/>
        <v>0.24511243446203429</v>
      </c>
      <c r="AO28" s="7">
        <f t="shared" si="172"/>
        <v>0.2391627376558817</v>
      </c>
      <c r="AP28" s="7">
        <f t="shared" ref="AP28" si="173">AP9/AP5</f>
        <v>0.23524291205727513</v>
      </c>
      <c r="AR28" t="s">
        <v>43</v>
      </c>
      <c r="AS28" s="5">
        <f>Main!D8</f>
        <v>57</v>
      </c>
    </row>
    <row r="29" spans="2:150" x14ac:dyDescent="0.3">
      <c r="B29" s="10" t="s">
        <v>23</v>
      </c>
      <c r="C29" s="7">
        <f t="shared" ref="C29:F29" si="174">C16/C15</f>
        <v>0</v>
      </c>
      <c r="D29" s="7">
        <f t="shared" si="174"/>
        <v>-2.6954177897574125E-3</v>
      </c>
      <c r="E29" s="7">
        <f t="shared" si="174"/>
        <v>8.4745762711864406E-3</v>
      </c>
      <c r="F29" s="7">
        <f t="shared" si="174"/>
        <v>4.0816326530612242E-2</v>
      </c>
      <c r="G29" s="7">
        <f t="shared" ref="G29:J29" si="175">G16/G15</f>
        <v>1.488095238095238E-3</v>
      </c>
      <c r="H29" s="7">
        <f t="shared" si="175"/>
        <v>0.17391304347826086</v>
      </c>
      <c r="I29" s="7">
        <f t="shared" si="175"/>
        <v>0</v>
      </c>
      <c r="J29" s="7">
        <f t="shared" si="175"/>
        <v>0.2857142857142857</v>
      </c>
      <c r="K29" s="7">
        <f t="shared" ref="K29:Q29" si="176">K16/K15</f>
        <v>-1.6949152542372881E-2</v>
      </c>
      <c r="L29" s="7">
        <f t="shared" si="176"/>
        <v>2.2727272727272728E-2</v>
      </c>
      <c r="M29" s="7">
        <f t="shared" si="176"/>
        <v>1.6666666666666666E-2</v>
      </c>
      <c r="N29" s="7">
        <f t="shared" si="176"/>
        <v>-0.59375</v>
      </c>
      <c r="O29" s="7">
        <f t="shared" si="176"/>
        <v>-6.0606060606060608E-2</v>
      </c>
      <c r="P29" s="7">
        <f t="shared" si="176"/>
        <v>-2.3255813953488372E-2</v>
      </c>
      <c r="Q29" s="7">
        <f t="shared" si="176"/>
        <v>-6.6666666666666666E-2</v>
      </c>
      <c r="R29" s="7">
        <f t="shared" ref="R29:V29" si="177">R16/R15</f>
        <v>2.3809523809523808E-2</v>
      </c>
      <c r="S29" s="7">
        <f t="shared" si="177"/>
        <v>1.3953488372093023E-2</v>
      </c>
      <c r="T29" s="7">
        <f t="shared" si="177"/>
        <v>0.14814814814814814</v>
      </c>
      <c r="U29" s="7">
        <f t="shared" si="177"/>
        <v>-1.5625E-2</v>
      </c>
      <c r="V29" s="7">
        <f t="shared" si="177"/>
        <v>-6.3897763578274758E-3</v>
      </c>
      <c r="W29" s="7">
        <f t="shared" ref="W29:Z29" si="178">W16/W15</f>
        <v>0.01</v>
      </c>
      <c r="X29" s="7">
        <f t="shared" si="178"/>
        <v>0.01</v>
      </c>
      <c r="Y29" s="7">
        <f t="shared" si="178"/>
        <v>0.01</v>
      </c>
      <c r="Z29" s="7">
        <f t="shared" si="178"/>
        <v>0.01</v>
      </c>
      <c r="AB29" s="7">
        <f t="shared" ref="AB29" si="179">AB16/AB15</f>
        <v>1.6556291390728477E-3</v>
      </c>
      <c r="AC29" s="7">
        <f t="shared" ref="AC29:AO29" si="180">AC16/AC15</f>
        <v>2.4630541871921183E-3</v>
      </c>
      <c r="AD29" s="7">
        <f t="shared" si="180"/>
        <v>-0.20779220779220781</v>
      </c>
      <c r="AE29" s="7">
        <f t="shared" si="180"/>
        <v>-2.7027027027027029E-2</v>
      </c>
      <c r="AF29" s="7">
        <f t="shared" si="180"/>
        <v>8.0862533692722376E-3</v>
      </c>
      <c r="AG29" s="7">
        <f t="shared" si="180"/>
        <v>1.1420552644868534E-2</v>
      </c>
      <c r="AH29" s="7">
        <f t="shared" si="180"/>
        <v>0.15</v>
      </c>
      <c r="AI29" s="7">
        <f t="shared" si="180"/>
        <v>0.15</v>
      </c>
      <c r="AJ29" s="7">
        <f t="shared" si="180"/>
        <v>0.15</v>
      </c>
      <c r="AK29" s="7">
        <f t="shared" si="180"/>
        <v>0.15</v>
      </c>
      <c r="AL29" s="7">
        <f t="shared" si="180"/>
        <v>0.15</v>
      </c>
      <c r="AM29" s="7">
        <f t="shared" si="180"/>
        <v>0.15</v>
      </c>
      <c r="AN29" s="7">
        <f t="shared" si="180"/>
        <v>0.15</v>
      </c>
      <c r="AO29" s="7">
        <f t="shared" si="180"/>
        <v>0.15</v>
      </c>
      <c r="AP29" s="7">
        <f t="shared" ref="AP29" si="181">AP16/AP15</f>
        <v>0.15</v>
      </c>
      <c r="AR29" t="s">
        <v>42</v>
      </c>
      <c r="AS29" s="5">
        <f>AS27+AS28</f>
        <v>3796.198581638565</v>
      </c>
    </row>
    <row r="30" spans="2:150" x14ac:dyDescent="0.3">
      <c r="AR30" t="s">
        <v>44</v>
      </c>
      <c r="AS30" s="12">
        <f>AS29/AO18</f>
        <v>6.7058798474449119</v>
      </c>
    </row>
    <row r="31" spans="2:150" x14ac:dyDescent="0.3">
      <c r="AR31" t="s">
        <v>45</v>
      </c>
      <c r="AS31" s="12">
        <f>Main!D3</f>
        <v>7.97</v>
      </c>
    </row>
    <row r="32" spans="2:150" x14ac:dyDescent="0.3">
      <c r="AR32" s="1" t="s">
        <v>46</v>
      </c>
      <c r="AS32" s="13">
        <f>AS30/AS31-1</f>
        <v>-0.15860980584129081</v>
      </c>
    </row>
    <row r="33" spans="44:45" x14ac:dyDescent="0.3">
      <c r="AR33" t="s">
        <v>47</v>
      </c>
      <c r="AS33" s="6" t="s">
        <v>68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2020-12-06T15:55:12Z</dcterms:created>
  <dcterms:modified xsi:type="dcterms:W3CDTF">2021-05-14T08:02:09Z</dcterms:modified>
</cp:coreProperties>
</file>