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592E6F3-13B1-431E-B342-A53BD757DFA7}" xr6:coauthVersionLast="47" xr6:coauthVersionMax="47" xr10:uidLastSave="{00000000-0000-0000-0000-000000000000}"/>
  <bookViews>
    <workbookView xWindow="-108" yWindow="-108" windowWidth="23256" windowHeight="12576" xr2:uid="{FD927F57-917F-4496-A6AC-5E97F081D2C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5" i="2" l="1"/>
  <c r="AI37" i="2" s="1"/>
  <c r="AI38" i="2" s="1"/>
  <c r="AI40" i="2" s="1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AI39" i="2"/>
  <c r="AI36" i="2"/>
  <c r="AH28" i="2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AG28" i="2"/>
  <c r="AF28" i="2"/>
  <c r="AB3" i="2"/>
  <c r="AA3" i="2"/>
  <c r="Z3" i="2"/>
  <c r="Y3" i="2"/>
  <c r="X3" i="2"/>
  <c r="W3" i="2"/>
  <c r="V3" i="2"/>
  <c r="AA4" i="2"/>
  <c r="Z4" i="2"/>
  <c r="Y4" i="2"/>
  <c r="X4" i="2"/>
  <c r="W4" i="2"/>
  <c r="V4" i="2"/>
  <c r="X6" i="2"/>
  <c r="Y6" i="2" s="1"/>
  <c r="Z6" i="2" s="1"/>
  <c r="AA6" i="2" s="1"/>
  <c r="AB6" i="2" s="1"/>
  <c r="AC6" i="2" s="1"/>
  <c r="AD6" i="2" s="1"/>
  <c r="AE6" i="2" s="1"/>
  <c r="W6" i="2"/>
  <c r="W11" i="2" s="1"/>
  <c r="AA16" i="2"/>
  <c r="AB16" i="2" s="1"/>
  <c r="AC16" i="2" s="1"/>
  <c r="AD16" i="2" s="1"/>
  <c r="AE16" i="2" s="1"/>
  <c r="Z16" i="2"/>
  <c r="X16" i="2"/>
  <c r="AB14" i="2"/>
  <c r="AC14" i="2" s="1"/>
  <c r="AD14" i="2" s="1"/>
  <c r="AE14" i="2" s="1"/>
  <c r="AA14" i="2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W19" i="2"/>
  <c r="X19" i="2" s="1"/>
  <c r="V19" i="2"/>
  <c r="V24" i="2" s="1"/>
  <c r="U24" i="2"/>
  <c r="U20" i="2"/>
  <c r="U19" i="2"/>
  <c r="U16" i="2"/>
  <c r="U44" i="2" s="1"/>
  <c r="V14" i="2"/>
  <c r="U14" i="2"/>
  <c r="V11" i="2"/>
  <c r="U8" i="2"/>
  <c r="U37" i="2" s="1"/>
  <c r="AE10" i="2"/>
  <c r="AD10" i="2"/>
  <c r="AC10" i="2"/>
  <c r="AB10" i="2"/>
  <c r="AA10" i="2"/>
  <c r="Z10" i="2"/>
  <c r="Y10" i="2"/>
  <c r="X10" i="2"/>
  <c r="W10" i="2"/>
  <c r="V10" i="2"/>
  <c r="V39" i="2" s="1"/>
  <c r="U10" i="2"/>
  <c r="U39" i="2" s="1"/>
  <c r="U9" i="2"/>
  <c r="U38" i="2" s="1"/>
  <c r="U11" i="2"/>
  <c r="V6" i="2"/>
  <c r="U6" i="2"/>
  <c r="AA5" i="2"/>
  <c r="AB5" i="2" s="1"/>
  <c r="AC5" i="2" s="1"/>
  <c r="AD5" i="2" s="1"/>
  <c r="AE5" i="2" s="1"/>
  <c r="Z5" i="2"/>
  <c r="Y5" i="2"/>
  <c r="X5" i="2"/>
  <c r="W5" i="2"/>
  <c r="V5" i="2"/>
  <c r="U5" i="2"/>
  <c r="V33" i="2"/>
  <c r="U33" i="2"/>
  <c r="U32" i="2"/>
  <c r="U3" i="2"/>
  <c r="N28" i="2"/>
  <c r="N30" i="2" s="1"/>
  <c r="N24" i="2"/>
  <c r="N25" i="2" s="1"/>
  <c r="N18" i="2"/>
  <c r="N17" i="2"/>
  <c r="N16" i="2"/>
  <c r="T16" i="2"/>
  <c r="T44" i="2" s="1"/>
  <c r="N15" i="2"/>
  <c r="T15" i="2" s="1"/>
  <c r="N14" i="2"/>
  <c r="T14" i="2" s="1"/>
  <c r="T42" i="2" s="1"/>
  <c r="N11" i="2"/>
  <c r="T11" i="2" s="1"/>
  <c r="N10" i="2"/>
  <c r="T10" i="2" s="1"/>
  <c r="N9" i="2"/>
  <c r="T9" i="2" s="1"/>
  <c r="N8" i="2"/>
  <c r="T8" i="2" s="1"/>
  <c r="N7" i="2"/>
  <c r="N6" i="2"/>
  <c r="T6" i="2" s="1"/>
  <c r="T35" i="2" s="1"/>
  <c r="N5" i="2"/>
  <c r="T5" i="2" s="1"/>
  <c r="N4" i="2"/>
  <c r="T4" i="2" s="1"/>
  <c r="N3" i="2"/>
  <c r="T3" i="2" s="1"/>
  <c r="P48" i="2"/>
  <c r="P47" i="2"/>
  <c r="P46" i="2"/>
  <c r="P45" i="2"/>
  <c r="P43" i="2"/>
  <c r="P41" i="2"/>
  <c r="P40" i="2"/>
  <c r="P39" i="2"/>
  <c r="P38" i="2"/>
  <c r="P37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Q44" i="2"/>
  <c r="Q42" i="2"/>
  <c r="Q36" i="2"/>
  <c r="Q35" i="2"/>
  <c r="Q34" i="2"/>
  <c r="Q33" i="2"/>
  <c r="Q32" i="2"/>
  <c r="Q48" i="2"/>
  <c r="Q47" i="2"/>
  <c r="Q46" i="2"/>
  <c r="Q45" i="2"/>
  <c r="Q43" i="2"/>
  <c r="Q41" i="2"/>
  <c r="Q40" i="2"/>
  <c r="Q39" i="2"/>
  <c r="Q38" i="2"/>
  <c r="Q37" i="2"/>
  <c r="P20" i="2"/>
  <c r="P24" i="2" s="1"/>
  <c r="P17" i="2"/>
  <c r="P12" i="2"/>
  <c r="P7" i="2"/>
  <c r="Q23" i="2"/>
  <c r="Q24" i="2" s="1"/>
  <c r="Q17" i="2"/>
  <c r="Q12" i="2"/>
  <c r="Q7" i="2"/>
  <c r="R27" i="2"/>
  <c r="R23" i="2"/>
  <c r="R24" i="2" s="1"/>
  <c r="R17" i="2"/>
  <c r="R12" i="2"/>
  <c r="R7" i="2"/>
  <c r="T27" i="2"/>
  <c r="T26" i="2"/>
  <c r="T23" i="2"/>
  <c r="T22" i="2"/>
  <c r="T21" i="2"/>
  <c r="T20" i="2"/>
  <c r="T19" i="2"/>
  <c r="S27" i="2"/>
  <c r="S26" i="2"/>
  <c r="S23" i="2"/>
  <c r="S22" i="2"/>
  <c r="S21" i="2"/>
  <c r="S20" i="2"/>
  <c r="S19" i="2"/>
  <c r="S16" i="2"/>
  <c r="S15" i="2"/>
  <c r="S14" i="2"/>
  <c r="S11" i="2"/>
  <c r="S10" i="2"/>
  <c r="S9" i="2"/>
  <c r="S8" i="2"/>
  <c r="S6" i="2"/>
  <c r="S5" i="2"/>
  <c r="S4" i="2"/>
  <c r="S3" i="2"/>
  <c r="L44" i="2"/>
  <c r="K44" i="2"/>
  <c r="J44" i="2"/>
  <c r="H43" i="2"/>
  <c r="F43" i="2"/>
  <c r="L42" i="2"/>
  <c r="K42" i="2"/>
  <c r="J42" i="2"/>
  <c r="L40" i="2"/>
  <c r="K40" i="2"/>
  <c r="J40" i="2"/>
  <c r="I40" i="2"/>
  <c r="H40" i="2"/>
  <c r="G40" i="2"/>
  <c r="F40" i="2"/>
  <c r="L39" i="2"/>
  <c r="K39" i="2"/>
  <c r="J39" i="2"/>
  <c r="I39" i="2"/>
  <c r="H39" i="2"/>
  <c r="G39" i="2"/>
  <c r="F39" i="2"/>
  <c r="L38" i="2"/>
  <c r="K38" i="2"/>
  <c r="J38" i="2"/>
  <c r="I38" i="2"/>
  <c r="H38" i="2"/>
  <c r="G38" i="2"/>
  <c r="F38" i="2"/>
  <c r="L37" i="2"/>
  <c r="K37" i="2"/>
  <c r="J37" i="2"/>
  <c r="I37" i="2"/>
  <c r="H37" i="2"/>
  <c r="G37" i="2"/>
  <c r="F37" i="2"/>
  <c r="M44" i="2"/>
  <c r="M42" i="2"/>
  <c r="M40" i="2"/>
  <c r="M39" i="2"/>
  <c r="M38" i="2"/>
  <c r="M37" i="2"/>
  <c r="L35" i="2"/>
  <c r="K35" i="2"/>
  <c r="J35" i="2"/>
  <c r="L34" i="2"/>
  <c r="K34" i="2"/>
  <c r="J34" i="2"/>
  <c r="L33" i="2"/>
  <c r="K33" i="2"/>
  <c r="J33" i="2"/>
  <c r="L32" i="2"/>
  <c r="K32" i="2"/>
  <c r="J32" i="2"/>
  <c r="M35" i="2"/>
  <c r="M34" i="2"/>
  <c r="M33" i="2"/>
  <c r="M32" i="2"/>
  <c r="F24" i="2"/>
  <c r="F17" i="2"/>
  <c r="F12" i="2"/>
  <c r="F7" i="2"/>
  <c r="J24" i="2"/>
  <c r="J17" i="2"/>
  <c r="J12" i="2"/>
  <c r="J7" i="2"/>
  <c r="J43" i="2" s="1"/>
  <c r="H24" i="2"/>
  <c r="H17" i="2"/>
  <c r="H12" i="2"/>
  <c r="H13" i="2" s="1"/>
  <c r="H18" i="2" s="1"/>
  <c r="H25" i="2" s="1"/>
  <c r="H28" i="2" s="1"/>
  <c r="H30" i="2" s="1"/>
  <c r="H7" i="2"/>
  <c r="G24" i="2"/>
  <c r="G17" i="2"/>
  <c r="G12" i="2"/>
  <c r="G7" i="2"/>
  <c r="G43" i="2" s="1"/>
  <c r="AC3" i="2" l="1"/>
  <c r="AD3" i="2" s="1"/>
  <c r="AE3" i="2" s="1"/>
  <c r="AE8" i="2" s="1"/>
  <c r="AE37" i="2" s="1"/>
  <c r="W32" i="2"/>
  <c r="V8" i="2"/>
  <c r="V37" i="2" s="1"/>
  <c r="V32" i="2"/>
  <c r="W8" i="2"/>
  <c r="W37" i="2" s="1"/>
  <c r="W9" i="2"/>
  <c r="V9" i="2"/>
  <c r="V12" i="2" s="1"/>
  <c r="U12" i="2"/>
  <c r="X24" i="2"/>
  <c r="Y19" i="2"/>
  <c r="W24" i="2"/>
  <c r="V16" i="2"/>
  <c r="W14" i="2"/>
  <c r="X14" i="2" s="1"/>
  <c r="U42" i="2"/>
  <c r="V42" i="2"/>
  <c r="U35" i="2"/>
  <c r="U7" i="2"/>
  <c r="U40" i="2"/>
  <c r="V34" i="2"/>
  <c r="U34" i="2"/>
  <c r="W38" i="2"/>
  <c r="W33" i="2"/>
  <c r="N12" i="2"/>
  <c r="N13" i="2" s="1"/>
  <c r="T40" i="2"/>
  <c r="T39" i="2"/>
  <c r="T34" i="2"/>
  <c r="T38" i="2"/>
  <c r="T33" i="2"/>
  <c r="T32" i="2"/>
  <c r="T37" i="2"/>
  <c r="P13" i="2"/>
  <c r="P18" i="2" s="1"/>
  <c r="P25" i="2" s="1"/>
  <c r="P28" i="2" s="1"/>
  <c r="P30" i="2" s="1"/>
  <c r="Q13" i="2"/>
  <c r="Q18" i="2" s="1"/>
  <c r="Q25" i="2" s="1"/>
  <c r="Q28" i="2" s="1"/>
  <c r="Q30" i="2" s="1"/>
  <c r="R13" i="2"/>
  <c r="R18" i="2" s="1"/>
  <c r="R25" i="2" s="1"/>
  <c r="R28" i="2" s="1"/>
  <c r="R30" i="2" s="1"/>
  <c r="H47" i="2"/>
  <c r="J36" i="2"/>
  <c r="H45" i="2"/>
  <c r="H46" i="2"/>
  <c r="H41" i="2"/>
  <c r="H48" i="2"/>
  <c r="T24" i="2"/>
  <c r="T17" i="2"/>
  <c r="T12" i="2"/>
  <c r="T7" i="2"/>
  <c r="S24" i="2"/>
  <c r="S17" i="2"/>
  <c r="S12" i="2"/>
  <c r="S7" i="2"/>
  <c r="F13" i="2"/>
  <c r="J13" i="2"/>
  <c r="G13" i="2"/>
  <c r="K24" i="2"/>
  <c r="K17" i="2"/>
  <c r="K12" i="2"/>
  <c r="K7" i="2"/>
  <c r="L24" i="2"/>
  <c r="L17" i="2"/>
  <c r="L12" i="2"/>
  <c r="L7" i="2"/>
  <c r="I24" i="2"/>
  <c r="I17" i="2"/>
  <c r="I12" i="2"/>
  <c r="I7" i="2"/>
  <c r="I43" i="2" s="1"/>
  <c r="M24" i="2"/>
  <c r="M17" i="2"/>
  <c r="M12" i="2"/>
  <c r="M7" i="2"/>
  <c r="M13" i="2" s="1"/>
  <c r="Z32" i="2" l="1"/>
  <c r="AB8" i="2"/>
  <c r="AB37" i="2" s="1"/>
  <c r="AE32" i="2"/>
  <c r="AC32" i="2"/>
  <c r="X8" i="2"/>
  <c r="X37" i="2" s="1"/>
  <c r="Y8" i="2"/>
  <c r="Y37" i="2" s="1"/>
  <c r="X32" i="2"/>
  <c r="AD8" i="2"/>
  <c r="AD37" i="2" s="1"/>
  <c r="AD32" i="2"/>
  <c r="AC8" i="2"/>
  <c r="AC37" i="2" s="1"/>
  <c r="AA8" i="2"/>
  <c r="AA37" i="2" s="1"/>
  <c r="AB32" i="2"/>
  <c r="Z8" i="2"/>
  <c r="Z37" i="2" s="1"/>
  <c r="AA32" i="2"/>
  <c r="Y32" i="2"/>
  <c r="W12" i="2"/>
  <c r="X11" i="2"/>
  <c r="V38" i="2"/>
  <c r="U41" i="2"/>
  <c r="U15" i="2"/>
  <c r="U17" i="2" s="1"/>
  <c r="U18" i="2" s="1"/>
  <c r="U25" i="2" s="1"/>
  <c r="X33" i="2"/>
  <c r="X9" i="2"/>
  <c r="U13" i="2"/>
  <c r="Y24" i="2"/>
  <c r="Z19" i="2"/>
  <c r="W16" i="2"/>
  <c r="V44" i="2"/>
  <c r="W42" i="2"/>
  <c r="X42" i="2"/>
  <c r="Y14" i="2"/>
  <c r="U36" i="2"/>
  <c r="V7" i="2"/>
  <c r="V15" i="2" s="1"/>
  <c r="V17" i="2" s="1"/>
  <c r="V40" i="2"/>
  <c r="U43" i="2"/>
  <c r="V35" i="2"/>
  <c r="W39" i="2"/>
  <c r="W34" i="2"/>
  <c r="T43" i="2"/>
  <c r="T36" i="2"/>
  <c r="M41" i="2"/>
  <c r="M18" i="2"/>
  <c r="F18" i="2"/>
  <c r="F41" i="2"/>
  <c r="K43" i="2"/>
  <c r="K36" i="2"/>
  <c r="M36" i="2"/>
  <c r="M43" i="2"/>
  <c r="J18" i="2"/>
  <c r="J41" i="2"/>
  <c r="L43" i="2"/>
  <c r="L36" i="2"/>
  <c r="G18" i="2"/>
  <c r="G41" i="2"/>
  <c r="T13" i="2"/>
  <c r="S13" i="2"/>
  <c r="S18" i="2" s="1"/>
  <c r="S25" i="2" s="1"/>
  <c r="S28" i="2" s="1"/>
  <c r="S30" i="2" s="1"/>
  <c r="L13" i="2"/>
  <c r="K13" i="2"/>
  <c r="I13" i="2"/>
  <c r="V13" i="2" l="1"/>
  <c r="V18" i="2" s="1"/>
  <c r="X12" i="2"/>
  <c r="Y11" i="2"/>
  <c r="X38" i="2"/>
  <c r="Y9" i="2"/>
  <c r="U26" i="2"/>
  <c r="U27" i="2"/>
  <c r="U47" i="2" s="1"/>
  <c r="Y33" i="2"/>
  <c r="U45" i="2"/>
  <c r="AA19" i="2"/>
  <c r="Z24" i="2"/>
  <c r="W44" i="2"/>
  <c r="Z14" i="2"/>
  <c r="Y42" i="2"/>
  <c r="V36" i="2"/>
  <c r="V43" i="2"/>
  <c r="W7" i="2"/>
  <c r="W35" i="2"/>
  <c r="W40" i="2"/>
  <c r="X39" i="2"/>
  <c r="X34" i="2"/>
  <c r="T18" i="2"/>
  <c r="T41" i="2"/>
  <c r="G25" i="2"/>
  <c r="G45" i="2"/>
  <c r="L18" i="2"/>
  <c r="L41" i="2"/>
  <c r="J25" i="2"/>
  <c r="J45" i="2"/>
  <c r="I18" i="2"/>
  <c r="I41" i="2"/>
  <c r="F25" i="2"/>
  <c r="F45" i="2"/>
  <c r="K18" i="2"/>
  <c r="K41" i="2"/>
  <c r="M45" i="2"/>
  <c r="M25" i="2"/>
  <c r="D8" i="1"/>
  <c r="D7" i="1"/>
  <c r="D6" i="1"/>
  <c r="D5" i="1"/>
  <c r="D9" i="1" s="1"/>
  <c r="F3" i="1"/>
  <c r="V41" i="2" l="1"/>
  <c r="V25" i="2"/>
  <c r="V45" i="2"/>
  <c r="Y12" i="2"/>
  <c r="Z11" i="2"/>
  <c r="W13" i="2"/>
  <c r="W41" i="2" s="1"/>
  <c r="W15" i="2"/>
  <c r="W17" i="2" s="1"/>
  <c r="W18" i="2" s="1"/>
  <c r="W25" i="2" s="1"/>
  <c r="Z9" i="2"/>
  <c r="Z12" i="2" s="1"/>
  <c r="AA33" i="2"/>
  <c r="Y38" i="2"/>
  <c r="Z33" i="2"/>
  <c r="U28" i="2"/>
  <c r="U46" i="2"/>
  <c r="AA24" i="2"/>
  <c r="AB19" i="2"/>
  <c r="Y16" i="2"/>
  <c r="X44" i="2"/>
  <c r="Z42" i="2"/>
  <c r="W36" i="2"/>
  <c r="X7" i="2"/>
  <c r="X35" i="2"/>
  <c r="X40" i="2"/>
  <c r="Y39" i="2"/>
  <c r="Y34" i="2"/>
  <c r="T25" i="2"/>
  <c r="T45" i="2"/>
  <c r="F28" i="2"/>
  <c r="F46" i="2"/>
  <c r="F47" i="2"/>
  <c r="M47" i="2"/>
  <c r="M46" i="2"/>
  <c r="M28" i="2"/>
  <c r="G28" i="2"/>
  <c r="G47" i="2"/>
  <c r="G46" i="2"/>
  <c r="J28" i="2"/>
  <c r="J46" i="2"/>
  <c r="J47" i="2"/>
  <c r="K25" i="2"/>
  <c r="K45" i="2"/>
  <c r="L25" i="2"/>
  <c r="L45" i="2"/>
  <c r="I25" i="2"/>
  <c r="I45" i="2"/>
  <c r="V26" i="2" l="1"/>
  <c r="V46" i="2" s="1"/>
  <c r="V27" i="2"/>
  <c r="V47" i="2" s="1"/>
  <c r="Z38" i="2"/>
  <c r="AA11" i="2"/>
  <c r="W45" i="2"/>
  <c r="W27" i="2"/>
  <c r="W47" i="2" s="1"/>
  <c r="W26" i="2"/>
  <c r="W46" i="2" s="1"/>
  <c r="X13" i="2"/>
  <c r="X41" i="2" s="1"/>
  <c r="X15" i="2"/>
  <c r="X17" i="2" s="1"/>
  <c r="U30" i="2"/>
  <c r="U48" i="2"/>
  <c r="AA9" i="2"/>
  <c r="AB4" i="2"/>
  <c r="W43" i="2"/>
  <c r="AC19" i="2"/>
  <c r="AB24" i="2"/>
  <c r="Y44" i="2"/>
  <c r="AA42" i="2"/>
  <c r="X36" i="2"/>
  <c r="Y7" i="2"/>
  <c r="Y40" i="2"/>
  <c r="Y35" i="2"/>
  <c r="Z39" i="2"/>
  <c r="Z34" i="2"/>
  <c r="T28" i="2"/>
  <c r="T46" i="2"/>
  <c r="T47" i="2"/>
  <c r="F30" i="2"/>
  <c r="F48" i="2"/>
  <c r="L28" i="2"/>
  <c r="L46" i="2"/>
  <c r="L47" i="2"/>
  <c r="M48" i="2"/>
  <c r="M30" i="2"/>
  <c r="K28" i="2"/>
  <c r="K46" i="2"/>
  <c r="K47" i="2"/>
  <c r="I28" i="2"/>
  <c r="I47" i="2"/>
  <c r="I46" i="2"/>
  <c r="G30" i="2"/>
  <c r="G48" i="2"/>
  <c r="J30" i="2"/>
  <c r="J48" i="2"/>
  <c r="V28" i="2" l="1"/>
  <c r="AB11" i="2"/>
  <c r="W28" i="2"/>
  <c r="W30" i="2" s="1"/>
  <c r="X43" i="2"/>
  <c r="Y13" i="2"/>
  <c r="Y41" i="2" s="1"/>
  <c r="Y15" i="2"/>
  <c r="Y17" i="2" s="1"/>
  <c r="AC4" i="2"/>
  <c r="AC33" i="2" s="1"/>
  <c r="AB9" i="2"/>
  <c r="AB12" i="2" s="1"/>
  <c r="AB33" i="2"/>
  <c r="AA12" i="2"/>
  <c r="AA38" i="2"/>
  <c r="X18" i="2"/>
  <c r="AC24" i="2"/>
  <c r="AD19" i="2"/>
  <c r="Z44" i="2"/>
  <c r="AB42" i="2"/>
  <c r="Y36" i="2"/>
  <c r="Z7" i="2"/>
  <c r="Z35" i="2"/>
  <c r="Z40" i="2"/>
  <c r="AA34" i="2"/>
  <c r="AA39" i="2"/>
  <c r="T30" i="2"/>
  <c r="T48" i="2"/>
  <c r="K30" i="2"/>
  <c r="K48" i="2"/>
  <c r="I30" i="2"/>
  <c r="I48" i="2"/>
  <c r="L30" i="2"/>
  <c r="L48" i="2"/>
  <c r="V30" i="2" l="1"/>
  <c r="V48" i="2"/>
  <c r="AC11" i="2"/>
  <c r="Y43" i="2"/>
  <c r="Y18" i="2"/>
  <c r="Y25" i="2" s="1"/>
  <c r="Y26" i="2" s="1"/>
  <c r="Y46" i="2" s="1"/>
  <c r="W48" i="2"/>
  <c r="AD4" i="2"/>
  <c r="AC9" i="2"/>
  <c r="Z15" i="2"/>
  <c r="Z17" i="2" s="1"/>
  <c r="Z13" i="2"/>
  <c r="Z41" i="2" s="1"/>
  <c r="AB38" i="2"/>
  <c r="X25" i="2"/>
  <c r="X45" i="2"/>
  <c r="AD24" i="2"/>
  <c r="AE19" i="2"/>
  <c r="AE24" i="2" s="1"/>
  <c r="AA44" i="2"/>
  <c r="AC42" i="2"/>
  <c r="AA7" i="2"/>
  <c r="AA15" i="2" s="1"/>
  <c r="AA17" i="2" s="1"/>
  <c r="AA40" i="2"/>
  <c r="AA35" i="2"/>
  <c r="Z36" i="2"/>
  <c r="AB34" i="2"/>
  <c r="AB39" i="2"/>
  <c r="AD33" i="2"/>
  <c r="Y27" i="2" l="1"/>
  <c r="Y47" i="2" s="1"/>
  <c r="AC12" i="2"/>
  <c r="AE11" i="2"/>
  <c r="AD11" i="2"/>
  <c r="AC38" i="2"/>
  <c r="Z18" i="2"/>
  <c r="Z25" i="2" s="1"/>
  <c r="Z27" i="2" s="1"/>
  <c r="Z47" i="2" s="1"/>
  <c r="AA13" i="2"/>
  <c r="AA18" i="2" s="1"/>
  <c r="AA25" i="2" s="1"/>
  <c r="Y45" i="2"/>
  <c r="Z43" i="2"/>
  <c r="X27" i="2"/>
  <c r="X47" i="2" s="1"/>
  <c r="X26" i="2"/>
  <c r="X46" i="2" s="1"/>
  <c r="AE4" i="2"/>
  <c r="AE9" i="2" s="1"/>
  <c r="AD9" i="2"/>
  <c r="AB44" i="2"/>
  <c r="AE42" i="2"/>
  <c r="AD42" i="2"/>
  <c r="AB7" i="2"/>
  <c r="AB40" i="2"/>
  <c r="AB35" i="2"/>
  <c r="AA36" i="2"/>
  <c r="AA43" i="2"/>
  <c r="AC34" i="2"/>
  <c r="AC39" i="2"/>
  <c r="Y28" i="2" l="1"/>
  <c r="Y30" i="2" s="1"/>
  <c r="AA41" i="2"/>
  <c r="AE12" i="2"/>
  <c r="Z26" i="2"/>
  <c r="Z46" i="2" s="1"/>
  <c r="Z45" i="2"/>
  <c r="X28" i="2"/>
  <c r="X48" i="2" s="1"/>
  <c r="AE38" i="2"/>
  <c r="AD12" i="2"/>
  <c r="AD38" i="2"/>
  <c r="AE33" i="2"/>
  <c r="AA26" i="2"/>
  <c r="AA46" i="2" s="1"/>
  <c r="AA27" i="2"/>
  <c r="AA47" i="2" s="1"/>
  <c r="AA45" i="2"/>
  <c r="AB15" i="2"/>
  <c r="AB17" i="2" s="1"/>
  <c r="AB13" i="2"/>
  <c r="AB41" i="2" s="1"/>
  <c r="AC44" i="2"/>
  <c r="AC7" i="2"/>
  <c r="AC40" i="2"/>
  <c r="AC35" i="2"/>
  <c r="AB36" i="2"/>
  <c r="AD34" i="2"/>
  <c r="AD39" i="2"/>
  <c r="Y48" i="2" l="1"/>
  <c r="Z28" i="2"/>
  <c r="X30" i="2"/>
  <c r="AB18" i="2"/>
  <c r="AA28" i="2"/>
  <c r="AC15" i="2"/>
  <c r="AC17" i="2" s="1"/>
  <c r="AC13" i="2"/>
  <c r="AC41" i="2" s="1"/>
  <c r="AB43" i="2"/>
  <c r="AD44" i="2"/>
  <c r="AE44" i="2"/>
  <c r="AD7" i="2"/>
  <c r="AD15" i="2" s="1"/>
  <c r="AD17" i="2" s="1"/>
  <c r="AD35" i="2"/>
  <c r="AD40" i="2"/>
  <c r="AC36" i="2"/>
  <c r="AE39" i="2"/>
  <c r="AE34" i="2"/>
  <c r="Z30" i="2" l="1"/>
  <c r="Z48" i="2"/>
  <c r="AC43" i="2"/>
  <c r="AD13" i="2"/>
  <c r="AD41" i="2" s="1"/>
  <c r="AC18" i="2"/>
  <c r="AA30" i="2"/>
  <c r="AA48" i="2"/>
  <c r="AB25" i="2"/>
  <c r="AB45" i="2"/>
  <c r="AE7" i="2"/>
  <c r="AE40" i="2"/>
  <c r="AE35" i="2"/>
  <c r="AD36" i="2"/>
  <c r="AD43" i="2"/>
  <c r="AD18" i="2" l="1"/>
  <c r="AD25" i="2" s="1"/>
  <c r="AD26" i="2" s="1"/>
  <c r="AD46" i="2" s="1"/>
  <c r="AE13" i="2"/>
  <c r="AE41" i="2" s="1"/>
  <c r="AE15" i="2"/>
  <c r="AE17" i="2" s="1"/>
  <c r="AB26" i="2"/>
  <c r="AB46" i="2" s="1"/>
  <c r="AB27" i="2"/>
  <c r="AB47" i="2" s="1"/>
  <c r="AC25" i="2"/>
  <c r="AC45" i="2"/>
  <c r="AE36" i="2"/>
  <c r="AE43" i="2" l="1"/>
  <c r="AD45" i="2"/>
  <c r="AD27" i="2"/>
  <c r="AD47" i="2" s="1"/>
  <c r="AB28" i="2"/>
  <c r="AB48" i="2" s="1"/>
  <c r="AC26" i="2"/>
  <c r="AC46" i="2" s="1"/>
  <c r="AC27" i="2"/>
  <c r="AC47" i="2" s="1"/>
  <c r="AE18" i="2"/>
  <c r="AB30" i="2" l="1"/>
  <c r="AD28" i="2"/>
  <c r="AC28" i="2"/>
  <c r="AC30" i="2" s="1"/>
  <c r="AE25" i="2"/>
  <c r="AE45" i="2"/>
  <c r="AD30" i="2" l="1"/>
  <c r="AD48" i="2"/>
  <c r="AC48" i="2"/>
  <c r="AE26" i="2"/>
  <c r="AE46" i="2" s="1"/>
  <c r="AE27" i="2"/>
  <c r="AE47" i="2" s="1"/>
  <c r="AE28" i="2" l="1"/>
  <c r="AE30" i="2" s="1"/>
  <c r="AE48" i="2" l="1"/>
</calcChain>
</file>

<file path=xl/sharedStrings.xml><?xml version="1.0" encoding="utf-8"?>
<sst xmlns="http://schemas.openxmlformats.org/spreadsheetml/2006/main" count="79" uniqueCount="76">
  <si>
    <t>BE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</si>
  <si>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</si>
  <si>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</si>
  <si>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</si>
  <si>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</si>
  <si>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</si>
  <si>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</si>
  <si>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</si>
  <si>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</si>
  <si>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</si>
  <si>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</si>
  <si>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Product revenue</t>
  </si>
  <si>
    <t>Installation revenue</t>
  </si>
  <si>
    <t>Service revenue</t>
  </si>
  <si>
    <t>Electricity revenue</t>
  </si>
  <si>
    <t>Total revenue</t>
  </si>
  <si>
    <t>Product cost</t>
  </si>
  <si>
    <t>Installation cost</t>
  </si>
  <si>
    <t>Service cost</t>
  </si>
  <si>
    <t>Electricity cost</t>
  </si>
  <si>
    <t>Total cost of sales</t>
  </si>
  <si>
    <t>Gross profit</t>
  </si>
  <si>
    <t>R&amp;D</t>
  </si>
  <si>
    <t>S&amp;M</t>
  </si>
  <si>
    <t>G&amp;A</t>
  </si>
  <si>
    <t>Total operating expenses</t>
  </si>
  <si>
    <t>Operating profit</t>
  </si>
  <si>
    <t>Interest income</t>
  </si>
  <si>
    <t>Interest expense</t>
  </si>
  <si>
    <t>Other income</t>
  </si>
  <si>
    <t>Loss on debt</t>
  </si>
  <si>
    <t>Loss on derivatives</t>
  </si>
  <si>
    <t>Total other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</si>
  <si>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</si>
  <si>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</si>
  <si>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</si>
  <si>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</si>
  <si>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</si>
  <si>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</si>
  <si>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</si>
  <si>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</si>
  <si>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</si>
  <si>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</si>
  <si>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</si>
  <si>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</si>
  <si>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</si>
  <si>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</si>
  <si>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</si>
  <si>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</si>
  <si>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</si>
  <si>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</si>
  <si>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Product revenue y/y</t>
  </si>
  <si>
    <t>Installation revenue y/y</t>
  </si>
  <si>
    <t>Service revenue y/y</t>
  </si>
  <si>
    <t>Electricity revenue y/y</t>
  </si>
  <si>
    <t>Revenue y/y</t>
  </si>
  <si>
    <t>Product Margin</t>
  </si>
  <si>
    <t>Installation Margin</t>
  </si>
  <si>
    <t>Service Margin</t>
  </si>
  <si>
    <t>Electricity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</si>
  <si>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</si>
  <si>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</si>
  <si>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</si>
  <si>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</si>
  <si>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</si>
  <si>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</si>
  <si>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</si>
  <si>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</si>
  <si>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</si>
  <si>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</si>
  <si>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</si>
  <si>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</si>
  <si>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</si>
  <si>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</si>
  <si>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</si>
  <si>
    <t>no idea what revenue is going to drive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</si>
</sst>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0</xdr:row>
      <xdr:rowOff>7620</xdr:rowOff>
    </xdr:from>
    <xdr:to>
      <xdr:col>13</xdr:col>
      <xdr:colOff>22860</xdr:colOff>
      <xdr:row>49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AAB2302-F20A-5E85-2E42-BA8B782E5475}"/>
            </a:ext>
          </a:extLst>
        </xdr:cNvPr>
        <xdr:cNvCxnSpPr/>
      </xdr:nvCxnSpPr>
      <xdr:spPr>
        <a:xfrm>
          <a:off x="8823960" y="7620"/>
          <a:ext cx="0" cy="9060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0</xdr:row>
      <xdr:rowOff>7620</xdr:rowOff>
    </xdr:from>
    <xdr:to>
      <xdr:col>19</xdr:col>
      <xdr:colOff>38100</xdr:colOff>
      <xdr:row>52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D93DBCF-C006-66E9-14F5-08909AC1C4D1}"/>
            </a:ext>
          </a:extLst>
        </xdr:cNvPr>
        <xdr:cNvCxnSpPr/>
      </xdr:nvCxnSpPr>
      <xdr:spPr>
        <a:xfrm>
          <a:off x="12496800" y="7620"/>
          <a:ext cx="0" cy="9608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D755-C870-42BE-AFB2-4FBBF00C2F3E}">
  <dimension ref="B2:I9"/>
  <sheetViews>
    <sheetView tabSelected="1" workbookViewId="0">
      <selection activeCell="I8" sqref="I8"/>
    </sheetView>
  </sheetViews>
  <sheetFormatPr defaultRowHeight="14.4" x14ac:dyDescent="0.3"/>
  <cols>
    <col min="5" max="7" width="14.109375" style="2" customWidth="1"/>
  </cols>
  <sheetData>
    <row r="2" spans="2:9" x14ac:dyDescent="0.3">
      <c r="E2" s="2" t="s">
        <v>8</v>
      </c>
      <c r="F2" s="2" t="s">
        <v>9</v>
      </c>
      <c r="G2" s="2" t="s">
        <v>10</v>
      </c>
    </row>
    <row r="3" spans="2:9" x14ac:dyDescent="0.3">
      <c r="B3" s="1" t="s">
        <v>0</v>
      </c>
      <c r="C3" t="s">
        <v>1</v>
      </c>
      <c r="D3" s="7">
        <v>24.61</v>
      </c>
      <c r="E3" s="3">
        <v>45617</v>
      </c>
      <c r="F3" s="3">
        <f ca="1">TODAY()</f>
        <v>45617</v>
      </c>
      <c r="G3" s="3">
        <v>45694</v>
      </c>
    </row>
    <row r="4" spans="2:9" x14ac:dyDescent="0.3">
      <c r="C4" t="s">
        <v>2</v>
      </c>
      <c r="D4" s="4">
        <v>228.6</v>
      </c>
    </row>
    <row r="5" spans="2:9" x14ac:dyDescent="0.3">
      <c r="C5" t="s">
        <v>3</v>
      </c>
      <c r="D5" s="4">
        <f>D3*D4</f>
        <v>5625.8459999999995</v>
      </c>
    </row>
    <row r="6" spans="2:9" x14ac:dyDescent="0.3">
      <c r="C6" t="s">
        <v>4</v>
      </c>
      <c r="D6" s="4">
        <f>495.7+22.5+30.9</f>
        <v>549.1</v>
      </c>
    </row>
    <row r="7" spans="2:9" x14ac:dyDescent="0.3">
      <c r="C7" t="s">
        <v>5</v>
      </c>
      <c r="D7" s="4">
        <f>20.9+114.1+390.5+1008.7+4.6</f>
        <v>1538.8</v>
      </c>
      <c r="I7" t="s">
        <v>75</v>
      </c>
    </row>
    <row r="8" spans="2:9" x14ac:dyDescent="0.3">
      <c r="C8" t="s">
        <v>6</v>
      </c>
      <c r="D8" s="4">
        <f>D6-D7</f>
        <v>-989.69999999999993</v>
      </c>
    </row>
    <row r="9" spans="2:9" x14ac:dyDescent="0.3">
      <c r="C9" t="s">
        <v>7</v>
      </c>
      <c r="D9" s="4">
        <f>D5-D8</f>
        <v>6615.5459999999994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87E8-B0FD-46B4-8D96-88D1F839B6F5}">
  <dimension ref="B2:EK48"/>
  <sheetViews>
    <sheetView zoomScaleNormal="1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defaultRowHeight="14.4" x14ac:dyDescent="0.3"/>
  <cols>
    <col min="2" max="2" width="21.6640625" bestFit="1" customWidth="1"/>
    <col min="34" max="34" width="13.44140625" customWidth="1"/>
    <col min="35" max="35" width="16.44140625" bestFit="1" customWidth="1"/>
  </cols>
  <sheetData>
    <row r="2" spans="2:31" x14ac:dyDescent="0.3"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v>2026</v>
      </c>
      <c r="W2">
        <v>2027</v>
      </c>
      <c r="X2">
        <v>2028</v>
      </c>
      <c r="Y2">
        <v>2029</v>
      </c>
      <c r="Z2">
        <v>2030</v>
      </c>
      <c r="AA2">
        <v>2031</v>
      </c>
      <c r="AB2">
        <v>2032</v>
      </c>
      <c r="AC2">
        <v>2033</v>
      </c>
      <c r="AD2">
        <v>2034</v>
      </c>
      <c r="AE2">
        <v>2035</v>
      </c>
    </row>
    <row r="3" spans="2:31" x14ac:dyDescent="0.3">
      <c r="B3" t="s">
        <v>11</v>
      </c>
      <c r="F3" s="4">
        <v>360.2</v>
      </c>
      <c r="G3" s="4">
        <v>193.7</v>
      </c>
      <c r="H3" s="4">
        <v>214.7</v>
      </c>
      <c r="I3" s="4">
        <v>305</v>
      </c>
      <c r="J3" s="4">
        <v>261.8</v>
      </c>
      <c r="K3" s="4">
        <v>153.4</v>
      </c>
      <c r="L3" s="4">
        <v>226.3</v>
      </c>
      <c r="M3" s="4">
        <v>233.8</v>
      </c>
      <c r="N3" s="4">
        <f>J3*0.95</f>
        <v>248.71</v>
      </c>
      <c r="P3" s="4">
        <v>518.6</v>
      </c>
      <c r="Q3" s="4">
        <v>663.5</v>
      </c>
      <c r="R3" s="4">
        <v>880.7</v>
      </c>
      <c r="S3" s="4">
        <f>SUM(G3:J3)</f>
        <v>975.2</v>
      </c>
      <c r="T3" s="4">
        <f>SUM(K3:N3)</f>
        <v>862.21</v>
      </c>
      <c r="U3" s="4">
        <f>T3*1.02</f>
        <v>879.45420000000001</v>
      </c>
      <c r="V3" s="4">
        <f>U3*1.05</f>
        <v>923.42691000000002</v>
      </c>
      <c r="W3" s="4">
        <f>V3*1.1</f>
        <v>1015.7696010000001</v>
      </c>
      <c r="X3" s="4">
        <f>W3*1.1</f>
        <v>1117.3465611000001</v>
      </c>
      <c r="Y3" s="4">
        <f>X3*1.1</f>
        <v>1229.0812172100002</v>
      </c>
      <c r="Z3" s="4">
        <f>Y3*1.08</f>
        <v>1327.4077145868002</v>
      </c>
      <c r="AA3" s="4">
        <f>Z3*1.05</f>
        <v>1393.7781003161404</v>
      </c>
      <c r="AB3" s="4">
        <f>AA3*1.04</f>
        <v>1449.5292243287861</v>
      </c>
      <c r="AC3" s="4">
        <f t="shared" ref="Y3:AE3" si="0">AB3*1.03</f>
        <v>1493.0151010586496</v>
      </c>
      <c r="AD3" s="4">
        <f t="shared" si="0"/>
        <v>1537.8055540904093</v>
      </c>
      <c r="AE3" s="4">
        <f t="shared" si="0"/>
        <v>1583.9397207131217</v>
      </c>
    </row>
    <row r="4" spans="2:31" x14ac:dyDescent="0.3">
      <c r="B4" t="s">
        <v>12</v>
      </c>
      <c r="F4" s="4">
        <v>43.2</v>
      </c>
      <c r="G4" s="4">
        <v>20.5</v>
      </c>
      <c r="H4" s="4">
        <v>24.2</v>
      </c>
      <c r="I4" s="4">
        <v>21.9</v>
      </c>
      <c r="J4" s="4">
        <v>26</v>
      </c>
      <c r="K4" s="4">
        <v>11.4</v>
      </c>
      <c r="L4" s="4">
        <v>42.7</v>
      </c>
      <c r="M4" s="4">
        <v>32.1</v>
      </c>
      <c r="N4" s="4">
        <f>J4*1.5</f>
        <v>39</v>
      </c>
      <c r="P4" s="4">
        <v>101.9</v>
      </c>
      <c r="Q4" s="4">
        <v>96.1</v>
      </c>
      <c r="R4" s="4">
        <v>92.1</v>
      </c>
      <c r="S4" s="4">
        <f>SUM(G4:J4)</f>
        <v>92.6</v>
      </c>
      <c r="T4" s="4">
        <f>SUM(K4:N4)</f>
        <v>125.2</v>
      </c>
      <c r="U4" s="4">
        <v>170</v>
      </c>
      <c r="V4" s="4">
        <f>U4*1.25</f>
        <v>212.5</v>
      </c>
      <c r="W4" s="4">
        <f>V4*1.2</f>
        <v>255</v>
      </c>
      <c r="X4" s="4">
        <f>W4*1.15</f>
        <v>293.25</v>
      </c>
      <c r="Y4" s="4">
        <f>X4*1.08</f>
        <v>316.71000000000004</v>
      </c>
      <c r="Z4" s="4">
        <f>Y4*1.04</f>
        <v>329.37840000000006</v>
      </c>
      <c r="AA4" s="4">
        <f>Z4*1.03</f>
        <v>339.25975200000005</v>
      </c>
      <c r="AB4" s="4">
        <f t="shared" ref="AA4:AE4" si="1">AA4*1.02</f>
        <v>346.04494704000007</v>
      </c>
      <c r="AC4" s="4">
        <f t="shared" si="1"/>
        <v>352.96584598080005</v>
      </c>
      <c r="AD4" s="4">
        <f t="shared" si="1"/>
        <v>360.02516290041603</v>
      </c>
      <c r="AE4" s="4">
        <f t="shared" si="1"/>
        <v>367.22566615842436</v>
      </c>
    </row>
    <row r="5" spans="2:31" x14ac:dyDescent="0.3">
      <c r="B5" t="s">
        <v>13</v>
      </c>
      <c r="F5" s="4">
        <v>39.9</v>
      </c>
      <c r="G5" s="4">
        <v>40.700000000000003</v>
      </c>
      <c r="H5" s="4">
        <v>42.3</v>
      </c>
      <c r="I5" s="4">
        <v>47.5</v>
      </c>
      <c r="J5" s="4">
        <v>52.6</v>
      </c>
      <c r="K5" s="4">
        <v>56.4</v>
      </c>
      <c r="L5" s="4">
        <v>52.5</v>
      </c>
      <c r="M5" s="4">
        <v>50.8</v>
      </c>
      <c r="N5" s="4">
        <f>J5*1.07</f>
        <v>56.282000000000004</v>
      </c>
      <c r="P5" s="4">
        <v>109.6</v>
      </c>
      <c r="Q5" s="4">
        <v>144.19999999999999</v>
      </c>
      <c r="R5" s="4">
        <v>151</v>
      </c>
      <c r="S5" s="4">
        <f>SUM(G5:J5)</f>
        <v>183.1</v>
      </c>
      <c r="T5" s="4">
        <f>SUM(K5:N5)</f>
        <v>215.982</v>
      </c>
      <c r="U5" s="4">
        <f>T5*1.14</f>
        <v>246.21947999999998</v>
      </c>
      <c r="V5" s="4">
        <f>U5*1.1</f>
        <v>270.84142800000001</v>
      </c>
      <c r="W5" s="4">
        <f>V5*1.07</f>
        <v>289.80032796</v>
      </c>
      <c r="X5" s="4">
        <f>W5*1.04</f>
        <v>301.39234107840002</v>
      </c>
      <c r="Y5" s="4">
        <f>X5*1.03</f>
        <v>310.43411131075203</v>
      </c>
      <c r="Z5" s="4">
        <f>Y5*1.02</f>
        <v>316.64279353696708</v>
      </c>
      <c r="AA5" s="4">
        <f t="shared" ref="AA5:AE5" si="2">Z5*1.02</f>
        <v>322.97564940770644</v>
      </c>
      <c r="AB5" s="4">
        <f t="shared" si="2"/>
        <v>329.43516239586057</v>
      </c>
      <c r="AC5" s="4">
        <f t="shared" si="2"/>
        <v>336.02386564377781</v>
      </c>
      <c r="AD5" s="4">
        <f t="shared" si="2"/>
        <v>342.74434295665338</v>
      </c>
      <c r="AE5" s="4">
        <f t="shared" si="2"/>
        <v>349.59922981578643</v>
      </c>
    </row>
    <row r="6" spans="2:31" x14ac:dyDescent="0.3">
      <c r="B6" t="s">
        <v>14</v>
      </c>
      <c r="F6" s="4">
        <v>19.2</v>
      </c>
      <c r="G6" s="4">
        <v>20.3</v>
      </c>
      <c r="H6" s="4">
        <v>19.8</v>
      </c>
      <c r="I6" s="4">
        <v>25.8</v>
      </c>
      <c r="J6" s="4">
        <v>16.5</v>
      </c>
      <c r="K6" s="4">
        <v>14</v>
      </c>
      <c r="L6" s="4">
        <v>14.2</v>
      </c>
      <c r="M6" s="4">
        <v>13.8</v>
      </c>
      <c r="N6" s="4">
        <f>J6*0.85</f>
        <v>14.025</v>
      </c>
      <c r="P6" s="4">
        <v>64.099999999999994</v>
      </c>
      <c r="Q6" s="4">
        <v>68.400000000000006</v>
      </c>
      <c r="R6" s="4">
        <v>75.400000000000006</v>
      </c>
      <c r="S6" s="4">
        <f>SUM(G6:J6)</f>
        <v>82.4</v>
      </c>
      <c r="T6" s="4">
        <f>SUM(K6:N6)</f>
        <v>56.024999999999999</v>
      </c>
      <c r="U6" s="4">
        <f>T6*1.2</f>
        <v>67.22999999999999</v>
      </c>
      <c r="V6" s="4">
        <f t="shared" ref="V6:AE6" si="3">U6*1.2</f>
        <v>80.675999999999988</v>
      </c>
      <c r="W6" s="4">
        <f>V6*1.05</f>
        <v>84.709799999999987</v>
      </c>
      <c r="X6" s="4">
        <f t="shared" ref="X6:AE6" si="4">W6*1.05</f>
        <v>88.945289999999986</v>
      </c>
      <c r="Y6" s="4">
        <f t="shared" si="4"/>
        <v>93.392554499999989</v>
      </c>
      <c r="Z6" s="4">
        <f t="shared" si="4"/>
        <v>98.062182224999987</v>
      </c>
      <c r="AA6" s="4">
        <f t="shared" si="4"/>
        <v>102.96529133624999</v>
      </c>
      <c r="AB6" s="4">
        <f t="shared" si="4"/>
        <v>108.11355590306249</v>
      </c>
      <c r="AC6" s="4">
        <f t="shared" si="4"/>
        <v>113.51923369821561</v>
      </c>
      <c r="AD6" s="4">
        <f t="shared" si="4"/>
        <v>119.1951953831264</v>
      </c>
      <c r="AE6" s="4">
        <f t="shared" si="4"/>
        <v>125.15495515228272</v>
      </c>
    </row>
    <row r="7" spans="2:31" s="1" customFormat="1" x14ac:dyDescent="0.3">
      <c r="B7" s="1" t="s">
        <v>15</v>
      </c>
      <c r="F7" s="8">
        <f>SUM(F3:F6)</f>
        <v>462.49999999999994</v>
      </c>
      <c r="G7" s="8">
        <f>SUM(G3:G6)</f>
        <v>275.2</v>
      </c>
      <c r="H7" s="8">
        <f>SUM(H3:H6)</f>
        <v>301</v>
      </c>
      <c r="I7" s="8">
        <f>SUM(I3:I6)</f>
        <v>400.2</v>
      </c>
      <c r="J7" s="8">
        <f>SUM(J3:J6)</f>
        <v>356.90000000000003</v>
      </c>
      <c r="K7" s="8">
        <f>SUM(K3:K6)</f>
        <v>235.20000000000002</v>
      </c>
      <c r="L7" s="8">
        <f>SUM(L3:L6)</f>
        <v>335.7</v>
      </c>
      <c r="M7" s="8">
        <f>SUM(M3:M6)</f>
        <v>330.50000000000006</v>
      </c>
      <c r="N7" s="8">
        <f>SUM(N3:N6)</f>
        <v>358.017</v>
      </c>
      <c r="P7" s="8">
        <f>SUM(P3:P6)</f>
        <v>794.2</v>
      </c>
      <c r="Q7" s="8">
        <f>SUM(Q3:Q6)</f>
        <v>972.19999999999993</v>
      </c>
      <c r="R7" s="8">
        <f>SUM(R3:R6)</f>
        <v>1199.2000000000003</v>
      </c>
      <c r="S7" s="8">
        <f>SUM(S3:S6)</f>
        <v>1333.3</v>
      </c>
      <c r="T7" s="8">
        <f>SUM(T3:T6)</f>
        <v>1259.4170000000001</v>
      </c>
      <c r="U7" s="8">
        <f t="shared" ref="U7:AE7" si="5">SUM(U3:U6)</f>
        <v>1362.9036800000001</v>
      </c>
      <c r="V7" s="8">
        <f t="shared" si="5"/>
        <v>1487.444338</v>
      </c>
      <c r="W7" s="8">
        <f t="shared" si="5"/>
        <v>1645.2797289600001</v>
      </c>
      <c r="X7" s="8">
        <f t="shared" si="5"/>
        <v>1800.9341921784001</v>
      </c>
      <c r="Y7" s="8">
        <f t="shared" si="5"/>
        <v>1949.6178830207523</v>
      </c>
      <c r="Z7" s="8">
        <f t="shared" si="5"/>
        <v>2071.4910903487671</v>
      </c>
      <c r="AA7" s="8">
        <f t="shared" si="5"/>
        <v>2158.9787930600969</v>
      </c>
      <c r="AB7" s="8">
        <f t="shared" si="5"/>
        <v>2233.1228896677094</v>
      </c>
      <c r="AC7" s="8">
        <f t="shared" si="5"/>
        <v>2295.524046381443</v>
      </c>
      <c r="AD7" s="8">
        <f t="shared" si="5"/>
        <v>2359.7702553306049</v>
      </c>
      <c r="AE7" s="8">
        <f t="shared" si="5"/>
        <v>2425.9195718396154</v>
      </c>
    </row>
    <row r="8" spans="2:31" x14ac:dyDescent="0.3">
      <c r="B8" t="s">
        <v>16</v>
      </c>
      <c r="F8" s="4">
        <v>222.8</v>
      </c>
      <c r="G8" s="4">
        <v>129.6</v>
      </c>
      <c r="H8" s="4">
        <v>145.19999999999999</v>
      </c>
      <c r="I8" s="4">
        <v>182.8</v>
      </c>
      <c r="J8" s="4">
        <v>172.5</v>
      </c>
      <c r="K8" s="4">
        <v>115.8</v>
      </c>
      <c r="L8" s="4">
        <v>161.30000000000001</v>
      </c>
      <c r="M8" s="4">
        <v>155.1</v>
      </c>
      <c r="N8" s="4">
        <f>N3*0.61</f>
        <v>151.7131</v>
      </c>
      <c r="P8" s="4">
        <v>332.7</v>
      </c>
      <c r="Q8" s="4">
        <v>471.7</v>
      </c>
      <c r="R8" s="4">
        <v>616.20000000000005</v>
      </c>
      <c r="S8" s="4">
        <f>SUM(G8:J8)</f>
        <v>630.09999999999991</v>
      </c>
      <c r="T8" s="4">
        <f>SUM(K8:N8)</f>
        <v>583.91309999999999</v>
      </c>
      <c r="U8" s="4">
        <f>U3*0.67</f>
        <v>589.23431400000004</v>
      </c>
      <c r="V8" s="4">
        <f t="shared" ref="V8:AE8" si="6">V3*0.67</f>
        <v>618.69602970000005</v>
      </c>
      <c r="W8" s="4">
        <f t="shared" si="6"/>
        <v>680.56563267000013</v>
      </c>
      <c r="X8" s="4">
        <f t="shared" si="6"/>
        <v>748.62219593700013</v>
      </c>
      <c r="Y8" s="4">
        <f t="shared" si="6"/>
        <v>823.48441553070018</v>
      </c>
      <c r="Z8" s="4">
        <f t="shared" si="6"/>
        <v>889.36316877315619</v>
      </c>
      <c r="AA8" s="4">
        <f t="shared" si="6"/>
        <v>933.83132721181414</v>
      </c>
      <c r="AB8" s="4">
        <f t="shared" si="6"/>
        <v>971.18458030028671</v>
      </c>
      <c r="AC8" s="4">
        <f t="shared" si="6"/>
        <v>1000.3201177092953</v>
      </c>
      <c r="AD8" s="4">
        <f t="shared" si="6"/>
        <v>1030.3297212405744</v>
      </c>
      <c r="AE8" s="4">
        <f t="shared" si="6"/>
        <v>1061.2396128777916</v>
      </c>
    </row>
    <row r="9" spans="2:31" x14ac:dyDescent="0.3">
      <c r="B9" t="s">
        <v>17</v>
      </c>
      <c r="F9" s="4">
        <v>46.3</v>
      </c>
      <c r="G9" s="4">
        <v>25.1</v>
      </c>
      <c r="H9" s="4">
        <v>26.9</v>
      </c>
      <c r="I9" s="4">
        <v>25.9</v>
      </c>
      <c r="J9" s="4">
        <v>27.9</v>
      </c>
      <c r="K9" s="4">
        <v>15.4</v>
      </c>
      <c r="L9" s="4">
        <v>44.3</v>
      </c>
      <c r="M9" s="4">
        <v>35.700000000000003</v>
      </c>
      <c r="N9" s="4">
        <f>N4*0.9</f>
        <v>35.1</v>
      </c>
      <c r="P9" s="4">
        <v>116.5</v>
      </c>
      <c r="Q9" s="4">
        <v>110.2</v>
      </c>
      <c r="R9" s="4">
        <v>104.1</v>
      </c>
      <c r="S9" s="4">
        <f>SUM(G9:J9)</f>
        <v>105.80000000000001</v>
      </c>
      <c r="T9" s="4">
        <f>SUM(K9:N9)</f>
        <v>130.5</v>
      </c>
      <c r="U9" s="4">
        <f>U4*0.98</f>
        <v>166.6</v>
      </c>
      <c r="V9" s="4">
        <f>V4*0.96</f>
        <v>204</v>
      </c>
      <c r="W9" s="4">
        <f>W4*0.95</f>
        <v>242.25</v>
      </c>
      <c r="X9" s="4">
        <f t="shared" ref="X9:AE9" si="7">X4*0.95</f>
        <v>278.58749999999998</v>
      </c>
      <c r="Y9" s="4">
        <f t="shared" si="7"/>
        <v>300.87450000000001</v>
      </c>
      <c r="Z9" s="4">
        <f t="shared" si="7"/>
        <v>312.90948000000003</v>
      </c>
      <c r="AA9" s="4">
        <f t="shared" si="7"/>
        <v>322.29676440000003</v>
      </c>
      <c r="AB9" s="4">
        <f t="shared" si="7"/>
        <v>328.74269968800007</v>
      </c>
      <c r="AC9" s="4">
        <f t="shared" si="7"/>
        <v>335.31755368176005</v>
      </c>
      <c r="AD9" s="4">
        <f t="shared" si="7"/>
        <v>342.02390475539522</v>
      </c>
      <c r="AE9" s="4">
        <f t="shared" si="7"/>
        <v>348.86438285050315</v>
      </c>
    </row>
    <row r="10" spans="2:31" x14ac:dyDescent="0.3">
      <c r="B10" t="s">
        <v>18</v>
      </c>
      <c r="F10" s="4">
        <v>43.8</v>
      </c>
      <c r="G10" s="4">
        <v>51.2</v>
      </c>
      <c r="H10" s="4">
        <v>57.3</v>
      </c>
      <c r="I10" s="4">
        <v>57.4</v>
      </c>
      <c r="J10" s="4">
        <v>55.1</v>
      </c>
      <c r="K10" s="4">
        <v>56.5</v>
      </c>
      <c r="L10" s="4">
        <v>52.4</v>
      </c>
      <c r="M10" s="4">
        <v>51.4</v>
      </c>
      <c r="N10" s="4">
        <f>N5*1</f>
        <v>56.282000000000004</v>
      </c>
      <c r="P10" s="4">
        <v>132.30000000000001</v>
      </c>
      <c r="Q10" s="4">
        <v>148.30000000000001</v>
      </c>
      <c r="R10" s="4">
        <v>168.5</v>
      </c>
      <c r="S10" s="4">
        <f>SUM(G10:J10)</f>
        <v>221</v>
      </c>
      <c r="T10" s="4">
        <f>SUM(K10:N10)</f>
        <v>216.58200000000002</v>
      </c>
      <c r="U10" s="4">
        <f>U5*0.92</f>
        <v>226.52192159999998</v>
      </c>
      <c r="V10" s="4">
        <f>V5*0.87</f>
        <v>235.63204236000001</v>
      </c>
      <c r="W10" s="4">
        <f>W5*0.84</f>
        <v>243.43227548639999</v>
      </c>
      <c r="X10" s="4">
        <f>X5*0.83</f>
        <v>250.15564309507201</v>
      </c>
      <c r="Y10" s="4">
        <f t="shared" ref="Y10:AE10" si="8">Y5*0.83</f>
        <v>257.66031238792419</v>
      </c>
      <c r="Z10" s="4">
        <f t="shared" si="8"/>
        <v>262.81351863568267</v>
      </c>
      <c r="AA10" s="4">
        <f t="shared" si="8"/>
        <v>268.06978900839636</v>
      </c>
      <c r="AB10" s="4">
        <f t="shared" si="8"/>
        <v>273.43118478856428</v>
      </c>
      <c r="AC10" s="4">
        <f t="shared" si="8"/>
        <v>278.89980848433555</v>
      </c>
      <c r="AD10" s="4">
        <f t="shared" si="8"/>
        <v>284.47780465402229</v>
      </c>
      <c r="AE10" s="4">
        <f t="shared" si="8"/>
        <v>290.16736074710275</v>
      </c>
    </row>
    <row r="11" spans="2:31" x14ac:dyDescent="0.3">
      <c r="B11" t="s">
        <v>19</v>
      </c>
      <c r="F11" s="4">
        <v>78.2</v>
      </c>
      <c r="G11" s="4">
        <v>15</v>
      </c>
      <c r="H11" s="4">
        <v>15.5</v>
      </c>
      <c r="I11" s="4">
        <v>139.4</v>
      </c>
      <c r="J11" s="4">
        <v>9.1</v>
      </c>
      <c r="K11" s="4">
        <v>9.6</v>
      </c>
      <c r="L11" s="4">
        <v>9.1999999999999993</v>
      </c>
      <c r="M11" s="4">
        <v>9.5</v>
      </c>
      <c r="N11" s="4">
        <f>N6*0.62</f>
        <v>8.6955000000000009</v>
      </c>
      <c r="P11" s="4">
        <v>46.9</v>
      </c>
      <c r="Q11" s="4">
        <v>44.4</v>
      </c>
      <c r="R11" s="4">
        <v>162.1</v>
      </c>
      <c r="S11" s="4">
        <f>SUM(G11:J11)</f>
        <v>179</v>
      </c>
      <c r="T11" s="4">
        <f>SUM(K11:N11)</f>
        <v>36.9955</v>
      </c>
      <c r="U11" s="4">
        <f t="shared" ref="U9:AE11" si="9">U6*0.66</f>
        <v>44.371799999999993</v>
      </c>
      <c r="V11" s="4">
        <f t="shared" si="9"/>
        <v>53.246159999999996</v>
      </c>
      <c r="W11" s="4">
        <f t="shared" si="9"/>
        <v>55.908467999999992</v>
      </c>
      <c r="X11" s="4">
        <f t="shared" si="9"/>
        <v>58.703891399999996</v>
      </c>
      <c r="Y11" s="4">
        <f t="shared" si="9"/>
        <v>61.639085969999996</v>
      </c>
      <c r="Z11" s="4">
        <f t="shared" si="9"/>
        <v>64.721040268499991</v>
      </c>
      <c r="AA11" s="4">
        <f t="shared" si="9"/>
        <v>67.957092281925</v>
      </c>
      <c r="AB11" s="4">
        <f t="shared" si="9"/>
        <v>71.354946896021247</v>
      </c>
      <c r="AC11" s="4">
        <f t="shared" si="9"/>
        <v>74.92269424082231</v>
      </c>
      <c r="AD11" s="4">
        <f t="shared" si="9"/>
        <v>78.668828952863436</v>
      </c>
      <c r="AE11" s="4">
        <f t="shared" si="9"/>
        <v>82.602270400506598</v>
      </c>
    </row>
    <row r="12" spans="2:31" x14ac:dyDescent="0.3">
      <c r="B12" t="s">
        <v>20</v>
      </c>
      <c r="F12" s="4">
        <f>SUM(F8:F11)</f>
        <v>391.1</v>
      </c>
      <c r="G12" s="4">
        <f>SUM(G8:G11)</f>
        <v>220.89999999999998</v>
      </c>
      <c r="H12" s="4">
        <f>SUM(H8:H11)</f>
        <v>244.89999999999998</v>
      </c>
      <c r="I12" s="4">
        <f>SUM(I8:I11)</f>
        <v>405.5</v>
      </c>
      <c r="J12" s="4">
        <f>SUM(J8:J11)</f>
        <v>264.60000000000002</v>
      </c>
      <c r="K12" s="4">
        <f>SUM(K8:K11)</f>
        <v>197.29999999999998</v>
      </c>
      <c r="L12" s="4">
        <f>SUM(L8:L11)</f>
        <v>267.2</v>
      </c>
      <c r="M12" s="4">
        <f>SUM(M8:M11)</f>
        <v>251.70000000000002</v>
      </c>
      <c r="N12" s="4">
        <f>SUM(N8:N11)</f>
        <v>251.79060000000001</v>
      </c>
      <c r="P12" s="4">
        <f>SUM(P8:P11)</f>
        <v>628.4</v>
      </c>
      <c r="Q12" s="4">
        <f>SUM(Q8:Q11)</f>
        <v>774.6</v>
      </c>
      <c r="R12" s="4">
        <f>SUM(R8:R11)</f>
        <v>1050.9000000000001</v>
      </c>
      <c r="S12" s="4">
        <f>SUM(S8:S11)</f>
        <v>1135.8999999999999</v>
      </c>
      <c r="T12" s="4">
        <f>SUM(T8:T11)</f>
        <v>967.99059999999997</v>
      </c>
      <c r="U12" s="4">
        <f t="shared" ref="U12:AE12" si="10">SUM(U8:U11)</f>
        <v>1026.7280355999999</v>
      </c>
      <c r="V12" s="4">
        <f t="shared" si="10"/>
        <v>1111.57423206</v>
      </c>
      <c r="W12" s="4">
        <f t="shared" si="10"/>
        <v>1222.1563761564003</v>
      </c>
      <c r="X12" s="4">
        <f t="shared" si="10"/>
        <v>1336.0692304320721</v>
      </c>
      <c r="Y12" s="4">
        <f t="shared" si="10"/>
        <v>1443.6583138886244</v>
      </c>
      <c r="Z12" s="4">
        <f t="shared" si="10"/>
        <v>1529.8072076773387</v>
      </c>
      <c r="AA12" s="4">
        <f t="shared" si="10"/>
        <v>1592.1549729021356</v>
      </c>
      <c r="AB12" s="4">
        <f t="shared" si="10"/>
        <v>1644.7134116728721</v>
      </c>
      <c r="AC12" s="4">
        <f t="shared" si="10"/>
        <v>1689.4601741162132</v>
      </c>
      <c r="AD12" s="4">
        <f t="shared" si="10"/>
        <v>1735.5002596028553</v>
      </c>
      <c r="AE12" s="4">
        <f t="shared" si="10"/>
        <v>1782.8736268759039</v>
      </c>
    </row>
    <row r="13" spans="2:31" s="1" customFormat="1" x14ac:dyDescent="0.3">
      <c r="B13" s="1" t="s">
        <v>21</v>
      </c>
      <c r="F13" s="8">
        <f>F7-F12</f>
        <v>71.39999999999992</v>
      </c>
      <c r="G13" s="8">
        <f>G7-G12</f>
        <v>54.300000000000011</v>
      </c>
      <c r="H13" s="8">
        <f>H7-H12</f>
        <v>56.100000000000023</v>
      </c>
      <c r="I13" s="8">
        <f>I7-I12</f>
        <v>-5.3000000000000114</v>
      </c>
      <c r="J13" s="8">
        <f>J7-J12</f>
        <v>92.300000000000011</v>
      </c>
      <c r="K13" s="8">
        <f>K7-K12</f>
        <v>37.900000000000034</v>
      </c>
      <c r="L13" s="8">
        <f>L7-L12</f>
        <v>68.5</v>
      </c>
      <c r="M13" s="8">
        <f>M7-M12</f>
        <v>78.80000000000004</v>
      </c>
      <c r="N13" s="8">
        <f>N7-N12</f>
        <v>106.22639999999998</v>
      </c>
      <c r="P13" s="8">
        <f>P7-P12</f>
        <v>165.80000000000007</v>
      </c>
      <c r="Q13" s="8">
        <f>Q7-Q12</f>
        <v>197.59999999999991</v>
      </c>
      <c r="R13" s="8">
        <f>R7-R12</f>
        <v>148.30000000000018</v>
      </c>
      <c r="S13" s="8">
        <f>S7-S12</f>
        <v>197.40000000000009</v>
      </c>
      <c r="T13" s="8">
        <f>T7-T12</f>
        <v>291.42640000000017</v>
      </c>
      <c r="U13" s="8">
        <f t="shared" ref="U13:AE13" si="11">U7-U12</f>
        <v>336.17564440000024</v>
      </c>
      <c r="V13" s="8">
        <f t="shared" si="11"/>
        <v>375.87010594000003</v>
      </c>
      <c r="W13" s="8">
        <f t="shared" si="11"/>
        <v>423.1233528035998</v>
      </c>
      <c r="X13" s="8">
        <f t="shared" si="11"/>
        <v>464.86496174632794</v>
      </c>
      <c r="Y13" s="8">
        <f t="shared" si="11"/>
        <v>505.95956913212785</v>
      </c>
      <c r="Z13" s="8">
        <f t="shared" si="11"/>
        <v>541.68388267142836</v>
      </c>
      <c r="AA13" s="8">
        <f t="shared" si="11"/>
        <v>566.82382015796134</v>
      </c>
      <c r="AB13" s="8">
        <f t="shared" si="11"/>
        <v>588.40947799483729</v>
      </c>
      <c r="AC13" s="8">
        <f t="shared" si="11"/>
        <v>606.06387226522975</v>
      </c>
      <c r="AD13" s="8">
        <f t="shared" si="11"/>
        <v>624.26999572774957</v>
      </c>
      <c r="AE13" s="8">
        <f t="shared" si="11"/>
        <v>643.04594496371146</v>
      </c>
    </row>
    <row r="14" spans="2:31" x14ac:dyDescent="0.3">
      <c r="B14" t="s">
        <v>22</v>
      </c>
      <c r="F14" s="4">
        <v>38.299999999999997</v>
      </c>
      <c r="G14" s="4">
        <v>45.7</v>
      </c>
      <c r="H14" s="4">
        <v>41.5</v>
      </c>
      <c r="I14" s="4">
        <v>35.1</v>
      </c>
      <c r="J14" s="4">
        <v>33.6</v>
      </c>
      <c r="K14" s="4">
        <v>35.5</v>
      </c>
      <c r="L14" s="4">
        <v>37.4</v>
      </c>
      <c r="M14" s="4">
        <v>36.299999999999997</v>
      </c>
      <c r="N14" s="4">
        <f>J14*1.03</f>
        <v>34.608000000000004</v>
      </c>
      <c r="P14" s="4">
        <v>83.6</v>
      </c>
      <c r="Q14" s="4">
        <v>103.4</v>
      </c>
      <c r="R14" s="4">
        <v>150.6</v>
      </c>
      <c r="S14" s="4">
        <f>SUM(G14:J14)</f>
        <v>155.9</v>
      </c>
      <c r="T14" s="4">
        <f>SUM(K14:N14)</f>
        <v>143.80799999999999</v>
      </c>
      <c r="U14" s="4">
        <f>T14*1.05</f>
        <v>150.9984</v>
      </c>
      <c r="V14" s="4">
        <f>U14*1.04</f>
        <v>157.03833600000002</v>
      </c>
      <c r="W14" s="4">
        <f t="shared" ref="V14:AE16" si="12">V14*1.03</f>
        <v>161.74948608000003</v>
      </c>
      <c r="X14" s="4">
        <f t="shared" si="12"/>
        <v>166.60197066240002</v>
      </c>
      <c r="Y14" s="4">
        <f t="shared" si="12"/>
        <v>171.60002978227203</v>
      </c>
      <c r="Z14" s="4">
        <f t="shared" si="12"/>
        <v>176.74803067574021</v>
      </c>
      <c r="AA14" s="4">
        <f>Z14*1.02</f>
        <v>180.28299128925502</v>
      </c>
      <c r="AB14" s="4">
        <f t="shared" ref="AB14:AE14" si="13">AA14*1.02</f>
        <v>183.88865111504012</v>
      </c>
      <c r="AC14" s="4">
        <f t="shared" si="13"/>
        <v>187.56642413734093</v>
      </c>
      <c r="AD14" s="4">
        <f t="shared" si="13"/>
        <v>191.31775262008776</v>
      </c>
      <c r="AE14" s="4">
        <f t="shared" si="13"/>
        <v>195.14410767248953</v>
      </c>
    </row>
    <row r="15" spans="2:31" x14ac:dyDescent="0.3">
      <c r="B15" t="s">
        <v>23</v>
      </c>
      <c r="F15" s="4">
        <v>25.9</v>
      </c>
      <c r="G15" s="4">
        <v>27.1</v>
      </c>
      <c r="H15" s="4">
        <v>26.8</v>
      </c>
      <c r="I15" s="4">
        <v>20</v>
      </c>
      <c r="J15" s="4">
        <v>16</v>
      </c>
      <c r="K15" s="4">
        <v>13.6</v>
      </c>
      <c r="L15" s="4">
        <v>17.899999999999999</v>
      </c>
      <c r="M15" s="4">
        <v>14.7</v>
      </c>
      <c r="N15" s="4">
        <f>N7*0.05</f>
        <v>17.900850000000002</v>
      </c>
      <c r="P15" s="4">
        <v>55.9</v>
      </c>
      <c r="Q15" s="4">
        <v>86.5</v>
      </c>
      <c r="R15" s="4">
        <v>90.9</v>
      </c>
      <c r="S15" s="4">
        <f>SUM(G15:J15)</f>
        <v>89.9</v>
      </c>
      <c r="T15" s="4">
        <f>SUM(K15:N15)</f>
        <v>64.100850000000008</v>
      </c>
      <c r="U15" s="4">
        <f>U7*0.05</f>
        <v>68.145184000000015</v>
      </c>
      <c r="V15" s="4">
        <f>V7*0.06</f>
        <v>89.24666028</v>
      </c>
      <c r="W15" s="4">
        <f t="shared" ref="W15:AE15" si="14">W7*0.06</f>
        <v>98.716783737599997</v>
      </c>
      <c r="X15" s="4">
        <f t="shared" si="14"/>
        <v>108.056051530704</v>
      </c>
      <c r="Y15" s="4">
        <f t="shared" si="14"/>
        <v>116.97707298124513</v>
      </c>
      <c r="Z15" s="4">
        <f t="shared" si="14"/>
        <v>124.28946542092602</v>
      </c>
      <c r="AA15" s="4">
        <f t="shared" si="14"/>
        <v>129.53872758360581</v>
      </c>
      <c r="AB15" s="4">
        <f t="shared" si="14"/>
        <v>133.98737338006256</v>
      </c>
      <c r="AC15" s="4">
        <f t="shared" si="14"/>
        <v>137.73144278288657</v>
      </c>
      <c r="AD15" s="4">
        <f t="shared" si="14"/>
        <v>141.5862153198363</v>
      </c>
      <c r="AE15" s="4">
        <f t="shared" si="14"/>
        <v>145.55517431037691</v>
      </c>
    </row>
    <row r="16" spans="2:31" x14ac:dyDescent="0.3">
      <c r="B16" t="s">
        <v>24</v>
      </c>
      <c r="F16" s="4">
        <v>47.8</v>
      </c>
      <c r="G16" s="4">
        <v>45.1</v>
      </c>
      <c r="H16" s="4">
        <v>42.5</v>
      </c>
      <c r="I16" s="4">
        <v>43.4</v>
      </c>
      <c r="J16" s="4">
        <v>29.9</v>
      </c>
      <c r="K16" s="4">
        <v>38</v>
      </c>
      <c r="L16" s="4">
        <v>36.4</v>
      </c>
      <c r="M16" s="4">
        <v>37.4</v>
      </c>
      <c r="N16" s="4">
        <f>J16*1.02</f>
        <v>30.497999999999998</v>
      </c>
      <c r="P16" s="4">
        <v>107.1</v>
      </c>
      <c r="Q16" s="4">
        <v>122.2</v>
      </c>
      <c r="R16" s="4">
        <v>167.7</v>
      </c>
      <c r="S16" s="4">
        <f>SUM(G16:J16)</f>
        <v>160.9</v>
      </c>
      <c r="T16" s="4">
        <f>SUM(K16:N16)</f>
        <v>142.298</v>
      </c>
      <c r="U16" s="4">
        <f>T16*1.05</f>
        <v>149.41290000000001</v>
      </c>
      <c r="V16" s="4">
        <f>U16*1.04</f>
        <v>155.38941600000001</v>
      </c>
      <c r="W16" s="4">
        <f t="shared" si="12"/>
        <v>160.05109848000001</v>
      </c>
      <c r="X16" s="4">
        <f t="shared" si="12"/>
        <v>164.85263143440002</v>
      </c>
      <c r="Y16" s="4">
        <f t="shared" si="12"/>
        <v>169.79821037743204</v>
      </c>
      <c r="Z16" s="4">
        <f>Y16*1.02</f>
        <v>173.19417458498069</v>
      </c>
      <c r="AA16" s="4">
        <f t="shared" ref="AA16:AE16" si="15">Z16*1.02</f>
        <v>176.65805807668031</v>
      </c>
      <c r="AB16" s="4">
        <f t="shared" si="15"/>
        <v>180.1912192382139</v>
      </c>
      <c r="AC16" s="4">
        <f t="shared" si="15"/>
        <v>183.7950436229782</v>
      </c>
      <c r="AD16" s="4">
        <f t="shared" si="15"/>
        <v>187.47094449543778</v>
      </c>
      <c r="AE16" s="4">
        <f t="shared" si="15"/>
        <v>191.22036338534653</v>
      </c>
    </row>
    <row r="17" spans="2:141" x14ac:dyDescent="0.3">
      <c r="B17" t="s">
        <v>25</v>
      </c>
      <c r="F17" s="4">
        <f>SUM(F14:F16)</f>
        <v>111.99999999999999</v>
      </c>
      <c r="G17" s="4">
        <f>SUM(G14:G16)</f>
        <v>117.9</v>
      </c>
      <c r="H17" s="4">
        <f>SUM(H14:H16)</f>
        <v>110.8</v>
      </c>
      <c r="I17" s="4">
        <f>SUM(I14:I16)</f>
        <v>98.5</v>
      </c>
      <c r="J17" s="4">
        <f>SUM(J14:J16)</f>
        <v>79.5</v>
      </c>
      <c r="K17" s="4">
        <f>SUM(K14:K16)</f>
        <v>87.1</v>
      </c>
      <c r="L17" s="4">
        <f>SUM(L14:L16)</f>
        <v>91.699999999999989</v>
      </c>
      <c r="M17" s="4">
        <f>SUM(M14:M16)</f>
        <v>88.4</v>
      </c>
      <c r="N17" s="4">
        <f>SUM(N14:N16)</f>
        <v>83.006850000000014</v>
      </c>
      <c r="P17" s="4">
        <f>SUM(P14:P16)</f>
        <v>246.6</v>
      </c>
      <c r="Q17" s="4">
        <f>SUM(Q14:Q16)</f>
        <v>312.10000000000002</v>
      </c>
      <c r="R17" s="4">
        <f>SUM(R14:R16)</f>
        <v>409.2</v>
      </c>
      <c r="S17" s="4">
        <f>SUM(S14:S16)</f>
        <v>406.70000000000005</v>
      </c>
      <c r="T17" s="4">
        <f>SUM(T14:T16)</f>
        <v>350.20685000000003</v>
      </c>
      <c r="U17" s="4">
        <f t="shared" ref="U17:AE17" si="16">SUM(U14:U16)</f>
        <v>368.55648400000007</v>
      </c>
      <c r="V17" s="4">
        <f t="shared" si="16"/>
        <v>401.67441228000007</v>
      </c>
      <c r="W17" s="4">
        <f t="shared" si="16"/>
        <v>420.51736829760006</v>
      </c>
      <c r="X17" s="4">
        <f t="shared" si="16"/>
        <v>439.51065362750398</v>
      </c>
      <c r="Y17" s="4">
        <f t="shared" si="16"/>
        <v>458.37531314094917</v>
      </c>
      <c r="Z17" s="4">
        <f t="shared" si="16"/>
        <v>474.23167068164696</v>
      </c>
      <c r="AA17" s="4">
        <f t="shared" si="16"/>
        <v>486.47977694954113</v>
      </c>
      <c r="AB17" s="4">
        <f t="shared" si="16"/>
        <v>498.06724373331656</v>
      </c>
      <c r="AC17" s="4">
        <f t="shared" si="16"/>
        <v>509.09291054320573</v>
      </c>
      <c r="AD17" s="4">
        <f t="shared" si="16"/>
        <v>520.37491243536192</v>
      </c>
      <c r="AE17" s="4">
        <f t="shared" si="16"/>
        <v>531.91964536821297</v>
      </c>
    </row>
    <row r="18" spans="2:141" s="1" customFormat="1" x14ac:dyDescent="0.3">
      <c r="B18" s="1" t="s">
        <v>26</v>
      </c>
      <c r="F18" s="8">
        <f>F13-F17</f>
        <v>-40.600000000000065</v>
      </c>
      <c r="G18" s="8">
        <f>G13-G17</f>
        <v>-63.599999999999994</v>
      </c>
      <c r="H18" s="8">
        <f>H13-H17</f>
        <v>-54.699999999999974</v>
      </c>
      <c r="I18" s="8">
        <f>I13-I17</f>
        <v>-103.80000000000001</v>
      </c>
      <c r="J18" s="8">
        <f>J13-J17</f>
        <v>12.800000000000011</v>
      </c>
      <c r="K18" s="8">
        <f>K13-K17</f>
        <v>-49.19999999999996</v>
      </c>
      <c r="L18" s="8">
        <f>L13-L17</f>
        <v>-23.199999999999989</v>
      </c>
      <c r="M18" s="8">
        <f>M13-M17</f>
        <v>-9.5999999999999659</v>
      </c>
      <c r="N18" s="8">
        <f>N13-N17</f>
        <v>23.21954999999997</v>
      </c>
      <c r="P18" s="8">
        <f>P13-P17</f>
        <v>-80.799999999999926</v>
      </c>
      <c r="Q18" s="8">
        <f>Q13-Q17</f>
        <v>-114.50000000000011</v>
      </c>
      <c r="R18" s="8">
        <f>R13-R17</f>
        <v>-260.89999999999981</v>
      </c>
      <c r="S18" s="8">
        <f>S13-S17</f>
        <v>-209.29999999999995</v>
      </c>
      <c r="T18" s="8">
        <f>T13-T17</f>
        <v>-58.78044999999986</v>
      </c>
      <c r="U18" s="8">
        <f t="shared" ref="U18:AE18" si="17">U13-U17</f>
        <v>-32.380839599999831</v>
      </c>
      <c r="V18" s="8">
        <f t="shared" si="17"/>
        <v>-25.804306340000039</v>
      </c>
      <c r="W18" s="8">
        <f t="shared" si="17"/>
        <v>2.6059845059997429</v>
      </c>
      <c r="X18" s="8">
        <f t="shared" si="17"/>
        <v>25.354308118823951</v>
      </c>
      <c r="Y18" s="8">
        <f t="shared" si="17"/>
        <v>47.584255991178679</v>
      </c>
      <c r="Z18" s="8">
        <f t="shared" si="17"/>
        <v>67.452211989781404</v>
      </c>
      <c r="AA18" s="8">
        <f t="shared" si="17"/>
        <v>80.344043208420203</v>
      </c>
      <c r="AB18" s="8">
        <f t="shared" si="17"/>
        <v>90.34223426152073</v>
      </c>
      <c r="AC18" s="8">
        <f t="shared" si="17"/>
        <v>96.970961722024015</v>
      </c>
      <c r="AD18" s="8">
        <f t="shared" si="17"/>
        <v>103.89508329238765</v>
      </c>
      <c r="AE18" s="8">
        <f t="shared" si="17"/>
        <v>111.12629959549849</v>
      </c>
    </row>
    <row r="19" spans="2:141" x14ac:dyDescent="0.3">
      <c r="B19" t="s">
        <v>27</v>
      </c>
      <c r="F19" s="4">
        <v>-2.5</v>
      </c>
      <c r="G19" s="4">
        <v>-2</v>
      </c>
      <c r="H19" s="4">
        <v>-4.4000000000000004</v>
      </c>
      <c r="I19" s="4">
        <v>-7.4</v>
      </c>
      <c r="J19" s="4">
        <v>-6.1</v>
      </c>
      <c r="K19" s="4">
        <v>-7.5</v>
      </c>
      <c r="L19" s="4">
        <v>-6.4</v>
      </c>
      <c r="M19" s="4">
        <v>-6.5</v>
      </c>
      <c r="N19" s="4">
        <v>-8</v>
      </c>
      <c r="P19" s="4">
        <v>-1.5</v>
      </c>
      <c r="Q19" s="4">
        <v>-0.3</v>
      </c>
      <c r="R19" s="4">
        <v>-3.9</v>
      </c>
      <c r="S19" s="4">
        <f>SUM(G19:J19)</f>
        <v>-19.899999999999999</v>
      </c>
      <c r="T19" s="4">
        <f>SUM(K19:N19)</f>
        <v>-28.4</v>
      </c>
      <c r="U19" s="4">
        <f>T19*1.02</f>
        <v>-28.968</v>
      </c>
      <c r="V19" s="4">
        <f t="shared" ref="V19:AE19" si="18">U19*1.02</f>
        <v>-29.547360000000001</v>
      </c>
      <c r="W19" s="4">
        <f t="shared" si="18"/>
        <v>-30.138307200000003</v>
      </c>
      <c r="X19" s="4">
        <f t="shared" si="18"/>
        <v>-30.741073344000004</v>
      </c>
      <c r="Y19" s="4">
        <f t="shared" si="18"/>
        <v>-31.355894810880006</v>
      </c>
      <c r="Z19" s="4">
        <f t="shared" si="18"/>
        <v>-31.983012707097608</v>
      </c>
      <c r="AA19" s="4">
        <f t="shared" si="18"/>
        <v>-32.622672961239559</v>
      </c>
      <c r="AB19" s="4">
        <f t="shared" si="18"/>
        <v>-33.275126420464353</v>
      </c>
      <c r="AC19" s="4">
        <f t="shared" si="18"/>
        <v>-33.940628948873638</v>
      </c>
      <c r="AD19" s="4">
        <f t="shared" si="18"/>
        <v>-34.619441527851109</v>
      </c>
      <c r="AE19" s="4">
        <f t="shared" si="18"/>
        <v>-35.31183035840813</v>
      </c>
    </row>
    <row r="20" spans="2:141" x14ac:dyDescent="0.3">
      <c r="B20" t="s">
        <v>28</v>
      </c>
      <c r="F20" s="4">
        <v>12.5</v>
      </c>
      <c r="G20" s="4">
        <v>11.7</v>
      </c>
      <c r="H20" s="4">
        <v>14</v>
      </c>
      <c r="I20" s="4">
        <v>68</v>
      </c>
      <c r="J20" s="4">
        <v>14.6</v>
      </c>
      <c r="K20" s="4">
        <v>14.5</v>
      </c>
      <c r="L20" s="4">
        <v>15.4</v>
      </c>
      <c r="M20" s="4">
        <v>16.8</v>
      </c>
      <c r="N20" s="4">
        <v>17</v>
      </c>
      <c r="P20" s="4">
        <f>76.3+2.5</f>
        <v>78.8</v>
      </c>
      <c r="Q20" s="4">
        <v>69</v>
      </c>
      <c r="R20" s="4">
        <v>53.5</v>
      </c>
      <c r="S20" s="4">
        <f>SUM(G20:J20)</f>
        <v>108.3</v>
      </c>
      <c r="T20" s="4">
        <f>SUM(K20:N20)</f>
        <v>63.7</v>
      </c>
      <c r="U20" s="4">
        <f>T20*1.02</f>
        <v>64.974000000000004</v>
      </c>
      <c r="V20" s="4">
        <f t="shared" ref="V20:AE20" si="19">U20*1.02</f>
        <v>66.273480000000006</v>
      </c>
      <c r="W20" s="4">
        <f t="shared" si="19"/>
        <v>67.598949600000012</v>
      </c>
      <c r="X20" s="4">
        <f t="shared" si="19"/>
        <v>68.950928592000011</v>
      </c>
      <c r="Y20" s="4">
        <f t="shared" si="19"/>
        <v>70.329947163840018</v>
      </c>
      <c r="Z20" s="4">
        <f t="shared" si="19"/>
        <v>71.736546107116823</v>
      </c>
      <c r="AA20" s="4">
        <f t="shared" si="19"/>
        <v>73.171277029259159</v>
      </c>
      <c r="AB20" s="4">
        <f t="shared" si="19"/>
        <v>74.634702569844336</v>
      </c>
      <c r="AC20" s="4">
        <f t="shared" si="19"/>
        <v>76.127396621241218</v>
      </c>
      <c r="AD20" s="4">
        <f t="shared" si="19"/>
        <v>77.649944553666046</v>
      </c>
      <c r="AE20" s="4">
        <f t="shared" si="19"/>
        <v>79.202943444739361</v>
      </c>
    </row>
    <row r="21" spans="2:141" x14ac:dyDescent="0.3">
      <c r="B21" t="s">
        <v>29</v>
      </c>
      <c r="F21" s="4">
        <v>-4.7</v>
      </c>
      <c r="G21" s="4">
        <v>1.3</v>
      </c>
      <c r="H21" s="4">
        <v>0.7</v>
      </c>
      <c r="I21" s="4">
        <v>1.6</v>
      </c>
      <c r="J21" s="4">
        <v>-0.9</v>
      </c>
      <c r="K21" s="4">
        <v>1.2</v>
      </c>
      <c r="L21" s="4">
        <v>1</v>
      </c>
      <c r="M21" s="4">
        <v>-5.8</v>
      </c>
      <c r="N21" s="4">
        <v>0</v>
      </c>
      <c r="P21" s="4">
        <v>12.9</v>
      </c>
      <c r="Q21" s="4">
        <v>0</v>
      </c>
      <c r="R21" s="4">
        <v>0</v>
      </c>
      <c r="S21" s="4">
        <f>SUM(G21:J21)</f>
        <v>2.7</v>
      </c>
      <c r="T21" s="4">
        <f>SUM(K21:N21)</f>
        <v>-3.5999999999999996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2:141" x14ac:dyDescent="0.3">
      <c r="B22" t="s">
        <v>30</v>
      </c>
      <c r="F22" s="4">
        <v>4.7</v>
      </c>
      <c r="G22" s="4"/>
      <c r="H22" s="4">
        <v>2.9</v>
      </c>
      <c r="I22" s="4">
        <v>1.4</v>
      </c>
      <c r="J22" s="4">
        <v>0</v>
      </c>
      <c r="K22" s="4"/>
      <c r="L22" s="4">
        <v>27.2</v>
      </c>
      <c r="M22" s="4">
        <v>0</v>
      </c>
      <c r="N22" s="4">
        <v>0</v>
      </c>
      <c r="P22" s="4">
        <v>8.3000000000000007</v>
      </c>
      <c r="Q22" s="4">
        <v>0</v>
      </c>
      <c r="R22" s="4">
        <v>9</v>
      </c>
      <c r="S22" s="4">
        <f>SUM(G22:J22)</f>
        <v>4.3</v>
      </c>
      <c r="T22" s="4">
        <f>SUM(K22:N22)</f>
        <v>27.2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2:141" x14ac:dyDescent="0.3">
      <c r="B23" t="s">
        <v>31</v>
      </c>
      <c r="F23" s="4">
        <v>0.1</v>
      </c>
      <c r="G23" s="4">
        <v>-0.1</v>
      </c>
      <c r="H23" s="4">
        <v>1.2</v>
      </c>
      <c r="I23" s="4">
        <v>0.1</v>
      </c>
      <c r="J23" s="4">
        <v>0.4</v>
      </c>
      <c r="K23" s="4">
        <v>-0.2</v>
      </c>
      <c r="L23" s="4">
        <v>0.1</v>
      </c>
      <c r="M23" s="4">
        <v>0.4</v>
      </c>
      <c r="N23" s="4">
        <v>0</v>
      </c>
      <c r="P23" s="4">
        <v>-0.5</v>
      </c>
      <c r="Q23" s="4">
        <f>8.1+0.9</f>
        <v>9</v>
      </c>
      <c r="R23" s="4">
        <f>-5-0.6</f>
        <v>-5.6</v>
      </c>
      <c r="S23" s="4">
        <f>SUM(G23:J23)</f>
        <v>1.6</v>
      </c>
      <c r="T23" s="4">
        <f>SUM(K23:N23)</f>
        <v>0.30000000000000004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2:141" x14ac:dyDescent="0.3">
      <c r="B24" t="s">
        <v>32</v>
      </c>
      <c r="F24" s="4">
        <f>SUM(F19:F23)</f>
        <v>10.1</v>
      </c>
      <c r="G24" s="4">
        <f>SUM(G19:G23)</f>
        <v>10.9</v>
      </c>
      <c r="H24" s="4">
        <f>SUM(H19:H23)</f>
        <v>14.399999999999999</v>
      </c>
      <c r="I24" s="4">
        <f>SUM(I19:I23)</f>
        <v>63.7</v>
      </c>
      <c r="J24" s="4">
        <f>SUM(J19:J23)</f>
        <v>8</v>
      </c>
      <c r="K24" s="4">
        <f>SUM(K19:K23)</f>
        <v>7.9999999999999991</v>
      </c>
      <c r="L24" s="4">
        <f>SUM(L19:L23)</f>
        <v>37.300000000000004</v>
      </c>
      <c r="M24" s="4">
        <f>SUM(M19:M23)</f>
        <v>4.9000000000000012</v>
      </c>
      <c r="N24" s="4">
        <f>SUM(N19:N23)</f>
        <v>9</v>
      </c>
      <c r="P24" s="4">
        <f>SUM(P19:P23)</f>
        <v>98</v>
      </c>
      <c r="Q24" s="4">
        <f>SUM(Q19:Q23)</f>
        <v>77.7</v>
      </c>
      <c r="R24" s="4">
        <f>SUM(R19:R23)</f>
        <v>53</v>
      </c>
      <c r="S24" s="4">
        <f>SUM(S19:S23)</f>
        <v>97</v>
      </c>
      <c r="T24" s="4">
        <f>SUM(T19:T23)</f>
        <v>59.2</v>
      </c>
      <c r="U24" s="4">
        <f>SUM(U19:U23)</f>
        <v>36.006</v>
      </c>
      <c r="V24" s="4">
        <f t="shared" ref="V24:AE24" si="20">SUM(V19:V23)</f>
        <v>36.726120000000009</v>
      </c>
      <c r="W24" s="4">
        <f t="shared" si="20"/>
        <v>37.460642400000012</v>
      </c>
      <c r="X24" s="4">
        <f t="shared" si="20"/>
        <v>38.209855248000011</v>
      </c>
      <c r="Y24" s="4">
        <f t="shared" si="20"/>
        <v>38.974052352960015</v>
      </c>
      <c r="Z24" s="4">
        <f t="shared" si="20"/>
        <v>39.753533400019215</v>
      </c>
      <c r="AA24" s="4">
        <f t="shared" si="20"/>
        <v>40.5486040680196</v>
      </c>
      <c r="AB24" s="4">
        <f t="shared" si="20"/>
        <v>41.359576149379983</v>
      </c>
      <c r="AC24" s="4">
        <f t="shared" si="20"/>
        <v>42.18676767236758</v>
      </c>
      <c r="AD24" s="4">
        <f t="shared" si="20"/>
        <v>43.030503025814937</v>
      </c>
      <c r="AE24" s="4">
        <f t="shared" si="20"/>
        <v>43.891113086331231</v>
      </c>
    </row>
    <row r="25" spans="2:141" s="1" customFormat="1" x14ac:dyDescent="0.3">
      <c r="B25" s="1" t="s">
        <v>33</v>
      </c>
      <c r="F25" s="8">
        <f>F18-F24</f>
        <v>-50.700000000000067</v>
      </c>
      <c r="G25" s="8">
        <f>G18-G24</f>
        <v>-74.5</v>
      </c>
      <c r="H25" s="8">
        <f>H18-H24</f>
        <v>-69.099999999999966</v>
      </c>
      <c r="I25" s="8">
        <f>I18-I24</f>
        <v>-167.5</v>
      </c>
      <c r="J25" s="8">
        <f>J18-J24</f>
        <v>4.8000000000000114</v>
      </c>
      <c r="K25" s="8">
        <f>K18-K24</f>
        <v>-57.19999999999996</v>
      </c>
      <c r="L25" s="8">
        <f>L18-L24</f>
        <v>-60.499999999999993</v>
      </c>
      <c r="M25" s="8">
        <f>M18-M24</f>
        <v>-14.499999999999968</v>
      </c>
      <c r="N25" s="8">
        <f>N18-N24</f>
        <v>14.21954999999997</v>
      </c>
      <c r="P25" s="8">
        <f>P18-P24</f>
        <v>-178.79999999999993</v>
      </c>
      <c r="Q25" s="8">
        <f>Q18-Q24</f>
        <v>-192.2000000000001</v>
      </c>
      <c r="R25" s="8">
        <f>R18-R24</f>
        <v>-313.89999999999981</v>
      </c>
      <c r="S25" s="8">
        <f>S18-S24</f>
        <v>-306.29999999999995</v>
      </c>
      <c r="T25" s="8">
        <f>T18-T24</f>
        <v>-117.98044999999986</v>
      </c>
      <c r="U25" s="8">
        <f>U18-U24</f>
        <v>-68.386839599999831</v>
      </c>
      <c r="V25" s="8">
        <f t="shared" ref="V25:AE25" si="21">V18-V24</f>
        <v>-62.530426340000048</v>
      </c>
      <c r="W25" s="8">
        <f t="shared" si="21"/>
        <v>-34.854657894000269</v>
      </c>
      <c r="X25" s="8">
        <f t="shared" si="21"/>
        <v>-12.85554712917606</v>
      </c>
      <c r="Y25" s="8">
        <f t="shared" si="21"/>
        <v>8.610203638218664</v>
      </c>
      <c r="Z25" s="8">
        <f t="shared" si="21"/>
        <v>27.698678589762189</v>
      </c>
      <c r="AA25" s="8">
        <f t="shared" si="21"/>
        <v>39.795439140400603</v>
      </c>
      <c r="AB25" s="8">
        <f t="shared" si="21"/>
        <v>48.982658112140747</v>
      </c>
      <c r="AC25" s="8">
        <f t="shared" si="21"/>
        <v>54.784194049656435</v>
      </c>
      <c r="AD25" s="8">
        <f t="shared" si="21"/>
        <v>60.864580266572716</v>
      </c>
      <c r="AE25" s="8">
        <f t="shared" si="21"/>
        <v>67.235186509167264</v>
      </c>
    </row>
    <row r="26" spans="2:141" x14ac:dyDescent="0.3">
      <c r="B26" t="s">
        <v>34</v>
      </c>
      <c r="F26" s="4">
        <v>-3.6</v>
      </c>
      <c r="G26" s="4">
        <v>0.3</v>
      </c>
      <c r="H26" s="4">
        <v>0.2</v>
      </c>
      <c r="I26" s="4">
        <v>0.6</v>
      </c>
      <c r="J26" s="4">
        <v>0.8</v>
      </c>
      <c r="K26" s="4">
        <v>-0.5</v>
      </c>
      <c r="L26" s="4">
        <v>0.9</v>
      </c>
      <c r="M26" s="4">
        <v>0.1</v>
      </c>
      <c r="N26" s="4">
        <v>0</v>
      </c>
      <c r="P26" s="4">
        <v>0.3</v>
      </c>
      <c r="Q26" s="4">
        <v>1</v>
      </c>
      <c r="R26" s="4">
        <v>1.1000000000000001</v>
      </c>
      <c r="S26" s="4">
        <f>SUM(G26:J26)</f>
        <v>1.9000000000000001</v>
      </c>
      <c r="T26" s="4">
        <f>SUM(K26:N26)</f>
        <v>0.5</v>
      </c>
      <c r="U26" s="4">
        <f>U25*0.05</f>
        <v>-3.4193419799999916</v>
      </c>
      <c r="V26" s="4">
        <f t="shared" ref="V26:AE26" si="22">V25*0.05</f>
        <v>-3.1265213170000026</v>
      </c>
      <c r="W26" s="4">
        <f t="shared" si="22"/>
        <v>-1.7427328947000136</v>
      </c>
      <c r="X26" s="4">
        <f t="shared" si="22"/>
        <v>-0.64277735645880307</v>
      </c>
      <c r="Y26" s="4">
        <f t="shared" si="22"/>
        <v>0.43051018191093321</v>
      </c>
      <c r="Z26" s="4">
        <f t="shared" si="22"/>
        <v>1.3849339294881096</v>
      </c>
      <c r="AA26" s="4">
        <f t="shared" si="22"/>
        <v>1.9897719570200303</v>
      </c>
      <c r="AB26" s="4">
        <f t="shared" si="22"/>
        <v>2.4491329056070374</v>
      </c>
      <c r="AC26" s="4">
        <f t="shared" si="22"/>
        <v>2.7392097024828219</v>
      </c>
      <c r="AD26" s="4">
        <f t="shared" si="22"/>
        <v>3.0432290133286362</v>
      </c>
      <c r="AE26" s="4">
        <f t="shared" si="22"/>
        <v>3.3617593254583635</v>
      </c>
    </row>
    <row r="27" spans="2:141" x14ac:dyDescent="0.3">
      <c r="B27" t="s">
        <v>35</v>
      </c>
      <c r="F27" s="4">
        <v>0</v>
      </c>
      <c r="G27" s="4">
        <v>-3.4</v>
      </c>
      <c r="H27" s="4">
        <v>-3</v>
      </c>
      <c r="I27" s="4">
        <v>0.9</v>
      </c>
      <c r="J27" s="4">
        <v>-0.4</v>
      </c>
      <c r="K27" s="4">
        <v>1</v>
      </c>
      <c r="L27" s="4">
        <v>0.6</v>
      </c>
      <c r="M27" s="4">
        <v>0.1</v>
      </c>
      <c r="N27" s="4">
        <v>0</v>
      </c>
      <c r="P27" s="4">
        <v>-21.5</v>
      </c>
      <c r="Q27" s="4">
        <v>-28.9</v>
      </c>
      <c r="R27" s="4">
        <f>-13.4-0.3</f>
        <v>-13.700000000000001</v>
      </c>
      <c r="S27" s="4">
        <f>SUM(G27:J27)</f>
        <v>-5.9</v>
      </c>
      <c r="T27" s="4">
        <f>SUM(K27:N27)</f>
        <v>1.7000000000000002</v>
      </c>
      <c r="U27" s="4">
        <f>U25*0.02</f>
        <v>-1.3677367919999968</v>
      </c>
      <c r="V27" s="4">
        <f t="shared" ref="V27:AE27" si="23">V25*0.02</f>
        <v>-1.2506085268000009</v>
      </c>
      <c r="W27" s="4">
        <f t="shared" si="23"/>
        <v>-0.69709315788000537</v>
      </c>
      <c r="X27" s="4">
        <f t="shared" si="23"/>
        <v>-0.25711094258352118</v>
      </c>
      <c r="Y27" s="4">
        <f t="shared" si="23"/>
        <v>0.17220407276437327</v>
      </c>
      <c r="Z27" s="4">
        <f t="shared" si="23"/>
        <v>0.55397357179524376</v>
      </c>
      <c r="AA27" s="4">
        <f t="shared" si="23"/>
        <v>0.79590878280801203</v>
      </c>
      <c r="AB27" s="4">
        <f t="shared" si="23"/>
        <v>0.97965316224281496</v>
      </c>
      <c r="AC27" s="4">
        <f t="shared" si="23"/>
        <v>1.0956838809931286</v>
      </c>
      <c r="AD27" s="4">
        <f t="shared" si="23"/>
        <v>1.2172916053314544</v>
      </c>
      <c r="AE27" s="4">
        <f t="shared" si="23"/>
        <v>1.3447037301833453</v>
      </c>
    </row>
    <row r="28" spans="2:141" s="1" customFormat="1" x14ac:dyDescent="0.3">
      <c r="B28" s="1" t="s">
        <v>36</v>
      </c>
      <c r="F28" s="8">
        <f>F25-F26-F27</f>
        <v>-47.100000000000065</v>
      </c>
      <c r="G28" s="8">
        <f>G25-G26-G27</f>
        <v>-71.399999999999991</v>
      </c>
      <c r="H28" s="8">
        <f>H25-H26-H27</f>
        <v>-66.299999999999969</v>
      </c>
      <c r="I28" s="8">
        <f>I25-I26-I27</f>
        <v>-169</v>
      </c>
      <c r="J28" s="8">
        <f>J25-J26-J27</f>
        <v>4.4000000000000119</v>
      </c>
      <c r="K28" s="8">
        <f>K25-K26-K27</f>
        <v>-57.69999999999996</v>
      </c>
      <c r="L28" s="8">
        <f>L25-L26-L27</f>
        <v>-61.999999999999993</v>
      </c>
      <c r="M28" s="8">
        <f>M25-M26-M27</f>
        <v>-14.699999999999967</v>
      </c>
      <c r="N28" s="8">
        <f>N25-N26-N27</f>
        <v>14.21954999999997</v>
      </c>
      <c r="P28" s="8">
        <f>P25-P26-P27</f>
        <v>-157.59999999999994</v>
      </c>
      <c r="Q28" s="8">
        <f>Q25-Q26-Q27</f>
        <v>-164.3000000000001</v>
      </c>
      <c r="R28" s="8">
        <f>R25-R26-R27</f>
        <v>-301.29999999999984</v>
      </c>
      <c r="S28" s="8">
        <f>S25-S26-S27</f>
        <v>-302.29999999999995</v>
      </c>
      <c r="T28" s="8">
        <f>T25-T26-T27</f>
        <v>-120.18044999999987</v>
      </c>
      <c r="U28" s="8">
        <f>U25-U26-U27</f>
        <v>-63.599760827999852</v>
      </c>
      <c r="V28" s="8">
        <f t="shared" ref="V28:AE28" si="24">V25-V26-V27</f>
        <v>-58.153296496200042</v>
      </c>
      <c r="W28" s="8">
        <f t="shared" si="24"/>
        <v>-32.414831841420252</v>
      </c>
      <c r="X28" s="8">
        <f t="shared" si="24"/>
        <v>-11.955658830133736</v>
      </c>
      <c r="Y28" s="8">
        <f t="shared" si="24"/>
        <v>8.0074893835433585</v>
      </c>
      <c r="Z28" s="8">
        <f t="shared" si="24"/>
        <v>25.759771088478836</v>
      </c>
      <c r="AA28" s="8">
        <f t="shared" si="24"/>
        <v>37.009758400572558</v>
      </c>
      <c r="AB28" s="8">
        <f t="shared" si="24"/>
        <v>45.553872044290898</v>
      </c>
      <c r="AC28" s="8">
        <f t="shared" si="24"/>
        <v>50.949300466180482</v>
      </c>
      <c r="AD28" s="8">
        <f t="shared" si="24"/>
        <v>56.604059647912628</v>
      </c>
      <c r="AE28" s="8">
        <f t="shared" si="24"/>
        <v>62.528723453525551</v>
      </c>
      <c r="AF28" s="1">
        <f>AE28*(1+$AI$33)</f>
        <v>61.903436218990294</v>
      </c>
      <c r="AG28" s="1">
        <f t="shared" ref="AG28:CR28" si="25">AF28*(1+$AI$33)</f>
        <v>61.284401856800393</v>
      </c>
      <c r="AH28" s="1">
        <f t="shared" si="25"/>
        <v>60.671557838232388</v>
      </c>
      <c r="AI28" s="1">
        <f t="shared" si="25"/>
        <v>60.064842259850067</v>
      </c>
      <c r="AJ28" s="1">
        <f t="shared" si="25"/>
        <v>59.464193837251564</v>
      </c>
      <c r="AK28" s="1">
        <f t="shared" si="25"/>
        <v>58.869551898879045</v>
      </c>
      <c r="AL28" s="1">
        <f t="shared" si="25"/>
        <v>58.280856379890253</v>
      </c>
      <c r="AM28" s="1">
        <f t="shared" si="25"/>
        <v>57.698047816091346</v>
      </c>
      <c r="AN28" s="1">
        <f t="shared" si="25"/>
        <v>57.121067337930434</v>
      </c>
      <c r="AO28" s="1">
        <f t="shared" si="25"/>
        <v>56.549856664551129</v>
      </c>
      <c r="AP28" s="1">
        <f t="shared" si="25"/>
        <v>55.98435809790562</v>
      </c>
      <c r="AQ28" s="1">
        <f t="shared" si="25"/>
        <v>55.424514516926564</v>
      </c>
      <c r="AR28" s="1">
        <f t="shared" si="25"/>
        <v>54.870269371757296</v>
      </c>
      <c r="AS28" s="1">
        <f t="shared" si="25"/>
        <v>54.321566678039723</v>
      </c>
      <c r="AT28" s="1">
        <f t="shared" si="25"/>
        <v>53.778351011259325</v>
      </c>
      <c r="AU28" s="1">
        <f t="shared" si="25"/>
        <v>53.240567501146728</v>
      </c>
      <c r="AV28" s="1">
        <f t="shared" si="25"/>
        <v>52.70816182613526</v>
      </c>
      <c r="AW28" s="1">
        <f t="shared" si="25"/>
        <v>52.181080207873904</v>
      </c>
      <c r="AX28" s="1">
        <f t="shared" si="25"/>
        <v>51.659269405795165</v>
      </c>
      <c r="AY28" s="1">
        <f t="shared" si="25"/>
        <v>51.142676711737209</v>
      </c>
      <c r="AZ28" s="1">
        <f t="shared" si="25"/>
        <v>50.631249944619839</v>
      </c>
      <c r="BA28" s="1">
        <f t="shared" si="25"/>
        <v>50.124937445173643</v>
      </c>
      <c r="BB28" s="1">
        <f t="shared" si="25"/>
        <v>49.623688070721904</v>
      </c>
      <c r="BC28" s="1">
        <f t="shared" si="25"/>
        <v>49.127451190014682</v>
      </c>
      <c r="BD28" s="1">
        <f t="shared" si="25"/>
        <v>48.636176678114538</v>
      </c>
      <c r="BE28" s="1">
        <f t="shared" si="25"/>
        <v>48.149814911333394</v>
      </c>
      <c r="BF28" s="1">
        <f t="shared" si="25"/>
        <v>47.668316762220059</v>
      </c>
      <c r="BG28" s="1">
        <f t="shared" si="25"/>
        <v>47.19163359459786</v>
      </c>
      <c r="BH28" s="1">
        <f t="shared" si="25"/>
        <v>46.719717258651883</v>
      </c>
      <c r="BI28" s="1">
        <f t="shared" si="25"/>
        <v>46.252520086065367</v>
      </c>
      <c r="BJ28" s="1">
        <f t="shared" si="25"/>
        <v>45.789994885204713</v>
      </c>
      <c r="BK28" s="1">
        <f t="shared" si="25"/>
        <v>45.332094936352668</v>
      </c>
      <c r="BL28" s="1">
        <f t="shared" si="25"/>
        <v>44.878773986989138</v>
      </c>
      <c r="BM28" s="1">
        <f t="shared" si="25"/>
        <v>44.429986247119245</v>
      </c>
      <c r="BN28" s="1">
        <f t="shared" si="25"/>
        <v>43.985686384648055</v>
      </c>
      <c r="BO28" s="1">
        <f t="shared" si="25"/>
        <v>43.545829520801576</v>
      </c>
      <c r="BP28" s="1">
        <f t="shared" si="25"/>
        <v>43.11037122559356</v>
      </c>
      <c r="BQ28" s="1">
        <f t="shared" si="25"/>
        <v>42.679267513337628</v>
      </c>
      <c r="BR28" s="1">
        <f t="shared" si="25"/>
        <v>42.25247483820425</v>
      </c>
      <c r="BS28" s="1">
        <f t="shared" si="25"/>
        <v>41.829950089822205</v>
      </c>
      <c r="BT28" s="1">
        <f t="shared" si="25"/>
        <v>41.411650588923983</v>
      </c>
      <c r="BU28" s="1">
        <f t="shared" si="25"/>
        <v>40.997534083034743</v>
      </c>
      <c r="BV28" s="1">
        <f t="shared" si="25"/>
        <v>40.587558742204394</v>
      </c>
      <c r="BW28" s="1">
        <f t="shared" si="25"/>
        <v>40.181683154782348</v>
      </c>
      <c r="BX28" s="1">
        <f t="shared" si="25"/>
        <v>39.779866323234522</v>
      </c>
      <c r="BY28" s="1">
        <f t="shared" si="25"/>
        <v>39.382067660002178</v>
      </c>
      <c r="BZ28" s="1">
        <f t="shared" si="25"/>
        <v>38.988246983402156</v>
      </c>
      <c r="CA28" s="1">
        <f t="shared" si="25"/>
        <v>38.598364513568136</v>
      </c>
      <c r="CB28" s="1">
        <f t="shared" si="25"/>
        <v>38.212380868432454</v>
      </c>
      <c r="CC28" s="1">
        <f t="shared" si="25"/>
        <v>37.830257059748128</v>
      </c>
      <c r="CD28" s="1">
        <f t="shared" si="25"/>
        <v>37.451954489150644</v>
      </c>
      <c r="CE28" s="1">
        <f t="shared" si="25"/>
        <v>37.077434944259139</v>
      </c>
      <c r="CF28" s="1">
        <f t="shared" si="25"/>
        <v>36.706660594816547</v>
      </c>
      <c r="CG28" s="1">
        <f t="shared" si="25"/>
        <v>36.33959398886838</v>
      </c>
      <c r="CH28" s="1">
        <f t="shared" si="25"/>
        <v>35.976198048979697</v>
      </c>
      <c r="CI28" s="1">
        <f t="shared" si="25"/>
        <v>35.616436068489897</v>
      </c>
      <c r="CJ28" s="1">
        <f t="shared" si="25"/>
        <v>35.260271707804996</v>
      </c>
      <c r="CK28" s="1">
        <f t="shared" si="25"/>
        <v>34.907668990726947</v>
      </c>
      <c r="CL28" s="1">
        <f t="shared" si="25"/>
        <v>34.558592300819676</v>
      </c>
      <c r="CM28" s="1">
        <f t="shared" si="25"/>
        <v>34.213006377811482</v>
      </c>
      <c r="CN28" s="1">
        <f t="shared" si="25"/>
        <v>33.870876314033367</v>
      </c>
      <c r="CO28" s="1">
        <f t="shared" si="25"/>
        <v>33.532167550893035</v>
      </c>
      <c r="CP28" s="1">
        <f t="shared" si="25"/>
        <v>33.196845875384106</v>
      </c>
      <c r="CQ28" s="1">
        <f t="shared" si="25"/>
        <v>32.864877416630264</v>
      </c>
      <c r="CR28" s="1">
        <f t="shared" si="25"/>
        <v>32.536228642463961</v>
      </c>
      <c r="CS28" s="1">
        <f t="shared" ref="CS28:EK28" si="26">CR28*(1+$AI$33)</f>
        <v>32.210866356039318</v>
      </c>
      <c r="CT28" s="1">
        <f t="shared" si="26"/>
        <v>31.888757692478926</v>
      </c>
      <c r="CU28" s="1">
        <f t="shared" si="26"/>
        <v>31.569870115554135</v>
      </c>
      <c r="CV28" s="1">
        <f t="shared" si="26"/>
        <v>31.254171414398595</v>
      </c>
      <c r="CW28" s="1">
        <f t="shared" si="26"/>
        <v>30.941629700254609</v>
      </c>
      <c r="CX28" s="1">
        <f t="shared" si="26"/>
        <v>30.632213403252063</v>
      </c>
      <c r="CY28" s="1">
        <f t="shared" si="26"/>
        <v>30.325891269219543</v>
      </c>
      <c r="CZ28" s="1">
        <f t="shared" si="26"/>
        <v>30.022632356527346</v>
      </c>
      <c r="DA28" s="1">
        <f t="shared" si="26"/>
        <v>29.722406032962073</v>
      </c>
      <c r="DB28" s="1">
        <f t="shared" si="26"/>
        <v>29.425181972632451</v>
      </c>
      <c r="DC28" s="1">
        <f t="shared" si="26"/>
        <v>29.130930152906128</v>
      </c>
      <c r="DD28" s="1">
        <f t="shared" si="26"/>
        <v>28.839620851377067</v>
      </c>
      <c r="DE28" s="1">
        <f t="shared" si="26"/>
        <v>28.551224642863296</v>
      </c>
      <c r="DF28" s="1">
        <f t="shared" si="26"/>
        <v>28.265712396434662</v>
      </c>
      <c r="DG28" s="1">
        <f t="shared" si="26"/>
        <v>27.983055272470313</v>
      </c>
      <c r="DH28" s="1">
        <f t="shared" si="26"/>
        <v>27.703224719745609</v>
      </c>
      <c r="DI28" s="1">
        <f t="shared" si="26"/>
        <v>27.426192472548152</v>
      </c>
      <c r="DJ28" s="1">
        <f t="shared" si="26"/>
        <v>27.151930547822669</v>
      </c>
      <c r="DK28" s="1">
        <f t="shared" si="26"/>
        <v>26.880411242344444</v>
      </c>
      <c r="DL28" s="1">
        <f t="shared" si="26"/>
        <v>26.611607129920998</v>
      </c>
      <c r="DM28" s="1">
        <f t="shared" si="26"/>
        <v>26.345491058621789</v>
      </c>
      <c r="DN28" s="1">
        <f t="shared" si="26"/>
        <v>26.08203614803557</v>
      </c>
      <c r="DO28" s="1">
        <f t="shared" si="26"/>
        <v>25.821215786555214</v>
      </c>
      <c r="DP28" s="1">
        <f t="shared" si="26"/>
        <v>25.56300362868966</v>
      </c>
      <c r="DQ28" s="1">
        <f t="shared" si="26"/>
        <v>25.307373592402765</v>
      </c>
      <c r="DR28" s="1">
        <f t="shared" si="26"/>
        <v>25.054299856478739</v>
      </c>
      <c r="DS28" s="1">
        <f t="shared" si="26"/>
        <v>24.80375685791395</v>
      </c>
      <c r="DT28" s="1">
        <f t="shared" si="26"/>
        <v>24.55571928933481</v>
      </c>
      <c r="DU28" s="1">
        <f t="shared" si="26"/>
        <v>24.310162096441463</v>
      </c>
      <c r="DV28" s="1">
        <f t="shared" si="26"/>
        <v>24.067060475477049</v>
      </c>
      <c r="DW28" s="1">
        <f t="shared" si="26"/>
        <v>23.826389870722277</v>
      </c>
      <c r="DX28" s="1">
        <f t="shared" si="26"/>
        <v>23.588125972015053</v>
      </c>
      <c r="DY28" s="1">
        <f t="shared" si="26"/>
        <v>23.352244712294901</v>
      </c>
      <c r="DZ28" s="1">
        <f t="shared" si="26"/>
        <v>23.11872226517195</v>
      </c>
      <c r="EA28" s="1">
        <f t="shared" si="26"/>
        <v>22.887535042520231</v>
      </c>
      <c r="EB28" s="1">
        <f t="shared" si="26"/>
        <v>22.658659692095029</v>
      </c>
      <c r="EC28" s="1">
        <f t="shared" si="26"/>
        <v>22.432073095174079</v>
      </c>
      <c r="ED28" s="1">
        <f t="shared" si="26"/>
        <v>22.207752364222337</v>
      </c>
      <c r="EE28" s="1">
        <f t="shared" si="26"/>
        <v>21.985674840580113</v>
      </c>
      <c r="EF28" s="1">
        <f t="shared" si="26"/>
        <v>21.765818092174314</v>
      </c>
      <c r="EG28" s="1">
        <f t="shared" si="26"/>
        <v>21.548159911252572</v>
      </c>
      <c r="EH28" s="1">
        <f t="shared" si="26"/>
        <v>21.332678312140047</v>
      </c>
      <c r="EI28" s="1">
        <f t="shared" si="26"/>
        <v>21.119351529018648</v>
      </c>
      <c r="EJ28" s="1">
        <f t="shared" si="26"/>
        <v>20.90815801372846</v>
      </c>
      <c r="EK28" s="1">
        <f t="shared" si="26"/>
        <v>20.699076433591177</v>
      </c>
    </row>
    <row r="29" spans="2:141" x14ac:dyDescent="0.3">
      <c r="B29" t="s">
        <v>2</v>
      </c>
      <c r="F29" s="4">
        <v>228.6</v>
      </c>
      <c r="G29" s="4">
        <v>228.6</v>
      </c>
      <c r="H29" s="4">
        <v>228.6</v>
      </c>
      <c r="I29" s="4">
        <v>228.6</v>
      </c>
      <c r="J29" s="4">
        <v>228.6</v>
      </c>
      <c r="K29" s="4">
        <v>228.6</v>
      </c>
      <c r="L29" s="4">
        <v>228.6</v>
      </c>
      <c r="M29" s="4">
        <v>228.6</v>
      </c>
      <c r="N29" s="4">
        <v>228.6</v>
      </c>
      <c r="P29" s="4">
        <v>228.6</v>
      </c>
      <c r="Q29" s="4">
        <v>228.6</v>
      </c>
      <c r="R29" s="4">
        <v>228.6</v>
      </c>
      <c r="S29" s="4">
        <v>228.6</v>
      </c>
      <c r="T29" s="4">
        <v>228.6</v>
      </c>
      <c r="U29" s="4">
        <v>228.6</v>
      </c>
      <c r="V29" s="4">
        <v>228.6</v>
      </c>
      <c r="W29" s="4">
        <v>228.6</v>
      </c>
      <c r="X29" s="4">
        <v>228.6</v>
      </c>
      <c r="Y29" s="4">
        <v>228.6</v>
      </c>
      <c r="Z29" s="4">
        <v>228.6</v>
      </c>
      <c r="AA29" s="4">
        <v>228.6</v>
      </c>
      <c r="AB29" s="4">
        <v>228.6</v>
      </c>
      <c r="AC29" s="4">
        <v>228.6</v>
      </c>
      <c r="AD29" s="4">
        <v>228.6</v>
      </c>
      <c r="AE29" s="4">
        <v>228.6</v>
      </c>
    </row>
    <row r="30" spans="2:141" x14ac:dyDescent="0.3">
      <c r="B30" t="s">
        <v>37</v>
      </c>
      <c r="F30" s="6">
        <f>F28/F29</f>
        <v>-0.20603674540682443</v>
      </c>
      <c r="G30" s="6">
        <f>G28/G29</f>
        <v>-0.31233595800524933</v>
      </c>
      <c r="H30" s="6">
        <f>H28/H29</f>
        <v>-0.29002624671916</v>
      </c>
      <c r="I30" s="6">
        <f>I28/I29</f>
        <v>-0.73928258967629046</v>
      </c>
      <c r="J30" s="6">
        <f>J28/J29</f>
        <v>1.9247594050743711E-2</v>
      </c>
      <c r="K30" s="6">
        <f>K28/K29</f>
        <v>-0.2524059492563428</v>
      </c>
      <c r="L30" s="6">
        <f>L28/L29</f>
        <v>-0.27121609798775148</v>
      </c>
      <c r="M30" s="6">
        <f>M28/M29</f>
        <v>-6.4304461942257071E-2</v>
      </c>
      <c r="N30" s="6">
        <f>N28/N29</f>
        <v>6.2202755905511678E-2</v>
      </c>
      <c r="P30" s="6">
        <f>P28/P29</f>
        <v>-0.68941382327209078</v>
      </c>
      <c r="Q30" s="6">
        <f>Q28/Q29</f>
        <v>-0.71872265966754201</v>
      </c>
      <c r="R30" s="6">
        <f>R28/R29</f>
        <v>-1.3180227471566048</v>
      </c>
      <c r="S30" s="6">
        <f>S28/S29</f>
        <v>-1.322397200349956</v>
      </c>
      <c r="T30" s="6">
        <f>T28/T29</f>
        <v>-0.52572375328083931</v>
      </c>
      <c r="U30" s="6">
        <f>U28/U29</f>
        <v>-0.27821417685039307</v>
      </c>
      <c r="V30" s="6">
        <f t="shared" ref="V30:AE30" si="27">V28/V29</f>
        <v>-0.25438887356168</v>
      </c>
      <c r="W30" s="6">
        <f t="shared" si="27"/>
        <v>-0.14179716466063103</v>
      </c>
      <c r="X30" s="6">
        <f t="shared" si="27"/>
        <v>-5.2299469948091586E-2</v>
      </c>
      <c r="Y30" s="6">
        <f t="shared" si="27"/>
        <v>3.5028387504564121E-2</v>
      </c>
      <c r="Z30" s="6">
        <f t="shared" si="27"/>
        <v>0.11268491289798266</v>
      </c>
      <c r="AA30" s="6">
        <f t="shared" si="27"/>
        <v>0.16189745582052739</v>
      </c>
      <c r="AB30" s="6">
        <f t="shared" si="27"/>
        <v>0.19927328103364347</v>
      </c>
      <c r="AC30" s="6">
        <f t="shared" si="27"/>
        <v>0.22287533012327421</v>
      </c>
      <c r="AD30" s="6">
        <f t="shared" si="27"/>
        <v>0.24761180948343234</v>
      </c>
      <c r="AE30" s="6">
        <f t="shared" si="27"/>
        <v>0.27352897398742587</v>
      </c>
    </row>
    <row r="32" spans="2:141" x14ac:dyDescent="0.3">
      <c r="B32" t="s">
        <v>51</v>
      </c>
      <c r="J32" s="9">
        <f t="shared" ref="J32:L36" si="28">J3/F3-1</f>
        <v>-0.27318156579677955</v>
      </c>
      <c r="K32" s="9">
        <f t="shared" si="28"/>
        <v>-0.20805369127516771</v>
      </c>
      <c r="L32" s="9">
        <f t="shared" si="28"/>
        <v>5.4028877503493389E-2</v>
      </c>
      <c r="M32" s="9">
        <f>M3/I3-1</f>
        <v>-0.23344262295081963</v>
      </c>
      <c r="N32" s="9">
        <f>N3/J3-1</f>
        <v>-5.0000000000000044E-2</v>
      </c>
      <c r="P32" s="9"/>
      <c r="Q32" s="9">
        <f>Q3/P3-1</f>
        <v>0.27940609332819122</v>
      </c>
      <c r="R32" s="9">
        <f t="shared" ref="R32:T32" si="29">R3/Q3-1</f>
        <v>0.32735493594574239</v>
      </c>
      <c r="S32" s="9">
        <f t="shared" si="29"/>
        <v>0.10730101055978203</v>
      </c>
      <c r="T32" s="9">
        <f t="shared" si="29"/>
        <v>-0.11586341263330602</v>
      </c>
      <c r="U32" s="9">
        <f t="shared" ref="U32:AE32" si="30">U3/T3-1</f>
        <v>2.0000000000000018E-2</v>
      </c>
      <c r="V32" s="9">
        <f t="shared" si="30"/>
        <v>5.0000000000000044E-2</v>
      </c>
      <c r="W32" s="9">
        <f t="shared" si="30"/>
        <v>0.10000000000000009</v>
      </c>
      <c r="X32" s="9">
        <f t="shared" si="30"/>
        <v>0.10000000000000009</v>
      </c>
      <c r="Y32" s="9">
        <f t="shared" si="30"/>
        <v>0.10000000000000009</v>
      </c>
      <c r="Z32" s="9">
        <f t="shared" si="30"/>
        <v>8.0000000000000071E-2</v>
      </c>
      <c r="AA32" s="9">
        <f t="shared" si="30"/>
        <v>5.0000000000000044E-2</v>
      </c>
      <c r="AB32" s="9">
        <f t="shared" si="30"/>
        <v>4.0000000000000036E-2</v>
      </c>
      <c r="AC32" s="9">
        <f t="shared" si="30"/>
        <v>3.0000000000000027E-2</v>
      </c>
      <c r="AD32" s="9">
        <f t="shared" si="30"/>
        <v>3.0000000000000027E-2</v>
      </c>
      <c r="AE32" s="9">
        <f t="shared" si="30"/>
        <v>3.0000000000000027E-2</v>
      </c>
    </row>
    <row r="33" spans="2:35" x14ac:dyDescent="0.3">
      <c r="B33" t="s">
        <v>52</v>
      </c>
      <c r="J33" s="9">
        <f t="shared" si="28"/>
        <v>-0.39814814814814814</v>
      </c>
      <c r="K33" s="9">
        <f t="shared" si="28"/>
        <v>-0.44390243902439019</v>
      </c>
      <c r="L33" s="9">
        <f t="shared" si="28"/>
        <v>0.7644628099173556</v>
      </c>
      <c r="M33" s="9">
        <f t="shared" ref="M33:N36" si="31">M4/I4-1</f>
        <v>0.46575342465753433</v>
      </c>
      <c r="N33" s="9">
        <f t="shared" si="31"/>
        <v>0.5</v>
      </c>
      <c r="P33" s="9"/>
      <c r="Q33" s="9">
        <f t="shared" ref="Q33:T36" si="32">Q4/P4-1</f>
        <v>-5.6918547595682156E-2</v>
      </c>
      <c r="R33" s="9">
        <f t="shared" si="32"/>
        <v>-4.1623309053069768E-2</v>
      </c>
      <c r="S33" s="9">
        <f t="shared" si="32"/>
        <v>5.4288816503800241E-3</v>
      </c>
      <c r="T33" s="9">
        <f t="shared" si="32"/>
        <v>0.35205183585313193</v>
      </c>
      <c r="U33" s="9">
        <f t="shared" ref="U33:AE33" si="33">U4/T4-1</f>
        <v>0.35782747603833864</v>
      </c>
      <c r="V33" s="9">
        <f t="shared" si="33"/>
        <v>0.25</v>
      </c>
      <c r="W33" s="9">
        <f t="shared" si="33"/>
        <v>0.19999999999999996</v>
      </c>
      <c r="X33" s="9">
        <f t="shared" si="33"/>
        <v>0.14999999999999991</v>
      </c>
      <c r="Y33" s="9">
        <f t="shared" si="33"/>
        <v>8.0000000000000071E-2</v>
      </c>
      <c r="Z33" s="9">
        <f t="shared" si="33"/>
        <v>4.0000000000000036E-2</v>
      </c>
      <c r="AA33" s="9">
        <f t="shared" si="33"/>
        <v>3.0000000000000027E-2</v>
      </c>
      <c r="AB33" s="9">
        <f t="shared" si="33"/>
        <v>2.0000000000000018E-2</v>
      </c>
      <c r="AC33" s="9">
        <f t="shared" si="33"/>
        <v>2.0000000000000018E-2</v>
      </c>
      <c r="AD33" s="9">
        <f t="shared" si="33"/>
        <v>2.0000000000000018E-2</v>
      </c>
      <c r="AE33" s="9">
        <f t="shared" si="33"/>
        <v>2.0000000000000018E-2</v>
      </c>
      <c r="AH33" t="s">
        <v>65</v>
      </c>
      <c r="AI33" s="9">
        <v>-0.01</v>
      </c>
    </row>
    <row r="34" spans="2:35" x14ac:dyDescent="0.3">
      <c r="B34" t="s">
        <v>53</v>
      </c>
      <c r="J34" s="9">
        <f t="shared" si="28"/>
        <v>0.31829573934837097</v>
      </c>
      <c r="K34" s="9">
        <f t="shared" si="28"/>
        <v>0.38574938574938566</v>
      </c>
      <c r="L34" s="9">
        <f t="shared" si="28"/>
        <v>0.24113475177304977</v>
      </c>
      <c r="M34" s="9">
        <f t="shared" si="31"/>
        <v>6.9473684210526354E-2</v>
      </c>
      <c r="N34" s="9">
        <f t="shared" si="31"/>
        <v>7.0000000000000062E-2</v>
      </c>
      <c r="P34" s="9"/>
      <c r="Q34" s="9">
        <f t="shared" si="32"/>
        <v>0.31569343065693434</v>
      </c>
      <c r="R34" s="9">
        <f t="shared" si="32"/>
        <v>4.7156726768377233E-2</v>
      </c>
      <c r="S34" s="9">
        <f t="shared" si="32"/>
        <v>0.21258278145695364</v>
      </c>
      <c r="T34" s="9">
        <f t="shared" si="32"/>
        <v>0.17958492626979794</v>
      </c>
      <c r="U34" s="9">
        <f t="shared" ref="U34:AE34" si="34">U5/T5-1</f>
        <v>0.1399999999999999</v>
      </c>
      <c r="V34" s="9">
        <f t="shared" si="34"/>
        <v>0.10000000000000009</v>
      </c>
      <c r="W34" s="9">
        <f t="shared" si="34"/>
        <v>7.0000000000000062E-2</v>
      </c>
      <c r="X34" s="9">
        <f t="shared" si="34"/>
        <v>4.0000000000000036E-2</v>
      </c>
      <c r="Y34" s="9">
        <f t="shared" si="34"/>
        <v>3.0000000000000027E-2</v>
      </c>
      <c r="Z34" s="9">
        <f t="shared" si="34"/>
        <v>2.0000000000000018E-2</v>
      </c>
      <c r="AA34" s="9">
        <f t="shared" si="34"/>
        <v>2.0000000000000018E-2</v>
      </c>
      <c r="AB34" s="9">
        <f t="shared" si="34"/>
        <v>2.0000000000000018E-2</v>
      </c>
      <c r="AC34" s="9">
        <f t="shared" si="34"/>
        <v>2.0000000000000018E-2</v>
      </c>
      <c r="AD34" s="9">
        <f t="shared" si="34"/>
        <v>2.0000000000000018E-2</v>
      </c>
      <c r="AE34" s="9">
        <f t="shared" si="34"/>
        <v>2.0000000000000018E-2</v>
      </c>
      <c r="AH34" t="s">
        <v>66</v>
      </c>
      <c r="AI34" s="9">
        <v>0.1</v>
      </c>
    </row>
    <row r="35" spans="2:35" x14ac:dyDescent="0.3">
      <c r="B35" t="s">
        <v>54</v>
      </c>
      <c r="J35" s="9">
        <f t="shared" si="28"/>
        <v>-0.140625</v>
      </c>
      <c r="K35" s="9">
        <f t="shared" si="28"/>
        <v>-0.31034482758620696</v>
      </c>
      <c r="L35" s="9">
        <f t="shared" si="28"/>
        <v>-0.28282828282828287</v>
      </c>
      <c r="M35" s="9">
        <f t="shared" si="31"/>
        <v>-0.46511627906976738</v>
      </c>
      <c r="N35" s="9">
        <f t="shared" si="31"/>
        <v>-0.15000000000000002</v>
      </c>
      <c r="P35" s="9"/>
      <c r="Q35" s="9">
        <f t="shared" si="32"/>
        <v>6.708268330733258E-2</v>
      </c>
      <c r="R35" s="9">
        <f t="shared" si="32"/>
        <v>0.10233918128654973</v>
      </c>
      <c r="S35" s="9">
        <f t="shared" si="32"/>
        <v>9.2838196286472163E-2</v>
      </c>
      <c r="T35" s="9">
        <f t="shared" si="32"/>
        <v>-0.32008495145631077</v>
      </c>
      <c r="U35" s="9">
        <f t="shared" ref="U35:AE35" si="35">U6/T6-1</f>
        <v>0.19999999999999996</v>
      </c>
      <c r="V35" s="9">
        <f t="shared" si="35"/>
        <v>0.19999999999999996</v>
      </c>
      <c r="W35" s="9">
        <f t="shared" si="35"/>
        <v>5.0000000000000044E-2</v>
      </c>
      <c r="X35" s="9">
        <f t="shared" si="35"/>
        <v>5.0000000000000044E-2</v>
      </c>
      <c r="Y35" s="9">
        <f t="shared" si="35"/>
        <v>5.0000000000000044E-2</v>
      </c>
      <c r="Z35" s="9">
        <f t="shared" si="35"/>
        <v>5.0000000000000044E-2</v>
      </c>
      <c r="AA35" s="9">
        <f t="shared" si="35"/>
        <v>5.0000000000000044E-2</v>
      </c>
      <c r="AB35" s="9">
        <f t="shared" si="35"/>
        <v>5.0000000000000044E-2</v>
      </c>
      <c r="AC35" s="9">
        <f t="shared" si="35"/>
        <v>5.0000000000000044E-2</v>
      </c>
      <c r="AD35" s="9">
        <f t="shared" si="35"/>
        <v>5.0000000000000044E-2</v>
      </c>
      <c r="AE35" s="9">
        <f t="shared" si="35"/>
        <v>5.0000000000000044E-2</v>
      </c>
      <c r="AH35" t="s">
        <v>67</v>
      </c>
      <c r="AI35" s="4">
        <f>NPV(AI34,T28:EK28)</f>
        <v>57.968666855227795</v>
      </c>
    </row>
    <row r="36" spans="2:35" x14ac:dyDescent="0.3">
      <c r="B36" t="s">
        <v>55</v>
      </c>
      <c r="J36" s="9">
        <f t="shared" si="28"/>
        <v>-0.22832432432432415</v>
      </c>
      <c r="K36" s="9">
        <f t="shared" si="28"/>
        <v>-0.14534883720930225</v>
      </c>
      <c r="L36" s="9">
        <f t="shared" si="28"/>
        <v>0.11528239202657797</v>
      </c>
      <c r="M36" s="9">
        <f t="shared" si="31"/>
        <v>-0.17416291854072952</v>
      </c>
      <c r="N36" s="9">
        <f t="shared" si="31"/>
        <v>3.1297282151863115E-3</v>
      </c>
      <c r="P36" s="9"/>
      <c r="Q36" s="9">
        <f t="shared" si="32"/>
        <v>0.2241249055653487</v>
      </c>
      <c r="R36" s="9">
        <f t="shared" si="32"/>
        <v>0.23349105122402825</v>
      </c>
      <c r="S36" s="9">
        <f t="shared" si="32"/>
        <v>0.1118245496997996</v>
      </c>
      <c r="T36" s="9">
        <f t="shared" si="32"/>
        <v>-5.5413635340883394E-2</v>
      </c>
      <c r="U36" s="9">
        <f t="shared" ref="U36:AE36" si="36">U7/T7-1</f>
        <v>8.2170305784343034E-2</v>
      </c>
      <c r="V36" s="9">
        <f t="shared" si="36"/>
        <v>9.1378913878932266E-2</v>
      </c>
      <c r="W36" s="9">
        <f t="shared" si="36"/>
        <v>0.10611179654105496</v>
      </c>
      <c r="X36" s="9">
        <f t="shared" si="36"/>
        <v>9.4606686315153787E-2</v>
      </c>
      <c r="Y36" s="9">
        <f t="shared" si="36"/>
        <v>8.2559202600571036E-2</v>
      </c>
      <c r="Z36" s="9">
        <f t="shared" si="36"/>
        <v>6.2511330240356378E-2</v>
      </c>
      <c r="AA36" s="9">
        <f t="shared" si="36"/>
        <v>4.2234167995673033E-2</v>
      </c>
      <c r="AB36" s="9">
        <f t="shared" si="36"/>
        <v>3.4342206994318003E-2</v>
      </c>
      <c r="AC36" s="9">
        <f t="shared" si="36"/>
        <v>2.7943449508512685E-2</v>
      </c>
      <c r="AD36" s="9">
        <f t="shared" si="36"/>
        <v>2.7987600064759421E-2</v>
      </c>
      <c r="AE36" s="9">
        <f t="shared" si="36"/>
        <v>2.8032100311283559E-2</v>
      </c>
      <c r="AH36" t="s">
        <v>68</v>
      </c>
      <c r="AI36" s="4">
        <f>Main!D8</f>
        <v>-989.69999999999993</v>
      </c>
    </row>
    <row r="37" spans="2:35" x14ac:dyDescent="0.3">
      <c r="B37" t="s">
        <v>56</v>
      </c>
      <c r="F37" s="9">
        <f t="shared" ref="F37:M40" si="37">(F3-F8)/F3</f>
        <v>0.38145474736257629</v>
      </c>
      <c r="G37" s="9">
        <f t="shared" si="37"/>
        <v>0.33092410944759937</v>
      </c>
      <c r="H37" s="9">
        <f t="shared" si="37"/>
        <v>0.32370749883558453</v>
      </c>
      <c r="I37" s="9">
        <f t="shared" si="37"/>
        <v>0.40065573770491797</v>
      </c>
      <c r="J37" s="9">
        <f t="shared" si="37"/>
        <v>0.3411000763941941</v>
      </c>
      <c r="K37" s="9">
        <f t="shared" si="37"/>
        <v>0.24511082138200788</v>
      </c>
      <c r="L37" s="9">
        <f t="shared" si="37"/>
        <v>0.28722934158197083</v>
      </c>
      <c r="M37" s="9">
        <f>(M3-M8)/M3</f>
        <v>0.33661248930710014</v>
      </c>
      <c r="N37" s="9">
        <f>(N3-N8)/N3</f>
        <v>0.39</v>
      </c>
      <c r="P37" s="9">
        <f>(P3-P8)/P3</f>
        <v>0.35846509834168921</v>
      </c>
      <c r="Q37" s="9">
        <f>(Q3-Q8)/Q3</f>
        <v>0.28907309721175584</v>
      </c>
      <c r="R37" s="9">
        <f t="shared" ref="R37:T37" si="38">(R3-R8)/R3</f>
        <v>0.30032928352446914</v>
      </c>
      <c r="S37" s="9">
        <f t="shared" si="38"/>
        <v>0.35387612797374912</v>
      </c>
      <c r="T37" s="9">
        <f t="shared" si="38"/>
        <v>0.32277159856647458</v>
      </c>
      <c r="U37" s="9">
        <f t="shared" ref="U37:AE37" si="39">(U3-U8)/U3</f>
        <v>0.32999999999999996</v>
      </c>
      <c r="V37" s="9">
        <f t="shared" si="39"/>
        <v>0.32999999999999996</v>
      </c>
      <c r="W37" s="9">
        <f t="shared" si="39"/>
        <v>0.3299999999999999</v>
      </c>
      <c r="X37" s="9">
        <f t="shared" si="39"/>
        <v>0.32999999999999996</v>
      </c>
      <c r="Y37" s="9">
        <f t="shared" si="39"/>
        <v>0.32999999999999996</v>
      </c>
      <c r="Z37" s="9">
        <f t="shared" si="39"/>
        <v>0.32999999999999996</v>
      </c>
      <c r="AA37" s="9">
        <f t="shared" si="39"/>
        <v>0.3299999999999999</v>
      </c>
      <c r="AB37" s="9">
        <f t="shared" si="39"/>
        <v>0.32999999999999996</v>
      </c>
      <c r="AC37" s="9">
        <f t="shared" si="39"/>
        <v>0.32999999999999996</v>
      </c>
      <c r="AD37" s="9">
        <f t="shared" si="39"/>
        <v>0.3299999999999999</v>
      </c>
      <c r="AE37" s="9">
        <f t="shared" si="39"/>
        <v>0.32999999999999996</v>
      </c>
      <c r="AH37" t="s">
        <v>69</v>
      </c>
      <c r="AI37" s="4">
        <f>AI35+AI36</f>
        <v>-931.73133314477218</v>
      </c>
    </row>
    <row r="38" spans="2:35" x14ac:dyDescent="0.3">
      <c r="B38" t="s">
        <v>57</v>
      </c>
      <c r="F38" s="9">
        <f t="shared" si="37"/>
        <v>-7.175925925925912E-2</v>
      </c>
      <c r="G38" s="9">
        <f t="shared" si="37"/>
        <v>-0.22439024390243908</v>
      </c>
      <c r="H38" s="9">
        <f t="shared" si="37"/>
        <v>-0.11157024793388427</v>
      </c>
      <c r="I38" s="9">
        <f t="shared" si="37"/>
        <v>-0.18264840182648404</v>
      </c>
      <c r="J38" s="9">
        <f t="shared" si="37"/>
        <v>-7.3076923076923025E-2</v>
      </c>
      <c r="K38" s="9">
        <f t="shared" si="37"/>
        <v>-0.35087719298245612</v>
      </c>
      <c r="L38" s="9">
        <f t="shared" si="37"/>
        <v>-3.747072599531602E-2</v>
      </c>
      <c r="M38" s="9">
        <f t="shared" ref="M38:N40" si="40">(M4-M9)/M4</f>
        <v>-0.11214953271028041</v>
      </c>
      <c r="N38" s="9">
        <f t="shared" si="40"/>
        <v>9.9999999999999964E-2</v>
      </c>
      <c r="P38" s="9">
        <f t="shared" ref="P38" si="41">(P4-P9)/P4</f>
        <v>-0.1432777232580961</v>
      </c>
      <c r="Q38" s="9">
        <f t="shared" ref="Q38:T40" si="42">(Q4-Q9)/Q4</f>
        <v>-0.14672216441207087</v>
      </c>
      <c r="R38" s="9">
        <f t="shared" si="42"/>
        <v>-0.13029315960912052</v>
      </c>
      <c r="S38" s="9">
        <f t="shared" si="42"/>
        <v>-0.14254859611231122</v>
      </c>
      <c r="T38" s="9">
        <f t="shared" si="42"/>
        <v>-4.2332268370607003E-2</v>
      </c>
      <c r="U38" s="9">
        <f t="shared" ref="U38:AE38" si="43">(U4-U9)/U4</f>
        <v>2.0000000000000035E-2</v>
      </c>
      <c r="V38" s="9">
        <f t="shared" si="43"/>
        <v>0.04</v>
      </c>
      <c r="W38" s="9">
        <f t="shared" si="43"/>
        <v>0.05</v>
      </c>
      <c r="X38" s="9">
        <f t="shared" si="43"/>
        <v>5.0000000000000079E-2</v>
      </c>
      <c r="Y38" s="9">
        <f t="shared" si="43"/>
        <v>5.0000000000000072E-2</v>
      </c>
      <c r="Z38" s="9">
        <f t="shared" si="43"/>
        <v>5.0000000000000072E-2</v>
      </c>
      <c r="AA38" s="9">
        <f t="shared" si="43"/>
        <v>5.0000000000000051E-2</v>
      </c>
      <c r="AB38" s="9">
        <f t="shared" si="43"/>
        <v>4.9999999999999975E-2</v>
      </c>
      <c r="AC38" s="9">
        <f t="shared" si="43"/>
        <v>5.0000000000000017E-2</v>
      </c>
      <c r="AD38" s="9">
        <f t="shared" si="43"/>
        <v>5.0000000000000031E-2</v>
      </c>
      <c r="AE38" s="9">
        <f t="shared" si="43"/>
        <v>4.9999999999999982E-2</v>
      </c>
      <c r="AH38" t="s">
        <v>70</v>
      </c>
      <c r="AI38" s="7">
        <f>AI37/AE29</f>
        <v>-4.0758151056201761</v>
      </c>
    </row>
    <row r="39" spans="2:35" x14ac:dyDescent="0.3">
      <c r="B39" t="s">
        <v>58</v>
      </c>
      <c r="F39" s="9">
        <f t="shared" si="37"/>
        <v>-9.7744360902255606E-2</v>
      </c>
      <c r="G39" s="9">
        <f t="shared" si="37"/>
        <v>-0.25798525798525795</v>
      </c>
      <c r="H39" s="9">
        <f t="shared" si="37"/>
        <v>-0.3546099290780142</v>
      </c>
      <c r="I39" s="9">
        <f t="shared" si="37"/>
        <v>-0.20842105263157892</v>
      </c>
      <c r="J39" s="9">
        <f t="shared" si="37"/>
        <v>-4.7528517110266157E-2</v>
      </c>
      <c r="K39" s="9">
        <f t="shared" si="37"/>
        <v>-1.7730496453900962E-3</v>
      </c>
      <c r="L39" s="9">
        <f t="shared" si="37"/>
        <v>1.9047619047619319E-3</v>
      </c>
      <c r="M39" s="9">
        <f t="shared" si="40"/>
        <v>-1.1811023622047273E-2</v>
      </c>
      <c r="N39" s="9">
        <f t="shared" si="40"/>
        <v>0</v>
      </c>
      <c r="P39" s="9">
        <f t="shared" ref="P39" si="44">(P5-P10)/P5</f>
        <v>-0.20711678832116806</v>
      </c>
      <c r="Q39" s="9">
        <f t="shared" si="42"/>
        <v>-2.8432732316227623E-2</v>
      </c>
      <c r="R39" s="9">
        <f t="shared" si="42"/>
        <v>-0.11589403973509933</v>
      </c>
      <c r="S39" s="9">
        <f t="shared" si="42"/>
        <v>-0.20699071545603498</v>
      </c>
      <c r="T39" s="9">
        <f t="shared" si="42"/>
        <v>-2.7780092785510955E-3</v>
      </c>
      <c r="U39" s="9">
        <f t="shared" ref="U39:AE39" si="45">(U5-U10)/U5</f>
        <v>7.9999999999999974E-2</v>
      </c>
      <c r="V39" s="9">
        <f t="shared" si="45"/>
        <v>0.12999999999999998</v>
      </c>
      <c r="W39" s="9">
        <f t="shared" si="45"/>
        <v>0.16000000000000006</v>
      </c>
      <c r="X39" s="9">
        <f t="shared" si="45"/>
        <v>0.17000000000000004</v>
      </c>
      <c r="Y39" s="9">
        <f t="shared" si="45"/>
        <v>0.16999999999999998</v>
      </c>
      <c r="Z39" s="9">
        <f t="shared" si="45"/>
        <v>0.17</v>
      </c>
      <c r="AA39" s="9">
        <f t="shared" si="45"/>
        <v>0.16999999999999998</v>
      </c>
      <c r="AB39" s="9">
        <f t="shared" si="45"/>
        <v>0.16999999999999998</v>
      </c>
      <c r="AC39" s="9">
        <f t="shared" si="45"/>
        <v>0.1700000000000001</v>
      </c>
      <c r="AD39" s="9">
        <f t="shared" si="45"/>
        <v>0.17000000000000004</v>
      </c>
      <c r="AE39" s="9">
        <f t="shared" si="45"/>
        <v>0.16999999999999996</v>
      </c>
      <c r="AH39" t="s">
        <v>71</v>
      </c>
      <c r="AI39" s="7">
        <f>Main!D3</f>
        <v>24.61</v>
      </c>
    </row>
    <row r="40" spans="2:35" x14ac:dyDescent="0.3">
      <c r="B40" t="s">
        <v>59</v>
      </c>
      <c r="F40" s="9">
        <f t="shared" si="37"/>
        <v>-3.072916666666667</v>
      </c>
      <c r="G40" s="9">
        <f t="shared" si="37"/>
        <v>0.26108374384236455</v>
      </c>
      <c r="H40" s="9">
        <f t="shared" si="37"/>
        <v>0.21717171717171721</v>
      </c>
      <c r="I40" s="9">
        <f t="shared" si="37"/>
        <v>-4.4031007751937983</v>
      </c>
      <c r="J40" s="9">
        <f t="shared" si="37"/>
        <v>0.44848484848484849</v>
      </c>
      <c r="K40" s="9">
        <f t="shared" si="37"/>
        <v>0.31428571428571433</v>
      </c>
      <c r="L40" s="9">
        <f t="shared" si="37"/>
        <v>0.35211267605633806</v>
      </c>
      <c r="M40" s="9">
        <f t="shared" si="40"/>
        <v>0.31159420289855078</v>
      </c>
      <c r="N40" s="9">
        <f t="shared" si="40"/>
        <v>0.37999999999999995</v>
      </c>
      <c r="P40" s="9">
        <f t="shared" ref="P40" si="46">(P6-P11)/P6</f>
        <v>0.26833073322932915</v>
      </c>
      <c r="Q40" s="9">
        <f t="shared" si="42"/>
        <v>0.35087719298245623</v>
      </c>
      <c r="R40" s="9">
        <f t="shared" si="42"/>
        <v>-1.1498673740053047</v>
      </c>
      <c r="S40" s="9">
        <f t="shared" si="42"/>
        <v>-1.1723300970873785</v>
      </c>
      <c r="T40" s="9">
        <f t="shared" si="42"/>
        <v>0.33966086568496207</v>
      </c>
      <c r="U40" s="9">
        <f t="shared" ref="U40:AE40" si="47">(U6-U11)/U6</f>
        <v>0.34</v>
      </c>
      <c r="V40" s="9">
        <f t="shared" si="47"/>
        <v>0.33999999999999997</v>
      </c>
      <c r="W40" s="9">
        <f t="shared" si="47"/>
        <v>0.33999999999999997</v>
      </c>
      <c r="X40" s="9">
        <f t="shared" si="47"/>
        <v>0.33999999999999991</v>
      </c>
      <c r="Y40" s="9">
        <f t="shared" si="47"/>
        <v>0.33999999999999997</v>
      </c>
      <c r="Z40" s="9">
        <f t="shared" si="47"/>
        <v>0.34</v>
      </c>
      <c r="AA40" s="9">
        <f t="shared" si="47"/>
        <v>0.33999999999999991</v>
      </c>
      <c r="AB40" s="9">
        <f t="shared" si="47"/>
        <v>0.33999999999999997</v>
      </c>
      <c r="AC40" s="9">
        <f t="shared" si="47"/>
        <v>0.33999999999999997</v>
      </c>
      <c r="AD40" s="9">
        <f t="shared" si="47"/>
        <v>0.33999999999999991</v>
      </c>
      <c r="AE40" s="9">
        <f t="shared" si="47"/>
        <v>0.34</v>
      </c>
      <c r="AH40" s="1" t="s">
        <v>72</v>
      </c>
      <c r="AI40" s="10">
        <f>AI38/AI39-1</f>
        <v>-1.1656162172133351</v>
      </c>
    </row>
    <row r="41" spans="2:35" x14ac:dyDescent="0.3">
      <c r="B41" t="s">
        <v>50</v>
      </c>
      <c r="F41" s="9">
        <f t="shared" ref="F41:M41" si="48">F13/F7</f>
        <v>0.15437837837837823</v>
      </c>
      <c r="G41" s="9">
        <f t="shared" si="48"/>
        <v>0.19731104651162795</v>
      </c>
      <c r="H41" s="9">
        <f t="shared" si="48"/>
        <v>0.18637873754152831</v>
      </c>
      <c r="I41" s="9">
        <f t="shared" si="48"/>
        <v>-1.3243378310844607E-2</v>
      </c>
      <c r="J41" s="9">
        <f t="shared" si="48"/>
        <v>0.25861585878397308</v>
      </c>
      <c r="K41" s="9">
        <f t="shared" si="48"/>
        <v>0.16113945578231306</v>
      </c>
      <c r="L41" s="9">
        <f t="shared" si="48"/>
        <v>0.20405123622281801</v>
      </c>
      <c r="M41" s="9">
        <f>M13/M7</f>
        <v>0.23842662632375197</v>
      </c>
      <c r="N41" s="9">
        <f>N13/N7</f>
        <v>0.29670769823779314</v>
      </c>
      <c r="P41" s="9">
        <f>P13/P7</f>
        <v>0.2087635356333418</v>
      </c>
      <c r="Q41" s="9">
        <f>Q13/Q7</f>
        <v>0.20325036000822869</v>
      </c>
      <c r="R41" s="9">
        <f t="shared" ref="R41:T41" si="49">R13/R7</f>
        <v>0.12366577718478998</v>
      </c>
      <c r="S41" s="9">
        <f t="shared" si="49"/>
        <v>0.14805370134253365</v>
      </c>
      <c r="T41" s="9">
        <f t="shared" si="49"/>
        <v>0.23139786107381441</v>
      </c>
      <c r="U41" s="9">
        <f t="shared" ref="U41:AE41" si="50">U13/U7</f>
        <v>0.24666133735877813</v>
      </c>
      <c r="V41" s="9">
        <f t="shared" si="50"/>
        <v>0.25269524131934273</v>
      </c>
      <c r="W41" s="9">
        <f t="shared" si="50"/>
        <v>0.25717411170625731</v>
      </c>
      <c r="X41" s="9">
        <f t="shared" si="50"/>
        <v>0.25812434666700945</v>
      </c>
      <c r="Y41" s="9">
        <f t="shared" si="50"/>
        <v>0.25951730005071066</v>
      </c>
      <c r="Z41" s="9">
        <f t="shared" si="50"/>
        <v>0.26149467173437257</v>
      </c>
      <c r="AA41" s="9">
        <f t="shared" si="50"/>
        <v>0.26254256039011653</v>
      </c>
      <c r="AB41" s="9">
        <f t="shared" si="50"/>
        <v>0.26349175888049453</v>
      </c>
      <c r="AC41" s="9">
        <f t="shared" si="50"/>
        <v>0.2640198316461117</v>
      </c>
      <c r="AD41" s="9">
        <f t="shared" si="50"/>
        <v>0.2645469381256732</v>
      </c>
      <c r="AE41" s="9">
        <f t="shared" si="50"/>
        <v>0.26507306855028129</v>
      </c>
      <c r="AH41" t="s">
        <v>73</v>
      </c>
      <c r="AI41" s="5" t="s">
        <v>74</v>
      </c>
    </row>
    <row r="42" spans="2:35" x14ac:dyDescent="0.3">
      <c r="B42" t="s">
        <v>60</v>
      </c>
      <c r="F42" s="9"/>
      <c r="G42" s="9"/>
      <c r="H42" s="9"/>
      <c r="I42" s="9"/>
      <c r="J42" s="9">
        <f t="shared" ref="J42:L42" si="51">J14/F14-1</f>
        <v>-0.12271540469973885</v>
      </c>
      <c r="K42" s="9">
        <f t="shared" si="51"/>
        <v>-0.22319474835886222</v>
      </c>
      <c r="L42" s="9">
        <f t="shared" si="51"/>
        <v>-9.8795180722891618E-2</v>
      </c>
      <c r="M42" s="9">
        <f>M14/I14-1</f>
        <v>3.4188034188034067E-2</v>
      </c>
      <c r="N42" s="9">
        <f>N14/J14-1</f>
        <v>3.0000000000000027E-2</v>
      </c>
      <c r="P42" s="9"/>
      <c r="Q42" s="9">
        <f>Q14/P14-1</f>
        <v>0.23684210526315796</v>
      </c>
      <c r="R42" s="9">
        <f t="shared" ref="R42:T42" si="52">R14/Q14-1</f>
        <v>0.45647969052224369</v>
      </c>
      <c r="S42" s="9">
        <f t="shared" si="52"/>
        <v>3.5192563081009265E-2</v>
      </c>
      <c r="T42" s="9">
        <f t="shared" si="52"/>
        <v>-7.7562540089801235E-2</v>
      </c>
      <c r="U42" s="9">
        <f t="shared" ref="U42:AE42" si="53">U14/T14-1</f>
        <v>5.0000000000000044E-2</v>
      </c>
      <c r="V42" s="9">
        <f t="shared" si="53"/>
        <v>4.0000000000000036E-2</v>
      </c>
      <c r="W42" s="9">
        <f t="shared" si="53"/>
        <v>3.0000000000000027E-2</v>
      </c>
      <c r="X42" s="9">
        <f t="shared" si="53"/>
        <v>3.0000000000000027E-2</v>
      </c>
      <c r="Y42" s="9">
        <f t="shared" si="53"/>
        <v>3.0000000000000027E-2</v>
      </c>
      <c r="Z42" s="9">
        <f t="shared" si="53"/>
        <v>3.0000000000000027E-2</v>
      </c>
      <c r="AA42" s="9">
        <f t="shared" si="53"/>
        <v>2.0000000000000018E-2</v>
      </c>
      <c r="AB42" s="9">
        <f t="shared" si="53"/>
        <v>2.0000000000000018E-2</v>
      </c>
      <c r="AC42" s="9">
        <f t="shared" si="53"/>
        <v>2.0000000000000018E-2</v>
      </c>
      <c r="AD42" s="9">
        <f t="shared" si="53"/>
        <v>2.0000000000000018E-2</v>
      </c>
      <c r="AE42" s="9">
        <f t="shared" si="53"/>
        <v>2.0000000000000018E-2</v>
      </c>
    </row>
    <row r="43" spans="2:35" x14ac:dyDescent="0.3">
      <c r="B43" t="s">
        <v>61</v>
      </c>
      <c r="F43" s="9">
        <f t="shared" ref="F43:M43" si="54">F15/F7</f>
        <v>5.6000000000000001E-2</v>
      </c>
      <c r="G43" s="9">
        <f t="shared" si="54"/>
        <v>9.8473837209302334E-2</v>
      </c>
      <c r="H43" s="9">
        <f t="shared" si="54"/>
        <v>8.9036544850498348E-2</v>
      </c>
      <c r="I43" s="9">
        <f t="shared" si="54"/>
        <v>4.9975012493753128E-2</v>
      </c>
      <c r="J43" s="9">
        <f t="shared" si="54"/>
        <v>4.4830484729616135E-2</v>
      </c>
      <c r="K43" s="9">
        <f t="shared" si="54"/>
        <v>5.7823129251700675E-2</v>
      </c>
      <c r="L43" s="9">
        <f t="shared" si="54"/>
        <v>5.3321417932677986E-2</v>
      </c>
      <c r="M43" s="9">
        <f>M15/M7</f>
        <v>4.4478063540090762E-2</v>
      </c>
      <c r="N43" s="9">
        <f>N15/N7</f>
        <v>0.05</v>
      </c>
      <c r="P43" s="9">
        <f>P15/P7</f>
        <v>7.0385293376983127E-2</v>
      </c>
      <c r="Q43" s="9">
        <f>Q15/Q7</f>
        <v>8.8973462250565738E-2</v>
      </c>
      <c r="R43" s="9">
        <f t="shared" ref="R43:T43" si="55">R15/R7</f>
        <v>7.5800533689126065E-2</v>
      </c>
      <c r="S43" s="9">
        <f t="shared" si="55"/>
        <v>6.7426685667141689E-2</v>
      </c>
      <c r="T43" s="9">
        <f t="shared" si="55"/>
        <v>5.0897240548603048E-2</v>
      </c>
      <c r="U43" s="9">
        <f t="shared" ref="U43:AE43" si="56">U15/U7</f>
        <v>5.000000000000001E-2</v>
      </c>
      <c r="V43" s="9">
        <f t="shared" si="56"/>
        <v>0.06</v>
      </c>
      <c r="W43" s="9">
        <f t="shared" si="56"/>
        <v>0.06</v>
      </c>
      <c r="X43" s="9">
        <f t="shared" si="56"/>
        <v>0.06</v>
      </c>
      <c r="Y43" s="9">
        <f t="shared" si="56"/>
        <v>0.06</v>
      </c>
      <c r="Z43" s="9">
        <f t="shared" si="56"/>
        <v>0.06</v>
      </c>
      <c r="AA43" s="9">
        <f t="shared" si="56"/>
        <v>0.06</v>
      </c>
      <c r="AB43" s="9">
        <f t="shared" si="56"/>
        <v>0.06</v>
      </c>
      <c r="AC43" s="9">
        <f t="shared" si="56"/>
        <v>0.06</v>
      </c>
      <c r="AD43" s="9">
        <f t="shared" si="56"/>
        <v>6.0000000000000005E-2</v>
      </c>
      <c r="AE43" s="9">
        <f t="shared" si="56"/>
        <v>0.06</v>
      </c>
    </row>
    <row r="44" spans="2:35" x14ac:dyDescent="0.3">
      <c r="B44" t="s">
        <v>62</v>
      </c>
      <c r="F44" s="9"/>
      <c r="G44" s="9"/>
      <c r="H44" s="9"/>
      <c r="I44" s="9"/>
      <c r="J44" s="9">
        <f t="shared" ref="J44" si="57">J16/F16-1</f>
        <v>-0.37447698744769875</v>
      </c>
      <c r="K44" s="9">
        <f t="shared" ref="K44" si="58">K16/G16-1</f>
        <v>-0.15742793791574283</v>
      </c>
      <c r="L44" s="9">
        <f t="shared" ref="L44" si="59">L16/H16-1</f>
        <v>-0.14352941176470591</v>
      </c>
      <c r="M44" s="9">
        <f t="shared" ref="M44:N44" si="60">M16/I16-1</f>
        <v>-0.13824884792626724</v>
      </c>
      <c r="N44" s="9">
        <f t="shared" si="60"/>
        <v>2.0000000000000018E-2</v>
      </c>
      <c r="P44" s="9"/>
      <c r="Q44" s="9">
        <f>Q16/P16-1</f>
        <v>0.14098972922502351</v>
      </c>
      <c r="R44" s="9">
        <f t="shared" ref="R44:T44" si="61">R16/Q16-1</f>
        <v>0.37234042553191471</v>
      </c>
      <c r="S44" s="9">
        <f t="shared" si="61"/>
        <v>-4.054859868813343E-2</v>
      </c>
      <c r="T44" s="9">
        <f t="shared" si="61"/>
        <v>-0.11561218147917962</v>
      </c>
      <c r="U44" s="9">
        <f t="shared" ref="U44:AE44" si="62">U16/T16-1</f>
        <v>5.0000000000000044E-2</v>
      </c>
      <c r="V44" s="9">
        <f t="shared" si="62"/>
        <v>4.0000000000000036E-2</v>
      </c>
      <c r="W44" s="9">
        <f t="shared" si="62"/>
        <v>3.0000000000000027E-2</v>
      </c>
      <c r="X44" s="9">
        <f t="shared" si="62"/>
        <v>3.0000000000000027E-2</v>
      </c>
      <c r="Y44" s="9">
        <f t="shared" si="62"/>
        <v>3.0000000000000027E-2</v>
      </c>
      <c r="Z44" s="9">
        <f t="shared" si="62"/>
        <v>2.0000000000000018E-2</v>
      </c>
      <c r="AA44" s="9">
        <f t="shared" si="62"/>
        <v>2.0000000000000018E-2</v>
      </c>
      <c r="AB44" s="9">
        <f t="shared" si="62"/>
        <v>2.0000000000000018E-2</v>
      </c>
      <c r="AC44" s="9">
        <f t="shared" si="62"/>
        <v>2.0000000000000018E-2</v>
      </c>
      <c r="AD44" s="9">
        <f t="shared" si="62"/>
        <v>2.0000000000000018E-2</v>
      </c>
      <c r="AE44" s="9">
        <f t="shared" si="62"/>
        <v>2.0000000000000018E-2</v>
      </c>
    </row>
    <row r="45" spans="2:35" x14ac:dyDescent="0.3">
      <c r="B45" t="s">
        <v>63</v>
      </c>
      <c r="F45" s="9">
        <f t="shared" ref="F45:M45" si="63">F18/F7</f>
        <v>-8.7783783783783931E-2</v>
      </c>
      <c r="G45" s="9">
        <f t="shared" si="63"/>
        <v>-0.23110465116279069</v>
      </c>
      <c r="H45" s="9">
        <f t="shared" si="63"/>
        <v>-0.18172757475083048</v>
      </c>
      <c r="I45" s="9">
        <f t="shared" si="63"/>
        <v>-0.25937031484257872</v>
      </c>
      <c r="J45" s="9">
        <f t="shared" si="63"/>
        <v>3.5864387783692941E-2</v>
      </c>
      <c r="K45" s="9">
        <f t="shared" si="63"/>
        <v>-0.20918367346938757</v>
      </c>
      <c r="L45" s="9">
        <f t="shared" si="63"/>
        <v>-6.9109323801012784E-2</v>
      </c>
      <c r="M45" s="9">
        <f>M18/M7</f>
        <v>-2.9046898638426518E-2</v>
      </c>
      <c r="N45" s="9">
        <f>N18/N7</f>
        <v>6.4855998458173691E-2</v>
      </c>
      <c r="P45" s="9">
        <f>P18/P7</f>
        <v>-0.10173759758247283</v>
      </c>
      <c r="Q45" s="9">
        <f>Q18/Q7</f>
        <v>-0.11777412055132701</v>
      </c>
      <c r="R45" s="9">
        <f t="shared" ref="R45:T45" si="64">R18/R7</f>
        <v>-0.21756170780520326</v>
      </c>
      <c r="S45" s="9">
        <f t="shared" si="64"/>
        <v>-0.15697892447311179</v>
      </c>
      <c r="T45" s="9">
        <f t="shared" si="64"/>
        <v>-4.6672746199233339E-2</v>
      </c>
      <c r="U45" s="9">
        <f t="shared" ref="U45:AE45" si="65">U18/U7</f>
        <v>-2.3758714629048348E-2</v>
      </c>
      <c r="V45" s="9">
        <f t="shared" si="65"/>
        <v>-1.7348081995926114E-2</v>
      </c>
      <c r="W45" s="9">
        <f t="shared" si="65"/>
        <v>1.5839157683216671E-3</v>
      </c>
      <c r="X45" s="9">
        <f t="shared" si="65"/>
        <v>1.4078420093826705E-2</v>
      </c>
      <c r="Y45" s="9">
        <f t="shared" si="65"/>
        <v>2.4406965285654482E-2</v>
      </c>
      <c r="Z45" s="9">
        <f t="shared" si="65"/>
        <v>3.2562154046448154E-2</v>
      </c>
      <c r="AA45" s="9">
        <f t="shared" si="65"/>
        <v>3.7213910329587825E-2</v>
      </c>
      <c r="AB45" s="9">
        <f t="shared" si="65"/>
        <v>4.0455558751163814E-2</v>
      </c>
      <c r="AC45" s="9">
        <f t="shared" si="65"/>
        <v>4.2243496370636811E-2</v>
      </c>
      <c r="AD45" s="9">
        <f t="shared" si="65"/>
        <v>4.4027626442741101E-2</v>
      </c>
      <c r="AE45" s="9">
        <f t="shared" si="65"/>
        <v>4.5807907601499567E-2</v>
      </c>
    </row>
    <row r="46" spans="2:35" x14ac:dyDescent="0.3">
      <c r="B46" t="s">
        <v>34</v>
      </c>
      <c r="F46" s="9">
        <f t="shared" ref="F46:M46" si="66">F26/F25</f>
        <v>7.1005917159763218E-2</v>
      </c>
      <c r="G46" s="9">
        <f t="shared" si="66"/>
        <v>-4.0268456375838922E-3</v>
      </c>
      <c r="H46" s="9">
        <f t="shared" si="66"/>
        <v>-2.8943560057887135E-3</v>
      </c>
      <c r="I46" s="9">
        <f t="shared" si="66"/>
        <v>-3.582089552238806E-3</v>
      </c>
      <c r="J46" s="9">
        <f t="shared" si="66"/>
        <v>0.16666666666666627</v>
      </c>
      <c r="K46" s="9">
        <f t="shared" si="66"/>
        <v>8.7412587412587471E-3</v>
      </c>
      <c r="L46" s="9">
        <f t="shared" si="66"/>
        <v>-1.4876033057851241E-2</v>
      </c>
      <c r="M46" s="9">
        <f>M26/M25</f>
        <v>-6.8965517241379466E-3</v>
      </c>
      <c r="N46" s="9">
        <f>N26/N25</f>
        <v>0</v>
      </c>
      <c r="P46" s="9">
        <f>P26/P25</f>
        <v>-1.6778523489932892E-3</v>
      </c>
      <c r="Q46" s="9">
        <f>Q26/Q25</f>
        <v>-5.2029136316337123E-3</v>
      </c>
      <c r="R46" s="9">
        <f t="shared" ref="R46:T46" si="67">R26/R25</f>
        <v>-3.5043007327174285E-3</v>
      </c>
      <c r="S46" s="9">
        <f t="shared" si="67"/>
        <v>-6.2030688867123745E-3</v>
      </c>
      <c r="T46" s="9">
        <f t="shared" si="67"/>
        <v>-4.2379902772027109E-3</v>
      </c>
      <c r="U46" s="9">
        <f t="shared" ref="U46:AE46" si="68">U26/U25</f>
        <v>0.05</v>
      </c>
      <c r="V46" s="9">
        <f t="shared" si="68"/>
        <v>0.05</v>
      </c>
      <c r="W46" s="9">
        <f t="shared" si="68"/>
        <v>0.05</v>
      </c>
      <c r="X46" s="9">
        <f t="shared" si="68"/>
        <v>5.000000000000001E-2</v>
      </c>
      <c r="Y46" s="9">
        <f t="shared" si="68"/>
        <v>0.05</v>
      </c>
      <c r="Z46" s="9">
        <f t="shared" si="68"/>
        <v>0.05</v>
      </c>
      <c r="AA46" s="9">
        <f t="shared" si="68"/>
        <v>0.05</v>
      </c>
      <c r="AB46" s="9">
        <f t="shared" si="68"/>
        <v>0.05</v>
      </c>
      <c r="AC46" s="9">
        <f t="shared" si="68"/>
        <v>0.05</v>
      </c>
      <c r="AD46" s="9">
        <f t="shared" si="68"/>
        <v>0.05</v>
      </c>
      <c r="AE46" s="9">
        <f t="shared" si="68"/>
        <v>0.05</v>
      </c>
    </row>
    <row r="47" spans="2:35" x14ac:dyDescent="0.3">
      <c r="B47" t="s">
        <v>35</v>
      </c>
      <c r="F47" s="9">
        <f t="shared" ref="F47:M47" si="69">F27/F25</f>
        <v>0</v>
      </c>
      <c r="G47" s="9">
        <f t="shared" si="69"/>
        <v>4.5637583892617448E-2</v>
      </c>
      <c r="H47" s="9">
        <f t="shared" si="69"/>
        <v>4.3415340086830699E-2</v>
      </c>
      <c r="I47" s="9">
        <f t="shared" si="69"/>
        <v>-5.3731343283582094E-3</v>
      </c>
      <c r="J47" s="9">
        <f t="shared" si="69"/>
        <v>-8.3333333333333134E-2</v>
      </c>
      <c r="K47" s="9">
        <f t="shared" si="69"/>
        <v>-1.7482517482517494E-2</v>
      </c>
      <c r="L47" s="9">
        <f t="shared" si="69"/>
        <v>-9.9173553719008271E-3</v>
      </c>
      <c r="M47" s="9">
        <f>M27/M25</f>
        <v>-6.8965517241379466E-3</v>
      </c>
      <c r="N47" s="9">
        <f>N27/N25</f>
        <v>0</v>
      </c>
      <c r="P47" s="9">
        <f>P27/P25</f>
        <v>0.12024608501118574</v>
      </c>
      <c r="Q47" s="9">
        <f>Q27/Q25</f>
        <v>0.15036420395421426</v>
      </c>
      <c r="R47" s="9">
        <f t="shared" ref="R47:T47" si="70">R27/R25</f>
        <v>4.3644472762026154E-2</v>
      </c>
      <c r="S47" s="9">
        <f t="shared" si="70"/>
        <v>1.9262161279791058E-2</v>
      </c>
      <c r="T47" s="9">
        <f t="shared" si="70"/>
        <v>-1.440916694248922E-2</v>
      </c>
      <c r="U47" s="9">
        <f t="shared" ref="U47:AE47" si="71">U27/U25</f>
        <v>0.02</v>
      </c>
      <c r="V47" s="9">
        <f t="shared" si="71"/>
        <v>0.02</v>
      </c>
      <c r="W47" s="9">
        <f t="shared" si="71"/>
        <v>0.02</v>
      </c>
      <c r="X47" s="9">
        <f t="shared" si="71"/>
        <v>0.02</v>
      </c>
      <c r="Y47" s="9">
        <f t="shared" si="71"/>
        <v>0.02</v>
      </c>
      <c r="Z47" s="9">
        <f t="shared" si="71"/>
        <v>0.02</v>
      </c>
      <c r="AA47" s="9">
        <f t="shared" si="71"/>
        <v>0.02</v>
      </c>
      <c r="AB47" s="9">
        <f t="shared" si="71"/>
        <v>0.02</v>
      </c>
      <c r="AC47" s="9">
        <f t="shared" si="71"/>
        <v>0.02</v>
      </c>
      <c r="AD47" s="9">
        <f t="shared" si="71"/>
        <v>0.02</v>
      </c>
      <c r="AE47" s="9">
        <f t="shared" si="71"/>
        <v>0.02</v>
      </c>
    </row>
    <row r="48" spans="2:35" x14ac:dyDescent="0.3">
      <c r="B48" t="s">
        <v>64</v>
      </c>
      <c r="F48" s="9">
        <f t="shared" ref="F48:M48" si="72">F28/F7</f>
        <v>-0.10183783783783799</v>
      </c>
      <c r="G48" s="9">
        <f t="shared" si="72"/>
        <v>-0.25944767441860461</v>
      </c>
      <c r="H48" s="9">
        <f t="shared" si="72"/>
        <v>-0.22026578073089689</v>
      </c>
      <c r="I48" s="9">
        <f t="shared" si="72"/>
        <v>-0.42228885557221391</v>
      </c>
      <c r="J48" s="9">
        <f t="shared" si="72"/>
        <v>1.2328383300644471E-2</v>
      </c>
      <c r="K48" s="9">
        <f t="shared" si="72"/>
        <v>-0.24532312925170049</v>
      </c>
      <c r="L48" s="9">
        <f t="shared" si="72"/>
        <v>-0.18468871015787905</v>
      </c>
      <c r="M48" s="9">
        <f>M28/M7</f>
        <v>-4.4478063540090665E-2</v>
      </c>
      <c r="N48" s="9">
        <f>N28/N7</f>
        <v>3.9717527379984664E-2</v>
      </c>
      <c r="P48" s="9">
        <f>P28/P7</f>
        <v>-0.19843868043314017</v>
      </c>
      <c r="Q48" s="9">
        <f>Q28/Q7</f>
        <v>-0.16899814852910935</v>
      </c>
      <c r="R48" s="9">
        <f t="shared" ref="R48:T48" si="73">R28/R7</f>
        <v>-0.25125083388925934</v>
      </c>
      <c r="S48" s="9">
        <f t="shared" si="73"/>
        <v>-0.22673066826670665</v>
      </c>
      <c r="T48" s="9">
        <f t="shared" si="73"/>
        <v>-9.5425462733947419E-2</v>
      </c>
      <c r="U48" s="9">
        <f t="shared" ref="U48:AE48" si="74">U28/U7</f>
        <v>-4.6664897718964149E-2</v>
      </c>
      <c r="V48" s="9">
        <f t="shared" si="74"/>
        <v>-3.9096116076781921E-2</v>
      </c>
      <c r="W48" s="9">
        <f t="shared" si="74"/>
        <v>-1.9701714712008295E-2</v>
      </c>
      <c r="X48" s="9">
        <f t="shared" si="74"/>
        <v>-6.638587285453355E-3</v>
      </c>
      <c r="Y48" s="9">
        <f t="shared" si="74"/>
        <v>4.1072096503015736E-3</v>
      </c>
      <c r="Z48" s="9">
        <f t="shared" si="74"/>
        <v>1.2435376241054353E-2</v>
      </c>
      <c r="AA48" s="9">
        <f t="shared" si="74"/>
        <v>1.7142251938526736E-2</v>
      </c>
      <c r="AB48" s="9">
        <f t="shared" si="74"/>
        <v>2.0399178323352082E-2</v>
      </c>
      <c r="AC48" s="9">
        <f t="shared" si="74"/>
        <v>2.2195062842619566E-2</v>
      </c>
      <c r="AD48" s="9">
        <f t="shared" si="74"/>
        <v>2.3987106168512313E-2</v>
      </c>
      <c r="AE48" s="9">
        <f t="shared" si="74"/>
        <v>2.5775266492495039E-2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2024-11-15T14:35:09Z</dcterms:created>
  <dcterms:modified xsi:type="dcterms:W3CDTF">2024-11-21T15:51:11Z</dcterms:modified>
</cp:coreProperties>
</file>