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CC4C3609-3F7B-493B-9991-0C1034F69886}" xr6:coauthVersionLast="45" xr6:coauthVersionMax="45" xr10:uidLastSave="{00000000-0000-0000-0000-000000000000}"/>
  <bookViews>
    <workbookView xWindow="-108" yWindow="-108" windowWidth="23256" windowHeight="12576" activeTab="1" xr2:uid="{3FB6399F-9796-40CD-A780-57F380D3A554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2" l="1"/>
  <c r="U16" i="2"/>
  <c r="V16" i="2"/>
  <c r="W16" i="2"/>
  <c r="X16" i="2"/>
  <c r="Y16" i="2"/>
  <c r="Z16" i="2"/>
  <c r="AA16" i="2"/>
  <c r="AB16" i="2"/>
  <c r="AC16" i="2"/>
  <c r="U11" i="2"/>
  <c r="V11" i="2" s="1"/>
  <c r="W11" i="2" s="1"/>
  <c r="X11" i="2" s="1"/>
  <c r="Y11" i="2" s="1"/>
  <c r="Z11" i="2" s="1"/>
  <c r="AA11" i="2" s="1"/>
  <c r="AB11" i="2" s="1"/>
  <c r="AC11" i="2" s="1"/>
  <c r="AC7" i="2"/>
  <c r="AB7" i="2"/>
  <c r="AA7" i="2"/>
  <c r="Z7" i="2"/>
  <c r="Y7" i="2"/>
  <c r="X7" i="2"/>
  <c r="W7" i="2"/>
  <c r="V7" i="2"/>
  <c r="U7" i="2"/>
  <c r="W3" i="2"/>
  <c r="X3" i="2" s="1"/>
  <c r="T3" i="2"/>
  <c r="U3" i="2"/>
  <c r="U6" i="2" s="1"/>
  <c r="U25" i="2" s="1"/>
  <c r="AA4" i="2"/>
  <c r="AB4" i="2" s="1"/>
  <c r="AC4" i="2" s="1"/>
  <c r="Z4" i="2"/>
  <c r="Y4" i="2"/>
  <c r="X4" i="2"/>
  <c r="W4" i="2"/>
  <c r="V4" i="2"/>
  <c r="U4" i="2"/>
  <c r="T4" i="2"/>
  <c r="AG31" i="2"/>
  <c r="AG28" i="2"/>
  <c r="W14" i="2"/>
  <c r="X14" i="2" s="1"/>
  <c r="Y14" i="2" s="1"/>
  <c r="Z14" i="2" s="1"/>
  <c r="AA14" i="2" s="1"/>
  <c r="AB14" i="2" s="1"/>
  <c r="AC14" i="2" s="1"/>
  <c r="V14" i="2"/>
  <c r="U14" i="2"/>
  <c r="T14" i="2"/>
  <c r="V13" i="2"/>
  <c r="W13" i="2" s="1"/>
  <c r="X13" i="2" s="1"/>
  <c r="Y13" i="2" s="1"/>
  <c r="Z13" i="2" s="1"/>
  <c r="AA13" i="2" s="1"/>
  <c r="AB13" i="2" s="1"/>
  <c r="AC13" i="2" s="1"/>
  <c r="U13" i="2"/>
  <c r="T13" i="2"/>
  <c r="AB10" i="2"/>
  <c r="AC10" i="2" s="1"/>
  <c r="AA10" i="2"/>
  <c r="Y10" i="2"/>
  <c r="Z10" i="2" s="1"/>
  <c r="W10" i="2"/>
  <c r="X10" i="2" s="1"/>
  <c r="V10" i="2"/>
  <c r="U10" i="2"/>
  <c r="T10" i="2"/>
  <c r="N20" i="2"/>
  <c r="N18" i="2"/>
  <c r="N15" i="2"/>
  <c r="N16" i="2" s="1"/>
  <c r="N12" i="2"/>
  <c r="N10" i="2"/>
  <c r="S10" i="2"/>
  <c r="T6" i="2"/>
  <c r="N7" i="2"/>
  <c r="N8" i="2" s="1"/>
  <c r="N9" i="2" s="1"/>
  <c r="S7" i="2"/>
  <c r="S26" i="2" s="1"/>
  <c r="N6" i="2"/>
  <c r="R26" i="2"/>
  <c r="Q26" i="2"/>
  <c r="R25" i="2"/>
  <c r="Q25" i="2"/>
  <c r="S24" i="2"/>
  <c r="S23" i="2"/>
  <c r="R23" i="2"/>
  <c r="S22" i="2"/>
  <c r="R22" i="2"/>
  <c r="N3" i="2"/>
  <c r="N22" i="2" s="1"/>
  <c r="N4" i="2"/>
  <c r="N23" i="2" s="1"/>
  <c r="S4" i="2"/>
  <c r="M23" i="2"/>
  <c r="L23" i="2"/>
  <c r="K23" i="2"/>
  <c r="J23" i="2"/>
  <c r="I23" i="2"/>
  <c r="H23" i="2"/>
  <c r="G23" i="2"/>
  <c r="M22" i="2"/>
  <c r="L22" i="2"/>
  <c r="K22" i="2"/>
  <c r="J22" i="2"/>
  <c r="I22" i="2"/>
  <c r="H22" i="2"/>
  <c r="G22" i="2"/>
  <c r="F25" i="2"/>
  <c r="F26" i="2"/>
  <c r="S17" i="2"/>
  <c r="S11" i="2"/>
  <c r="M26" i="2"/>
  <c r="L26" i="2"/>
  <c r="K26" i="2"/>
  <c r="J26" i="2"/>
  <c r="I26" i="2"/>
  <c r="H26" i="2"/>
  <c r="G26" i="2"/>
  <c r="E26" i="2"/>
  <c r="D26" i="2"/>
  <c r="C26" i="2"/>
  <c r="M25" i="2"/>
  <c r="L25" i="2"/>
  <c r="K25" i="2"/>
  <c r="J25" i="2"/>
  <c r="I25" i="2"/>
  <c r="H25" i="2"/>
  <c r="G25" i="2"/>
  <c r="E25" i="2"/>
  <c r="D25" i="2"/>
  <c r="C25" i="2"/>
  <c r="Q16" i="2"/>
  <c r="Q14" i="2"/>
  <c r="Q13" i="2"/>
  <c r="Q10" i="2"/>
  <c r="Q7" i="2"/>
  <c r="Q6" i="2"/>
  <c r="C17" i="2"/>
  <c r="C11" i="2"/>
  <c r="C8" i="2"/>
  <c r="C5" i="2"/>
  <c r="E17" i="2"/>
  <c r="E11" i="2"/>
  <c r="D17" i="2"/>
  <c r="D11" i="2"/>
  <c r="D8" i="2"/>
  <c r="D5" i="2"/>
  <c r="F11" i="2"/>
  <c r="E8" i="2"/>
  <c r="E5" i="2"/>
  <c r="F9" i="2"/>
  <c r="J11" i="2"/>
  <c r="J9" i="2"/>
  <c r="R17" i="2"/>
  <c r="R16" i="2"/>
  <c r="R14" i="2"/>
  <c r="R13" i="2"/>
  <c r="R10" i="2"/>
  <c r="R7" i="2"/>
  <c r="R6" i="2"/>
  <c r="R4" i="2"/>
  <c r="R3" i="2"/>
  <c r="S14" i="2"/>
  <c r="S13" i="2"/>
  <c r="S6" i="2"/>
  <c r="S25" i="2" s="1"/>
  <c r="G11" i="2"/>
  <c r="G8" i="2"/>
  <c r="G5" i="2"/>
  <c r="G9" i="2" s="1"/>
  <c r="K11" i="2"/>
  <c r="K8" i="2"/>
  <c r="K5" i="2"/>
  <c r="H11" i="2"/>
  <c r="H8" i="2"/>
  <c r="H5" i="2"/>
  <c r="L11" i="2"/>
  <c r="L8" i="2"/>
  <c r="L5" i="2"/>
  <c r="I11" i="2"/>
  <c r="I8" i="2"/>
  <c r="I5" i="2"/>
  <c r="M11" i="2"/>
  <c r="M8" i="2"/>
  <c r="M5" i="2"/>
  <c r="M24" i="2" s="1"/>
  <c r="F3" i="1"/>
  <c r="D9" i="1"/>
  <c r="D8" i="1"/>
  <c r="D7" i="1"/>
  <c r="D5" i="1"/>
  <c r="D4" i="1"/>
  <c r="T5" i="2" l="1"/>
  <c r="U22" i="2"/>
  <c r="V3" i="2"/>
  <c r="T25" i="2"/>
  <c r="T23" i="2"/>
  <c r="T7" i="2"/>
  <c r="U5" i="2"/>
  <c r="T24" i="2"/>
  <c r="N29" i="2"/>
  <c r="S16" i="2"/>
  <c r="T22" i="2"/>
  <c r="N5" i="2"/>
  <c r="N27" i="2" s="1"/>
  <c r="S3" i="2"/>
  <c r="S5" i="2" s="1"/>
  <c r="N26" i="2"/>
  <c r="N25" i="2"/>
  <c r="Q3" i="2"/>
  <c r="Q4" i="2"/>
  <c r="Q17" i="2"/>
  <c r="K24" i="2"/>
  <c r="Q11" i="2"/>
  <c r="R11" i="2"/>
  <c r="L9" i="2"/>
  <c r="L27" i="2" s="1"/>
  <c r="L24" i="2"/>
  <c r="G12" i="2"/>
  <c r="M9" i="2"/>
  <c r="G27" i="2"/>
  <c r="H9" i="2"/>
  <c r="N28" i="2"/>
  <c r="Q8" i="2"/>
  <c r="C9" i="2"/>
  <c r="C12" i="2" s="1"/>
  <c r="C15" i="2" s="1"/>
  <c r="C18" i="2" s="1"/>
  <c r="C20" i="2" s="1"/>
  <c r="E9" i="2"/>
  <c r="E12" i="2" s="1"/>
  <c r="D9" i="2"/>
  <c r="D12" i="2" s="1"/>
  <c r="H24" i="2"/>
  <c r="I24" i="2"/>
  <c r="F27" i="2"/>
  <c r="F12" i="2"/>
  <c r="J24" i="2"/>
  <c r="J12" i="2"/>
  <c r="J27" i="2"/>
  <c r="R8" i="2"/>
  <c r="R5" i="2"/>
  <c r="S8" i="2"/>
  <c r="K9" i="2"/>
  <c r="I9" i="2"/>
  <c r="U24" i="2" l="1"/>
  <c r="V6" i="2"/>
  <c r="V25" i="2" s="1"/>
  <c r="V22" i="2"/>
  <c r="U23" i="2"/>
  <c r="T26" i="2"/>
  <c r="T8" i="2"/>
  <c r="T9" i="2" s="1"/>
  <c r="N24" i="2"/>
  <c r="Q5" i="2"/>
  <c r="R24" i="2" s="1"/>
  <c r="S9" i="2"/>
  <c r="S12" i="2" s="1"/>
  <c r="L12" i="2"/>
  <c r="L28" i="2" s="1"/>
  <c r="G15" i="2"/>
  <c r="G28" i="2"/>
  <c r="K12" i="2"/>
  <c r="K27" i="2"/>
  <c r="H12" i="2"/>
  <c r="H27" i="2"/>
  <c r="I12" i="2"/>
  <c r="I27" i="2"/>
  <c r="C27" i="2"/>
  <c r="M12" i="2"/>
  <c r="M27" i="2"/>
  <c r="E27" i="2"/>
  <c r="C28" i="2"/>
  <c r="D27" i="2"/>
  <c r="D15" i="2"/>
  <c r="D28" i="2"/>
  <c r="E28" i="2"/>
  <c r="E15" i="2"/>
  <c r="F15" i="2"/>
  <c r="F28" i="2"/>
  <c r="R9" i="2"/>
  <c r="J15" i="2"/>
  <c r="J28" i="2"/>
  <c r="W22" i="2" l="1"/>
  <c r="W6" i="2"/>
  <c r="W25" i="2" s="1"/>
  <c r="T12" i="2"/>
  <c r="T27" i="2"/>
  <c r="U26" i="2"/>
  <c r="U8" i="2"/>
  <c r="U9" i="2" s="1"/>
  <c r="V5" i="2"/>
  <c r="V24" i="2" s="1"/>
  <c r="V23" i="2"/>
  <c r="Q9" i="2"/>
  <c r="Q27" i="2" s="1"/>
  <c r="L15" i="2"/>
  <c r="L18" i="2" s="1"/>
  <c r="L20" i="2" s="1"/>
  <c r="S27" i="2"/>
  <c r="I15" i="2"/>
  <c r="I28" i="2"/>
  <c r="H15" i="2"/>
  <c r="H28" i="2"/>
  <c r="R12" i="2"/>
  <c r="R27" i="2"/>
  <c r="S15" i="2"/>
  <c r="S28" i="2"/>
  <c r="G18" i="2"/>
  <c r="G20" i="2" s="1"/>
  <c r="G29" i="2"/>
  <c r="M15" i="2"/>
  <c r="M28" i="2"/>
  <c r="K15" i="2"/>
  <c r="K28" i="2"/>
  <c r="C29" i="2"/>
  <c r="D29" i="2"/>
  <c r="D18" i="2"/>
  <c r="D20" i="2" s="1"/>
  <c r="E29" i="2"/>
  <c r="E18" i="2"/>
  <c r="E20" i="2" s="1"/>
  <c r="F18" i="2"/>
  <c r="F20" i="2" s="1"/>
  <c r="F29" i="2"/>
  <c r="J29" i="2"/>
  <c r="J18" i="2"/>
  <c r="J20" i="2" s="1"/>
  <c r="X22" i="2" l="1"/>
  <c r="Y3" i="2"/>
  <c r="X6" i="2"/>
  <c r="X25" i="2" s="1"/>
  <c r="W5" i="2"/>
  <c r="W24" i="2" s="1"/>
  <c r="W23" i="2"/>
  <c r="T15" i="2"/>
  <c r="T28" i="2"/>
  <c r="U12" i="2"/>
  <c r="U27" i="2"/>
  <c r="V26" i="2"/>
  <c r="V8" i="2"/>
  <c r="V9" i="2" s="1"/>
  <c r="Q12" i="2"/>
  <c r="Q15" i="2" s="1"/>
  <c r="Q29" i="2" s="1"/>
  <c r="L29" i="2"/>
  <c r="S18" i="2"/>
  <c r="S20" i="2" s="1"/>
  <c r="S29" i="2"/>
  <c r="R15" i="2"/>
  <c r="R28" i="2"/>
  <c r="I18" i="2"/>
  <c r="I20" i="2" s="1"/>
  <c r="I29" i="2"/>
  <c r="K18" i="2"/>
  <c r="K20" i="2" s="1"/>
  <c r="K29" i="2"/>
  <c r="M18" i="2"/>
  <c r="M20" i="2" s="1"/>
  <c r="M29" i="2"/>
  <c r="H18" i="2"/>
  <c r="H20" i="2" s="1"/>
  <c r="H29" i="2"/>
  <c r="Z3" i="2" l="1"/>
  <c r="Y6" i="2"/>
  <c r="Y25" i="2" s="1"/>
  <c r="Y22" i="2"/>
  <c r="U15" i="2"/>
  <c r="U29" i="2" s="1"/>
  <c r="U28" i="2"/>
  <c r="T29" i="2"/>
  <c r="X8" i="2"/>
  <c r="X23" i="2"/>
  <c r="X5" i="2"/>
  <c r="W26" i="2"/>
  <c r="W8" i="2"/>
  <c r="W9" i="2" s="1"/>
  <c r="V12" i="2"/>
  <c r="V27" i="2"/>
  <c r="Q18" i="2"/>
  <c r="Q20" i="2" s="1"/>
  <c r="Q28" i="2"/>
  <c r="R18" i="2"/>
  <c r="R20" i="2" s="1"/>
  <c r="R29" i="2"/>
  <c r="Z6" i="2" l="1"/>
  <c r="Z25" i="2" s="1"/>
  <c r="AA3" i="2"/>
  <c r="Z22" i="2"/>
  <c r="X26" i="2"/>
  <c r="Y8" i="2"/>
  <c r="Y23" i="2"/>
  <c r="Y5" i="2"/>
  <c r="Y24" i="2" s="1"/>
  <c r="V28" i="2"/>
  <c r="V15" i="2"/>
  <c r="T18" i="2"/>
  <c r="X24" i="2"/>
  <c r="X9" i="2"/>
  <c r="U18" i="2"/>
  <c r="U20" i="2" s="1"/>
  <c r="W27" i="2"/>
  <c r="W12" i="2"/>
  <c r="AB3" i="2" l="1"/>
  <c r="AA6" i="2"/>
  <c r="AA25" i="2" s="1"/>
  <c r="AA22" i="2"/>
  <c r="Y26" i="2"/>
  <c r="T20" i="2"/>
  <c r="W15" i="2"/>
  <c r="W28" i="2"/>
  <c r="V17" i="2"/>
  <c r="V29" i="2"/>
  <c r="X27" i="2"/>
  <c r="X12" i="2"/>
  <c r="Z23" i="2"/>
  <c r="Z5" i="2"/>
  <c r="Z24" i="2" s="1"/>
  <c r="Y9" i="2"/>
  <c r="AB6" i="2" l="1"/>
  <c r="AB25" i="2" s="1"/>
  <c r="AC3" i="2"/>
  <c r="AB22" i="2"/>
  <c r="V18" i="2"/>
  <c r="Z26" i="2"/>
  <c r="Z8" i="2"/>
  <c r="Z9" i="2" s="1"/>
  <c r="X15" i="2"/>
  <c r="X28" i="2"/>
  <c r="W17" i="2"/>
  <c r="W29" i="2"/>
  <c r="AA23" i="2"/>
  <c r="AA8" i="2"/>
  <c r="AA5" i="2"/>
  <c r="AA24" i="2" s="1"/>
  <c r="Y27" i="2"/>
  <c r="Y12" i="2"/>
  <c r="AC22" i="2" l="1"/>
  <c r="AC6" i="2"/>
  <c r="AC25" i="2" s="1"/>
  <c r="V20" i="2"/>
  <c r="W18" i="2"/>
  <c r="W20" i="2" s="1"/>
  <c r="AA26" i="2"/>
  <c r="Y15" i="2"/>
  <c r="Y28" i="2"/>
  <c r="X29" i="2"/>
  <c r="X17" i="2"/>
  <c r="AA9" i="2"/>
  <c r="Z27" i="2"/>
  <c r="Z12" i="2"/>
  <c r="AB23" i="2"/>
  <c r="AB8" i="2"/>
  <c r="AB5" i="2"/>
  <c r="AB26" i="2" l="1"/>
  <c r="X18" i="2"/>
  <c r="AC23" i="2"/>
  <c r="AC8" i="2"/>
  <c r="AC5" i="2"/>
  <c r="AC24" i="2" s="1"/>
  <c r="Z28" i="2"/>
  <c r="Z15" i="2"/>
  <c r="AA27" i="2"/>
  <c r="AA12" i="2"/>
  <c r="AB24" i="2"/>
  <c r="AB9" i="2"/>
  <c r="Y17" i="2"/>
  <c r="Y29" i="2"/>
  <c r="X20" i="2" l="1"/>
  <c r="AA28" i="2"/>
  <c r="AA15" i="2"/>
  <c r="Y18" i="2"/>
  <c r="Y20" i="2" s="1"/>
  <c r="Z17" i="2"/>
  <c r="Z29" i="2"/>
  <c r="AC9" i="2"/>
  <c r="AB27" i="2"/>
  <c r="AB12" i="2"/>
  <c r="AC26" i="2"/>
  <c r="Z18" i="2" l="1"/>
  <c r="Z20" i="2" s="1"/>
  <c r="AA29" i="2"/>
  <c r="AA17" i="2"/>
  <c r="AC27" i="2"/>
  <c r="AC12" i="2"/>
  <c r="AB15" i="2"/>
  <c r="AB28" i="2"/>
  <c r="AA18" i="2" l="1"/>
  <c r="AB29" i="2"/>
  <c r="AB17" i="2"/>
  <c r="AC15" i="2"/>
  <c r="AC28" i="2"/>
  <c r="AA20" i="2" l="1"/>
  <c r="AC29" i="2"/>
  <c r="AC17" i="2"/>
  <c r="AB18" i="2"/>
  <c r="AB20" i="2" s="1"/>
  <c r="AC18" i="2" l="1"/>
  <c r="AC20" i="2" l="1"/>
  <c r="AD18" i="2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AG27" i="2" s="1"/>
  <c r="AG29" i="2" s="1"/>
  <c r="AG30" i="2" s="1"/>
  <c r="AG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J7" authorId="0" shapeId="0" xr:uid="{33422BF5-9B24-4F8C-807C-0D647B86E7CC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8K of Q4 has no breakdown of revenue?</t>
        </r>
      </text>
    </comment>
    <comment ref="K11" authorId="0" shapeId="0" xr:uid="{6C5378CA-B7B2-4E38-AF44-B4859640D9EE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goodwill impairment</t>
        </r>
      </text>
    </comment>
    <comment ref="C17" authorId="0" shapeId="0" xr:uid="{0C5FA2F2-EDF5-4F5F-B5A6-698B4B5E81AE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+equity in loss of affiliate</t>
        </r>
      </text>
    </comment>
    <comment ref="D17" authorId="0" shapeId="0" xr:uid="{195B57F6-D5B7-4A6D-813D-515A09DBD6DE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+equity in loss of affiliate</t>
        </r>
      </text>
    </comment>
    <comment ref="E17" authorId="0" shapeId="0" xr:uid="{C5DDF186-BAF0-40B9-8B86-04DEC659C11E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+equity in loss of affiliate</t>
        </r>
      </text>
    </comment>
  </commentList>
</comments>
</file>

<file path=xl/sharedStrings.xml><?xml version="1.0" encoding="utf-8"?>
<sst xmlns="http://schemas.openxmlformats.org/spreadsheetml/2006/main" count="61" uniqueCount="56">
  <si>
    <t>BKR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</si>
  <si>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</si>
  <si>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</si>
  <si>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</si>
  <si>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</si>
  <si>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</si>
  <si>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</si>
  <si>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</si>
  <si>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</si>
  <si>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</si>
  <si>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Q320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</si>
  <si>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</si>
  <si>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</si>
  <si>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</si>
  <si>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</si>
  <si>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</si>
  <si>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</si>
  <si>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</si>
  <si>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</si>
  <si>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</si>
  <si>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</si>
  <si>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</si>
  <si>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Q420</t>
  </si>
  <si>
    <t>Goods cost</t>
  </si>
  <si>
    <t>Services cost</t>
  </si>
  <si>
    <t>Cost of sales</t>
  </si>
  <si>
    <t>Goods revenue</t>
  </si>
  <si>
    <t>Services revenue</t>
  </si>
  <si>
    <t>Gross profit</t>
  </si>
  <si>
    <t>SG&amp;A</t>
  </si>
  <si>
    <t>Restructuring &amp; impairment</t>
  </si>
  <si>
    <t>Operating profit</t>
  </si>
  <si>
    <t>Other expense</t>
  </si>
  <si>
    <t>Interest expense</t>
  </si>
  <si>
    <t>Pretax profit</t>
  </si>
  <si>
    <t>Taxes</t>
  </si>
  <si>
    <t>Minority interest</t>
  </si>
  <si>
    <t>Net profit</t>
  </si>
  <si>
    <t>EPS</t>
  </si>
  <si>
    <t>Gross Margin</t>
  </si>
  <si>
    <t>Operating Margin</t>
  </si>
  <si>
    <t>Revenue y/y</t>
  </si>
  <si>
    <t>Goods Margin</t>
  </si>
  <si>
    <t>Services Margin</t>
  </si>
  <si>
    <t>Non-GAAP</t>
  </si>
  <si>
    <t>`</t>
  </si>
  <si>
    <t>Goods revenue y/y</t>
  </si>
  <si>
    <t>Services 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</si>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</sst>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4" fontId="1" fillId="0" borderId="0" xfId="0" applyNumberFormat="1" applyFont="1"/>
    <xf numFmtId="0" fontId="0" fillId="0" borderId="0" xfId="0" applyFont="1"/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8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D1D8-14AD-486D-B274-414AEE82502A}">
  <dimension ref="B2:F9"/>
  <sheetViews>
    <sheetView workbookViewId="0">
      <selection activeCell="E7" sqref="E7"/>
    </sheetView>
  </sheetViews>
  <sheetFormatPr defaultRowHeight="14.4" x14ac:dyDescent="0.3"/>
  <cols>
    <col min="5" max="6" width="16.5546875" style="4" customWidth="1"/>
  </cols>
  <sheetData>
    <row r="2" spans="2:6" x14ac:dyDescent="0.3">
      <c r="E2" s="4" t="s">
        <v>8</v>
      </c>
      <c r="F2" s="4" t="s">
        <v>9</v>
      </c>
    </row>
    <row r="3" spans="2:6" x14ac:dyDescent="0.3">
      <c r="B3" s="1" t="s">
        <v>0</v>
      </c>
      <c r="C3" t="s">
        <v>1</v>
      </c>
      <c r="D3" s="3">
        <v>13.81</v>
      </c>
      <c r="E3" s="5">
        <v>44131</v>
      </c>
      <c r="F3" s="5">
        <f ca="1">TODAY()</f>
        <v>44131</v>
      </c>
    </row>
    <row r="4" spans="2:6" x14ac:dyDescent="0.3">
      <c r="C4" t="s">
        <v>2</v>
      </c>
      <c r="D4" s="2">
        <f>685.8+349.4</f>
        <v>1035.1999999999998</v>
      </c>
      <c r="E4" s="4" t="s">
        <v>10</v>
      </c>
    </row>
    <row r="5" spans="2:6" x14ac:dyDescent="0.3">
      <c r="C5" t="s">
        <v>3</v>
      </c>
      <c r="D5" s="2">
        <f>D3*D4</f>
        <v>14296.111999999997</v>
      </c>
    </row>
    <row r="6" spans="2:6" x14ac:dyDescent="0.3">
      <c r="C6" t="s">
        <v>4</v>
      </c>
      <c r="D6" s="2">
        <v>4061</v>
      </c>
      <c r="E6" s="4" t="s">
        <v>10</v>
      </c>
    </row>
    <row r="7" spans="2:6" x14ac:dyDescent="0.3">
      <c r="C7" t="s">
        <v>5</v>
      </c>
      <c r="D7" s="2">
        <f>935+6754</f>
        <v>7689</v>
      </c>
      <c r="E7" s="4" t="s">
        <v>10</v>
      </c>
    </row>
    <row r="8" spans="2:6" x14ac:dyDescent="0.3">
      <c r="C8" t="s">
        <v>6</v>
      </c>
      <c r="D8" s="2">
        <f>D6-D7</f>
        <v>-3628</v>
      </c>
    </row>
    <row r="9" spans="2:6" x14ac:dyDescent="0.3">
      <c r="C9" t="s">
        <v>7</v>
      </c>
      <c r="D9" s="2">
        <f>D5-D8</f>
        <v>17924.111999999997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9E7B-139C-4FF1-8630-CFC6A1B78DA4}">
  <dimension ref="B1:ET32"/>
  <sheetViews>
    <sheetView tabSelected="1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U3" sqref="U3"/>
    </sheetView>
  </sheetViews>
  <sheetFormatPr defaultRowHeight="14.4" x14ac:dyDescent="0.3"/>
  <cols>
    <col min="2" max="2" width="23.6640625" bestFit="1" customWidth="1"/>
    <col min="19" max="19" width="9.5546875" bestFit="1" customWidth="1"/>
    <col min="32" max="32" width="11.88671875" bestFit="1" customWidth="1"/>
    <col min="33" max="33" width="9.6640625" bestFit="1" customWidth="1"/>
  </cols>
  <sheetData>
    <row r="1" spans="2:29" x14ac:dyDescent="0.3">
      <c r="S1" t="s">
        <v>44</v>
      </c>
    </row>
    <row r="2" spans="2:29" x14ac:dyDescent="0.3"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21</v>
      </c>
      <c r="M2" s="6" t="s">
        <v>10</v>
      </c>
      <c r="N2" s="6" t="s">
        <v>22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</row>
    <row r="3" spans="2:29" x14ac:dyDescent="0.3">
      <c r="B3" t="s">
        <v>26</v>
      </c>
      <c r="C3" s="10">
        <v>3160</v>
      </c>
      <c r="D3" s="10">
        <v>3119</v>
      </c>
      <c r="E3" s="10">
        <v>3142</v>
      </c>
      <c r="F3" s="12">
        <v>3202</v>
      </c>
      <c r="G3" s="10">
        <v>3202</v>
      </c>
      <c r="H3" s="10">
        <v>3346</v>
      </c>
      <c r="I3" s="10">
        <v>3339</v>
      </c>
      <c r="J3" s="12">
        <v>3339</v>
      </c>
      <c r="K3" s="10">
        <v>3082</v>
      </c>
      <c r="L3" s="10">
        <v>2868</v>
      </c>
      <c r="M3" s="10">
        <v>3290</v>
      </c>
      <c r="N3" s="10">
        <f>M3*1.05</f>
        <v>3454.5</v>
      </c>
      <c r="Q3" s="10">
        <f>SUM(C3:F3)</f>
        <v>12623</v>
      </c>
      <c r="R3" s="10">
        <f>SUM(G3:J3)</f>
        <v>13226</v>
      </c>
      <c r="S3" s="10">
        <f>SUM(K3:N3)</f>
        <v>12694.5</v>
      </c>
      <c r="T3" s="2">
        <f>S3*1.04</f>
        <v>13202.28</v>
      </c>
      <c r="U3" s="2">
        <f t="shared" ref="U3:X3" si="0">T3*1.03</f>
        <v>13598.348400000001</v>
      </c>
      <c r="V3" s="2">
        <f t="shared" si="0"/>
        <v>14006.298852000002</v>
      </c>
      <c r="W3" s="2">
        <f>V3*1.01</f>
        <v>14146.361840520001</v>
      </c>
      <c r="X3" s="2">
        <f t="shared" ref="X3" si="1">W3*1.01</f>
        <v>14287.825458925201</v>
      </c>
      <c r="Y3" s="2">
        <f>X3*0.98</f>
        <v>14002.068949746697</v>
      </c>
      <c r="Z3" s="2">
        <f t="shared" ref="Z3:AC3" si="2">Y3*0.98</f>
        <v>13722.027570751763</v>
      </c>
      <c r="AA3" s="2">
        <f t="shared" si="2"/>
        <v>13447.587019336728</v>
      </c>
      <c r="AB3" s="2">
        <f t="shared" si="2"/>
        <v>13178.635278949994</v>
      </c>
      <c r="AC3" s="2">
        <f t="shared" si="2"/>
        <v>12915.062573370995</v>
      </c>
    </row>
    <row r="4" spans="2:29" x14ac:dyDescent="0.3">
      <c r="B4" t="s">
        <v>27</v>
      </c>
      <c r="C4" s="10">
        <v>2239</v>
      </c>
      <c r="D4" s="10">
        <v>2429</v>
      </c>
      <c r="E4" s="10">
        <v>2523</v>
      </c>
      <c r="F4" s="12">
        <v>2413</v>
      </c>
      <c r="G4" s="10">
        <v>2413</v>
      </c>
      <c r="H4" s="10">
        <v>2648</v>
      </c>
      <c r="I4" s="10">
        <v>2543</v>
      </c>
      <c r="J4" s="12">
        <v>2543</v>
      </c>
      <c r="K4" s="10">
        <v>2343</v>
      </c>
      <c r="L4" s="10">
        <v>1868</v>
      </c>
      <c r="M4" s="10">
        <v>1759</v>
      </c>
      <c r="N4" s="10">
        <f>M4*1.1</f>
        <v>1934.9</v>
      </c>
      <c r="Q4" s="10">
        <f>SUM(C4:F4)</f>
        <v>9604</v>
      </c>
      <c r="R4" s="10">
        <f>SUM(G4:J4)</f>
        <v>10147</v>
      </c>
      <c r="S4" s="10">
        <f>SUM(K4:N4)</f>
        <v>7904.9</v>
      </c>
      <c r="T4" s="2">
        <f>S4*1.15</f>
        <v>9090.6349999999984</v>
      </c>
      <c r="U4" s="2">
        <f>T4*1.05</f>
        <v>9545.1667499999985</v>
      </c>
      <c r="V4" s="2">
        <f>U4*1.05</f>
        <v>10022.425087499998</v>
      </c>
      <c r="W4" s="2">
        <f>V4*1.03</f>
        <v>10323.097840124998</v>
      </c>
      <c r="X4" s="2">
        <f t="shared" ref="X4:Y4" si="3">W4*1.03</f>
        <v>10632.790775328747</v>
      </c>
      <c r="Y4" s="2">
        <f t="shared" si="3"/>
        <v>10951.774498588609</v>
      </c>
      <c r="Z4" s="2">
        <f>Y4*1.02</f>
        <v>11170.809988560382</v>
      </c>
      <c r="AA4" s="2">
        <f t="shared" ref="AA4:AC4" si="4">Z4*1.02</f>
        <v>11394.22618833159</v>
      </c>
      <c r="AB4" s="2">
        <f t="shared" si="4"/>
        <v>11622.110712098221</v>
      </c>
      <c r="AC4" s="2">
        <f t="shared" si="4"/>
        <v>11854.552926340186</v>
      </c>
    </row>
    <row r="5" spans="2:29" s="1" customFormat="1" x14ac:dyDescent="0.3">
      <c r="B5" s="1" t="s">
        <v>11</v>
      </c>
      <c r="C5" s="11">
        <f>C3+C4</f>
        <v>5399</v>
      </c>
      <c r="D5" s="11">
        <f>D3+D4</f>
        <v>5548</v>
      </c>
      <c r="E5" s="11">
        <f>E3+E4</f>
        <v>5665</v>
      </c>
      <c r="F5" s="11">
        <v>6264</v>
      </c>
      <c r="G5" s="11">
        <f>G3+G4</f>
        <v>5615</v>
      </c>
      <c r="H5" s="11">
        <f>H3+H4</f>
        <v>5994</v>
      </c>
      <c r="I5" s="11">
        <f>I3+I4</f>
        <v>5882</v>
      </c>
      <c r="J5" s="11">
        <v>6347</v>
      </c>
      <c r="K5" s="11">
        <f>K3+K4</f>
        <v>5425</v>
      </c>
      <c r="L5" s="11">
        <f>L3+L4</f>
        <v>4736</v>
      </c>
      <c r="M5" s="11">
        <f>M3+M4</f>
        <v>5049</v>
      </c>
      <c r="N5" s="11">
        <f>N3+N4</f>
        <v>5389.4</v>
      </c>
      <c r="O5" s="11"/>
      <c r="Q5" s="11">
        <f>Q3+Q4</f>
        <v>22227</v>
      </c>
      <c r="R5" s="11">
        <f>R3+R4</f>
        <v>23373</v>
      </c>
      <c r="S5" s="11">
        <f>S3+S4</f>
        <v>20599.400000000001</v>
      </c>
      <c r="T5" s="11">
        <f>T3+T4</f>
        <v>22292.915000000001</v>
      </c>
      <c r="U5" s="11">
        <f t="shared" ref="U5:AC5" si="5">U3+U4</f>
        <v>23143.515149999999</v>
      </c>
      <c r="V5" s="11">
        <f t="shared" si="5"/>
        <v>24028.7239395</v>
      </c>
      <c r="W5" s="11">
        <f t="shared" si="5"/>
        <v>24469.459680644999</v>
      </c>
      <c r="X5" s="11">
        <f t="shared" si="5"/>
        <v>24920.616234253946</v>
      </c>
      <c r="Y5" s="11">
        <f t="shared" si="5"/>
        <v>24953.843448335305</v>
      </c>
      <c r="Z5" s="11">
        <f t="shared" si="5"/>
        <v>24892.837559312145</v>
      </c>
      <c r="AA5" s="11">
        <f t="shared" si="5"/>
        <v>24841.813207668318</v>
      </c>
      <c r="AB5" s="11">
        <f t="shared" si="5"/>
        <v>24800.745991048214</v>
      </c>
      <c r="AC5" s="11">
        <f t="shared" si="5"/>
        <v>24769.615499711181</v>
      </c>
    </row>
    <row r="6" spans="2:29" x14ac:dyDescent="0.3">
      <c r="B6" t="s">
        <v>23</v>
      </c>
      <c r="C6" s="2">
        <v>2800</v>
      </c>
      <c r="D6" s="2">
        <v>2752</v>
      </c>
      <c r="E6" s="2">
        <v>2819</v>
      </c>
      <c r="F6" s="13">
        <v>2810</v>
      </c>
      <c r="G6" s="2">
        <v>2810</v>
      </c>
      <c r="H6" s="2">
        <v>2937</v>
      </c>
      <c r="I6" s="2">
        <v>2901</v>
      </c>
      <c r="J6" s="13">
        <v>2901</v>
      </c>
      <c r="K6" s="2">
        <v>2846</v>
      </c>
      <c r="L6" s="2">
        <v>2531</v>
      </c>
      <c r="M6" s="2">
        <v>2920</v>
      </c>
      <c r="N6" s="2">
        <f>N3*0.88</f>
        <v>3039.96</v>
      </c>
      <c r="Q6" s="10">
        <f>SUM(C6:F6)</f>
        <v>11181</v>
      </c>
      <c r="R6" s="10">
        <f>SUM(G6:J6)</f>
        <v>11549</v>
      </c>
      <c r="S6" s="10">
        <f>SUM(K6:N6)</f>
        <v>11336.96</v>
      </c>
      <c r="T6" s="2">
        <f>T3*0.88</f>
        <v>11618.0064</v>
      </c>
      <c r="U6" s="2">
        <f>U3*0.87</f>
        <v>11830.563108</v>
      </c>
      <c r="V6" s="2">
        <f t="shared" ref="V6:AC6" si="6">V3*0.87</f>
        <v>12185.480001240001</v>
      </c>
      <c r="W6" s="2">
        <f t="shared" si="6"/>
        <v>12307.3348012524</v>
      </c>
      <c r="X6" s="2">
        <f t="shared" si="6"/>
        <v>12430.408149264926</v>
      </c>
      <c r="Y6" s="2">
        <f t="shared" si="6"/>
        <v>12181.799986279626</v>
      </c>
      <c r="Z6" s="2">
        <f t="shared" si="6"/>
        <v>11938.163986554035</v>
      </c>
      <c r="AA6" s="2">
        <f t="shared" si="6"/>
        <v>11699.400706822953</v>
      </c>
      <c r="AB6" s="2">
        <f t="shared" si="6"/>
        <v>11465.412692686496</v>
      </c>
      <c r="AC6" s="2">
        <f t="shared" si="6"/>
        <v>11236.104438832765</v>
      </c>
    </row>
    <row r="7" spans="2:29" x14ac:dyDescent="0.3">
      <c r="B7" t="s">
        <v>24</v>
      </c>
      <c r="C7" s="10">
        <v>1758</v>
      </c>
      <c r="D7" s="10">
        <v>1860</v>
      </c>
      <c r="E7" s="10">
        <v>1873</v>
      </c>
      <c r="F7" s="12">
        <v>1829</v>
      </c>
      <c r="G7" s="10">
        <v>1829</v>
      </c>
      <c r="H7" s="10">
        <v>1995</v>
      </c>
      <c r="I7" s="10">
        <v>1880</v>
      </c>
      <c r="J7" s="12">
        <v>1880</v>
      </c>
      <c r="K7" s="10">
        <v>1824</v>
      </c>
      <c r="L7" s="10">
        <v>1527</v>
      </c>
      <c r="M7" s="10">
        <v>1372</v>
      </c>
      <c r="N7" s="2">
        <f>N4*0.77</f>
        <v>1489.873</v>
      </c>
      <c r="Q7" s="10">
        <f>SUM(C7:F7)</f>
        <v>7320</v>
      </c>
      <c r="R7" s="10">
        <f>SUM(G7:J7)</f>
        <v>7584</v>
      </c>
      <c r="S7" s="10">
        <f>SUM(K7:N7)</f>
        <v>6212.8729999999996</v>
      </c>
      <c r="T7" s="2">
        <f>T4*0.79</f>
        <v>7181.6016499999987</v>
      </c>
      <c r="U7" s="2">
        <f>U4*0.78</f>
        <v>7445.2300649999988</v>
      </c>
      <c r="V7" s="2">
        <f>V4*0.77</f>
        <v>7717.267317374999</v>
      </c>
      <c r="W7" s="2">
        <f>W4*0.76</f>
        <v>7845.5543584949983</v>
      </c>
      <c r="X7" s="2">
        <f t="shared" ref="X7:AC7" si="7">X4*0.76</f>
        <v>8080.9209892498484</v>
      </c>
      <c r="Y7" s="2">
        <f t="shared" si="7"/>
        <v>8323.3486189273426</v>
      </c>
      <c r="Z7" s="2">
        <f t="shared" si="7"/>
        <v>8489.8155913058908</v>
      </c>
      <c r="AA7" s="2">
        <f t="shared" si="7"/>
        <v>8659.6119031320086</v>
      </c>
      <c r="AB7" s="2">
        <f t="shared" si="7"/>
        <v>8832.8041411946488</v>
      </c>
      <c r="AC7" s="2">
        <f t="shared" si="7"/>
        <v>9009.4602240185413</v>
      </c>
    </row>
    <row r="8" spans="2:29" x14ac:dyDescent="0.3">
      <c r="B8" t="s">
        <v>25</v>
      </c>
      <c r="C8" s="2">
        <f>C6+C7</f>
        <v>4558</v>
      </c>
      <c r="D8" s="2">
        <f>D6+D7</f>
        <v>4612</v>
      </c>
      <c r="E8" s="2">
        <f>E6+E7</f>
        <v>4692</v>
      </c>
      <c r="F8" s="2">
        <v>5028</v>
      </c>
      <c r="G8" s="2">
        <f>G6+G7</f>
        <v>4639</v>
      </c>
      <c r="H8" s="2">
        <f>H6+H7</f>
        <v>4932</v>
      </c>
      <c r="I8" s="2">
        <f>I6+I7</f>
        <v>4781</v>
      </c>
      <c r="J8" s="2">
        <v>5052</v>
      </c>
      <c r="K8" s="2">
        <f>K6+K7</f>
        <v>4670</v>
      </c>
      <c r="L8" s="2">
        <f>L6+L7</f>
        <v>4058</v>
      </c>
      <c r="M8" s="2">
        <f>M6+M7</f>
        <v>4292</v>
      </c>
      <c r="N8" s="2">
        <f t="shared" ref="N8" si="8">N6+N7</f>
        <v>4529.8330000000005</v>
      </c>
      <c r="Q8" s="2">
        <f>Q6+Q7</f>
        <v>18501</v>
      </c>
      <c r="R8" s="2">
        <f>R6+R7</f>
        <v>19133</v>
      </c>
      <c r="S8" s="2">
        <f>S6+S7</f>
        <v>17549.832999999999</v>
      </c>
      <c r="T8" s="2">
        <f t="shared" ref="T8:AC8" si="9">T6+T7</f>
        <v>18799.608049999999</v>
      </c>
      <c r="U8" s="2">
        <f t="shared" si="9"/>
        <v>19275.793172999998</v>
      </c>
      <c r="V8" s="2">
        <f t="shared" si="9"/>
        <v>19902.747318615002</v>
      </c>
      <c r="W8" s="2">
        <f t="shared" si="9"/>
        <v>20152.889159747399</v>
      </c>
      <c r="X8" s="2">
        <f t="shared" si="9"/>
        <v>20511.329138514775</v>
      </c>
      <c r="Y8" s="2">
        <f t="shared" si="9"/>
        <v>20505.148605206967</v>
      </c>
      <c r="Z8" s="2">
        <f t="shared" si="9"/>
        <v>20427.979577859925</v>
      </c>
      <c r="AA8" s="2">
        <f t="shared" si="9"/>
        <v>20359.01260995496</v>
      </c>
      <c r="AB8" s="2">
        <f t="shared" si="9"/>
        <v>20298.216833881146</v>
      </c>
      <c r="AC8" s="2">
        <f t="shared" si="9"/>
        <v>20245.564662851306</v>
      </c>
    </row>
    <row r="9" spans="2:29" s="1" customFormat="1" x14ac:dyDescent="0.3">
      <c r="B9" s="1" t="s">
        <v>28</v>
      </c>
      <c r="C9" s="11">
        <f>C5-C8</f>
        <v>841</v>
      </c>
      <c r="D9" s="11">
        <f>D5-D8</f>
        <v>936</v>
      </c>
      <c r="E9" s="11">
        <f>E5-E8</f>
        <v>973</v>
      </c>
      <c r="F9" s="11">
        <f>F5-F8</f>
        <v>1236</v>
      </c>
      <c r="G9" s="11">
        <f>G5-G8</f>
        <v>976</v>
      </c>
      <c r="H9" s="11">
        <f>H5-H8</f>
        <v>1062</v>
      </c>
      <c r="I9" s="11">
        <f>I5-I8</f>
        <v>1101</v>
      </c>
      <c r="J9" s="11">
        <f>J5-J8</f>
        <v>1295</v>
      </c>
      <c r="K9" s="11">
        <f>K5-K8</f>
        <v>755</v>
      </c>
      <c r="L9" s="11">
        <f>L5-L8</f>
        <v>678</v>
      </c>
      <c r="M9" s="11">
        <f>M5-M8</f>
        <v>757</v>
      </c>
      <c r="N9" s="11">
        <f t="shared" ref="N9" si="10">N5-N8</f>
        <v>859.5669999999991</v>
      </c>
      <c r="Q9" s="11">
        <f>Q5-Q8</f>
        <v>3726</v>
      </c>
      <c r="R9" s="11">
        <f>R5-R8</f>
        <v>4240</v>
      </c>
      <c r="S9" s="11">
        <f>S5-S8</f>
        <v>3049.5670000000027</v>
      </c>
      <c r="T9" s="11">
        <f t="shared" ref="T9:AC9" si="11">T5-T8</f>
        <v>3493.306950000002</v>
      </c>
      <c r="U9" s="11">
        <f t="shared" si="11"/>
        <v>3867.7219770000011</v>
      </c>
      <c r="V9" s="11">
        <f t="shared" si="11"/>
        <v>4125.9766208849978</v>
      </c>
      <c r="W9" s="11">
        <f t="shared" si="11"/>
        <v>4316.5705208975996</v>
      </c>
      <c r="X9" s="11">
        <f t="shared" si="11"/>
        <v>4409.2870957391715</v>
      </c>
      <c r="Y9" s="11">
        <f t="shared" si="11"/>
        <v>4448.6948431283381</v>
      </c>
      <c r="Z9" s="11">
        <f t="shared" si="11"/>
        <v>4464.85798145222</v>
      </c>
      <c r="AA9" s="11">
        <f t="shared" si="11"/>
        <v>4482.800597713358</v>
      </c>
      <c r="AB9" s="11">
        <f t="shared" si="11"/>
        <v>4502.5291571670678</v>
      </c>
      <c r="AC9" s="11">
        <f t="shared" si="11"/>
        <v>4524.0508368598748</v>
      </c>
    </row>
    <row r="10" spans="2:29" x14ac:dyDescent="0.3">
      <c r="B10" t="s">
        <v>29</v>
      </c>
      <c r="C10" s="2">
        <v>674</v>
      </c>
      <c r="D10" s="2">
        <v>662</v>
      </c>
      <c r="E10" s="2">
        <v>608</v>
      </c>
      <c r="F10" s="2">
        <v>754</v>
      </c>
      <c r="G10" s="2">
        <v>704</v>
      </c>
      <c r="H10" s="2">
        <v>701</v>
      </c>
      <c r="I10" s="2">
        <v>679</v>
      </c>
      <c r="J10" s="2">
        <v>748</v>
      </c>
      <c r="K10" s="2">
        <v>675</v>
      </c>
      <c r="L10" s="2">
        <v>590</v>
      </c>
      <c r="M10" s="2">
        <v>565</v>
      </c>
      <c r="N10" s="2">
        <f>M10*1.05</f>
        <v>593.25</v>
      </c>
      <c r="Q10" s="10">
        <f>SUM(C10:F10)</f>
        <v>2698</v>
      </c>
      <c r="R10" s="10">
        <f>SUM(G10:J10)</f>
        <v>2832</v>
      </c>
      <c r="S10" s="10">
        <f>SUM(K10:N10)</f>
        <v>2423.25</v>
      </c>
      <c r="T10" s="2">
        <f>S10*1.05</f>
        <v>2544.4124999999999</v>
      </c>
      <c r="U10" s="2">
        <f t="shared" ref="U10" si="12">T10*1.05</f>
        <v>2671.6331249999998</v>
      </c>
      <c r="V10" s="2">
        <f>U10*1.01</f>
        <v>2698.34945625</v>
      </c>
      <c r="W10" s="2">
        <f t="shared" ref="W10:Z10" si="13">V10*1.01</f>
        <v>2725.3329508124998</v>
      </c>
      <c r="X10" s="2">
        <f t="shared" si="13"/>
        <v>2752.5862803206246</v>
      </c>
      <c r="Y10" s="2">
        <f t="shared" si="13"/>
        <v>2780.1121431238307</v>
      </c>
      <c r="Z10" s="2">
        <f t="shared" si="13"/>
        <v>2807.913264555069</v>
      </c>
      <c r="AA10" s="2">
        <f>Z10*0.99</f>
        <v>2779.8341319095184</v>
      </c>
      <c r="AB10" s="2">
        <f t="shared" ref="AB10:AC10" si="14">AA10*0.99</f>
        <v>2752.0357905904234</v>
      </c>
      <c r="AC10" s="2">
        <f t="shared" si="14"/>
        <v>2724.5154326845191</v>
      </c>
    </row>
    <row r="11" spans="2:29" x14ac:dyDescent="0.3">
      <c r="B11" t="s">
        <v>30</v>
      </c>
      <c r="C11" s="2">
        <f>162+46</f>
        <v>208</v>
      </c>
      <c r="D11" s="2">
        <f>146+50</f>
        <v>196</v>
      </c>
      <c r="E11" s="2">
        <f>66+17</f>
        <v>83</v>
      </c>
      <c r="F11" s="2">
        <f>59+41</f>
        <v>100</v>
      </c>
      <c r="G11" s="2">
        <f>62+34</f>
        <v>96</v>
      </c>
      <c r="H11" s="2">
        <f>50+40</f>
        <v>90</v>
      </c>
      <c r="I11" s="2">
        <f>71+54</f>
        <v>125</v>
      </c>
      <c r="J11" s="2">
        <f>159+57</f>
        <v>216</v>
      </c>
      <c r="K11" s="2">
        <f>14773+1325+41</f>
        <v>16139</v>
      </c>
      <c r="L11" s="2">
        <f>103+37</f>
        <v>140</v>
      </c>
      <c r="M11" s="2">
        <f>209+32</f>
        <v>241</v>
      </c>
      <c r="N11" s="2">
        <v>250</v>
      </c>
      <c r="Q11" s="10">
        <f>SUM(C11:F11)</f>
        <v>587</v>
      </c>
      <c r="R11" s="10">
        <f>SUM(G11:J11)</f>
        <v>527</v>
      </c>
      <c r="S11" s="10">
        <f>SUM(K11:N11)-14773</f>
        <v>1997</v>
      </c>
      <c r="T11" s="2">
        <v>500</v>
      </c>
      <c r="U11" s="2">
        <f>T11*0.9</f>
        <v>450</v>
      </c>
      <c r="V11" s="2">
        <f>U11*0.9</f>
        <v>405</v>
      </c>
      <c r="W11" s="2">
        <f t="shared" ref="W11:AC11" si="15">V11*0.9</f>
        <v>364.5</v>
      </c>
      <c r="X11" s="2">
        <f t="shared" si="15"/>
        <v>328.05</v>
      </c>
      <c r="Y11" s="2">
        <f t="shared" si="15"/>
        <v>295.245</v>
      </c>
      <c r="Z11" s="2">
        <f t="shared" si="15"/>
        <v>265.72050000000002</v>
      </c>
      <c r="AA11" s="2">
        <f t="shared" si="15"/>
        <v>239.14845000000003</v>
      </c>
      <c r="AB11" s="2">
        <f t="shared" si="15"/>
        <v>215.23360500000004</v>
      </c>
      <c r="AC11" s="2">
        <f t="shared" si="15"/>
        <v>193.71024450000004</v>
      </c>
    </row>
    <row r="12" spans="2:29" s="1" customFormat="1" x14ac:dyDescent="0.3">
      <c r="B12" s="1" t="s">
        <v>31</v>
      </c>
      <c r="C12" s="11">
        <f>C9-C10-C11</f>
        <v>-41</v>
      </c>
      <c r="D12" s="11">
        <f>D9-D10-D11</f>
        <v>78</v>
      </c>
      <c r="E12" s="11">
        <f>E9-E10-E11</f>
        <v>282</v>
      </c>
      <c r="F12" s="11">
        <f>F9-F10-F11</f>
        <v>382</v>
      </c>
      <c r="G12" s="11">
        <f>G9-G10-G11</f>
        <v>176</v>
      </c>
      <c r="H12" s="11">
        <f>H9-H10-H11</f>
        <v>271</v>
      </c>
      <c r="I12" s="11">
        <f>I9-I10-I11</f>
        <v>297</v>
      </c>
      <c r="J12" s="11">
        <f>J9-J10-J11</f>
        <v>331</v>
      </c>
      <c r="K12" s="11">
        <f>K9-K10-K11</f>
        <v>-16059</v>
      </c>
      <c r="L12" s="11">
        <f>L9-L10-L11</f>
        <v>-52</v>
      </c>
      <c r="M12" s="11">
        <f>M9-M10-M11</f>
        <v>-49</v>
      </c>
      <c r="N12" s="11">
        <f>N9-N10-N11</f>
        <v>16.316999999999098</v>
      </c>
      <c r="Q12" s="11">
        <f>Q9-Q10-Q11</f>
        <v>441</v>
      </c>
      <c r="R12" s="11">
        <f>R9-R10-R11</f>
        <v>881</v>
      </c>
      <c r="S12" s="11">
        <f>S9-S10-S11</f>
        <v>-1370.6829999999973</v>
      </c>
      <c r="T12" s="11">
        <f t="shared" ref="T12:AC12" si="16">T9-T10-T11</f>
        <v>448.89445000000205</v>
      </c>
      <c r="U12" s="11">
        <f t="shared" si="16"/>
        <v>746.08885200000122</v>
      </c>
      <c r="V12" s="11">
        <f t="shared" si="16"/>
        <v>1022.6271646349978</v>
      </c>
      <c r="W12" s="11">
        <f t="shared" si="16"/>
        <v>1226.7375700850998</v>
      </c>
      <c r="X12" s="11">
        <f t="shared" si="16"/>
        <v>1328.6508154185469</v>
      </c>
      <c r="Y12" s="11">
        <f t="shared" si="16"/>
        <v>1373.3377000045075</v>
      </c>
      <c r="Z12" s="11">
        <f t="shared" si="16"/>
        <v>1391.2242168971511</v>
      </c>
      <c r="AA12" s="11">
        <f t="shared" si="16"/>
        <v>1463.8180158038394</v>
      </c>
      <c r="AB12" s="11">
        <f t="shared" si="16"/>
        <v>1535.2597615766442</v>
      </c>
      <c r="AC12" s="11">
        <f t="shared" si="16"/>
        <v>1605.8251596753557</v>
      </c>
    </row>
    <row r="13" spans="2:29" x14ac:dyDescent="0.3">
      <c r="B13" t="s">
        <v>32</v>
      </c>
      <c r="C13" s="2">
        <v>-2</v>
      </c>
      <c r="D13" s="2">
        <v>-43</v>
      </c>
      <c r="E13" s="2">
        <v>-6</v>
      </c>
      <c r="F13" s="2">
        <v>-152</v>
      </c>
      <c r="G13" s="2">
        <v>-21</v>
      </c>
      <c r="H13" s="2">
        <v>131</v>
      </c>
      <c r="I13" s="2">
        <v>14</v>
      </c>
      <c r="J13" s="2">
        <v>-39</v>
      </c>
      <c r="K13" s="2">
        <v>-25</v>
      </c>
      <c r="L13" s="2">
        <v>255</v>
      </c>
      <c r="M13" s="2">
        <v>149</v>
      </c>
      <c r="N13" s="2">
        <v>100</v>
      </c>
      <c r="Q13" s="10">
        <f>SUM(C13:F13)</f>
        <v>-203</v>
      </c>
      <c r="R13" s="10">
        <f>SUM(G13:J13)</f>
        <v>85</v>
      </c>
      <c r="S13" s="10">
        <f>SUM(K13:N13)</f>
        <v>479</v>
      </c>
      <c r="T13" s="2">
        <f>S13*0.9</f>
        <v>431.1</v>
      </c>
      <c r="U13" s="2">
        <f t="shared" ref="U13:AC13" si="17">T13*0.9</f>
        <v>387.99</v>
      </c>
      <c r="V13" s="2">
        <f t="shared" si="17"/>
        <v>349.19100000000003</v>
      </c>
      <c r="W13" s="2">
        <f t="shared" si="17"/>
        <v>314.27190000000002</v>
      </c>
      <c r="X13" s="2">
        <f t="shared" si="17"/>
        <v>282.84471000000002</v>
      </c>
      <c r="Y13" s="2">
        <f t="shared" si="17"/>
        <v>254.56023900000002</v>
      </c>
      <c r="Z13" s="2">
        <f t="shared" si="17"/>
        <v>229.10421510000003</v>
      </c>
      <c r="AA13" s="2">
        <f t="shared" si="17"/>
        <v>206.19379359000004</v>
      </c>
      <c r="AB13" s="2">
        <f t="shared" si="17"/>
        <v>185.57441423100005</v>
      </c>
      <c r="AC13" s="2">
        <f t="shared" si="17"/>
        <v>167.01697280790006</v>
      </c>
    </row>
    <row r="14" spans="2:29" x14ac:dyDescent="0.3">
      <c r="B14" t="s">
        <v>33</v>
      </c>
      <c r="C14" s="2">
        <v>46</v>
      </c>
      <c r="D14" s="2">
        <v>63</v>
      </c>
      <c r="E14" s="2">
        <v>55</v>
      </c>
      <c r="F14" s="2">
        <v>59</v>
      </c>
      <c r="G14" s="2">
        <v>59</v>
      </c>
      <c r="H14" s="2">
        <v>56</v>
      </c>
      <c r="I14" s="2">
        <v>59</v>
      </c>
      <c r="J14" s="2">
        <v>63</v>
      </c>
      <c r="K14" s="2">
        <v>59</v>
      </c>
      <c r="L14" s="2">
        <v>69</v>
      </c>
      <c r="M14" s="2">
        <v>66</v>
      </c>
      <c r="N14" s="2">
        <v>66</v>
      </c>
      <c r="Q14" s="10">
        <f>SUM(C14:F14)</f>
        <v>223</v>
      </c>
      <c r="R14" s="10">
        <f>SUM(G14:J14)</f>
        <v>237</v>
      </c>
      <c r="S14" s="10">
        <f>SUM(K14:N14)</f>
        <v>260</v>
      </c>
      <c r="T14" s="2">
        <f>66*4</f>
        <v>264</v>
      </c>
      <c r="U14" s="2">
        <f t="shared" ref="U14" si="18">66*4</f>
        <v>264</v>
      </c>
      <c r="V14" s="2">
        <f>U14*0.8</f>
        <v>211.20000000000002</v>
      </c>
      <c r="W14" s="2">
        <f t="shared" ref="W14:AC14" si="19">V14*0.8</f>
        <v>168.96000000000004</v>
      </c>
      <c r="X14" s="2">
        <f t="shared" si="19"/>
        <v>135.16800000000003</v>
      </c>
      <c r="Y14" s="2">
        <f t="shared" si="19"/>
        <v>108.13440000000003</v>
      </c>
      <c r="Z14" s="2">
        <f t="shared" si="19"/>
        <v>86.507520000000028</v>
      </c>
      <c r="AA14" s="2">
        <f t="shared" si="19"/>
        <v>69.20601600000002</v>
      </c>
      <c r="AB14" s="2">
        <f t="shared" si="19"/>
        <v>55.364812800000017</v>
      </c>
      <c r="AC14" s="2">
        <f t="shared" si="19"/>
        <v>44.291850240000016</v>
      </c>
    </row>
    <row r="15" spans="2:29" s="1" customFormat="1" x14ac:dyDescent="0.3">
      <c r="B15" s="1" t="s">
        <v>34</v>
      </c>
      <c r="C15" s="11">
        <f>C12-C13-C14</f>
        <v>-85</v>
      </c>
      <c r="D15" s="11">
        <f>D12-D13-D14</f>
        <v>58</v>
      </c>
      <c r="E15" s="11">
        <f>E12-E13-E14</f>
        <v>233</v>
      </c>
      <c r="F15" s="11">
        <f>F12-F13-F14</f>
        <v>475</v>
      </c>
      <c r="G15" s="11">
        <f>G12-G13-G14</f>
        <v>138</v>
      </c>
      <c r="H15" s="11">
        <f>H12-H13-H14</f>
        <v>84</v>
      </c>
      <c r="I15" s="11">
        <f>I12-I13-I14</f>
        <v>224</v>
      </c>
      <c r="J15" s="11">
        <f>J12-J13-J14</f>
        <v>307</v>
      </c>
      <c r="K15" s="11">
        <f>K12-K13-K14</f>
        <v>-16093</v>
      </c>
      <c r="L15" s="11">
        <f>L12-L13-L14</f>
        <v>-376</v>
      </c>
      <c r="M15" s="11">
        <f>M12-M13-M14</f>
        <v>-264</v>
      </c>
      <c r="N15" s="11">
        <f>N12-N13-N14</f>
        <v>-149.6830000000009</v>
      </c>
      <c r="Q15" s="11">
        <f>Q12-Q13-Q14</f>
        <v>421</v>
      </c>
      <c r="R15" s="11">
        <f>R12-R13-R14</f>
        <v>559</v>
      </c>
      <c r="S15" s="11">
        <f>S12-S13-S14</f>
        <v>-2109.6829999999973</v>
      </c>
      <c r="T15" s="11">
        <f t="shared" ref="T15:AC15" si="20">T12-T13-T14</f>
        <v>-246.20554999999797</v>
      </c>
      <c r="U15" s="11">
        <f t="shared" si="20"/>
        <v>94.098852000001216</v>
      </c>
      <c r="V15" s="11">
        <f t="shared" si="20"/>
        <v>462.23616463499775</v>
      </c>
      <c r="W15" s="11">
        <f t="shared" si="20"/>
        <v>743.50567008509984</v>
      </c>
      <c r="X15" s="11">
        <f t="shared" si="20"/>
        <v>910.63810541854684</v>
      </c>
      <c r="Y15" s="11">
        <f t="shared" si="20"/>
        <v>1010.6430610045076</v>
      </c>
      <c r="Z15" s="11">
        <f t="shared" si="20"/>
        <v>1075.6124817971508</v>
      </c>
      <c r="AA15" s="11">
        <f t="shared" si="20"/>
        <v>1188.4182062138393</v>
      </c>
      <c r="AB15" s="11">
        <f t="shared" si="20"/>
        <v>1294.3205345456443</v>
      </c>
      <c r="AC15" s="11">
        <f t="shared" si="20"/>
        <v>1394.5163366274558</v>
      </c>
    </row>
    <row r="16" spans="2:29" x14ac:dyDescent="0.3">
      <c r="B16" t="s">
        <v>35</v>
      </c>
      <c r="C16" s="2">
        <v>-86</v>
      </c>
      <c r="D16" s="2">
        <v>62</v>
      </c>
      <c r="E16" s="2">
        <v>110</v>
      </c>
      <c r="F16" s="2">
        <v>173</v>
      </c>
      <c r="G16" s="2">
        <v>67</v>
      </c>
      <c r="H16" s="2">
        <v>95</v>
      </c>
      <c r="I16" s="2">
        <v>107</v>
      </c>
      <c r="J16" s="2">
        <v>212</v>
      </c>
      <c r="K16" s="2">
        <v>5</v>
      </c>
      <c r="L16" s="2">
        <v>-21</v>
      </c>
      <c r="M16" s="2">
        <v>6</v>
      </c>
      <c r="N16" s="2">
        <f>N15*0.5</f>
        <v>-74.841500000000451</v>
      </c>
      <c r="Q16" s="10">
        <f>SUM(C16:F16)</f>
        <v>259</v>
      </c>
      <c r="R16" s="10">
        <f>SUM(G16:J16)</f>
        <v>481</v>
      </c>
      <c r="S16" s="10">
        <f>SUM(K16:N16)</f>
        <v>-84.841500000000451</v>
      </c>
      <c r="T16" s="2">
        <f>T15*0.45</f>
        <v>-110.79249749999909</v>
      </c>
      <c r="U16" s="2">
        <f t="shared" ref="U16:AC16" si="21">U15*0.45</f>
        <v>42.344483400000549</v>
      </c>
      <c r="V16" s="2">
        <f t="shared" si="21"/>
        <v>208.006274085749</v>
      </c>
      <c r="W16" s="2">
        <f t="shared" si="21"/>
        <v>334.57755153829493</v>
      </c>
      <c r="X16" s="2">
        <f t="shared" si="21"/>
        <v>409.7871474383461</v>
      </c>
      <c r="Y16" s="2">
        <f t="shared" si="21"/>
        <v>454.78937745202842</v>
      </c>
      <c r="Z16" s="2">
        <f t="shared" si="21"/>
        <v>484.02561680871787</v>
      </c>
      <c r="AA16" s="2">
        <f t="shared" si="21"/>
        <v>534.78819279622769</v>
      </c>
      <c r="AB16" s="2">
        <f t="shared" si="21"/>
        <v>582.44424054553997</v>
      </c>
      <c r="AC16" s="2">
        <f t="shared" si="21"/>
        <v>627.53235148235512</v>
      </c>
    </row>
    <row r="17" spans="2:150" x14ac:dyDescent="0.3">
      <c r="B17" t="s">
        <v>36</v>
      </c>
      <c r="C17" s="2">
        <f>-89+20</f>
        <v>-69</v>
      </c>
      <c r="D17" s="2">
        <f>-19+34</f>
        <v>15</v>
      </c>
      <c r="E17" s="2">
        <f>110+85</f>
        <v>195</v>
      </c>
      <c r="F17" s="2">
        <v>171</v>
      </c>
      <c r="G17" s="2">
        <v>39</v>
      </c>
      <c r="H17" s="2">
        <v>-2</v>
      </c>
      <c r="I17" s="2">
        <v>60</v>
      </c>
      <c r="J17" s="2">
        <v>47</v>
      </c>
      <c r="K17" s="2">
        <v>-5888</v>
      </c>
      <c r="L17" s="2">
        <v>-154</v>
      </c>
      <c r="M17" s="2">
        <v>-100</v>
      </c>
      <c r="N17" s="2">
        <v>-50</v>
      </c>
      <c r="Q17" s="10">
        <f>SUM(C17:F17)</f>
        <v>312</v>
      </c>
      <c r="R17" s="10">
        <f>SUM(G17:J17)</f>
        <v>144</v>
      </c>
      <c r="S17" s="10">
        <f>SUM(K17:N17)+6100</f>
        <v>-92</v>
      </c>
      <c r="T17" s="2">
        <v>-50</v>
      </c>
      <c r="U17" s="2">
        <v>-30</v>
      </c>
      <c r="V17" s="2">
        <f>V15*0.05</f>
        <v>23.11180823174989</v>
      </c>
      <c r="W17" s="2">
        <f t="shared" ref="W17:AC17" si="22">W15*0.05</f>
        <v>37.175283504254992</v>
      </c>
      <c r="X17" s="2">
        <f t="shared" si="22"/>
        <v>45.531905270927346</v>
      </c>
      <c r="Y17" s="2">
        <f t="shared" si="22"/>
        <v>50.532153050225382</v>
      </c>
      <c r="Z17" s="2">
        <f t="shared" si="22"/>
        <v>53.780624089857547</v>
      </c>
      <c r="AA17" s="2">
        <f t="shared" si="22"/>
        <v>59.420910310691966</v>
      </c>
      <c r="AB17" s="2">
        <f t="shared" si="22"/>
        <v>64.716026727282213</v>
      </c>
      <c r="AC17" s="2">
        <f t="shared" si="22"/>
        <v>69.725816831372796</v>
      </c>
    </row>
    <row r="18" spans="2:150" s="1" customFormat="1" x14ac:dyDescent="0.3">
      <c r="B18" s="1" t="s">
        <v>37</v>
      </c>
      <c r="C18" s="11">
        <f>C15-C16-C17</f>
        <v>70</v>
      </c>
      <c r="D18" s="11">
        <f>D15-D16-D17</f>
        <v>-19</v>
      </c>
      <c r="E18" s="11">
        <f>E15-E16-E17</f>
        <v>-72</v>
      </c>
      <c r="F18" s="11">
        <f>F15-F16-F17</f>
        <v>131</v>
      </c>
      <c r="G18" s="11">
        <f>G15-G16-G17</f>
        <v>32</v>
      </c>
      <c r="H18" s="11">
        <f>H15-H16-H17</f>
        <v>-9</v>
      </c>
      <c r="I18" s="11">
        <f>I15-I16-I17</f>
        <v>57</v>
      </c>
      <c r="J18" s="11">
        <f>J15-J16-J17</f>
        <v>48</v>
      </c>
      <c r="K18" s="11">
        <f>K15-K16-K17</f>
        <v>-10210</v>
      </c>
      <c r="L18" s="11">
        <f>L15-L16-L17</f>
        <v>-201</v>
      </c>
      <c r="M18" s="11">
        <f>M15-M16-M17</f>
        <v>-170</v>
      </c>
      <c r="N18" s="11">
        <f>N15-N16-N17</f>
        <v>-24.841500000000451</v>
      </c>
      <c r="Q18" s="11">
        <f>Q15-Q16-Q17</f>
        <v>-150</v>
      </c>
      <c r="R18" s="11">
        <f>R15-R16-R17</f>
        <v>-66</v>
      </c>
      <c r="S18" s="11">
        <f>S15-S16-S17</f>
        <v>-1932.8414999999968</v>
      </c>
      <c r="T18" s="11">
        <f t="shared" ref="T18:AC18" si="23">T15-T16-T17</f>
        <v>-85.413052499998884</v>
      </c>
      <c r="U18" s="11">
        <f t="shared" si="23"/>
        <v>81.754368600000674</v>
      </c>
      <c r="V18" s="11">
        <f t="shared" si="23"/>
        <v>231.11808231749887</v>
      </c>
      <c r="W18" s="11">
        <f t="shared" si="23"/>
        <v>371.75283504254992</v>
      </c>
      <c r="X18" s="11">
        <f t="shared" si="23"/>
        <v>455.31905270927342</v>
      </c>
      <c r="Y18" s="11">
        <f t="shared" si="23"/>
        <v>505.32153050225384</v>
      </c>
      <c r="Z18" s="11">
        <f t="shared" si="23"/>
        <v>537.80624089857554</v>
      </c>
      <c r="AA18" s="11">
        <f t="shared" si="23"/>
        <v>594.20910310691966</v>
      </c>
      <c r="AB18" s="11">
        <f t="shared" si="23"/>
        <v>647.16026727282201</v>
      </c>
      <c r="AC18" s="11">
        <f t="shared" si="23"/>
        <v>697.25816831372788</v>
      </c>
      <c r="AD18" s="1">
        <f>AC18*(1+$AG$25)</f>
        <v>690.28558663059061</v>
      </c>
      <c r="AE18" s="1">
        <f t="shared" ref="AE18:CP18" si="24">AD18*(1+$AG$25)</f>
        <v>683.3827307642847</v>
      </c>
      <c r="AF18" s="1">
        <f t="shared" si="24"/>
        <v>676.54890345664182</v>
      </c>
      <c r="AG18" s="1">
        <f t="shared" si="24"/>
        <v>669.78341442207545</v>
      </c>
      <c r="AH18" s="1">
        <f t="shared" si="24"/>
        <v>663.08558027785466</v>
      </c>
      <c r="AI18" s="1">
        <f t="shared" si="24"/>
        <v>656.45472447507609</v>
      </c>
      <c r="AJ18" s="1">
        <f t="shared" si="24"/>
        <v>649.89017723032532</v>
      </c>
      <c r="AK18" s="1">
        <f t="shared" si="24"/>
        <v>643.39127545802205</v>
      </c>
      <c r="AL18" s="1">
        <f t="shared" si="24"/>
        <v>636.95736270344185</v>
      </c>
      <c r="AM18" s="1">
        <f t="shared" si="24"/>
        <v>630.58778907640738</v>
      </c>
      <c r="AN18" s="1">
        <f t="shared" si="24"/>
        <v>624.28191118564325</v>
      </c>
      <c r="AO18" s="1">
        <f t="shared" si="24"/>
        <v>618.03909207378683</v>
      </c>
      <c r="AP18" s="1">
        <f t="shared" si="24"/>
        <v>611.85870115304897</v>
      </c>
      <c r="AQ18" s="1">
        <f t="shared" si="24"/>
        <v>605.74011414151846</v>
      </c>
      <c r="AR18" s="1">
        <f t="shared" si="24"/>
        <v>599.68271300010326</v>
      </c>
      <c r="AS18" s="1">
        <f t="shared" si="24"/>
        <v>593.6858858701022</v>
      </c>
      <c r="AT18" s="1">
        <f t="shared" si="24"/>
        <v>587.74902701140115</v>
      </c>
      <c r="AU18" s="1">
        <f t="shared" si="24"/>
        <v>581.87153674128717</v>
      </c>
      <c r="AV18" s="1">
        <f t="shared" si="24"/>
        <v>576.05282137387428</v>
      </c>
      <c r="AW18" s="1">
        <f t="shared" si="24"/>
        <v>570.2922931601355</v>
      </c>
      <c r="AX18" s="1">
        <f t="shared" si="24"/>
        <v>564.58937022853411</v>
      </c>
      <c r="AY18" s="1">
        <f t="shared" si="24"/>
        <v>558.94347652624879</v>
      </c>
      <c r="AZ18" s="1">
        <f t="shared" si="24"/>
        <v>553.35404176098632</v>
      </c>
      <c r="BA18" s="1">
        <f t="shared" si="24"/>
        <v>547.82050134337646</v>
      </c>
      <c r="BB18" s="1">
        <f t="shared" si="24"/>
        <v>542.34229632994266</v>
      </c>
      <c r="BC18" s="1">
        <f t="shared" si="24"/>
        <v>536.9188733666432</v>
      </c>
      <c r="BD18" s="1">
        <f t="shared" si="24"/>
        <v>531.54968463297678</v>
      </c>
      <c r="BE18" s="1">
        <f t="shared" si="24"/>
        <v>526.234187786647</v>
      </c>
      <c r="BF18" s="1">
        <f t="shared" si="24"/>
        <v>520.97184590878055</v>
      </c>
      <c r="BG18" s="1">
        <f t="shared" si="24"/>
        <v>515.76212744969268</v>
      </c>
      <c r="BH18" s="1">
        <f t="shared" si="24"/>
        <v>510.60450617519575</v>
      </c>
      <c r="BI18" s="1">
        <f t="shared" si="24"/>
        <v>505.4984611134438</v>
      </c>
      <c r="BJ18" s="1">
        <f t="shared" si="24"/>
        <v>500.44347650230935</v>
      </c>
      <c r="BK18" s="1">
        <f t="shared" si="24"/>
        <v>495.43904173728623</v>
      </c>
      <c r="BL18" s="1">
        <f t="shared" si="24"/>
        <v>490.48465131991338</v>
      </c>
      <c r="BM18" s="1">
        <f t="shared" si="24"/>
        <v>485.57980480671426</v>
      </c>
      <c r="BN18" s="1">
        <f t="shared" si="24"/>
        <v>480.72400675864714</v>
      </c>
      <c r="BO18" s="1">
        <f t="shared" si="24"/>
        <v>475.91676669106067</v>
      </c>
      <c r="BP18" s="1">
        <f t="shared" si="24"/>
        <v>471.15759902415004</v>
      </c>
      <c r="BQ18" s="1">
        <f t="shared" si="24"/>
        <v>466.44602303390855</v>
      </c>
      <c r="BR18" s="1">
        <f t="shared" si="24"/>
        <v>461.78156280356944</v>
      </c>
      <c r="BS18" s="1">
        <f t="shared" si="24"/>
        <v>457.16374717553373</v>
      </c>
      <c r="BT18" s="1">
        <f t="shared" si="24"/>
        <v>452.59210970377836</v>
      </c>
      <c r="BU18" s="1">
        <f t="shared" si="24"/>
        <v>448.06618860674058</v>
      </c>
      <c r="BV18" s="1">
        <f t="shared" si="24"/>
        <v>443.58552672067316</v>
      </c>
      <c r="BW18" s="1">
        <f t="shared" si="24"/>
        <v>439.1496714534664</v>
      </c>
      <c r="BX18" s="1">
        <f t="shared" si="24"/>
        <v>434.75817473893176</v>
      </c>
      <c r="BY18" s="1">
        <f t="shared" si="24"/>
        <v>430.41059299154244</v>
      </c>
      <c r="BZ18" s="1">
        <f t="shared" si="24"/>
        <v>426.10648706162704</v>
      </c>
      <c r="CA18" s="1">
        <f t="shared" si="24"/>
        <v>421.84542219101075</v>
      </c>
      <c r="CB18" s="1">
        <f t="shared" si="24"/>
        <v>417.62696796910063</v>
      </c>
      <c r="CC18" s="1">
        <f t="shared" si="24"/>
        <v>413.45069828940962</v>
      </c>
      <c r="CD18" s="1">
        <f t="shared" si="24"/>
        <v>409.31619130651552</v>
      </c>
      <c r="CE18" s="1">
        <f t="shared" si="24"/>
        <v>405.22302939345036</v>
      </c>
      <c r="CF18" s="1">
        <f t="shared" si="24"/>
        <v>401.17079909951588</v>
      </c>
      <c r="CG18" s="1">
        <f t="shared" si="24"/>
        <v>397.15909110852073</v>
      </c>
      <c r="CH18" s="1">
        <f t="shared" si="24"/>
        <v>393.1875001974355</v>
      </c>
      <c r="CI18" s="1">
        <f t="shared" si="24"/>
        <v>389.25562519546116</v>
      </c>
      <c r="CJ18" s="1">
        <f t="shared" si="24"/>
        <v>385.36306894350656</v>
      </c>
      <c r="CK18" s="1">
        <f t="shared" si="24"/>
        <v>381.50943825407148</v>
      </c>
      <c r="CL18" s="1">
        <f t="shared" si="24"/>
        <v>377.69434387153075</v>
      </c>
      <c r="CM18" s="1">
        <f t="shared" si="24"/>
        <v>373.91740043281544</v>
      </c>
      <c r="CN18" s="1">
        <f t="shared" si="24"/>
        <v>370.17822642848728</v>
      </c>
      <c r="CO18" s="1">
        <f t="shared" si="24"/>
        <v>366.47644416420241</v>
      </c>
      <c r="CP18" s="1">
        <f t="shared" si="24"/>
        <v>362.81167972256037</v>
      </c>
      <c r="CQ18" s="1">
        <f t="shared" ref="CQ18:ET18" si="25">CP18*(1+$AG$25)</f>
        <v>359.18356292533474</v>
      </c>
      <c r="CR18" s="1">
        <f t="shared" si="25"/>
        <v>355.59172729608139</v>
      </c>
      <c r="CS18" s="1">
        <f t="shared" si="25"/>
        <v>352.03581002312058</v>
      </c>
      <c r="CT18" s="1">
        <f t="shared" si="25"/>
        <v>348.51545192288938</v>
      </c>
      <c r="CU18" s="1">
        <f t="shared" si="25"/>
        <v>345.03029740366048</v>
      </c>
      <c r="CV18" s="1">
        <f t="shared" si="25"/>
        <v>341.57999442962387</v>
      </c>
      <c r="CW18" s="1">
        <f t="shared" si="25"/>
        <v>338.16419448532764</v>
      </c>
      <c r="CX18" s="1">
        <f t="shared" si="25"/>
        <v>334.78255254047434</v>
      </c>
      <c r="CY18" s="1">
        <f t="shared" si="25"/>
        <v>331.4347270150696</v>
      </c>
      <c r="CZ18" s="1">
        <f t="shared" si="25"/>
        <v>328.12037974491892</v>
      </c>
      <c r="DA18" s="1">
        <f t="shared" si="25"/>
        <v>324.83917594746976</v>
      </c>
      <c r="DB18" s="1">
        <f t="shared" si="25"/>
        <v>321.59078418799504</v>
      </c>
      <c r="DC18" s="1">
        <f t="shared" si="25"/>
        <v>318.37487634611512</v>
      </c>
      <c r="DD18" s="1">
        <f t="shared" si="25"/>
        <v>315.19112758265396</v>
      </c>
      <c r="DE18" s="1">
        <f t="shared" si="25"/>
        <v>312.03921630682743</v>
      </c>
      <c r="DF18" s="1">
        <f t="shared" si="25"/>
        <v>308.91882414375914</v>
      </c>
      <c r="DG18" s="1">
        <f t="shared" si="25"/>
        <v>305.82963590232157</v>
      </c>
      <c r="DH18" s="1">
        <f t="shared" si="25"/>
        <v>302.77133954329832</v>
      </c>
      <c r="DI18" s="1">
        <f t="shared" si="25"/>
        <v>299.74362614786531</v>
      </c>
      <c r="DJ18" s="1">
        <f t="shared" si="25"/>
        <v>296.74618988638667</v>
      </c>
      <c r="DK18" s="1">
        <f t="shared" si="25"/>
        <v>293.77872798752281</v>
      </c>
      <c r="DL18" s="1">
        <f t="shared" si="25"/>
        <v>290.84094070764758</v>
      </c>
      <c r="DM18" s="1">
        <f t="shared" si="25"/>
        <v>287.9325313005711</v>
      </c>
      <c r="DN18" s="1">
        <f t="shared" si="25"/>
        <v>285.05320598756538</v>
      </c>
      <c r="DO18" s="1">
        <f t="shared" si="25"/>
        <v>282.20267392768972</v>
      </c>
      <c r="DP18" s="1">
        <f t="shared" si="25"/>
        <v>279.38064718841281</v>
      </c>
      <c r="DQ18" s="1">
        <f t="shared" si="25"/>
        <v>276.58684071652868</v>
      </c>
      <c r="DR18" s="1">
        <f t="shared" si="25"/>
        <v>273.82097230936341</v>
      </c>
      <c r="DS18" s="1">
        <f t="shared" si="25"/>
        <v>271.08276258626978</v>
      </c>
      <c r="DT18" s="1">
        <f t="shared" si="25"/>
        <v>268.37193496040709</v>
      </c>
      <c r="DU18" s="1">
        <f t="shared" si="25"/>
        <v>265.68821561080301</v>
      </c>
      <c r="DV18" s="1">
        <f t="shared" si="25"/>
        <v>263.03133345469496</v>
      </c>
      <c r="DW18" s="1">
        <f t="shared" si="25"/>
        <v>260.40102012014802</v>
      </c>
      <c r="DX18" s="1">
        <f t="shared" si="25"/>
        <v>257.79700991894651</v>
      </c>
      <c r="DY18" s="1">
        <f t="shared" si="25"/>
        <v>255.21903981975706</v>
      </c>
      <c r="DZ18" s="1">
        <f t="shared" si="25"/>
        <v>252.66684942155948</v>
      </c>
      <c r="EA18" s="1">
        <f t="shared" si="25"/>
        <v>250.14018092734389</v>
      </c>
      <c r="EB18" s="1">
        <f t="shared" si="25"/>
        <v>247.63877911807046</v>
      </c>
      <c r="EC18" s="1">
        <f t="shared" si="25"/>
        <v>245.16239132688975</v>
      </c>
      <c r="ED18" s="1">
        <f t="shared" si="25"/>
        <v>242.71076741362086</v>
      </c>
      <c r="EE18" s="1">
        <f t="shared" si="25"/>
        <v>240.28365973948465</v>
      </c>
      <c r="EF18" s="1">
        <f t="shared" si="25"/>
        <v>237.88082314208981</v>
      </c>
      <c r="EG18" s="1">
        <f t="shared" si="25"/>
        <v>235.50201491066892</v>
      </c>
      <c r="EH18" s="1">
        <f t="shared" si="25"/>
        <v>233.14699476156224</v>
      </c>
      <c r="EI18" s="1">
        <f t="shared" si="25"/>
        <v>230.81552481394661</v>
      </c>
      <c r="EJ18" s="1">
        <f t="shared" si="25"/>
        <v>228.50736956580715</v>
      </c>
      <c r="EK18" s="1">
        <f t="shared" si="25"/>
        <v>226.22229587014908</v>
      </c>
      <c r="EL18" s="1">
        <f t="shared" si="25"/>
        <v>223.96007291144758</v>
      </c>
      <c r="EM18" s="1">
        <f t="shared" si="25"/>
        <v>221.72047218233311</v>
      </c>
      <c r="EN18" s="1">
        <f t="shared" si="25"/>
        <v>219.50326746050979</v>
      </c>
      <c r="EO18" s="1">
        <f t="shared" si="25"/>
        <v>217.30823478590469</v>
      </c>
      <c r="EP18" s="1">
        <f t="shared" si="25"/>
        <v>215.13515243804565</v>
      </c>
      <c r="EQ18" s="1">
        <f t="shared" si="25"/>
        <v>212.98380091366519</v>
      </c>
      <c r="ER18" s="1">
        <f t="shared" si="25"/>
        <v>210.85396290452854</v>
      </c>
      <c r="ES18" s="1">
        <f t="shared" si="25"/>
        <v>208.74542327548326</v>
      </c>
      <c r="ET18" s="1">
        <f t="shared" si="25"/>
        <v>206.65796904272844</v>
      </c>
    </row>
    <row r="19" spans="2:150" x14ac:dyDescent="0.3">
      <c r="B19" t="s">
        <v>2</v>
      </c>
      <c r="C19" s="2">
        <v>1035</v>
      </c>
      <c r="D19" s="2">
        <v>1035</v>
      </c>
      <c r="E19" s="2">
        <v>1035</v>
      </c>
      <c r="F19" s="2">
        <v>1035</v>
      </c>
      <c r="G19" s="2">
        <v>1035</v>
      </c>
      <c r="H19" s="2">
        <v>1035</v>
      </c>
      <c r="I19" s="2">
        <v>1035</v>
      </c>
      <c r="J19" s="2">
        <v>1035</v>
      </c>
      <c r="K19" s="2">
        <v>1035</v>
      </c>
      <c r="L19" s="2">
        <v>1035</v>
      </c>
      <c r="M19" s="2">
        <v>1035</v>
      </c>
      <c r="N19" s="2">
        <v>1035</v>
      </c>
      <c r="Q19" s="2">
        <v>1035</v>
      </c>
      <c r="R19" s="2">
        <v>1035</v>
      </c>
      <c r="S19" s="2">
        <v>1035</v>
      </c>
      <c r="T19" s="2">
        <v>1035</v>
      </c>
      <c r="U19" s="2">
        <v>1035</v>
      </c>
      <c r="V19" s="2">
        <v>1035</v>
      </c>
      <c r="W19" s="2">
        <v>1035</v>
      </c>
      <c r="X19" s="2">
        <v>1035</v>
      </c>
      <c r="Y19" s="2">
        <v>1035</v>
      </c>
      <c r="Z19" s="2">
        <v>1035</v>
      </c>
      <c r="AA19" s="2">
        <v>1035</v>
      </c>
      <c r="AB19" s="2">
        <v>1035</v>
      </c>
      <c r="AC19" s="2">
        <v>1035</v>
      </c>
    </row>
    <row r="20" spans="2:150" s="1" customFormat="1" x14ac:dyDescent="0.3">
      <c r="B20" s="1" t="s">
        <v>38</v>
      </c>
      <c r="C20" s="7">
        <f>C18/C19</f>
        <v>6.7632850241545889E-2</v>
      </c>
      <c r="D20" s="7">
        <f>D18/D19</f>
        <v>-1.8357487922705314E-2</v>
      </c>
      <c r="E20" s="7">
        <f>E18/E19</f>
        <v>-6.9565217391304349E-2</v>
      </c>
      <c r="F20" s="7">
        <f>F18/F19</f>
        <v>0.12657004830917876</v>
      </c>
      <c r="G20" s="7">
        <f>G18/G19</f>
        <v>3.0917874396135265E-2</v>
      </c>
      <c r="H20" s="7">
        <f>H18/H19</f>
        <v>-8.6956521739130436E-3</v>
      </c>
      <c r="I20" s="7">
        <f>I18/I19</f>
        <v>5.5072463768115941E-2</v>
      </c>
      <c r="J20" s="7">
        <f>J18/J19</f>
        <v>4.6376811594202899E-2</v>
      </c>
      <c r="K20" s="7">
        <f>K18/K19</f>
        <v>-9.8647342995169076</v>
      </c>
      <c r="L20" s="7">
        <f>L18/L19</f>
        <v>-0.19420289855072465</v>
      </c>
      <c r="M20" s="7">
        <f>M18/M19</f>
        <v>-0.16425120772946861</v>
      </c>
      <c r="N20" s="7">
        <f t="shared" ref="N20" si="26">N18/N19</f>
        <v>-2.4001449275362755E-2</v>
      </c>
      <c r="Q20" s="7">
        <f>Q18/Q19</f>
        <v>-0.14492753623188406</v>
      </c>
      <c r="R20" s="7">
        <f>R18/R19</f>
        <v>-6.3768115942028983E-2</v>
      </c>
      <c r="S20" s="7">
        <f>S18/S19</f>
        <v>-1.8674797101449245</v>
      </c>
      <c r="T20" s="7">
        <f t="shared" ref="T20:AC20" si="27">T18/T19</f>
        <v>-8.2524688405796021E-2</v>
      </c>
      <c r="U20" s="7">
        <f t="shared" si="27"/>
        <v>7.8989728115942681E-2</v>
      </c>
      <c r="V20" s="7">
        <f t="shared" si="27"/>
        <v>0.22330249499275254</v>
      </c>
      <c r="W20" s="7">
        <f t="shared" si="27"/>
        <v>0.35918148313289849</v>
      </c>
      <c r="X20" s="7">
        <f t="shared" si="27"/>
        <v>0.439921790057269</v>
      </c>
      <c r="Y20" s="7">
        <f t="shared" si="27"/>
        <v>0.48823336280411</v>
      </c>
      <c r="Z20" s="7">
        <f t="shared" si="27"/>
        <v>0.51961955642374447</v>
      </c>
      <c r="AA20" s="7">
        <f t="shared" si="27"/>
        <v>0.5741150754656229</v>
      </c>
      <c r="AB20" s="7">
        <f t="shared" si="27"/>
        <v>0.62527562055345121</v>
      </c>
      <c r="AC20" s="7">
        <f t="shared" si="27"/>
        <v>0.67367938967509944</v>
      </c>
    </row>
    <row r="22" spans="2:150" x14ac:dyDescent="0.3">
      <c r="B22" s="8" t="s">
        <v>46</v>
      </c>
      <c r="G22" s="9">
        <f t="shared" ref="G22:G23" si="28">G3/C3-1</f>
        <v>1.32911392405064E-2</v>
      </c>
      <c r="H22" s="9">
        <f t="shared" ref="H22:H23" si="29">H3/D3-1</f>
        <v>7.2779737095222785E-2</v>
      </c>
      <c r="I22" s="9">
        <f t="shared" ref="I22:I23" si="30">I3/E3-1</f>
        <v>6.2698917886696348E-2</v>
      </c>
      <c r="J22" s="9">
        <f t="shared" ref="J22:J23" si="31">J3/F3-1</f>
        <v>4.2785758900687032E-2</v>
      </c>
      <c r="K22" s="9">
        <f t="shared" ref="K22:K23" si="32">K3/G3-1</f>
        <v>-3.7476577139287981E-2</v>
      </c>
      <c r="L22" s="9">
        <f t="shared" ref="L22:L23" si="33">L3/H3-1</f>
        <v>-0.1428571428571429</v>
      </c>
      <c r="M22" s="9">
        <f t="shared" ref="M22:M23" si="34">M3/I3-1</f>
        <v>-1.4675052410901501E-2</v>
      </c>
      <c r="N22" s="9">
        <f t="shared" ref="N22:N23" si="35">N3/J3-1</f>
        <v>3.4591194968553562E-2</v>
      </c>
      <c r="R22" s="9">
        <f t="shared" ref="R22:AC22" si="36">R3/Q3-1</f>
        <v>4.7769943753465993E-2</v>
      </c>
      <c r="S22" s="9">
        <f t="shared" si="36"/>
        <v>-4.0185997278088581E-2</v>
      </c>
      <c r="T22" s="9">
        <f t="shared" si="36"/>
        <v>4.0000000000000036E-2</v>
      </c>
      <c r="U22" s="9">
        <f t="shared" si="36"/>
        <v>3.0000000000000027E-2</v>
      </c>
      <c r="V22" s="9">
        <f t="shared" si="36"/>
        <v>3.0000000000000027E-2</v>
      </c>
      <c r="W22" s="9">
        <f t="shared" si="36"/>
        <v>1.0000000000000009E-2</v>
      </c>
      <c r="X22" s="9">
        <f t="shared" si="36"/>
        <v>1.0000000000000009E-2</v>
      </c>
      <c r="Y22" s="9">
        <f t="shared" si="36"/>
        <v>-2.0000000000000018E-2</v>
      </c>
      <c r="Z22" s="9">
        <f t="shared" si="36"/>
        <v>-2.0000000000000018E-2</v>
      </c>
      <c r="AA22" s="9">
        <f t="shared" si="36"/>
        <v>-2.0000000000000018E-2</v>
      </c>
      <c r="AB22" s="9">
        <f t="shared" si="36"/>
        <v>-1.9999999999999907E-2</v>
      </c>
      <c r="AC22" s="9">
        <f t="shared" si="36"/>
        <v>-1.9999999999999907E-2</v>
      </c>
    </row>
    <row r="23" spans="2:150" x14ac:dyDescent="0.3">
      <c r="B23" s="8" t="s">
        <v>47</v>
      </c>
      <c r="G23" s="9">
        <f t="shared" si="28"/>
        <v>7.7713264850379549E-2</v>
      </c>
      <c r="H23" s="9">
        <f t="shared" si="29"/>
        <v>9.0160559901193871E-2</v>
      </c>
      <c r="I23" s="9">
        <f t="shared" si="30"/>
        <v>7.9270709472849532E-3</v>
      </c>
      <c r="J23" s="9">
        <f t="shared" si="31"/>
        <v>5.387484459179448E-2</v>
      </c>
      <c r="K23" s="9">
        <f t="shared" si="32"/>
        <v>-2.9009531703273916E-2</v>
      </c>
      <c r="L23" s="9">
        <f t="shared" si="33"/>
        <v>-0.29456193353474325</v>
      </c>
      <c r="M23" s="9">
        <f t="shared" si="34"/>
        <v>-0.30829728666928824</v>
      </c>
      <c r="N23" s="9">
        <f t="shared" si="35"/>
        <v>-0.23912701533621705</v>
      </c>
      <c r="R23" s="9">
        <f t="shared" ref="R23:AC23" si="37">R4/Q4-1</f>
        <v>5.6538942107455137E-2</v>
      </c>
      <c r="S23" s="9">
        <f t="shared" si="37"/>
        <v>-0.22096186064846757</v>
      </c>
      <c r="T23" s="9">
        <f t="shared" si="37"/>
        <v>0.14999999999999991</v>
      </c>
      <c r="U23" s="9">
        <f t="shared" si="37"/>
        <v>5.0000000000000044E-2</v>
      </c>
      <c r="V23" s="9">
        <f t="shared" si="37"/>
        <v>5.0000000000000044E-2</v>
      </c>
      <c r="W23" s="9">
        <f t="shared" si="37"/>
        <v>3.0000000000000027E-2</v>
      </c>
      <c r="X23" s="9">
        <f t="shared" si="37"/>
        <v>3.0000000000000027E-2</v>
      </c>
      <c r="Y23" s="9">
        <f t="shared" si="37"/>
        <v>3.0000000000000027E-2</v>
      </c>
      <c r="Z23" s="9">
        <f t="shared" si="37"/>
        <v>2.0000000000000018E-2</v>
      </c>
      <c r="AA23" s="9">
        <f t="shared" si="37"/>
        <v>2.0000000000000018E-2</v>
      </c>
      <c r="AB23" s="9">
        <f t="shared" si="37"/>
        <v>2.0000000000000018E-2</v>
      </c>
      <c r="AC23" s="9">
        <f t="shared" si="37"/>
        <v>2.0000000000000018E-2</v>
      </c>
    </row>
    <row r="24" spans="2:150" x14ac:dyDescent="0.3">
      <c r="B24" s="1" t="s">
        <v>41</v>
      </c>
      <c r="G24" s="9" t="s">
        <v>45</v>
      </c>
      <c r="H24" s="9">
        <f t="shared" ref="H24:N24" si="38">H5/D5-1</f>
        <v>8.0389329488103733E-2</v>
      </c>
      <c r="I24" s="9">
        <f t="shared" si="38"/>
        <v>3.8305383936451998E-2</v>
      </c>
      <c r="J24" s="9">
        <f t="shared" si="38"/>
        <v>1.3250319284802137E-2</v>
      </c>
      <c r="K24" s="9">
        <f t="shared" si="38"/>
        <v>-3.383793410507574E-2</v>
      </c>
      <c r="L24" s="9">
        <f t="shared" si="38"/>
        <v>-0.20987654320987659</v>
      </c>
      <c r="M24" s="9">
        <f t="shared" si="38"/>
        <v>-0.14161849710982655</v>
      </c>
      <c r="N24" s="9">
        <f t="shared" si="38"/>
        <v>-0.15087442886403035</v>
      </c>
      <c r="R24" s="9">
        <f>R5/Q5-1</f>
        <v>5.1558914833310876E-2</v>
      </c>
      <c r="S24" s="9">
        <f t="shared" ref="S24:AC24" si="39">S5/R5-1</f>
        <v>-0.11866683780430409</v>
      </c>
      <c r="T24" s="9">
        <f t="shared" si="39"/>
        <v>8.2211860539627368E-2</v>
      </c>
      <c r="U24" s="9">
        <f t="shared" si="39"/>
        <v>3.8155627023204408E-2</v>
      </c>
      <c r="V24" s="9">
        <f t="shared" si="39"/>
        <v>3.8248675007348742E-2</v>
      </c>
      <c r="W24" s="9">
        <f t="shared" si="39"/>
        <v>1.8342036899449798E-2</v>
      </c>
      <c r="X24" s="9">
        <f t="shared" si="39"/>
        <v>1.8437536402399868E-2</v>
      </c>
      <c r="Y24" s="9">
        <f t="shared" si="39"/>
        <v>1.3333223291520646E-3</v>
      </c>
      <c r="Z24" s="9">
        <f t="shared" si="39"/>
        <v>-2.4447492086526745E-3</v>
      </c>
      <c r="AA24" s="9">
        <f t="shared" si="39"/>
        <v>-2.0497603586675517E-3</v>
      </c>
      <c r="AB24" s="9">
        <f t="shared" si="39"/>
        <v>-1.6531489177862291E-3</v>
      </c>
      <c r="AC24" s="9">
        <f t="shared" si="39"/>
        <v>-1.2552239899666917E-3</v>
      </c>
    </row>
    <row r="25" spans="2:150" x14ac:dyDescent="0.3">
      <c r="B25" s="8" t="s">
        <v>42</v>
      </c>
      <c r="C25" s="9">
        <f>(C3-C6)/C3</f>
        <v>0.11392405063291139</v>
      </c>
      <c r="D25" s="9">
        <f t="shared" ref="D25:N25" si="40">(D3-D6)/D3</f>
        <v>0.1176659185636422</v>
      </c>
      <c r="E25" s="9">
        <f t="shared" si="40"/>
        <v>0.10280076384468491</v>
      </c>
      <c r="F25" s="9">
        <f t="shared" si="40"/>
        <v>0.12242348532167395</v>
      </c>
      <c r="G25" s="9">
        <f t="shared" si="40"/>
        <v>0.12242348532167395</v>
      </c>
      <c r="H25" s="9">
        <f t="shared" si="40"/>
        <v>0.12223550508069336</v>
      </c>
      <c r="I25" s="9">
        <f t="shared" si="40"/>
        <v>0.13117699910152741</v>
      </c>
      <c r="J25" s="9">
        <f t="shared" si="40"/>
        <v>0.13117699910152741</v>
      </c>
      <c r="K25" s="9">
        <f t="shared" si="40"/>
        <v>7.6573653471771572E-2</v>
      </c>
      <c r="L25" s="9">
        <f t="shared" si="40"/>
        <v>0.11750348675034868</v>
      </c>
      <c r="M25" s="9">
        <f t="shared" si="40"/>
        <v>0.11246200607902736</v>
      </c>
      <c r="N25" s="9">
        <f t="shared" si="40"/>
        <v>0.12</v>
      </c>
      <c r="Q25" s="9">
        <f t="shared" ref="Q25:AC25" si="41">(Q3-Q6)/Q3</f>
        <v>0.11423591856135626</v>
      </c>
      <c r="R25" s="9">
        <f t="shared" si="41"/>
        <v>0.12679570542870106</v>
      </c>
      <c r="S25" s="9">
        <f t="shared" si="41"/>
        <v>0.10693922564890314</v>
      </c>
      <c r="T25" s="9">
        <f t="shared" si="41"/>
        <v>0.12000000000000002</v>
      </c>
      <c r="U25" s="9">
        <f t="shared" si="41"/>
        <v>0.13000000000000003</v>
      </c>
      <c r="V25" s="9">
        <f t="shared" si="41"/>
        <v>0.13000000000000003</v>
      </c>
      <c r="W25" s="9">
        <f t="shared" si="41"/>
        <v>0.13000000000000006</v>
      </c>
      <c r="X25" s="9">
        <f t="shared" si="41"/>
        <v>0.12999999999999995</v>
      </c>
      <c r="Y25" s="9">
        <f t="shared" si="41"/>
        <v>0.13000000000000006</v>
      </c>
      <c r="Z25" s="9">
        <f t="shared" si="41"/>
        <v>0.12999999999999995</v>
      </c>
      <c r="AA25" s="9">
        <f t="shared" si="41"/>
        <v>0.13000000000000003</v>
      </c>
      <c r="AB25" s="9">
        <f t="shared" si="41"/>
        <v>0.12999999999999995</v>
      </c>
      <c r="AC25" s="9">
        <f t="shared" si="41"/>
        <v>0.13000000000000009</v>
      </c>
      <c r="AF25" t="s">
        <v>48</v>
      </c>
      <c r="AG25" s="9">
        <v>-0.01</v>
      </c>
    </row>
    <row r="26" spans="2:150" x14ac:dyDescent="0.3">
      <c r="B26" s="8" t="s">
        <v>43</v>
      </c>
      <c r="C26" s="9">
        <f t="shared" ref="C26:N26" si="42">(C4-C7)/C4</f>
        <v>0.21482804823581955</v>
      </c>
      <c r="D26" s="9">
        <f t="shared" si="42"/>
        <v>0.23425277892136681</v>
      </c>
      <c r="E26" s="9">
        <f t="shared" si="42"/>
        <v>0.25762980578676181</v>
      </c>
      <c r="F26" s="9">
        <f t="shared" si="42"/>
        <v>0.24202237878159966</v>
      </c>
      <c r="G26" s="9">
        <f t="shared" si="42"/>
        <v>0.24202237878159966</v>
      </c>
      <c r="H26" s="9">
        <f t="shared" si="42"/>
        <v>0.24660120845921449</v>
      </c>
      <c r="I26" s="9">
        <f t="shared" si="42"/>
        <v>0.26071569012976797</v>
      </c>
      <c r="J26" s="9">
        <f t="shared" si="42"/>
        <v>0.26071569012976797</v>
      </c>
      <c r="K26" s="9">
        <f t="shared" si="42"/>
        <v>0.22151088348271447</v>
      </c>
      <c r="L26" s="9">
        <f t="shared" si="42"/>
        <v>0.18254817987152033</v>
      </c>
      <c r="M26" s="9">
        <f t="shared" si="42"/>
        <v>0.22001137009664581</v>
      </c>
      <c r="N26" s="9">
        <f t="shared" si="42"/>
        <v>0.23</v>
      </c>
      <c r="Q26" s="9">
        <f t="shared" ref="Q26:AC26" si="43">(Q4-Q7)/Q4</f>
        <v>0.23781757600999584</v>
      </c>
      <c r="R26" s="9">
        <f t="shared" si="43"/>
        <v>0.25258697151867548</v>
      </c>
      <c r="S26" s="9">
        <f t="shared" si="43"/>
        <v>0.21404786904325168</v>
      </c>
      <c r="T26" s="9">
        <f t="shared" si="43"/>
        <v>0.21</v>
      </c>
      <c r="U26" s="9">
        <f t="shared" si="43"/>
        <v>0.22</v>
      </c>
      <c r="V26" s="9">
        <f t="shared" si="43"/>
        <v>0.22999999999999993</v>
      </c>
      <c r="W26" s="9">
        <f t="shared" si="43"/>
        <v>0.24</v>
      </c>
      <c r="X26" s="9">
        <f t="shared" si="43"/>
        <v>0.23999999999999996</v>
      </c>
      <c r="Y26" s="9">
        <f t="shared" si="43"/>
        <v>0.24000000000000005</v>
      </c>
      <c r="Z26" s="9">
        <f t="shared" si="43"/>
        <v>0.24</v>
      </c>
      <c r="AA26" s="9">
        <f t="shared" si="43"/>
        <v>0.23999999999999996</v>
      </c>
      <c r="AB26" s="9">
        <f t="shared" si="43"/>
        <v>0.23999999999999996</v>
      </c>
      <c r="AC26" s="9">
        <f t="shared" si="43"/>
        <v>0.24</v>
      </c>
      <c r="AF26" t="s">
        <v>49</v>
      </c>
      <c r="AG26" s="9">
        <v>0.06</v>
      </c>
    </row>
    <row r="27" spans="2:150" x14ac:dyDescent="0.3">
      <c r="B27" s="1" t="s">
        <v>39</v>
      </c>
      <c r="C27" s="9">
        <f>C9/C5</f>
        <v>0.15576958696054824</v>
      </c>
      <c r="D27" s="9">
        <f t="shared" ref="D27:N27" si="44">D9/D5</f>
        <v>0.16870944484498918</v>
      </c>
      <c r="E27" s="9">
        <f t="shared" si="44"/>
        <v>0.17175639894086497</v>
      </c>
      <c r="F27" s="9">
        <f t="shared" si="44"/>
        <v>0.19731800766283525</v>
      </c>
      <c r="G27" s="9">
        <f t="shared" si="44"/>
        <v>0.17382012466607302</v>
      </c>
      <c r="H27" s="9">
        <f t="shared" si="44"/>
        <v>0.17717717717717718</v>
      </c>
      <c r="I27" s="9">
        <f t="shared" si="44"/>
        <v>0.18718123087385244</v>
      </c>
      <c r="J27" s="9">
        <f t="shared" si="44"/>
        <v>0.20403340160705846</v>
      </c>
      <c r="K27" s="9">
        <f t="shared" si="44"/>
        <v>0.1391705069124424</v>
      </c>
      <c r="L27" s="9">
        <f t="shared" si="44"/>
        <v>0.14315878378378377</v>
      </c>
      <c r="M27" s="9">
        <f t="shared" si="44"/>
        <v>0.14993067934244406</v>
      </c>
      <c r="N27" s="9">
        <f t="shared" si="44"/>
        <v>0.15949215125988034</v>
      </c>
      <c r="Q27" s="9">
        <f t="shared" ref="Q27:AC27" si="45">Q9/Q5</f>
        <v>0.16763395869887973</v>
      </c>
      <c r="R27" s="9">
        <f t="shared" si="45"/>
        <v>0.18140589569160998</v>
      </c>
      <c r="S27" s="9">
        <f t="shared" si="45"/>
        <v>0.14804154489936613</v>
      </c>
      <c r="T27" s="9">
        <f t="shared" si="45"/>
        <v>0.15670032160442013</v>
      </c>
      <c r="U27" s="9">
        <f t="shared" si="45"/>
        <v>0.167119037533069</v>
      </c>
      <c r="V27" s="9">
        <f t="shared" si="45"/>
        <v>0.17171018449724854</v>
      </c>
      <c r="W27" s="9">
        <f t="shared" si="45"/>
        <v>0.1764064502131997</v>
      </c>
      <c r="X27" s="9">
        <f t="shared" si="45"/>
        <v>0.17693330912413424</v>
      </c>
      <c r="Y27" s="9">
        <f t="shared" si="45"/>
        <v>0.17827693967620506</v>
      </c>
      <c r="Z27" s="9">
        <f t="shared" si="45"/>
        <v>0.17936315901366431</v>
      </c>
      <c r="AA27" s="9">
        <f t="shared" si="45"/>
        <v>0.18045384047608815</v>
      </c>
      <c r="AB27" s="9">
        <f t="shared" si="45"/>
        <v>0.18154813402759126</v>
      </c>
      <c r="AC27" s="9">
        <f t="shared" si="45"/>
        <v>0.18264517819877446</v>
      </c>
      <c r="AF27" t="s">
        <v>50</v>
      </c>
      <c r="AG27" s="14">
        <f>NPV(AG26,T18:ET18)</f>
        <v>8185.094474012536</v>
      </c>
    </row>
    <row r="28" spans="2:150" x14ac:dyDescent="0.3">
      <c r="B28" t="s">
        <v>40</v>
      </c>
      <c r="C28" s="9">
        <f>C12/C5</f>
        <v>-7.5939988886830892E-3</v>
      </c>
      <c r="D28" s="9">
        <f t="shared" ref="D28:N28" si="46">D12/D5</f>
        <v>1.4059120403749098E-2</v>
      </c>
      <c r="E28" s="9">
        <f t="shared" si="46"/>
        <v>4.9779346866725506E-2</v>
      </c>
      <c r="F28" s="9">
        <f t="shared" si="46"/>
        <v>6.0983397190293741E-2</v>
      </c>
      <c r="G28" s="9">
        <f t="shared" si="46"/>
        <v>3.1344612644701689E-2</v>
      </c>
      <c r="H28" s="9">
        <f t="shared" si="46"/>
        <v>4.521187854521188E-2</v>
      </c>
      <c r="I28" s="9">
        <f t="shared" si="46"/>
        <v>5.0493029581774908E-2</v>
      </c>
      <c r="J28" s="9">
        <f t="shared" si="46"/>
        <v>5.2150622341263587E-2</v>
      </c>
      <c r="K28" s="9">
        <f t="shared" si="46"/>
        <v>-2.9601843317972349</v>
      </c>
      <c r="L28" s="9">
        <f t="shared" si="46"/>
        <v>-1.097972972972973E-2</v>
      </c>
      <c r="M28" s="9">
        <f t="shared" si="46"/>
        <v>-9.7048920578332344E-3</v>
      </c>
      <c r="N28" s="9">
        <f t="shared" si="46"/>
        <v>3.0276097524769173E-3</v>
      </c>
      <c r="Q28" s="9">
        <f t="shared" ref="Q28:AC28" si="47">Q12/Q5</f>
        <v>1.984073424213794E-2</v>
      </c>
      <c r="R28" s="9">
        <f t="shared" si="47"/>
        <v>3.7693064647242543E-2</v>
      </c>
      <c r="S28" s="9">
        <f t="shared" si="47"/>
        <v>-6.653994776546876E-2</v>
      </c>
      <c r="T28" s="9">
        <f t="shared" si="47"/>
        <v>2.0136193494659716E-2</v>
      </c>
      <c r="U28" s="9">
        <f t="shared" si="47"/>
        <v>3.2237490595718829E-2</v>
      </c>
      <c r="V28" s="9">
        <f t="shared" si="47"/>
        <v>4.255852983328573E-2</v>
      </c>
      <c r="W28" s="9">
        <f t="shared" si="47"/>
        <v>5.0133414717589052E-2</v>
      </c>
      <c r="X28" s="9">
        <f t="shared" si="47"/>
        <v>5.3315327475421198E-2</v>
      </c>
      <c r="Y28" s="9">
        <f t="shared" si="47"/>
        <v>5.5035117249488244E-2</v>
      </c>
      <c r="Z28" s="9">
        <f t="shared" si="47"/>
        <v>5.5888534747486389E-2</v>
      </c>
      <c r="AA28" s="9">
        <f t="shared" si="47"/>
        <v>5.8925570511575195E-2</v>
      </c>
      <c r="AB28" s="9">
        <f t="shared" si="47"/>
        <v>6.1903773464346334E-2</v>
      </c>
      <c r="AC28" s="9">
        <f t="shared" si="47"/>
        <v>6.4830443560744008E-2</v>
      </c>
      <c r="AF28" t="s">
        <v>51</v>
      </c>
      <c r="AG28" s="2">
        <f>Main!D8</f>
        <v>-3628</v>
      </c>
    </row>
    <row r="29" spans="2:150" x14ac:dyDescent="0.3">
      <c r="B29" s="8" t="s">
        <v>35</v>
      </c>
      <c r="C29" s="9">
        <f>C16/C15</f>
        <v>1.0117647058823529</v>
      </c>
      <c r="D29" s="9">
        <f t="shared" ref="D29:N29" si="48">D16/D15</f>
        <v>1.0689655172413792</v>
      </c>
      <c r="E29" s="9">
        <f t="shared" si="48"/>
        <v>0.47210300429184548</v>
      </c>
      <c r="F29" s="9">
        <f t="shared" si="48"/>
        <v>0.36421052631578948</v>
      </c>
      <c r="G29" s="9">
        <f t="shared" si="48"/>
        <v>0.48550724637681159</v>
      </c>
      <c r="H29" s="9">
        <f t="shared" si="48"/>
        <v>1.1309523809523809</v>
      </c>
      <c r="I29" s="9">
        <f t="shared" si="48"/>
        <v>0.47767857142857145</v>
      </c>
      <c r="J29" s="9">
        <f t="shared" si="48"/>
        <v>0.69055374592833874</v>
      </c>
      <c r="K29" s="9">
        <f t="shared" si="48"/>
        <v>-3.1069409059839682E-4</v>
      </c>
      <c r="L29" s="9">
        <f t="shared" si="48"/>
        <v>5.5851063829787231E-2</v>
      </c>
      <c r="M29" s="9">
        <f t="shared" si="48"/>
        <v>-2.2727272727272728E-2</v>
      </c>
      <c r="N29" s="9">
        <f t="shared" si="48"/>
        <v>0.5</v>
      </c>
      <c r="Q29" s="9">
        <f t="shared" ref="Q29:AC29" si="49">Q16/Q15</f>
        <v>0.61520190023752974</v>
      </c>
      <c r="R29" s="9">
        <f t="shared" si="49"/>
        <v>0.86046511627906974</v>
      </c>
      <c r="S29" s="9">
        <f t="shared" si="49"/>
        <v>4.0215283528378699E-2</v>
      </c>
      <c r="T29" s="9">
        <f t="shared" si="49"/>
        <v>0.45</v>
      </c>
      <c r="U29" s="9">
        <f t="shared" si="49"/>
        <v>0.45</v>
      </c>
      <c r="V29" s="9">
        <f t="shared" si="49"/>
        <v>0.45</v>
      </c>
      <c r="W29" s="9">
        <f t="shared" si="49"/>
        <v>0.45</v>
      </c>
      <c r="X29" s="9">
        <f t="shared" si="49"/>
        <v>0.45</v>
      </c>
      <c r="Y29" s="9">
        <f t="shared" si="49"/>
        <v>0.45</v>
      </c>
      <c r="Z29" s="9">
        <f t="shared" si="49"/>
        <v>0.45</v>
      </c>
      <c r="AA29" s="9">
        <f t="shared" si="49"/>
        <v>0.45</v>
      </c>
      <c r="AB29" s="9">
        <f t="shared" si="49"/>
        <v>0.45000000000000007</v>
      </c>
      <c r="AC29" s="9">
        <f t="shared" si="49"/>
        <v>0.45</v>
      </c>
      <c r="AF29" t="s">
        <v>52</v>
      </c>
      <c r="AG29" s="14">
        <f>AG27+AG28</f>
        <v>4557.094474012536</v>
      </c>
    </row>
    <row r="30" spans="2:150" x14ac:dyDescent="0.3">
      <c r="C30" s="9"/>
      <c r="AF30" t="s">
        <v>53</v>
      </c>
      <c r="AG30" s="14">
        <f>AG29/AC19</f>
        <v>4.4029898299638033</v>
      </c>
    </row>
    <row r="31" spans="2:150" x14ac:dyDescent="0.3">
      <c r="AF31" t="s">
        <v>54</v>
      </c>
      <c r="AG31">
        <f>Main!D3</f>
        <v>13.81</v>
      </c>
    </row>
    <row r="32" spans="2:150" x14ac:dyDescent="0.3">
      <c r="AF32" s="1" t="s">
        <v>55</v>
      </c>
      <c r="AG32" s="15">
        <f>AG30/AG31-1</f>
        <v>-0.68117379942333067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2020-10-27T16:16:03Z</dcterms:created>
  <dcterms:modified xsi:type="dcterms:W3CDTF">2020-10-27T17:39:50Z</dcterms:modified>
</cp:coreProperties>
</file>