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4DB7FE3-0B5F-43E0-8427-14D9FD6D5F01}" xr6:coauthVersionLast="47" xr6:coauthVersionMax="47" xr10:uidLastSave="{00000000-0000-0000-0000-000000000000}"/>
  <bookViews>
    <workbookView xWindow="-108" yWindow="-108" windowWidth="23256" windowHeight="12576" activeTab="1" xr2:uid="{EE3AEDE6-48CD-429D-AEF0-E100A8E677D6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2" i="1" l="1"/>
  <c r="AV3" i="1"/>
  <c r="AW3" i="1" s="1"/>
  <c r="AX3" i="1" s="1"/>
  <c r="AY3" i="1" s="1"/>
  <c r="AZ3" i="1" s="1"/>
  <c r="BA3" i="1" s="1"/>
  <c r="AU3" i="1"/>
  <c r="AT3" i="1"/>
  <c r="AS3" i="1"/>
  <c r="AR3" i="1"/>
  <c r="AQ13" i="1"/>
  <c r="AQ12" i="1"/>
  <c r="AQ10" i="1"/>
  <c r="AQ8" i="1"/>
  <c r="AQ7" i="1"/>
  <c r="AQ6" i="1"/>
  <c r="AQ4" i="1"/>
  <c r="AQ3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5" i="1"/>
  <c r="AG15" i="1"/>
  <c r="AF15" i="1"/>
  <c r="AE15" i="1"/>
  <c r="AH14" i="1"/>
  <c r="AH16" i="1" s="1"/>
  <c r="AG14" i="1"/>
  <c r="AG16" i="1" s="1"/>
  <c r="AF14" i="1"/>
  <c r="AF16" i="1" s="1"/>
  <c r="AE14" i="1"/>
  <c r="AE16" i="1" s="1"/>
  <c r="AH13" i="1"/>
  <c r="AG13" i="1"/>
  <c r="AF13" i="1"/>
  <c r="AE13" i="1"/>
  <c r="AH12" i="1"/>
  <c r="AG12" i="1"/>
  <c r="AF12" i="1"/>
  <c r="AE12" i="1"/>
  <c r="AH11" i="1"/>
  <c r="AG11" i="1"/>
  <c r="AF11" i="1"/>
  <c r="AE11" i="1"/>
  <c r="AH9" i="1"/>
  <c r="AG9" i="1"/>
  <c r="AF9" i="1"/>
  <c r="AE9" i="1"/>
  <c r="AH6" i="1"/>
  <c r="AG6" i="1"/>
  <c r="AF6" i="1"/>
  <c r="AE6" i="1"/>
  <c r="AH5" i="1"/>
  <c r="AH4" i="1" s="1"/>
  <c r="AG5" i="1"/>
  <c r="AF5" i="1"/>
  <c r="AE5" i="1"/>
  <c r="AE4" i="1" s="1"/>
  <c r="AG4" i="1"/>
  <c r="AF4" i="1"/>
  <c r="AH3" i="1"/>
  <c r="AG3" i="1"/>
  <c r="AF3" i="1"/>
  <c r="AE3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D15" i="1"/>
  <c r="AD13" i="1"/>
  <c r="AD12" i="1"/>
  <c r="AD10" i="1"/>
  <c r="AD8" i="1"/>
  <c r="AD7" i="1"/>
  <c r="AD6" i="1"/>
  <c r="AD4" i="1"/>
  <c r="AD3" i="1"/>
  <c r="D4" i="2"/>
  <c r="D7" i="2"/>
  <c r="D6" i="2"/>
  <c r="AC5" i="1"/>
  <c r="AB5" i="1"/>
  <c r="AB21" i="1" l="1"/>
  <c r="R13" i="1"/>
  <c r="R12" i="1"/>
  <c r="R10" i="1"/>
  <c r="R8" i="1"/>
  <c r="R7" i="1"/>
  <c r="R6" i="1"/>
  <c r="R4" i="1"/>
  <c r="R3" i="1"/>
  <c r="V13" i="1"/>
  <c r="V12" i="1"/>
  <c r="V10" i="1"/>
  <c r="V8" i="1"/>
  <c r="V7" i="1"/>
  <c r="V6" i="1"/>
  <c r="V4" i="1"/>
  <c r="V3" i="1"/>
  <c r="Z13" i="1"/>
  <c r="Z12" i="1"/>
  <c r="Z10" i="1"/>
  <c r="Z8" i="1"/>
  <c r="Z7" i="1"/>
  <c r="Z6" i="1"/>
  <c r="Z4" i="1"/>
  <c r="Z3" i="1"/>
  <c r="AO5" i="1"/>
  <c r="AM5" i="1"/>
  <c r="AC21" i="1"/>
  <c r="AA21" i="1"/>
  <c r="Y21" i="1"/>
  <c r="X21" i="1"/>
  <c r="W21" i="1"/>
  <c r="U21" i="1"/>
  <c r="T21" i="1"/>
  <c r="S21" i="1"/>
  <c r="AC18" i="1"/>
  <c r="AA18" i="1"/>
  <c r="Y18" i="1"/>
  <c r="X18" i="1"/>
  <c r="W18" i="1"/>
  <c r="U18" i="1"/>
  <c r="T18" i="1"/>
  <c r="S18" i="1"/>
  <c r="P5" i="1"/>
  <c r="AD18" i="1" l="1"/>
  <c r="AD5" i="1"/>
  <c r="AP5" i="1" s="1"/>
  <c r="Z5" i="1"/>
  <c r="Z19" i="1" s="1"/>
  <c r="AR6" i="1"/>
  <c r="AR5" i="1"/>
  <c r="AC9" i="1"/>
  <c r="AB9" i="1"/>
  <c r="AC19" i="1"/>
  <c r="AB18" i="1"/>
  <c r="AB19" i="1"/>
  <c r="R5" i="1"/>
  <c r="R9" i="1" s="1"/>
  <c r="R11" i="1" s="1"/>
  <c r="R14" i="1" s="1"/>
  <c r="R16" i="1" s="1"/>
  <c r="V18" i="1"/>
  <c r="V21" i="1"/>
  <c r="Z18" i="1"/>
  <c r="V5" i="1"/>
  <c r="Z21" i="1"/>
  <c r="Z9" i="1"/>
  <c r="Q5" i="1"/>
  <c r="Q9" i="1" s="1"/>
  <c r="Q11" i="1" s="1"/>
  <c r="Q14" i="1" s="1"/>
  <c r="Q16" i="1" s="1"/>
  <c r="S5" i="1"/>
  <c r="T5" i="1"/>
  <c r="X5" i="1"/>
  <c r="U5" i="1"/>
  <c r="Y5" i="1"/>
  <c r="W5" i="1"/>
  <c r="AA5" i="1"/>
  <c r="AR7" i="1"/>
  <c r="AS7" i="1" s="1"/>
  <c r="AT7" i="1" s="1"/>
  <c r="AU7" i="1" s="1"/>
  <c r="AV7" i="1" s="1"/>
  <c r="AW7" i="1" s="1"/>
  <c r="AX7" i="1" s="1"/>
  <c r="AY7" i="1" s="1"/>
  <c r="AZ7" i="1" s="1"/>
  <c r="BA7" i="1" s="1"/>
  <c r="Q21" i="1"/>
  <c r="P21" i="1"/>
  <c r="O21" i="1"/>
  <c r="O18" i="1"/>
  <c r="N13" i="1"/>
  <c r="N12" i="1"/>
  <c r="N10" i="1"/>
  <c r="N8" i="1"/>
  <c r="N6" i="1"/>
  <c r="R21" i="1" s="1"/>
  <c r="N4" i="1"/>
  <c r="N3" i="1"/>
  <c r="AD9" i="1" l="1"/>
  <c r="AD11" i="1" s="1"/>
  <c r="AD22" i="1" s="1"/>
  <c r="T9" i="1"/>
  <c r="T19" i="1"/>
  <c r="AA9" i="1"/>
  <c r="AA19" i="1"/>
  <c r="AD19" i="1"/>
  <c r="AD21" i="1"/>
  <c r="X9" i="1"/>
  <c r="X19" i="1"/>
  <c r="S9" i="1"/>
  <c r="S19" i="1"/>
  <c r="W9" i="1"/>
  <c r="W19" i="1"/>
  <c r="Y9" i="1"/>
  <c r="Y19" i="1"/>
  <c r="U9" i="1"/>
  <c r="U19" i="1"/>
  <c r="AS5" i="1"/>
  <c r="AC20" i="1"/>
  <c r="AC11" i="1"/>
  <c r="AB20" i="1"/>
  <c r="AB11" i="1"/>
  <c r="V9" i="1"/>
  <c r="V19" i="1"/>
  <c r="Z11" i="1"/>
  <c r="Z20" i="1"/>
  <c r="N5" i="1"/>
  <c r="R18" i="1"/>
  <c r="Q18" i="1"/>
  <c r="Q19" i="1"/>
  <c r="P18" i="1"/>
  <c r="AR8" i="1"/>
  <c r="AS8" i="1" s="1"/>
  <c r="AT8" i="1" s="1"/>
  <c r="AU8" i="1" s="1"/>
  <c r="AV8" i="1" s="1"/>
  <c r="AW8" i="1" s="1"/>
  <c r="AX8" i="1" s="1"/>
  <c r="AY8" i="1" s="1"/>
  <c r="AZ8" i="1" s="1"/>
  <c r="BA8" i="1" s="1"/>
  <c r="M21" i="1"/>
  <c r="L21" i="1"/>
  <c r="K21" i="1"/>
  <c r="I21" i="1"/>
  <c r="H21" i="1"/>
  <c r="G21" i="1"/>
  <c r="M5" i="1"/>
  <c r="AD20" i="1" l="1"/>
  <c r="U11" i="1"/>
  <c r="U20" i="1"/>
  <c r="X11" i="1"/>
  <c r="X20" i="1"/>
  <c r="S11" i="1"/>
  <c r="S20" i="1"/>
  <c r="Y11" i="1"/>
  <c r="Y20" i="1"/>
  <c r="AA11" i="1"/>
  <c r="AA20" i="1"/>
  <c r="T11" i="1"/>
  <c r="T20" i="1"/>
  <c r="W11" i="1"/>
  <c r="W20" i="1"/>
  <c r="AD14" i="1"/>
  <c r="AD16" i="1" s="1"/>
  <c r="AT5" i="1"/>
  <c r="AB22" i="1"/>
  <c r="V11" i="1"/>
  <c r="V20" i="1"/>
  <c r="Z14" i="1"/>
  <c r="Z22" i="1"/>
  <c r="Q20" i="1"/>
  <c r="P9" i="1"/>
  <c r="Q22" i="1"/>
  <c r="P19" i="1"/>
  <c r="AR13" i="1"/>
  <c r="AS13" i="1" s="1"/>
  <c r="AT13" i="1" s="1"/>
  <c r="AU13" i="1" s="1"/>
  <c r="AV13" i="1" s="1"/>
  <c r="AW13" i="1" s="1"/>
  <c r="AX13" i="1" s="1"/>
  <c r="AY13" i="1" s="1"/>
  <c r="AZ13" i="1" s="1"/>
  <c r="BA13" i="1" s="1"/>
  <c r="F3" i="2"/>
  <c r="U14" i="1" l="1"/>
  <c r="U22" i="1"/>
  <c r="Y14" i="1"/>
  <c r="Y22" i="1"/>
  <c r="AA22" i="1"/>
  <c r="AA14" i="1"/>
  <c r="W14" i="1"/>
  <c r="W22" i="1"/>
  <c r="S14" i="1"/>
  <c r="S22" i="1"/>
  <c r="T14" i="1"/>
  <c r="T22" i="1"/>
  <c r="X14" i="1"/>
  <c r="X22" i="1"/>
  <c r="AD23" i="1"/>
  <c r="AC22" i="1"/>
  <c r="AU5" i="1"/>
  <c r="AC14" i="1"/>
  <c r="AB14" i="1"/>
  <c r="AB16" i="1" s="1"/>
  <c r="V14" i="1"/>
  <c r="V22" i="1"/>
  <c r="Z16" i="1"/>
  <c r="Z23" i="1"/>
  <c r="Q23" i="1"/>
  <c r="R19" i="1"/>
  <c r="P11" i="1"/>
  <c r="P20" i="1"/>
  <c r="AS6" i="1"/>
  <c r="AT6" i="1" s="1"/>
  <c r="AU6" i="1" s="1"/>
  <c r="AV6" i="1" s="1"/>
  <c r="AW6" i="1" s="1"/>
  <c r="AX6" i="1" s="1"/>
  <c r="AY6" i="1" s="1"/>
  <c r="AZ6" i="1" s="1"/>
  <c r="BA6" i="1" s="1"/>
  <c r="D8" i="2"/>
  <c r="S16" i="1" l="1"/>
  <c r="S23" i="1"/>
  <c r="W16" i="1"/>
  <c r="W23" i="1"/>
  <c r="U16" i="1"/>
  <c r="U23" i="1"/>
  <c r="X16" i="1"/>
  <c r="X23" i="1"/>
  <c r="AA16" i="1"/>
  <c r="AA23" i="1"/>
  <c r="T16" i="1"/>
  <c r="T23" i="1"/>
  <c r="Y16" i="1"/>
  <c r="Y23" i="1"/>
  <c r="AV5" i="1"/>
  <c r="AC16" i="1"/>
  <c r="AC23" i="1"/>
  <c r="AB23" i="1"/>
  <c r="V16" i="1"/>
  <c r="V23" i="1"/>
  <c r="AW21" i="1"/>
  <c r="BD23" i="1"/>
  <c r="P14" i="1"/>
  <c r="R20" i="1"/>
  <c r="BD26" i="1"/>
  <c r="AW5" i="1" l="1"/>
  <c r="AX21" i="1"/>
  <c r="P16" i="1"/>
  <c r="P23" i="1"/>
  <c r="P22" i="1"/>
  <c r="R22" i="1"/>
  <c r="M9" i="1"/>
  <c r="M11" i="1" s="1"/>
  <c r="AX5" i="1" l="1"/>
  <c r="AY21" i="1"/>
  <c r="M22" i="1"/>
  <c r="K7" i="2"/>
  <c r="K6" i="2"/>
  <c r="K5" i="2"/>
  <c r="K4" i="2"/>
  <c r="J7" i="2"/>
  <c r="D5" i="2"/>
  <c r="AY5" i="1" l="1"/>
  <c r="AZ21" i="1"/>
  <c r="BA21" i="1"/>
  <c r="R23" i="1"/>
  <c r="M14" i="1"/>
  <c r="D9" i="2"/>
  <c r="H18" i="1"/>
  <c r="I18" i="1"/>
  <c r="K18" i="1"/>
  <c r="L18" i="1"/>
  <c r="M18" i="1"/>
  <c r="G18" i="1"/>
  <c r="M20" i="1"/>
  <c r="M19" i="1"/>
  <c r="N19" i="1"/>
  <c r="F12" i="1"/>
  <c r="F10" i="1"/>
  <c r="AJ10" i="1"/>
  <c r="F8" i="1"/>
  <c r="AJ8" i="1" s="1"/>
  <c r="F7" i="1"/>
  <c r="AJ7" i="1" s="1"/>
  <c r="F6" i="1"/>
  <c r="AJ6" i="1" s="1"/>
  <c r="F4" i="1"/>
  <c r="AJ4" i="1" s="1"/>
  <c r="F3" i="1"/>
  <c r="AJ3" i="1" s="1"/>
  <c r="E13" i="1"/>
  <c r="D13" i="1"/>
  <c r="D5" i="1"/>
  <c r="D9" i="1" s="1"/>
  <c r="D11" i="1" s="1"/>
  <c r="E5" i="1"/>
  <c r="E9" i="1" s="1"/>
  <c r="E11" i="1" s="1"/>
  <c r="E22" i="1" s="1"/>
  <c r="C13" i="1"/>
  <c r="C5" i="1"/>
  <c r="C9" i="1" s="1"/>
  <c r="C11" i="1" s="1"/>
  <c r="C22" i="1" s="1"/>
  <c r="J12" i="1"/>
  <c r="G13" i="1"/>
  <c r="J13" i="1" s="1"/>
  <c r="AK13" i="1" s="1"/>
  <c r="J10" i="1"/>
  <c r="AK10" i="1" s="1"/>
  <c r="J6" i="1"/>
  <c r="J8" i="1"/>
  <c r="AK8" i="1" s="1"/>
  <c r="J7" i="1"/>
  <c r="AK7" i="1" s="1"/>
  <c r="J4" i="1"/>
  <c r="AK4" i="1" s="1"/>
  <c r="J3" i="1"/>
  <c r="N18" i="1" s="1"/>
  <c r="I5" i="1"/>
  <c r="I19" i="1" s="1"/>
  <c r="BA5" i="1" l="1"/>
  <c r="AZ5" i="1"/>
  <c r="M16" i="1"/>
  <c r="M23" i="1"/>
  <c r="D19" i="1"/>
  <c r="AK3" i="1"/>
  <c r="AK18" i="1" s="1"/>
  <c r="F13" i="1"/>
  <c r="AJ13" i="1" s="1"/>
  <c r="I9" i="1"/>
  <c r="I11" i="1" s="1"/>
  <c r="I14" i="1" s="1"/>
  <c r="C19" i="1"/>
  <c r="E19" i="1"/>
  <c r="AK12" i="1"/>
  <c r="C20" i="1"/>
  <c r="J18" i="1"/>
  <c r="F5" i="1"/>
  <c r="AJ12" i="1"/>
  <c r="E20" i="1"/>
  <c r="D20" i="1"/>
  <c r="AK6" i="1"/>
  <c r="N21" i="1"/>
  <c r="J21" i="1"/>
  <c r="D14" i="1"/>
  <c r="D22" i="1"/>
  <c r="AM21" i="1"/>
  <c r="AL5" i="1"/>
  <c r="E14" i="1"/>
  <c r="C14" i="1"/>
  <c r="AJ5" i="1"/>
  <c r="J5" i="1"/>
  <c r="G5" i="1"/>
  <c r="K5" i="1"/>
  <c r="H5" i="1"/>
  <c r="L7" i="1"/>
  <c r="N7" i="1" s="1"/>
  <c r="L5" i="1"/>
  <c r="L19" i="1" s="1"/>
  <c r="C16" i="1" l="1"/>
  <c r="C23" i="1"/>
  <c r="I16" i="1"/>
  <c r="I23" i="1"/>
  <c r="E16" i="1"/>
  <c r="E23" i="1"/>
  <c r="D16" i="1"/>
  <c r="D23" i="1"/>
  <c r="N9" i="1"/>
  <c r="N11" i="1" s="1"/>
  <c r="AK5" i="1"/>
  <c r="AK19" i="1" s="1"/>
  <c r="I22" i="1"/>
  <c r="AL18" i="1"/>
  <c r="I20" i="1"/>
  <c r="AK21" i="1"/>
  <c r="J9" i="1"/>
  <c r="J19" i="1"/>
  <c r="AL21" i="1"/>
  <c r="F19" i="1"/>
  <c r="F9" i="1"/>
  <c r="K9" i="1"/>
  <c r="K19" i="1"/>
  <c r="G9" i="1"/>
  <c r="G19" i="1"/>
  <c r="AJ9" i="1"/>
  <c r="AJ19" i="1"/>
  <c r="H9" i="1"/>
  <c r="H19" i="1"/>
  <c r="AO21" i="1"/>
  <c r="AN21" i="1"/>
  <c r="AL9" i="1"/>
  <c r="AL19" i="1"/>
  <c r="AM18" i="1"/>
  <c r="L9" i="1"/>
  <c r="N20" i="1" l="1"/>
  <c r="AK9" i="1"/>
  <c r="AK20" i="1" s="1"/>
  <c r="H11" i="1"/>
  <c r="H20" i="1"/>
  <c r="N22" i="1"/>
  <c r="N14" i="1"/>
  <c r="F20" i="1"/>
  <c r="F11" i="1"/>
  <c r="K11" i="1"/>
  <c r="K20" i="1"/>
  <c r="AJ11" i="1"/>
  <c r="AJ20" i="1"/>
  <c r="L11" i="1"/>
  <c r="L20" i="1"/>
  <c r="G11" i="1"/>
  <c r="G20" i="1"/>
  <c r="J11" i="1"/>
  <c r="J20" i="1"/>
  <c r="AQ21" i="1"/>
  <c r="AP21" i="1"/>
  <c r="AN18" i="1"/>
  <c r="AL11" i="1"/>
  <c r="AL20" i="1"/>
  <c r="AM9" i="1"/>
  <c r="AM19" i="1"/>
  <c r="O5" i="1"/>
  <c r="N16" i="1" l="1"/>
  <c r="N23" i="1"/>
  <c r="O9" i="1"/>
  <c r="O19" i="1"/>
  <c r="AK11" i="1"/>
  <c r="AK14" i="1" s="1"/>
  <c r="G14" i="1"/>
  <c r="G22" i="1"/>
  <c r="F14" i="1"/>
  <c r="F22" i="1"/>
  <c r="L14" i="1"/>
  <c r="L22" i="1"/>
  <c r="AJ22" i="1"/>
  <c r="AJ14" i="1"/>
  <c r="J14" i="1"/>
  <c r="J22" i="1"/>
  <c r="K14" i="1"/>
  <c r="K22" i="1"/>
  <c r="H14" i="1"/>
  <c r="H22" i="1"/>
  <c r="AS21" i="1"/>
  <c r="AR21" i="1"/>
  <c r="AM20" i="1"/>
  <c r="AL14" i="1"/>
  <c r="AL23" i="1" s="1"/>
  <c r="AL22" i="1"/>
  <c r="AO18" i="1"/>
  <c r="G16" i="1" l="1"/>
  <c r="G23" i="1"/>
  <c r="K16" i="1"/>
  <c r="K23" i="1"/>
  <c r="AJ16" i="1"/>
  <c r="AJ23" i="1"/>
  <c r="J16" i="1"/>
  <c r="J23" i="1"/>
  <c r="AK16" i="1"/>
  <c r="AK23" i="1"/>
  <c r="F16" i="1"/>
  <c r="F23" i="1"/>
  <c r="H16" i="1"/>
  <c r="H23" i="1"/>
  <c r="L16" i="1"/>
  <c r="L23" i="1"/>
  <c r="O20" i="1"/>
  <c r="AK22" i="1"/>
  <c r="AV21" i="1"/>
  <c r="AU21" i="1"/>
  <c r="AT21" i="1"/>
  <c r="AO19" i="1"/>
  <c r="AO9" i="1"/>
  <c r="AP18" i="1"/>
  <c r="AL16" i="1"/>
  <c r="AM11" i="1" l="1"/>
  <c r="AM14" i="1" s="1"/>
  <c r="O11" i="1"/>
  <c r="AQ5" i="1"/>
  <c r="AQ18" i="1"/>
  <c r="AO20" i="1"/>
  <c r="AP19" i="1"/>
  <c r="AP9" i="1"/>
  <c r="AM23" i="1" l="1"/>
  <c r="O22" i="1"/>
  <c r="AM22" i="1"/>
  <c r="AM16" i="1"/>
  <c r="AQ19" i="1"/>
  <c r="AQ9" i="1"/>
  <c r="AP20" i="1"/>
  <c r="AR18" i="1"/>
  <c r="O14" i="1" l="1"/>
  <c r="AR19" i="1"/>
  <c r="AR9" i="1"/>
  <c r="AS18" i="1"/>
  <c r="AQ20" i="1"/>
  <c r="AR4" i="1"/>
  <c r="O16" i="1" l="1"/>
  <c r="O23" i="1"/>
  <c r="AT18" i="1"/>
  <c r="AS19" i="1"/>
  <c r="AS9" i="1"/>
  <c r="AR20" i="1"/>
  <c r="AS4" i="1"/>
  <c r="AS20" i="1" l="1"/>
  <c r="AT4" i="1"/>
  <c r="AT19" i="1"/>
  <c r="AT9" i="1"/>
  <c r="AU18" i="1"/>
  <c r="AT20" i="1" l="1"/>
  <c r="AV18" i="1"/>
  <c r="AU4" i="1"/>
  <c r="AU19" i="1"/>
  <c r="AU9" i="1"/>
  <c r="AX18" i="1" l="1"/>
  <c r="AX4" i="1"/>
  <c r="AW18" i="1"/>
  <c r="AV4" i="1"/>
  <c r="AV19" i="1"/>
  <c r="AV9" i="1"/>
  <c r="AU20" i="1"/>
  <c r="AX19" i="1" l="1"/>
  <c r="AX9" i="1"/>
  <c r="AX20" i="1" s="1"/>
  <c r="AY4" i="1"/>
  <c r="AY18" i="1"/>
  <c r="AW9" i="1"/>
  <c r="AW19" i="1"/>
  <c r="AW4" i="1"/>
  <c r="AV20" i="1"/>
  <c r="AY19" i="1" l="1"/>
  <c r="AY9" i="1"/>
  <c r="AY20" i="1" s="1"/>
  <c r="AZ18" i="1"/>
  <c r="AZ4" i="1"/>
  <c r="AW20" i="1"/>
  <c r="BA18" i="1" l="1"/>
  <c r="AZ9" i="1"/>
  <c r="AZ20" i="1" s="1"/>
  <c r="AZ19" i="1"/>
  <c r="BA19" i="1" l="1"/>
  <c r="BA9" i="1"/>
  <c r="BA20" i="1" s="1"/>
  <c r="BA4" i="1"/>
  <c r="AO11" i="1" l="1"/>
  <c r="AO22" i="1" l="1"/>
  <c r="AO14" i="1"/>
  <c r="AO16" i="1" l="1"/>
  <c r="AP11" i="1"/>
  <c r="AO23" i="1"/>
  <c r="AP22" i="1" l="1"/>
  <c r="AP14" i="1" l="1"/>
  <c r="AP23" i="1" s="1"/>
  <c r="AQ11" i="1" l="1"/>
  <c r="AQ22" i="1" s="1"/>
  <c r="AP16" i="1"/>
  <c r="AQ14" i="1" l="1"/>
  <c r="AR10" i="1" s="1"/>
  <c r="AR11" i="1" s="1"/>
  <c r="AQ23" i="1" l="1"/>
  <c r="AQ16" i="1"/>
  <c r="AR12" i="1"/>
  <c r="AR22" i="1" s="1"/>
  <c r="AR14" i="1" l="1"/>
  <c r="AR23" i="1" s="1"/>
  <c r="AR16" i="1" l="1"/>
  <c r="AS10" i="1"/>
  <c r="AS11" i="1" s="1"/>
  <c r="AS12" i="1" s="1"/>
  <c r="AS22" i="1" s="1"/>
  <c r="AS14" i="1" l="1"/>
  <c r="AS23" i="1" s="1"/>
  <c r="AT10" i="1" l="1"/>
  <c r="AT11" i="1" s="1"/>
  <c r="AT12" i="1" s="1"/>
  <c r="AT22" i="1" s="1"/>
  <c r="AS16" i="1"/>
  <c r="AT14" i="1" l="1"/>
  <c r="AT23" i="1" s="1"/>
  <c r="AU10" i="1" l="1"/>
  <c r="AU11" i="1" s="1"/>
  <c r="AU12" i="1" s="1"/>
  <c r="AU22" i="1" s="1"/>
  <c r="AT16" i="1"/>
  <c r="AU14" i="1" l="1"/>
  <c r="AU23" i="1" l="1"/>
  <c r="AU16" i="1"/>
  <c r="AV10" i="1"/>
  <c r="AV11" i="1" s="1"/>
  <c r="AV12" i="1" l="1"/>
  <c r="AV22" i="1" s="1"/>
  <c r="AV14" i="1" l="1"/>
  <c r="AV23" i="1" l="1"/>
  <c r="AW10" i="1"/>
  <c r="AW11" i="1" s="1"/>
  <c r="AV16" i="1"/>
  <c r="AW12" i="1" l="1"/>
  <c r="AW22" i="1" s="1"/>
  <c r="AW14" i="1" l="1"/>
  <c r="AX10" i="1" s="1"/>
  <c r="AX11" i="1" s="1"/>
  <c r="AW23" i="1" l="1"/>
  <c r="AW16" i="1"/>
  <c r="AX12" i="1"/>
  <c r="AX22" i="1" s="1"/>
  <c r="AX14" i="1" l="1"/>
  <c r="AY10" i="1" l="1"/>
  <c r="AY11" i="1" s="1"/>
  <c r="AX23" i="1"/>
  <c r="AX16" i="1"/>
  <c r="AY12" i="1" l="1"/>
  <c r="AY22" i="1" s="1"/>
  <c r="AY14" i="1" l="1"/>
  <c r="AY16" i="1" s="1"/>
  <c r="AZ10" i="1" l="1"/>
  <c r="AZ11" i="1" s="1"/>
  <c r="AZ12" i="1" s="1"/>
  <c r="AZ22" i="1" s="1"/>
  <c r="AY23" i="1"/>
  <c r="AZ14" i="1" l="1"/>
  <c r="AZ23" i="1" s="1"/>
  <c r="AZ16" i="1" l="1"/>
  <c r="BA10" i="1"/>
  <c r="BA11" i="1" s="1"/>
  <c r="BA12" i="1" s="1"/>
  <c r="BA22" i="1" s="1"/>
  <c r="BA14" i="1" l="1"/>
  <c r="BA23" i="1" s="1"/>
  <c r="AN5" i="1"/>
  <c r="AN19" i="1" s="1"/>
  <c r="AN9" i="1" l="1"/>
  <c r="AN20" i="1" s="1"/>
  <c r="BA16" i="1"/>
  <c r="BB14" i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BD24" i="1" s="1"/>
  <c r="BD25" i="1" s="1"/>
  <c r="BD27" i="1" s="1"/>
  <c r="AN11" i="1"/>
  <c r="AN22" i="1" l="1"/>
  <c r="AN14" i="1" l="1"/>
  <c r="AN23" i="1" s="1"/>
  <c r="AN16" i="1" l="1"/>
</calcChain>
</file>

<file path=xl/sharedStrings.xml><?xml version="1.0" encoding="utf-8"?>
<sst xmlns="http://schemas.openxmlformats.org/spreadsheetml/2006/main" count="84" uniqueCount="79">
  <si>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</si>
  <si>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</si>
  <si>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</si>
  <si>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</si>
  <si>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</si>
  <si>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</si>
  <si>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</si>
  <si>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</si>
  <si>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</si>
  <si>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COGS</t>
  </si>
  <si>
    <t>SG&amp;A</t>
  </si>
  <si>
    <t>Other operating income</t>
  </si>
  <si>
    <t>Other operating expense</t>
  </si>
  <si>
    <t>Operating profit</t>
  </si>
  <si>
    <t>Gross profit</t>
  </si>
  <si>
    <t>Pretax income</t>
  </si>
  <si>
    <t>Income tax</t>
  </si>
  <si>
    <t>Minority interest</t>
  </si>
  <si>
    <t>Net profit</t>
  </si>
  <si>
    <t>Shares</t>
  </si>
  <si>
    <t>EPS</t>
  </si>
  <si>
    <t>Net financial expense</t>
  </si>
  <si>
    <t>Q418</t>
  </si>
  <si>
    <t>Q118</t>
  </si>
  <si>
    <t>Q218</t>
  </si>
  <si>
    <t>Q318</t>
  </si>
  <si>
    <t>Gross Margin</t>
  </si>
  <si>
    <t>Operating Margin</t>
  </si>
  <si>
    <t>Revenue y/y</t>
  </si>
  <si>
    <t>BMW</t>
  </si>
  <si>
    <t>Price</t>
  </si>
  <si>
    <t>MC</t>
  </si>
  <si>
    <t>Cash</t>
  </si>
  <si>
    <t>Debt</t>
  </si>
  <si>
    <t>EV</t>
  </si>
  <si>
    <t>Mini</t>
  </si>
  <si>
    <t>Rolls-Royce</t>
  </si>
  <si>
    <t>Total</t>
  </si>
  <si>
    <t>Segment</t>
  </si>
  <si>
    <t>Percentage</t>
  </si>
  <si>
    <t>Units</t>
  </si>
  <si>
    <t>find out margins of BMWs</t>
  </si>
  <si>
    <t>Taxes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</si>
  <si>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</si>
  <si>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</si>
  <si>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</si>
  <si>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</si>
  <si>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</si>
  <si>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</si>
  <si>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</si>
  <si>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</si>
  <si>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Net Cash</t>
  </si>
  <si>
    <t>Last time checked</t>
  </si>
  <si>
    <t>Today</t>
  </si>
  <si>
    <t>Earnings</t>
  </si>
  <si>
    <t>SG&amp;A y/y</t>
  </si>
  <si>
    <t>Consensus</t>
  </si>
  <si>
    <t>Q121</t>
  </si>
  <si>
    <t>Q221</t>
  </si>
  <si>
    <t>Q321</t>
  </si>
  <si>
    <t>Q421</t>
  </si>
  <si>
    <t>Net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</si>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</sst>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/>
    <xf numFmtId="3" fontId="2" fillId="2" borderId="1" xfId="0" applyNumberFormat="1" applyFont="1" applyFill="1" applyBorder="1"/>
    <xf numFmtId="3" fontId="3" fillId="2" borderId="1" xfId="0" applyNumberFormat="1" applyFont="1" applyFill="1" applyBorder="1"/>
    <xf numFmtId="4" fontId="2" fillId="2" borderId="1" xfId="0" applyNumberFormat="1" applyFont="1" applyFill="1" applyBorder="1"/>
    <xf numFmtId="9" fontId="3" fillId="2" borderId="1" xfId="0" applyNumberFormat="1" applyFont="1" applyFill="1" applyBorder="1"/>
    <xf numFmtId="9" fontId="2" fillId="2" borderId="1" xfId="0" applyNumberFormat="1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10" fontId="3" fillId="2" borderId="1" xfId="0" applyNumberFormat="1" applyFont="1" applyFill="1" applyBorder="1"/>
    <xf numFmtId="10" fontId="2" fillId="2" borderId="1" xfId="0" applyNumberFormat="1" applyFont="1" applyFill="1" applyBorder="1"/>
  </cellXfs>
  <cellStyles count="1">
    <cellStyle name="Normal" xfId="0" builtinId="0"/>
  </cellStyles>
  <dxfs count="5"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1"/>
        </patternFill>
      </fill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31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7B6CB37-E170-4623-907D-A41B80B386AD}"/>
            </a:ext>
          </a:extLst>
        </xdr:cNvPr>
        <xdr:cNvCxnSpPr/>
      </xdr:nvCxnSpPr>
      <xdr:spPr>
        <a:xfrm>
          <a:off x="19453860" y="0"/>
          <a:ext cx="0" cy="575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0</xdr:row>
      <xdr:rowOff>0</xdr:rowOff>
    </xdr:from>
    <xdr:to>
      <xdr:col>42</xdr:col>
      <xdr:colOff>22860</xdr:colOff>
      <xdr:row>33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E9B19E-8438-45D4-B4A5-51B91993397F}"/>
            </a:ext>
          </a:extLst>
        </xdr:cNvPr>
        <xdr:cNvCxnSpPr/>
      </xdr:nvCxnSpPr>
      <xdr:spPr>
        <a:xfrm>
          <a:off x="267766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A6E28-7E23-4433-8D13-C1F557F0C2E6}" name="Table1" displayName="Table1" ref="I3:K7" totalsRowShown="0" headerRowDxfId="4" dataDxfId="3">
  <autoFilter ref="I3:K7" xr:uid="{406DFBDC-EEB4-4ECF-AC25-F7F065590DFB}"/>
  <tableColumns count="3">
    <tableColumn id="1" xr3:uid="{1E0C9F0E-1600-40C8-B01B-3CF75E6108FA}" name="Segment" dataDxfId="2"/>
    <tableColumn id="2" xr3:uid="{9186C032-B748-40E0-BB62-CF99D1399D68}" name="Units" dataDxfId="1"/>
    <tableColumn id="3" xr3:uid="{40EDE216-4FB3-4BFB-9D2D-FE9EF6946D48}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121A-1C78-41F6-A4CE-45A8BAA0E8A2}">
  <dimension ref="B2:K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5.33203125" style="1" customWidth="1"/>
    <col min="8" max="8" width="8.88671875" style="1"/>
    <col min="9" max="10" width="11.44140625" style="1" customWidth="1"/>
    <col min="11" max="11" width="12.33203125" style="1" customWidth="1"/>
    <col min="12" max="16384" width="8.88671875" style="1"/>
  </cols>
  <sheetData>
    <row r="2" spans="2:11" x14ac:dyDescent="0.3">
      <c r="E2" s="10" t="s">
        <v>52</v>
      </c>
      <c r="F2" s="10" t="s">
        <v>53</v>
      </c>
      <c r="G2" s="10" t="s">
        <v>54</v>
      </c>
    </row>
    <row r="3" spans="2:11" x14ac:dyDescent="0.3">
      <c r="B3" s="3" t="s">
        <v>29</v>
      </c>
      <c r="C3" s="1" t="s">
        <v>30</v>
      </c>
      <c r="D3" s="9">
        <v>73.680000000000007</v>
      </c>
      <c r="E3" s="11">
        <v>45771</v>
      </c>
      <c r="F3" s="11">
        <f ca="1">TODAY()</f>
        <v>45771</v>
      </c>
      <c r="G3" s="11">
        <v>45784</v>
      </c>
      <c r="I3" s="12" t="s">
        <v>38</v>
      </c>
      <c r="J3" s="12" t="s">
        <v>40</v>
      </c>
      <c r="K3" s="12" t="s">
        <v>39</v>
      </c>
    </row>
    <row r="4" spans="2:11" x14ac:dyDescent="0.3">
      <c r="C4" s="1" t="s">
        <v>19</v>
      </c>
      <c r="D4" s="5">
        <f>566.4+55.8</f>
        <v>622.19999999999993</v>
      </c>
      <c r="E4" s="10" t="s">
        <v>73</v>
      </c>
      <c r="F4" s="10"/>
      <c r="G4" s="10"/>
      <c r="I4" s="1" t="s">
        <v>29</v>
      </c>
      <c r="J4" s="5">
        <v>430344</v>
      </c>
      <c r="K4" s="13">
        <f>J4/J7</f>
        <v>0.88645914012161564</v>
      </c>
    </row>
    <row r="5" spans="2:11" x14ac:dyDescent="0.3">
      <c r="C5" s="1" t="s">
        <v>31</v>
      </c>
      <c r="D5" s="5">
        <f>D3*D4</f>
        <v>45843.695999999996</v>
      </c>
      <c r="E5" s="10"/>
      <c r="F5" s="10"/>
      <c r="G5" s="10"/>
      <c r="I5" s="1" t="s">
        <v>35</v>
      </c>
      <c r="J5" s="5">
        <v>54413</v>
      </c>
      <c r="K5" s="13">
        <f>J5/J7</f>
        <v>0.11208452120033617</v>
      </c>
    </row>
    <row r="6" spans="2:11" x14ac:dyDescent="0.3">
      <c r="C6" s="1" t="s">
        <v>32</v>
      </c>
      <c r="D6" s="5">
        <f>19287</f>
        <v>19287</v>
      </c>
      <c r="E6" s="10" t="s">
        <v>73</v>
      </c>
      <c r="F6" s="10"/>
      <c r="G6" s="10"/>
      <c r="I6" s="1" t="s">
        <v>36</v>
      </c>
      <c r="J6" s="5">
        <v>707</v>
      </c>
      <c r="K6" s="13">
        <f>J6/J7</f>
        <v>1.4563386780482178E-3</v>
      </c>
    </row>
    <row r="7" spans="2:11" x14ac:dyDescent="0.3">
      <c r="C7" s="1" t="s">
        <v>33</v>
      </c>
      <c r="D7" s="5">
        <f>44491+66770</f>
        <v>111261</v>
      </c>
      <c r="E7" s="10" t="s">
        <v>73</v>
      </c>
      <c r="F7" s="10"/>
      <c r="G7" s="10"/>
      <c r="I7" s="3" t="s">
        <v>37</v>
      </c>
      <c r="J7" s="4">
        <f>J4+J5+J6</f>
        <v>485464</v>
      </c>
      <c r="K7" s="14">
        <f>J7/J7</f>
        <v>1</v>
      </c>
    </row>
    <row r="8" spans="2:11" x14ac:dyDescent="0.3">
      <c r="C8" s="1" t="s">
        <v>51</v>
      </c>
      <c r="D8" s="5">
        <f>D6-D7</f>
        <v>-91974</v>
      </c>
      <c r="E8" s="10"/>
      <c r="F8" s="10"/>
      <c r="G8" s="10"/>
    </row>
    <row r="9" spans="2:11" x14ac:dyDescent="0.3">
      <c r="C9" s="1" t="s">
        <v>34</v>
      </c>
      <c r="D9" s="5">
        <f>D5-D6+D7</f>
        <v>137817.696</v>
      </c>
      <c r="I9" s="1" t="s">
        <v>41</v>
      </c>
    </row>
  </sheetData>
  <pageMargins left="0.7" right="0.7" top="0.75" bottom="0.75" header="0.3" footer="0.3"/>
  <pageSetup paperSize="9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34F1-72E7-4375-8BC2-DABC9C1BCC32}">
  <dimension ref="B2:EF28"/>
  <sheetViews>
    <sheetView tabSelected="1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D22" sqref="BD22"/>
    </sheetView>
  </sheetViews>
  <sheetFormatPr defaultRowHeight="14.4" x14ac:dyDescent="0.3"/>
  <cols>
    <col min="1" max="1" width="8.88671875" style="1"/>
    <col min="2" max="2" width="25.6640625" style="1" bestFit="1" customWidth="1"/>
    <col min="3" max="34" width="8.88671875" style="1" customWidth="1"/>
    <col min="35" max="49" width="8.88671875" style="1"/>
    <col min="50" max="52" width="8.88671875" style="1" customWidth="1"/>
    <col min="53" max="54" width="8.88671875" style="1"/>
    <col min="55" max="55" width="12" style="1" bestFit="1" customWidth="1"/>
    <col min="56" max="56" width="17.5546875" style="1" bestFit="1" customWidth="1"/>
    <col min="57" max="16384" width="8.88671875" style="1"/>
  </cols>
  <sheetData>
    <row r="2" spans="2:136" x14ac:dyDescent="0.3">
      <c r="C2" s="2" t="s">
        <v>23</v>
      </c>
      <c r="D2" s="2" t="s">
        <v>24</v>
      </c>
      <c r="E2" s="2" t="s">
        <v>25</v>
      </c>
      <c r="F2" s="2" t="s">
        <v>22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36" s="3" customFormat="1" x14ac:dyDescent="0.3">
      <c r="B3" s="3" t="s">
        <v>0</v>
      </c>
      <c r="C3" s="4">
        <v>24715</v>
      </c>
      <c r="D3" s="4">
        <v>24743</v>
      </c>
      <c r="E3" s="4">
        <v>25023</v>
      </c>
      <c r="F3" s="4">
        <f>96855-E3-D3-C3</f>
        <v>22374</v>
      </c>
      <c r="G3" s="4">
        <v>22462</v>
      </c>
      <c r="H3" s="4">
        <v>25715</v>
      </c>
      <c r="I3" s="4">
        <v>26667</v>
      </c>
      <c r="J3" s="4">
        <f>104210-I3-H3-G3</f>
        <v>29366</v>
      </c>
      <c r="K3" s="4">
        <v>23252</v>
      </c>
      <c r="L3" s="4">
        <v>19973</v>
      </c>
      <c r="M3" s="4">
        <v>26283</v>
      </c>
      <c r="N3" s="4">
        <f>AL3-M3-L3-K3</f>
        <v>29482</v>
      </c>
      <c r="O3" s="4">
        <v>26778</v>
      </c>
      <c r="P3" s="4">
        <v>28582</v>
      </c>
      <c r="Q3" s="4">
        <v>27471</v>
      </c>
      <c r="R3" s="4">
        <f>AM3-Q3-P3-O3</f>
        <v>28408</v>
      </c>
      <c r="S3" s="4">
        <v>31142</v>
      </c>
      <c r="T3" s="4">
        <v>34770</v>
      </c>
      <c r="U3" s="4">
        <v>37176</v>
      </c>
      <c r="V3" s="4">
        <f>AN3-U3-T3-S3</f>
        <v>39522</v>
      </c>
      <c r="W3" s="4">
        <v>36853</v>
      </c>
      <c r="X3" s="4">
        <v>37219</v>
      </c>
      <c r="Y3" s="4">
        <v>38458</v>
      </c>
      <c r="Z3" s="4">
        <f>AO3-Y3-X3-W3</f>
        <v>42968</v>
      </c>
      <c r="AA3" s="4">
        <v>36614</v>
      </c>
      <c r="AB3" s="4">
        <v>36944</v>
      </c>
      <c r="AC3" s="4">
        <v>32406</v>
      </c>
      <c r="AD3" s="4">
        <f>AP3-AC3-AB3-AA3</f>
        <v>36416</v>
      </c>
      <c r="AE3" s="4">
        <f>AA3*0.85</f>
        <v>31121.899999999998</v>
      </c>
      <c r="AF3" s="4">
        <f t="shared" ref="AF3" si="0">AB3*0.85</f>
        <v>31402.399999999998</v>
      </c>
      <c r="AG3" s="4">
        <f>AC3*0.97</f>
        <v>31433.82</v>
      </c>
      <c r="AH3" s="4">
        <f>AD3*0.9</f>
        <v>32774.400000000001</v>
      </c>
      <c r="AJ3" s="4">
        <f>SUM(C3:F3)</f>
        <v>96855</v>
      </c>
      <c r="AK3" s="4">
        <f>SUM(G3:J3)</f>
        <v>104210</v>
      </c>
      <c r="AL3" s="4">
        <v>98990</v>
      </c>
      <c r="AM3" s="4">
        <v>111239</v>
      </c>
      <c r="AN3" s="4">
        <v>142610</v>
      </c>
      <c r="AO3" s="4">
        <v>155498</v>
      </c>
      <c r="AP3" s="4">
        <v>142380</v>
      </c>
      <c r="AQ3" s="4">
        <f>SUM(AE3:AH3)</f>
        <v>126732.51999999999</v>
      </c>
      <c r="AR3" s="4">
        <f>AQ3*1.05</f>
        <v>133069.14600000001</v>
      </c>
      <c r="AS3" s="4">
        <f>AR3*1.03</f>
        <v>137061.22038000001</v>
      </c>
      <c r="AT3" s="4">
        <f>AS3*1.02</f>
        <v>139802.44478760002</v>
      </c>
      <c r="AU3" s="4">
        <f>AT3*1.01</f>
        <v>141200.46923547602</v>
      </c>
      <c r="AV3" s="4">
        <f t="shared" ref="AV3:BA3" si="1">AU3*1.01</f>
        <v>142612.47392783078</v>
      </c>
      <c r="AW3" s="4">
        <f t="shared" si="1"/>
        <v>144038.59866710909</v>
      </c>
      <c r="AX3" s="4">
        <f t="shared" si="1"/>
        <v>145478.98465378018</v>
      </c>
      <c r="AY3" s="4">
        <f t="shared" si="1"/>
        <v>146933.77450031799</v>
      </c>
      <c r="AZ3" s="4">
        <f t="shared" si="1"/>
        <v>148403.11224532116</v>
      </c>
      <c r="BA3" s="4">
        <f t="shared" si="1"/>
        <v>149887.14336777438</v>
      </c>
    </row>
    <row r="4" spans="2:136" x14ac:dyDescent="0.3">
      <c r="B4" s="1" t="s">
        <v>9</v>
      </c>
      <c r="C4" s="5">
        <v>20761</v>
      </c>
      <c r="D4" s="5">
        <v>20769</v>
      </c>
      <c r="E4" s="5">
        <v>19935</v>
      </c>
      <c r="F4" s="5">
        <f>78477-E4-D4-C4</f>
        <v>17012</v>
      </c>
      <c r="G4" s="5">
        <v>18406</v>
      </c>
      <c r="H4" s="5">
        <v>21170</v>
      </c>
      <c r="I4" s="5">
        <v>22098</v>
      </c>
      <c r="J4" s="5">
        <f>86147-I4-H4-G4</f>
        <v>24473</v>
      </c>
      <c r="K4" s="5">
        <v>19718</v>
      </c>
      <c r="L4" s="5">
        <v>18682</v>
      </c>
      <c r="M4" s="5">
        <v>22268</v>
      </c>
      <c r="N4" s="5">
        <f>AL4-M4-L4-K4</f>
        <v>24740</v>
      </c>
      <c r="O4" s="5">
        <v>21588</v>
      </c>
      <c r="P4" s="5">
        <v>22521</v>
      </c>
      <c r="Q4" s="5">
        <v>22270</v>
      </c>
      <c r="R4" s="5">
        <f>AM4-Q4-P4-O4</f>
        <v>22874</v>
      </c>
      <c r="S4" s="5">
        <v>25619</v>
      </c>
      <c r="T4" s="5">
        <v>28780</v>
      </c>
      <c r="U4" s="5">
        <v>30947</v>
      </c>
      <c r="V4" s="5">
        <f>AN4-U4-T4-S4</f>
        <v>32696</v>
      </c>
      <c r="W4" s="5">
        <v>29081</v>
      </c>
      <c r="X4" s="5">
        <v>30089</v>
      </c>
      <c r="Y4" s="5">
        <v>31535</v>
      </c>
      <c r="Z4" s="5">
        <f>AO4-Y4-X4-W4</f>
        <v>35104</v>
      </c>
      <c r="AA4" s="5">
        <v>30050</v>
      </c>
      <c r="AB4" s="5">
        <v>30285</v>
      </c>
      <c r="AC4" s="5">
        <v>28160</v>
      </c>
      <c r="AD4" s="5">
        <f>AP4-AC4-AB4-AA4</f>
        <v>30990</v>
      </c>
      <c r="AE4" s="5">
        <f>AE3-AE5</f>
        <v>25831.176999999996</v>
      </c>
      <c r="AF4" s="5">
        <f t="shared" ref="AF4:AH4" si="2">AF3-AF5</f>
        <v>26063.991999999998</v>
      </c>
      <c r="AG4" s="5">
        <f t="shared" si="2"/>
        <v>26090.070599999999</v>
      </c>
      <c r="AH4" s="5">
        <f t="shared" si="2"/>
        <v>27202.752</v>
      </c>
      <c r="AJ4" s="5">
        <f>SUM(C4:F4)</f>
        <v>78477</v>
      </c>
      <c r="AK4" s="5">
        <f>SUM(G4:J4)</f>
        <v>86147</v>
      </c>
      <c r="AL4" s="5">
        <v>85408</v>
      </c>
      <c r="AM4" s="5">
        <v>89253</v>
      </c>
      <c r="AN4" s="5">
        <v>118042</v>
      </c>
      <c r="AO4" s="5">
        <v>125809</v>
      </c>
      <c r="AP4" s="5">
        <v>119485</v>
      </c>
      <c r="AQ4" s="5">
        <f>SUM(AE4:AH4)</f>
        <v>105187.99160000001</v>
      </c>
      <c r="AR4" s="5">
        <f t="shared" ref="AR4:AV4" si="3">AR3-AR5</f>
        <v>109116.69972</v>
      </c>
      <c r="AS4" s="5">
        <f t="shared" si="3"/>
        <v>112390.20071160002</v>
      </c>
      <c r="AT4" s="5">
        <f t="shared" si="3"/>
        <v>114638.00472583201</v>
      </c>
      <c r="AU4" s="5">
        <f t="shared" si="3"/>
        <v>115784.38477309034</v>
      </c>
      <c r="AV4" s="5">
        <f t="shared" si="3"/>
        <v>116942.22862082125</v>
      </c>
      <c r="AW4" s="5">
        <f t="shared" ref="AW4:BA4" si="4">AW3-AW5</f>
        <v>118111.65090702946</v>
      </c>
      <c r="AX4" s="5">
        <f t="shared" si="4"/>
        <v>119292.76741609976</v>
      </c>
      <c r="AY4" s="5">
        <f t="shared" si="4"/>
        <v>120485.69509026075</v>
      </c>
      <c r="AZ4" s="5">
        <f t="shared" si="4"/>
        <v>121690.55204116335</v>
      </c>
      <c r="BA4" s="5">
        <f t="shared" si="4"/>
        <v>122907.45756157499</v>
      </c>
    </row>
    <row r="5" spans="2:136" s="3" customFormat="1" x14ac:dyDescent="0.3">
      <c r="B5" s="3" t="s">
        <v>14</v>
      </c>
      <c r="C5" s="4">
        <f t="shared" ref="C5:N5" si="5">+C3-C4</f>
        <v>3954</v>
      </c>
      <c r="D5" s="4">
        <f t="shared" si="5"/>
        <v>3974</v>
      </c>
      <c r="E5" s="4">
        <f t="shared" si="5"/>
        <v>5088</v>
      </c>
      <c r="F5" s="4">
        <f t="shared" si="5"/>
        <v>5362</v>
      </c>
      <c r="G5" s="4">
        <f t="shared" si="5"/>
        <v>4056</v>
      </c>
      <c r="H5" s="4">
        <f t="shared" si="5"/>
        <v>4545</v>
      </c>
      <c r="I5" s="4">
        <f t="shared" si="5"/>
        <v>4569</v>
      </c>
      <c r="J5" s="4">
        <f t="shared" si="5"/>
        <v>4893</v>
      </c>
      <c r="K5" s="4">
        <f t="shared" si="5"/>
        <v>3534</v>
      </c>
      <c r="L5" s="4">
        <f t="shared" si="5"/>
        <v>1291</v>
      </c>
      <c r="M5" s="4">
        <f t="shared" si="5"/>
        <v>4015</v>
      </c>
      <c r="N5" s="4">
        <f t="shared" si="5"/>
        <v>4742</v>
      </c>
      <c r="O5" s="4">
        <f t="shared" ref="O5:P5" si="6">+O3-O4</f>
        <v>5190</v>
      </c>
      <c r="P5" s="4">
        <f t="shared" si="6"/>
        <v>6061</v>
      </c>
      <c r="Q5" s="4">
        <f>Q3-Q4</f>
        <v>5201</v>
      </c>
      <c r="R5" s="4">
        <f t="shared" ref="R5" si="7">+R3-R4</f>
        <v>5534</v>
      </c>
      <c r="S5" s="4">
        <f t="shared" ref="S5:T5" si="8">+S3-S4</f>
        <v>5523</v>
      </c>
      <c r="T5" s="4">
        <f t="shared" si="8"/>
        <v>5990</v>
      </c>
      <c r="U5" s="4">
        <f t="shared" ref="U5:V5" si="9">+U3-U4</f>
        <v>6229</v>
      </c>
      <c r="V5" s="4">
        <f t="shared" si="9"/>
        <v>6826</v>
      </c>
      <c r="W5" s="4">
        <f t="shared" ref="W5:Y5" si="10">+W3-W4</f>
        <v>7772</v>
      </c>
      <c r="X5" s="4">
        <f t="shared" si="10"/>
        <v>7130</v>
      </c>
      <c r="Y5" s="4">
        <f t="shared" si="10"/>
        <v>6923</v>
      </c>
      <c r="Z5" s="4">
        <f t="shared" ref="Z5" si="11">+Z3-Z4</f>
        <v>7864</v>
      </c>
      <c r="AA5" s="4">
        <f t="shared" ref="AA5:AC5" si="12">+AA3-AA4</f>
        <v>6564</v>
      </c>
      <c r="AB5" s="4">
        <f t="shared" si="12"/>
        <v>6659</v>
      </c>
      <c r="AC5" s="4">
        <f t="shared" si="12"/>
        <v>4246</v>
      </c>
      <c r="AD5" s="4">
        <f t="shared" ref="AD5" si="13">AD3*0.18</f>
        <v>6554.88</v>
      </c>
      <c r="AE5" s="4">
        <f>AE3*0.17</f>
        <v>5290.723</v>
      </c>
      <c r="AF5" s="4">
        <f t="shared" ref="AF5:AH5" si="14">AF3*0.17</f>
        <v>5338.4080000000004</v>
      </c>
      <c r="AG5" s="4">
        <f t="shared" si="14"/>
        <v>5343.7494000000006</v>
      </c>
      <c r="AH5" s="4">
        <f t="shared" si="14"/>
        <v>5571.648000000001</v>
      </c>
      <c r="AJ5" s="4">
        <f>AJ3-AJ4</f>
        <v>18378</v>
      </c>
      <c r="AK5" s="4">
        <f>AK3-AK4</f>
        <v>18063</v>
      </c>
      <c r="AL5" s="4">
        <f>AL3-AL4</f>
        <v>13582</v>
      </c>
      <c r="AM5" s="4">
        <f t="shared" ref="AM5:AP5" si="15">AM3-AM4</f>
        <v>21986</v>
      </c>
      <c r="AN5" s="4">
        <f t="shared" si="15"/>
        <v>24568</v>
      </c>
      <c r="AO5" s="4">
        <f t="shared" si="15"/>
        <v>29689</v>
      </c>
      <c r="AP5" s="4">
        <f t="shared" si="15"/>
        <v>22895</v>
      </c>
      <c r="AQ5" s="4">
        <f>AQ3*0.18</f>
        <v>22811.853599999999</v>
      </c>
      <c r="AR5" s="4">
        <f>AR3*0.18</f>
        <v>23952.44628</v>
      </c>
      <c r="AS5" s="4">
        <f t="shared" ref="AS5:BA5" si="16">AS3*0.18</f>
        <v>24671.0196684</v>
      </c>
      <c r="AT5" s="4">
        <f t="shared" si="16"/>
        <v>25164.440061768004</v>
      </c>
      <c r="AU5" s="4">
        <f t="shared" si="16"/>
        <v>25416.084462385683</v>
      </c>
      <c r="AV5" s="4">
        <f t="shared" si="16"/>
        <v>25670.24530700954</v>
      </c>
      <c r="AW5" s="4">
        <f t="shared" si="16"/>
        <v>25926.947760079634</v>
      </c>
      <c r="AX5" s="4">
        <f t="shared" si="16"/>
        <v>26186.21723768043</v>
      </c>
      <c r="AY5" s="4">
        <f t="shared" si="16"/>
        <v>26448.079410057238</v>
      </c>
      <c r="AZ5" s="4">
        <f t="shared" si="16"/>
        <v>26712.560204157806</v>
      </c>
      <c r="BA5" s="4">
        <f t="shared" si="16"/>
        <v>26979.685806199388</v>
      </c>
    </row>
    <row r="6" spans="2:136" x14ac:dyDescent="0.3">
      <c r="B6" s="1" t="s">
        <v>10</v>
      </c>
      <c r="C6" s="5">
        <v>2281</v>
      </c>
      <c r="D6" s="5">
        <v>2278</v>
      </c>
      <c r="E6" s="5">
        <v>2339</v>
      </c>
      <c r="F6" s="5">
        <f>9568-E6-D6-C6</f>
        <v>2670</v>
      </c>
      <c r="G6" s="5">
        <v>2122</v>
      </c>
      <c r="H6" s="5">
        <v>2301</v>
      </c>
      <c r="I6" s="5">
        <v>2242</v>
      </c>
      <c r="J6" s="5">
        <f>9367-I6-H6-G6</f>
        <v>2702</v>
      </c>
      <c r="K6" s="5">
        <v>2165</v>
      </c>
      <c r="L6" s="5">
        <v>1994</v>
      </c>
      <c r="M6" s="5">
        <v>2099</v>
      </c>
      <c r="N6" s="5">
        <f>AL6-M6-L6-K6</f>
        <v>2537</v>
      </c>
      <c r="O6" s="5">
        <v>2074</v>
      </c>
      <c r="P6" s="5">
        <v>2049</v>
      </c>
      <c r="Q6" s="5">
        <v>2216</v>
      </c>
      <c r="R6" s="5">
        <f>AM6-Q6-P6-O6</f>
        <v>2894</v>
      </c>
      <c r="S6" s="5">
        <v>2219</v>
      </c>
      <c r="T6" s="5">
        <v>2493</v>
      </c>
      <c r="U6" s="5">
        <v>2549</v>
      </c>
      <c r="V6" s="5">
        <f>AN6-U6-T6-S6</f>
        <v>3355</v>
      </c>
      <c r="W6" s="5">
        <v>2359</v>
      </c>
      <c r="X6" s="5">
        <v>2630</v>
      </c>
      <c r="Y6" s="5">
        <v>2615</v>
      </c>
      <c r="Z6" s="5">
        <f>AO6-Y6-X6-W6</f>
        <v>3421</v>
      </c>
      <c r="AA6" s="5">
        <v>2515</v>
      </c>
      <c r="AB6" s="5">
        <v>2772</v>
      </c>
      <c r="AC6" s="5">
        <v>2666</v>
      </c>
      <c r="AD6" s="5">
        <f>AP6-AC6-AB6-AA6</f>
        <v>3343</v>
      </c>
      <c r="AE6" s="5">
        <f>AA6*0.97</f>
        <v>2439.5499999999997</v>
      </c>
      <c r="AF6" s="5">
        <f t="shared" ref="AF6:AH6" si="17">AB6*0.97</f>
        <v>2688.84</v>
      </c>
      <c r="AG6" s="5">
        <f t="shared" si="17"/>
        <v>2586.02</v>
      </c>
      <c r="AH6" s="5">
        <f t="shared" si="17"/>
        <v>3242.71</v>
      </c>
      <c r="AJ6" s="5">
        <f>SUM(C6:F6)</f>
        <v>9568</v>
      </c>
      <c r="AK6" s="5">
        <f>SUM(G6:J6)</f>
        <v>9367</v>
      </c>
      <c r="AL6" s="5">
        <v>8795</v>
      </c>
      <c r="AM6" s="5">
        <v>9233</v>
      </c>
      <c r="AN6" s="5">
        <v>10616</v>
      </c>
      <c r="AO6" s="5">
        <v>11025</v>
      </c>
      <c r="AP6" s="5">
        <v>11296</v>
      </c>
      <c r="AQ6" s="5">
        <f>SUM(AE6:AH6)</f>
        <v>10957.119999999999</v>
      </c>
      <c r="AR6" s="5">
        <f>AQ6*1.03</f>
        <v>11285.8336</v>
      </c>
      <c r="AS6" s="5">
        <f t="shared" ref="AS6" si="18">AR6*1.02</f>
        <v>11511.550272</v>
      </c>
      <c r="AT6" s="5">
        <f>AS6*1.02</f>
        <v>11741.781277440001</v>
      </c>
      <c r="AU6" s="5">
        <f t="shared" ref="AU6" si="19">AT6*1.02</f>
        <v>11976.616902988801</v>
      </c>
      <c r="AV6" s="5">
        <f>AU6*1.01</f>
        <v>12096.383072018689</v>
      </c>
      <c r="AW6" s="5">
        <f t="shared" ref="AW6:BA6" si="20">AV6*1.01</f>
        <v>12217.346902738876</v>
      </c>
      <c r="AX6" s="5">
        <f t="shared" si="20"/>
        <v>12339.520371766266</v>
      </c>
      <c r="AY6" s="5">
        <f t="shared" si="20"/>
        <v>12462.915575483928</v>
      </c>
      <c r="AZ6" s="5">
        <f t="shared" si="20"/>
        <v>12587.544731238768</v>
      </c>
      <c r="BA6" s="5">
        <f t="shared" si="20"/>
        <v>12713.420178551156</v>
      </c>
    </row>
    <row r="7" spans="2:136" x14ac:dyDescent="0.3">
      <c r="B7" s="1" t="s">
        <v>11</v>
      </c>
      <c r="C7" s="5">
        <v>-202</v>
      </c>
      <c r="D7" s="5">
        <v>-202</v>
      </c>
      <c r="E7" s="5">
        <v>-115</v>
      </c>
      <c r="F7" s="5">
        <f>-774-E7-D7-C7</f>
        <v>-255</v>
      </c>
      <c r="G7" s="5">
        <v>-164</v>
      </c>
      <c r="H7" s="5">
        <v>-151</v>
      </c>
      <c r="I7" s="5">
        <v>-140</v>
      </c>
      <c r="J7" s="5">
        <f>-1031-I7-H7-G7</f>
        <v>-576</v>
      </c>
      <c r="K7" s="5">
        <v>-250</v>
      </c>
      <c r="L7" s="5">
        <f>-267-K7</f>
        <v>-17</v>
      </c>
      <c r="M7" s="5">
        <v>-188</v>
      </c>
      <c r="N7" s="5">
        <f>AL7-M7-L7-K7</f>
        <v>-461</v>
      </c>
      <c r="O7" s="5">
        <v>-170</v>
      </c>
      <c r="P7" s="5">
        <v>-1137</v>
      </c>
      <c r="Q7" s="5">
        <v>-102</v>
      </c>
      <c r="R7" s="5">
        <f>AM7-Q7-P7-O7</f>
        <v>-293</v>
      </c>
      <c r="S7" s="5">
        <v>-335</v>
      </c>
      <c r="T7" s="5">
        <v>-404</v>
      </c>
      <c r="U7" s="5">
        <v>-204</v>
      </c>
      <c r="V7" s="5">
        <f>AN7-U7-T7-S7</f>
        <v>-434</v>
      </c>
      <c r="W7" s="5">
        <v>-185</v>
      </c>
      <c r="X7" s="5">
        <v>-231</v>
      </c>
      <c r="Y7" s="5">
        <v>-276</v>
      </c>
      <c r="Z7" s="5">
        <f>AO7-Y7-X7-W7</f>
        <v>-353</v>
      </c>
      <c r="AA7" s="5">
        <v>-284</v>
      </c>
      <c r="AB7" s="5">
        <v>-273</v>
      </c>
      <c r="AC7" s="5">
        <v>-315</v>
      </c>
      <c r="AD7" s="5">
        <f>AP7-AC7-AB7-AA7</f>
        <v>-539</v>
      </c>
      <c r="AE7" s="5">
        <v>-300</v>
      </c>
      <c r="AF7" s="5">
        <v>-300</v>
      </c>
      <c r="AG7" s="5">
        <v>-300</v>
      </c>
      <c r="AH7" s="5">
        <v>-300</v>
      </c>
      <c r="AJ7" s="5">
        <f>SUM(C7:F7)</f>
        <v>-774</v>
      </c>
      <c r="AK7" s="5">
        <f>SUM(G7:J7)</f>
        <v>-1031</v>
      </c>
      <c r="AL7" s="5">
        <v>-916</v>
      </c>
      <c r="AM7" s="5">
        <v>-1702</v>
      </c>
      <c r="AN7" s="5">
        <v>-1377</v>
      </c>
      <c r="AO7" s="5">
        <v>-1045</v>
      </c>
      <c r="AP7" s="5">
        <v>-1411</v>
      </c>
      <c r="AQ7" s="5">
        <f>SUM(AE7:AH7)</f>
        <v>-1200</v>
      </c>
      <c r="AR7" s="5">
        <f t="shared" ref="AR7:AW7" si="21">AQ7*1.01</f>
        <v>-1212</v>
      </c>
      <c r="AS7" s="5">
        <f t="shared" si="21"/>
        <v>-1224.1200000000001</v>
      </c>
      <c r="AT7" s="5">
        <f t="shared" si="21"/>
        <v>-1236.3612000000001</v>
      </c>
      <c r="AU7" s="5">
        <f t="shared" si="21"/>
        <v>-1248.7248120000002</v>
      </c>
      <c r="AV7" s="5">
        <f t="shared" si="21"/>
        <v>-1261.2120601200002</v>
      </c>
      <c r="AW7" s="5">
        <f t="shared" si="21"/>
        <v>-1273.8241807212003</v>
      </c>
      <c r="AX7" s="5">
        <f t="shared" ref="AX7" si="22">AW7*1.01</f>
        <v>-1286.5624225284123</v>
      </c>
      <c r="AY7" s="5">
        <f t="shared" ref="AY7" si="23">AX7*1.01</f>
        <v>-1299.4280467536964</v>
      </c>
      <c r="AZ7" s="5">
        <f t="shared" ref="AZ7" si="24">AY7*1.01</f>
        <v>-1312.4223272212334</v>
      </c>
      <c r="BA7" s="5">
        <f t="shared" ref="BA7" si="25">AZ7*1.01</f>
        <v>-1325.5465504934457</v>
      </c>
    </row>
    <row r="8" spans="2:136" x14ac:dyDescent="0.3">
      <c r="B8" s="1" t="s">
        <v>12</v>
      </c>
      <c r="C8" s="5">
        <v>153</v>
      </c>
      <c r="D8" s="5">
        <v>153</v>
      </c>
      <c r="E8" s="5">
        <v>118</v>
      </c>
      <c r="F8" s="5">
        <f>651-E8-D8-C8</f>
        <v>227</v>
      </c>
      <c r="G8" s="5">
        <v>1509</v>
      </c>
      <c r="H8" s="5">
        <v>194</v>
      </c>
      <c r="I8" s="5">
        <v>178</v>
      </c>
      <c r="J8" s="5">
        <f>2316-I8-H8-G8</f>
        <v>435</v>
      </c>
      <c r="K8" s="5">
        <v>244</v>
      </c>
      <c r="L8" s="5">
        <v>230</v>
      </c>
      <c r="M8" s="5">
        <v>180</v>
      </c>
      <c r="N8" s="5">
        <f>AL8-M8-L8-K8</f>
        <v>219</v>
      </c>
      <c r="O8" s="5">
        <v>261</v>
      </c>
      <c r="P8" s="5">
        <v>144</v>
      </c>
      <c r="Q8" s="5">
        <v>204</v>
      </c>
      <c r="R8" s="5">
        <f>AM8-Q8-P8-O8</f>
        <v>446</v>
      </c>
      <c r="S8" s="5">
        <v>248</v>
      </c>
      <c r="T8" s="5">
        <v>475</v>
      </c>
      <c r="U8" s="5">
        <v>202</v>
      </c>
      <c r="V8" s="5">
        <f>AN8-U8-T8-S8</f>
        <v>405</v>
      </c>
      <c r="W8" s="5">
        <v>223</v>
      </c>
      <c r="X8" s="5">
        <v>388</v>
      </c>
      <c r="Y8" s="5">
        <v>232</v>
      </c>
      <c r="Z8" s="5">
        <f>AO8-Y8-X8-W8</f>
        <v>384</v>
      </c>
      <c r="AA8" s="5">
        <v>279</v>
      </c>
      <c r="AB8" s="5">
        <v>283</v>
      </c>
      <c r="AC8" s="5">
        <v>199</v>
      </c>
      <c r="AD8" s="5">
        <f>AP8-AC8-AB8-AA8</f>
        <v>740</v>
      </c>
      <c r="AE8" s="5">
        <v>350</v>
      </c>
      <c r="AF8" s="5">
        <v>350</v>
      </c>
      <c r="AG8" s="5">
        <v>350</v>
      </c>
      <c r="AH8" s="5">
        <v>350</v>
      </c>
      <c r="AJ8" s="5">
        <f>SUM(C8:F8)</f>
        <v>651</v>
      </c>
      <c r="AK8" s="5">
        <f>SUM(G8:J8)</f>
        <v>2316</v>
      </c>
      <c r="AL8" s="5">
        <v>873</v>
      </c>
      <c r="AM8" s="5">
        <v>1055</v>
      </c>
      <c r="AN8" s="5">
        <v>1330</v>
      </c>
      <c r="AO8" s="5">
        <v>1227</v>
      </c>
      <c r="AP8" s="5">
        <v>1501</v>
      </c>
      <c r="AQ8" s="5">
        <f>SUM(AE8:AH8)</f>
        <v>1400</v>
      </c>
      <c r="AR8" s="5">
        <f t="shared" ref="AR8:AW8" si="26">AQ8*1.02</f>
        <v>1428</v>
      </c>
      <c r="AS8" s="5">
        <f t="shared" si="26"/>
        <v>1456.56</v>
      </c>
      <c r="AT8" s="5">
        <f t="shared" si="26"/>
        <v>1485.6912</v>
      </c>
      <c r="AU8" s="5">
        <f t="shared" si="26"/>
        <v>1515.4050239999999</v>
      </c>
      <c r="AV8" s="5">
        <f t="shared" si="26"/>
        <v>1545.71312448</v>
      </c>
      <c r="AW8" s="5">
        <f t="shared" si="26"/>
        <v>1576.6273869696001</v>
      </c>
      <c r="AX8" s="5">
        <f t="shared" ref="AX8" si="27">AW8*1.02</f>
        <v>1608.1599347089921</v>
      </c>
      <c r="AY8" s="5">
        <f t="shared" ref="AY8" si="28">AX8*1.02</f>
        <v>1640.3231334031721</v>
      </c>
      <c r="AZ8" s="5">
        <f t="shared" ref="AZ8" si="29">AY8*1.02</f>
        <v>1673.1295960712355</v>
      </c>
      <c r="BA8" s="5">
        <f t="shared" ref="BA8" si="30">AZ8*1.02</f>
        <v>1706.5921879926602</v>
      </c>
    </row>
    <row r="9" spans="2:136" s="3" customFormat="1" x14ac:dyDescent="0.3">
      <c r="B9" s="3" t="s">
        <v>13</v>
      </c>
      <c r="C9" s="4">
        <f t="shared" ref="C9:N9" si="31">C5-C6-C7-C8</f>
        <v>1722</v>
      </c>
      <c r="D9" s="4">
        <f t="shared" si="31"/>
        <v>1745</v>
      </c>
      <c r="E9" s="4">
        <f t="shared" si="31"/>
        <v>2746</v>
      </c>
      <c r="F9" s="4">
        <f t="shared" si="31"/>
        <v>2720</v>
      </c>
      <c r="G9" s="4">
        <f t="shared" si="31"/>
        <v>589</v>
      </c>
      <c r="H9" s="4">
        <f t="shared" si="31"/>
        <v>2201</v>
      </c>
      <c r="I9" s="4">
        <f t="shared" si="31"/>
        <v>2289</v>
      </c>
      <c r="J9" s="4">
        <f t="shared" si="31"/>
        <v>2332</v>
      </c>
      <c r="K9" s="4">
        <f t="shared" si="31"/>
        <v>1375</v>
      </c>
      <c r="L9" s="4">
        <f t="shared" si="31"/>
        <v>-916</v>
      </c>
      <c r="M9" s="4">
        <f t="shared" si="31"/>
        <v>1924</v>
      </c>
      <c r="N9" s="4">
        <f t="shared" si="31"/>
        <v>2447</v>
      </c>
      <c r="O9" s="4">
        <f t="shared" ref="O9:R9" si="32">O5-O6-O7-O8</f>
        <v>3025</v>
      </c>
      <c r="P9" s="4">
        <f t="shared" si="32"/>
        <v>5005</v>
      </c>
      <c r="Q9" s="4">
        <f t="shared" si="32"/>
        <v>2883</v>
      </c>
      <c r="R9" s="4">
        <f t="shared" si="32"/>
        <v>2487</v>
      </c>
      <c r="S9" s="4">
        <f t="shared" ref="S9:T9" si="33">S5-S6-S7-S8</f>
        <v>3391</v>
      </c>
      <c r="T9" s="4">
        <f t="shared" si="33"/>
        <v>3426</v>
      </c>
      <c r="U9" s="4">
        <f t="shared" ref="U9:V9" si="34">U5-U6-U7-U8</f>
        <v>3682</v>
      </c>
      <c r="V9" s="4">
        <f t="shared" si="34"/>
        <v>3500</v>
      </c>
      <c r="W9" s="4">
        <f t="shared" ref="W9:Y9" si="35">W5-W6-W7-W8</f>
        <v>5375</v>
      </c>
      <c r="X9" s="4">
        <f t="shared" si="35"/>
        <v>4343</v>
      </c>
      <c r="Y9" s="4">
        <f t="shared" si="35"/>
        <v>4352</v>
      </c>
      <c r="Z9" s="4">
        <f t="shared" ref="Z9" si="36">Z5-Z6-Z7-Z8</f>
        <v>4412</v>
      </c>
      <c r="AA9" s="4">
        <f t="shared" ref="AA9:AH9" si="37">AA5-AA6-AA7-AA8</f>
        <v>4054</v>
      </c>
      <c r="AB9" s="4">
        <f t="shared" si="37"/>
        <v>3877</v>
      </c>
      <c r="AC9" s="4">
        <f t="shared" si="37"/>
        <v>1696</v>
      </c>
      <c r="AD9" s="4">
        <f t="shared" si="37"/>
        <v>3010.88</v>
      </c>
      <c r="AE9" s="4">
        <f t="shared" si="37"/>
        <v>2801.1730000000002</v>
      </c>
      <c r="AF9" s="4">
        <f t="shared" si="37"/>
        <v>2599.5680000000002</v>
      </c>
      <c r="AG9" s="4">
        <f t="shared" si="37"/>
        <v>2707.7294000000006</v>
      </c>
      <c r="AH9" s="4">
        <f t="shared" si="37"/>
        <v>2278.938000000001</v>
      </c>
      <c r="AJ9" s="4">
        <f>AJ5-AJ6-AJ7-AJ8</f>
        <v>8933</v>
      </c>
      <c r="AK9" s="4">
        <f>AK5-AK6-AK7-AK8</f>
        <v>7411</v>
      </c>
      <c r="AL9" s="4">
        <f>AL5-AL6-AL7-AL8</f>
        <v>4830</v>
      </c>
      <c r="AM9" s="4">
        <f>AM5-AM6-AM7-AM8</f>
        <v>13400</v>
      </c>
      <c r="AN9" s="4">
        <f t="shared" ref="AN9:AV9" si="38">AN5-AN6-AN7-AN8</f>
        <v>13999</v>
      </c>
      <c r="AO9" s="4">
        <f t="shared" si="38"/>
        <v>18482</v>
      </c>
      <c r="AP9" s="4">
        <f t="shared" si="38"/>
        <v>11509</v>
      </c>
      <c r="AQ9" s="4">
        <f t="shared" si="38"/>
        <v>11654.7336</v>
      </c>
      <c r="AR9" s="4">
        <f t="shared" si="38"/>
        <v>12450.61268</v>
      </c>
      <c r="AS9" s="4">
        <f t="shared" si="38"/>
        <v>12927.029396400001</v>
      </c>
      <c r="AT9" s="4">
        <f t="shared" si="38"/>
        <v>13173.328784328003</v>
      </c>
      <c r="AU9" s="4">
        <f t="shared" si="38"/>
        <v>13172.787347396883</v>
      </c>
      <c r="AV9" s="4">
        <f t="shared" si="38"/>
        <v>13289.361170630851</v>
      </c>
      <c r="AW9" s="4">
        <f t="shared" ref="AW9:BA9" si="39">AW5-AW6-AW7-AW8</f>
        <v>13406.797651092358</v>
      </c>
      <c r="AX9" s="4">
        <f t="shared" si="39"/>
        <v>13525.099353733583</v>
      </c>
      <c r="AY9" s="4">
        <f t="shared" si="39"/>
        <v>13644.268747923836</v>
      </c>
      <c r="AZ9" s="4">
        <f t="shared" si="39"/>
        <v>13764.308204069035</v>
      </c>
      <c r="BA9" s="4">
        <f t="shared" si="39"/>
        <v>13885.219990149017</v>
      </c>
    </row>
    <row r="10" spans="2:136" x14ac:dyDescent="0.3">
      <c r="B10" s="1" t="s">
        <v>21</v>
      </c>
      <c r="C10" s="5">
        <v>-100</v>
      </c>
      <c r="D10" s="5">
        <v>-100</v>
      </c>
      <c r="E10" s="5">
        <v>-127</v>
      </c>
      <c r="F10" s="5">
        <f>-694-E10-D10-C10</f>
        <v>-367</v>
      </c>
      <c r="G10" s="5">
        <v>-173</v>
      </c>
      <c r="H10" s="5">
        <v>148</v>
      </c>
      <c r="I10" s="5">
        <v>41</v>
      </c>
      <c r="J10" s="5">
        <f>293-I10-H10-G10</f>
        <v>277</v>
      </c>
      <c r="K10" s="5">
        <v>577</v>
      </c>
      <c r="L10" s="5">
        <v>-366</v>
      </c>
      <c r="M10" s="5">
        <v>-540</v>
      </c>
      <c r="N10" s="5">
        <f>AL10-M10-L10-K10</f>
        <v>-63</v>
      </c>
      <c r="O10" s="5">
        <v>-732</v>
      </c>
      <c r="P10" s="5">
        <v>-974</v>
      </c>
      <c r="Q10" s="5">
        <v>-534</v>
      </c>
      <c r="R10" s="5">
        <f>AM10-Q10-P10-O10</f>
        <v>-420</v>
      </c>
      <c r="S10" s="5">
        <v>-8836</v>
      </c>
      <c r="T10" s="5">
        <v>-503</v>
      </c>
      <c r="U10" s="5">
        <v>-418</v>
      </c>
      <c r="V10" s="5">
        <f>AN10-U10-T10-S10</f>
        <v>247</v>
      </c>
      <c r="W10" s="5">
        <v>246</v>
      </c>
      <c r="X10" s="5">
        <v>121</v>
      </c>
      <c r="Y10" s="5">
        <v>289</v>
      </c>
      <c r="Z10" s="5">
        <f>AO10-Y10-X10-W10</f>
        <v>730</v>
      </c>
      <c r="AA10" s="5">
        <v>-108</v>
      </c>
      <c r="AB10" s="5">
        <v>16</v>
      </c>
      <c r="AC10" s="5">
        <v>858</v>
      </c>
      <c r="AD10" s="5">
        <f>AP10-AC10-AB10-AA10</f>
        <v>-228</v>
      </c>
      <c r="AE10" s="5">
        <v>200</v>
      </c>
      <c r="AF10" s="5">
        <v>200</v>
      </c>
      <c r="AG10" s="5">
        <v>200</v>
      </c>
      <c r="AH10" s="5">
        <v>200</v>
      </c>
      <c r="AJ10" s="5">
        <f>SUM(C10:F10)</f>
        <v>-694</v>
      </c>
      <c r="AK10" s="5">
        <f>SUM(G10:J10)</f>
        <v>293</v>
      </c>
      <c r="AL10" s="5">
        <v>-392</v>
      </c>
      <c r="AM10" s="5">
        <v>-2660</v>
      </c>
      <c r="AN10" s="5">
        <v>-9510</v>
      </c>
      <c r="AO10" s="5">
        <v>1386</v>
      </c>
      <c r="AP10" s="5">
        <v>538</v>
      </c>
      <c r="AQ10" s="5">
        <f>SUM(AE10:AH10)</f>
        <v>800</v>
      </c>
      <c r="AR10" s="5">
        <f t="shared" ref="AR10:AW10" si="40">-AQ14*0.04</f>
        <v>-319.14044319999994</v>
      </c>
      <c r="AS10" s="5">
        <f t="shared" si="40"/>
        <v>-359.86886542656003</v>
      </c>
      <c r="AT10" s="5">
        <f t="shared" si="40"/>
        <v>-374.52564468335697</v>
      </c>
      <c r="AU10" s="5">
        <f t="shared" si="40"/>
        <v>-381.87844179313424</v>
      </c>
      <c r="AV10" s="5">
        <f t="shared" si="40"/>
        <v>-381.90861365103166</v>
      </c>
      <c r="AW10" s="5">
        <f t="shared" si="40"/>
        <v>-385.0974934881246</v>
      </c>
      <c r="AX10" s="5">
        <f t="shared" ref="AX10" si="41">-AW14*0.04</f>
        <v>-388.39880233874038</v>
      </c>
      <c r="AY10" s="5">
        <f t="shared" ref="AY10" si="42">-AX14*0.04</f>
        <v>-391.72481351320187</v>
      </c>
      <c r="AZ10" s="5">
        <f t="shared" ref="AZ10" si="43">-AY14*0.04</f>
        <v>-395.07300252007195</v>
      </c>
      <c r="BA10" s="5">
        <f t="shared" ref="BA10" si="44">-AZ14*0.04</f>
        <v>-398.44329445946533</v>
      </c>
    </row>
    <row r="11" spans="2:136" s="3" customFormat="1" x14ac:dyDescent="0.3">
      <c r="B11" s="3" t="s">
        <v>15</v>
      </c>
      <c r="C11" s="4">
        <f t="shared" ref="C11:N11" si="45">C9-C10</f>
        <v>1822</v>
      </c>
      <c r="D11" s="4">
        <f t="shared" si="45"/>
        <v>1845</v>
      </c>
      <c r="E11" s="4">
        <f t="shared" si="45"/>
        <v>2873</v>
      </c>
      <c r="F11" s="4">
        <f t="shared" si="45"/>
        <v>3087</v>
      </c>
      <c r="G11" s="4">
        <f t="shared" si="45"/>
        <v>762</v>
      </c>
      <c r="H11" s="4">
        <f t="shared" si="45"/>
        <v>2053</v>
      </c>
      <c r="I11" s="4">
        <f t="shared" si="45"/>
        <v>2248</v>
      </c>
      <c r="J11" s="4">
        <f t="shared" si="45"/>
        <v>2055</v>
      </c>
      <c r="K11" s="4">
        <f t="shared" si="45"/>
        <v>798</v>
      </c>
      <c r="L11" s="4">
        <f t="shared" si="45"/>
        <v>-550</v>
      </c>
      <c r="M11" s="4">
        <f t="shared" si="45"/>
        <v>2464</v>
      </c>
      <c r="N11" s="4">
        <f t="shared" si="45"/>
        <v>2510</v>
      </c>
      <c r="O11" s="4">
        <f t="shared" ref="O11:R11" si="46">O9-O10</f>
        <v>3757</v>
      </c>
      <c r="P11" s="4">
        <f t="shared" si="46"/>
        <v>5979</v>
      </c>
      <c r="Q11" s="4">
        <f t="shared" si="46"/>
        <v>3417</v>
      </c>
      <c r="R11" s="4">
        <f t="shared" si="46"/>
        <v>2907</v>
      </c>
      <c r="S11" s="4">
        <f t="shared" ref="S11:T11" si="47">S9-S10</f>
        <v>12227</v>
      </c>
      <c r="T11" s="4">
        <f t="shared" si="47"/>
        <v>3929</v>
      </c>
      <c r="U11" s="4">
        <f t="shared" ref="U11:V11" si="48">U9-U10</f>
        <v>4100</v>
      </c>
      <c r="V11" s="4">
        <f t="shared" si="48"/>
        <v>3253</v>
      </c>
      <c r="W11" s="4">
        <f t="shared" ref="W11:Y11" si="49">W9-W10</f>
        <v>5129</v>
      </c>
      <c r="X11" s="4">
        <f t="shared" si="49"/>
        <v>4222</v>
      </c>
      <c r="Y11" s="4">
        <f t="shared" si="49"/>
        <v>4063</v>
      </c>
      <c r="Z11" s="4">
        <f t="shared" ref="Z11" si="50">Z9-Z10</f>
        <v>3682</v>
      </c>
      <c r="AA11" s="4">
        <f t="shared" ref="AA11:AH11" si="51">AA9-AA10</f>
        <v>4162</v>
      </c>
      <c r="AB11" s="4">
        <f t="shared" si="51"/>
        <v>3861</v>
      </c>
      <c r="AC11" s="4">
        <f t="shared" si="51"/>
        <v>838</v>
      </c>
      <c r="AD11" s="4">
        <f t="shared" si="51"/>
        <v>3238.88</v>
      </c>
      <c r="AE11" s="4">
        <f t="shared" si="51"/>
        <v>2601.1730000000002</v>
      </c>
      <c r="AF11" s="4">
        <f t="shared" si="51"/>
        <v>2399.5680000000002</v>
      </c>
      <c r="AG11" s="4">
        <f t="shared" si="51"/>
        <v>2507.7294000000006</v>
      </c>
      <c r="AH11" s="4">
        <f t="shared" si="51"/>
        <v>2078.938000000001</v>
      </c>
      <c r="AJ11" s="4">
        <f>AJ9-AJ10</f>
        <v>9627</v>
      </c>
      <c r="AK11" s="4">
        <f>AK9-AK10</f>
        <v>7118</v>
      </c>
      <c r="AL11" s="4">
        <f>AL9-AL10</f>
        <v>5222</v>
      </c>
      <c r="AM11" s="4">
        <f>AM9-AM10</f>
        <v>16060</v>
      </c>
      <c r="AN11" s="4">
        <f t="shared" ref="AN11:AU11" si="52">AN9-AN10</f>
        <v>23509</v>
      </c>
      <c r="AO11" s="4">
        <f t="shared" si="52"/>
        <v>17096</v>
      </c>
      <c r="AP11" s="4">
        <f t="shared" si="52"/>
        <v>10971</v>
      </c>
      <c r="AQ11" s="4">
        <f t="shared" si="52"/>
        <v>10854.7336</v>
      </c>
      <c r="AR11" s="4">
        <f t="shared" si="52"/>
        <v>12769.7531232</v>
      </c>
      <c r="AS11" s="4">
        <f t="shared" si="52"/>
        <v>13286.898261826562</v>
      </c>
      <c r="AT11" s="4">
        <f t="shared" si="52"/>
        <v>13547.85442901136</v>
      </c>
      <c r="AU11" s="4">
        <f t="shared" si="52"/>
        <v>13554.665789190018</v>
      </c>
      <c r="AV11" s="4">
        <f>AV9-AV10</f>
        <v>13671.269784281883</v>
      </c>
      <c r="AW11" s="4">
        <f>AW9-AW10</f>
        <v>13791.895144580483</v>
      </c>
      <c r="AX11" s="4">
        <f t="shared" ref="AX11:BA11" si="53">AX9-AX10</f>
        <v>13913.498156072324</v>
      </c>
      <c r="AY11" s="4">
        <f t="shared" si="53"/>
        <v>14035.993561437037</v>
      </c>
      <c r="AZ11" s="4">
        <f t="shared" si="53"/>
        <v>14159.381206589107</v>
      </c>
      <c r="BA11" s="4">
        <f t="shared" si="53"/>
        <v>14283.663284608481</v>
      </c>
    </row>
    <row r="12" spans="2:136" x14ac:dyDescent="0.3">
      <c r="B12" s="1" t="s">
        <v>16</v>
      </c>
      <c r="C12" s="5">
        <v>420</v>
      </c>
      <c r="D12" s="5">
        <v>425</v>
      </c>
      <c r="E12" s="5">
        <v>784</v>
      </c>
      <c r="F12" s="5">
        <f>2530-E12-D12-C12</f>
        <v>901</v>
      </c>
      <c r="G12" s="5">
        <v>218</v>
      </c>
      <c r="H12" s="5">
        <v>573</v>
      </c>
      <c r="I12" s="5">
        <v>702</v>
      </c>
      <c r="J12" s="5">
        <f>2140-I12-H12-G12</f>
        <v>647</v>
      </c>
      <c r="K12" s="5">
        <v>224</v>
      </c>
      <c r="L12" s="5">
        <v>-88</v>
      </c>
      <c r="M12" s="5">
        <v>649</v>
      </c>
      <c r="N12" s="5">
        <f>AL12-M12-L12-K12</f>
        <v>580</v>
      </c>
      <c r="O12" s="5">
        <v>924</v>
      </c>
      <c r="P12" s="5">
        <v>1189</v>
      </c>
      <c r="Q12" s="5">
        <v>833</v>
      </c>
      <c r="R12" s="5">
        <f>AM12-Q12-P12-O12</f>
        <v>651</v>
      </c>
      <c r="S12" s="5">
        <v>2042</v>
      </c>
      <c r="T12" s="5">
        <v>882</v>
      </c>
      <c r="U12" s="5">
        <v>925</v>
      </c>
      <c r="V12" s="5">
        <f>AN12-U12-T12-S12</f>
        <v>1078</v>
      </c>
      <c r="W12" s="5">
        <v>1467</v>
      </c>
      <c r="X12" s="5">
        <v>1264</v>
      </c>
      <c r="Y12" s="5">
        <v>1132</v>
      </c>
      <c r="Z12" s="5">
        <f>AO12-Y12-X12-W12</f>
        <v>1068</v>
      </c>
      <c r="AA12" s="5">
        <v>1211</v>
      </c>
      <c r="AB12" s="5">
        <v>1156</v>
      </c>
      <c r="AC12" s="5">
        <v>362</v>
      </c>
      <c r="AD12" s="5">
        <f>AP12-AC12-AB12-AA12</f>
        <v>564</v>
      </c>
      <c r="AE12" s="5">
        <f>AE11*0.28</f>
        <v>728.32844000000011</v>
      </c>
      <c r="AF12" s="5">
        <f t="shared" ref="AF12:AH12" si="54">AF11*0.28</f>
        <v>671.87904000000015</v>
      </c>
      <c r="AG12" s="5">
        <f t="shared" si="54"/>
        <v>702.1642320000002</v>
      </c>
      <c r="AH12" s="5">
        <f t="shared" si="54"/>
        <v>582.10264000000029</v>
      </c>
      <c r="AJ12" s="5">
        <f>SUM(C12:F12)</f>
        <v>2530</v>
      </c>
      <c r="AK12" s="5">
        <f>SUM(G12:J12)</f>
        <v>2140</v>
      </c>
      <c r="AL12" s="5">
        <v>1365</v>
      </c>
      <c r="AM12" s="5">
        <v>3597</v>
      </c>
      <c r="AN12" s="5">
        <v>4927</v>
      </c>
      <c r="AO12" s="5">
        <v>4931</v>
      </c>
      <c r="AP12" s="5">
        <v>3293</v>
      </c>
      <c r="AQ12" s="5">
        <f>SUM(AE12:AH12)</f>
        <v>2684.4743520000011</v>
      </c>
      <c r="AR12" s="5">
        <f t="shared" ref="AR12:AV12" si="55">AR11*0.28</f>
        <v>3575.5308744960003</v>
      </c>
      <c r="AS12" s="5">
        <f t="shared" si="55"/>
        <v>3720.3315133114374</v>
      </c>
      <c r="AT12" s="5">
        <f t="shared" si="55"/>
        <v>3793.3992401231812</v>
      </c>
      <c r="AU12" s="5">
        <f t="shared" si="55"/>
        <v>3795.3064209732051</v>
      </c>
      <c r="AV12" s="5">
        <f t="shared" si="55"/>
        <v>3827.9555395989278</v>
      </c>
      <c r="AW12" s="5">
        <f t="shared" ref="AW12:BA12" si="56">AW11*0.28</f>
        <v>3861.7306404825358</v>
      </c>
      <c r="AX12" s="5">
        <f t="shared" si="56"/>
        <v>3895.7794837002511</v>
      </c>
      <c r="AY12" s="5">
        <f t="shared" si="56"/>
        <v>3930.0781972023706</v>
      </c>
      <c r="AZ12" s="5">
        <f t="shared" si="56"/>
        <v>3964.6267378449502</v>
      </c>
      <c r="BA12" s="5">
        <f t="shared" si="56"/>
        <v>3999.425719690375</v>
      </c>
    </row>
    <row r="13" spans="2:136" x14ac:dyDescent="0.3">
      <c r="B13" s="1" t="s">
        <v>17</v>
      </c>
      <c r="C13" s="5">
        <f>15+29</f>
        <v>44</v>
      </c>
      <c r="D13" s="5">
        <f>15+29</f>
        <v>44</v>
      </c>
      <c r="E13" s="5">
        <f>7+25</f>
        <v>32</v>
      </c>
      <c r="F13" s="5">
        <f>90+33-E13-D13-C13</f>
        <v>3</v>
      </c>
      <c r="G13" s="5">
        <f>-44+27</f>
        <v>-17</v>
      </c>
      <c r="H13" s="5">
        <v>26</v>
      </c>
      <c r="I13" s="5">
        <v>25</v>
      </c>
      <c r="J13" s="5">
        <f>107-44-I13-H13-G13</f>
        <v>29</v>
      </c>
      <c r="K13" s="5">
        <v>20</v>
      </c>
      <c r="L13" s="5">
        <v>18</v>
      </c>
      <c r="M13" s="5">
        <v>29</v>
      </c>
      <c r="N13" s="5">
        <f>AL13-M13-L13-K13</f>
        <v>15</v>
      </c>
      <c r="O13" s="5">
        <v>22</v>
      </c>
      <c r="P13" s="5">
        <v>21</v>
      </c>
      <c r="Q13" s="5">
        <v>20</v>
      </c>
      <c r="R13" s="5">
        <f>AM13-Q13-P13-O13</f>
        <v>18</v>
      </c>
      <c r="S13" s="5">
        <v>44</v>
      </c>
      <c r="T13" s="5">
        <v>207</v>
      </c>
      <c r="U13" s="5">
        <v>394</v>
      </c>
      <c r="V13" s="5">
        <f>AN13-U13-T13-S13</f>
        <v>-4</v>
      </c>
      <c r="W13" s="5">
        <v>242</v>
      </c>
      <c r="X13" s="5">
        <v>153</v>
      </c>
      <c r="Y13" s="5">
        <v>254</v>
      </c>
      <c r="Z13" s="5">
        <f>AO13-Y13-X13-W13</f>
        <v>226</v>
      </c>
      <c r="AA13" s="5">
        <v>160</v>
      </c>
      <c r="AB13" s="5">
        <v>92</v>
      </c>
      <c r="AC13" s="5">
        <v>87</v>
      </c>
      <c r="AD13" s="5">
        <f>AP13-AC13-AB13-AA13</f>
        <v>49</v>
      </c>
      <c r="AE13" s="5">
        <f>AE11*0.02</f>
        <v>52.023460000000007</v>
      </c>
      <c r="AF13" s="5">
        <f t="shared" ref="AF13:AH13" si="57">AF11*0.02</f>
        <v>47.991360000000007</v>
      </c>
      <c r="AG13" s="5">
        <f t="shared" si="57"/>
        <v>50.154588000000011</v>
      </c>
      <c r="AH13" s="5">
        <f t="shared" si="57"/>
        <v>41.578760000000024</v>
      </c>
      <c r="AJ13" s="5">
        <f>SUM(C13:F13)</f>
        <v>123</v>
      </c>
      <c r="AK13" s="5">
        <f>SUM(G13:J13)</f>
        <v>63</v>
      </c>
      <c r="AL13" s="5">
        <v>82</v>
      </c>
      <c r="AM13" s="5">
        <v>81</v>
      </c>
      <c r="AN13" s="5">
        <v>641</v>
      </c>
      <c r="AO13" s="5">
        <v>875</v>
      </c>
      <c r="AP13" s="5">
        <v>388</v>
      </c>
      <c r="AQ13" s="5">
        <f>SUM(AE13:AH13)</f>
        <v>191.74816800000005</v>
      </c>
      <c r="AR13" s="5">
        <f t="shared" ref="AR13" si="58">AQ13*1.03</f>
        <v>197.50061304000005</v>
      </c>
      <c r="AS13" s="5">
        <f t="shared" ref="AS13" si="59">AR13*1.03</f>
        <v>203.42563143120006</v>
      </c>
      <c r="AT13" s="5">
        <f>AS13*1.02</f>
        <v>207.49414405982407</v>
      </c>
      <c r="AU13" s="5">
        <f t="shared" ref="AU13:AW13" si="60">AT13*1.02</f>
        <v>211.64402694102054</v>
      </c>
      <c r="AV13" s="5">
        <f t="shared" si="60"/>
        <v>215.87690747984095</v>
      </c>
      <c r="AW13" s="5">
        <f t="shared" si="60"/>
        <v>220.19444562943778</v>
      </c>
      <c r="AX13" s="5">
        <f t="shared" ref="AX13" si="61">AW13*1.02</f>
        <v>224.59833454202655</v>
      </c>
      <c r="AY13" s="5">
        <f t="shared" ref="AY13" si="62">AX13*1.02</f>
        <v>229.09030123286709</v>
      </c>
      <c r="AZ13" s="5">
        <f t="shared" ref="AZ13" si="63">AY13*1.02</f>
        <v>233.67210725752443</v>
      </c>
      <c r="BA13" s="5">
        <f t="shared" ref="BA13" si="64">AZ13*1.02</f>
        <v>238.34554940267492</v>
      </c>
    </row>
    <row r="14" spans="2:136" s="3" customFormat="1" x14ac:dyDescent="0.3">
      <c r="B14" s="3" t="s">
        <v>18</v>
      </c>
      <c r="C14" s="4">
        <f t="shared" ref="C14:N14" si="65">C11-C12-C13</f>
        <v>1358</v>
      </c>
      <c r="D14" s="4">
        <f t="shared" si="65"/>
        <v>1376</v>
      </c>
      <c r="E14" s="4">
        <f t="shared" si="65"/>
        <v>2057</v>
      </c>
      <c r="F14" s="4">
        <f t="shared" si="65"/>
        <v>2183</v>
      </c>
      <c r="G14" s="4">
        <f t="shared" si="65"/>
        <v>561</v>
      </c>
      <c r="H14" s="4">
        <f t="shared" si="65"/>
        <v>1454</v>
      </c>
      <c r="I14" s="4">
        <f t="shared" si="65"/>
        <v>1521</v>
      </c>
      <c r="J14" s="4">
        <f t="shared" si="65"/>
        <v>1379</v>
      </c>
      <c r="K14" s="4">
        <f t="shared" si="65"/>
        <v>554</v>
      </c>
      <c r="L14" s="4">
        <f t="shared" si="65"/>
        <v>-480</v>
      </c>
      <c r="M14" s="4">
        <f t="shared" si="65"/>
        <v>1786</v>
      </c>
      <c r="N14" s="4">
        <f t="shared" si="65"/>
        <v>1915</v>
      </c>
      <c r="O14" s="4">
        <f t="shared" ref="O14:R14" si="66">O11-O12-O13</f>
        <v>2811</v>
      </c>
      <c r="P14" s="4">
        <f t="shared" si="66"/>
        <v>4769</v>
      </c>
      <c r="Q14" s="4">
        <f t="shared" si="66"/>
        <v>2564</v>
      </c>
      <c r="R14" s="4">
        <f t="shared" si="66"/>
        <v>2238</v>
      </c>
      <c r="S14" s="4">
        <f t="shared" ref="S14:T14" si="67">S11-S12-S13</f>
        <v>10141</v>
      </c>
      <c r="T14" s="4">
        <f t="shared" si="67"/>
        <v>2840</v>
      </c>
      <c r="U14" s="4">
        <f t="shared" ref="U14:V14" si="68">U11-U12-U13</f>
        <v>2781</v>
      </c>
      <c r="V14" s="4">
        <f t="shared" si="68"/>
        <v>2179</v>
      </c>
      <c r="W14" s="4">
        <f t="shared" ref="W14:Y14" si="69">W11-W12-W13</f>
        <v>3420</v>
      </c>
      <c r="X14" s="4">
        <f t="shared" si="69"/>
        <v>2805</v>
      </c>
      <c r="Y14" s="4">
        <f t="shared" si="69"/>
        <v>2677</v>
      </c>
      <c r="Z14" s="4">
        <f t="shared" ref="Z14" si="70">Z11-Z12-Z13</f>
        <v>2388</v>
      </c>
      <c r="AA14" s="4">
        <f t="shared" ref="AA14:AD14" si="71">AA11-AA12-AA13</f>
        <v>2791</v>
      </c>
      <c r="AB14" s="4">
        <f t="shared" si="71"/>
        <v>2613</v>
      </c>
      <c r="AC14" s="4">
        <f t="shared" si="71"/>
        <v>389</v>
      </c>
      <c r="AD14" s="4">
        <f t="shared" si="71"/>
        <v>2625.88</v>
      </c>
      <c r="AE14" s="4">
        <f t="shared" ref="AE14:AH14" si="72">AE11-AE12-AE13</f>
        <v>1820.8210999999999</v>
      </c>
      <c r="AF14" s="4">
        <f t="shared" si="72"/>
        <v>1679.6976</v>
      </c>
      <c r="AG14" s="4">
        <f t="shared" si="72"/>
        <v>1755.4105800000004</v>
      </c>
      <c r="AH14" s="4">
        <f t="shared" si="72"/>
        <v>1455.2566000000006</v>
      </c>
      <c r="AJ14" s="4">
        <f>AJ11-AJ12-AJ13</f>
        <v>6974</v>
      </c>
      <c r="AK14" s="4">
        <f>AK11-AK12-AK13</f>
        <v>4915</v>
      </c>
      <c r="AL14" s="4">
        <f>AL11-AL12-AL13</f>
        <v>3775</v>
      </c>
      <c r="AM14" s="4">
        <f>AM11-AM12-AM13</f>
        <v>12382</v>
      </c>
      <c r="AN14" s="4">
        <f t="shared" ref="AN14:AV14" si="73">AN11-AN12-AN13</f>
        <v>17941</v>
      </c>
      <c r="AO14" s="4">
        <f t="shared" si="73"/>
        <v>11290</v>
      </c>
      <c r="AP14" s="4">
        <f t="shared" si="73"/>
        <v>7290</v>
      </c>
      <c r="AQ14" s="4">
        <f t="shared" si="73"/>
        <v>7978.5110799999984</v>
      </c>
      <c r="AR14" s="4">
        <f t="shared" si="73"/>
        <v>8996.7216356640001</v>
      </c>
      <c r="AS14" s="4">
        <f t="shared" si="73"/>
        <v>9363.1411170839237</v>
      </c>
      <c r="AT14" s="4">
        <f t="shared" si="73"/>
        <v>9546.9610448283565</v>
      </c>
      <c r="AU14" s="4">
        <f t="shared" si="73"/>
        <v>9547.7153412757907</v>
      </c>
      <c r="AV14" s="4">
        <f t="shared" si="73"/>
        <v>9627.437337203115</v>
      </c>
      <c r="AW14" s="4">
        <f t="shared" ref="AW14:BA14" si="74">AW11-AW12-AW13</f>
        <v>9709.9700584685088</v>
      </c>
      <c r="AX14" s="4">
        <f t="shared" si="74"/>
        <v>9793.120337830047</v>
      </c>
      <c r="AY14" s="4">
        <f t="shared" si="74"/>
        <v>9876.8250630017992</v>
      </c>
      <c r="AZ14" s="4">
        <f t="shared" si="74"/>
        <v>9961.0823614866331</v>
      </c>
      <c r="BA14" s="4">
        <f t="shared" si="74"/>
        <v>10045.892015515432</v>
      </c>
      <c r="BB14" s="3">
        <f>BA14*(1+$BD$20)</f>
        <v>9945.4330953602766</v>
      </c>
      <c r="BC14" s="3">
        <f t="shared" ref="BC14:DN14" si="75">BB14*(1+$BD$20)</f>
        <v>9845.9787644066746</v>
      </c>
      <c r="BD14" s="3">
        <f t="shared" si="75"/>
        <v>9747.5189767626071</v>
      </c>
      <c r="BE14" s="3">
        <f t="shared" si="75"/>
        <v>9650.0437869949801</v>
      </c>
      <c r="BF14" s="3">
        <f t="shared" si="75"/>
        <v>9553.5433491250296</v>
      </c>
      <c r="BG14" s="3">
        <f t="shared" si="75"/>
        <v>9458.0079156337797</v>
      </c>
      <c r="BH14" s="3">
        <f t="shared" si="75"/>
        <v>9363.4278364774418</v>
      </c>
      <c r="BI14" s="3">
        <f t="shared" si="75"/>
        <v>9269.7935581126676</v>
      </c>
      <c r="BJ14" s="3">
        <f t="shared" si="75"/>
        <v>9177.0956225315404</v>
      </c>
      <c r="BK14" s="3">
        <f t="shared" si="75"/>
        <v>9085.3246663062255</v>
      </c>
      <c r="BL14" s="3">
        <f t="shared" si="75"/>
        <v>8994.4714196431632</v>
      </c>
      <c r="BM14" s="3">
        <f t="shared" si="75"/>
        <v>8904.5267054467313</v>
      </c>
      <c r="BN14" s="3">
        <f t="shared" si="75"/>
        <v>8815.481438392264</v>
      </c>
      <c r="BO14" s="3">
        <f t="shared" si="75"/>
        <v>8727.3266240083412</v>
      </c>
      <c r="BP14" s="3">
        <f t="shared" si="75"/>
        <v>8640.0533577682581</v>
      </c>
      <c r="BQ14" s="3">
        <f t="shared" si="75"/>
        <v>8553.6528241905762</v>
      </c>
      <c r="BR14" s="3">
        <f t="shared" si="75"/>
        <v>8468.1162959486701</v>
      </c>
      <c r="BS14" s="3">
        <f t="shared" si="75"/>
        <v>8383.4351329891833</v>
      </c>
      <c r="BT14" s="3">
        <f t="shared" si="75"/>
        <v>8299.6007816592919</v>
      </c>
      <c r="BU14" s="3">
        <f t="shared" si="75"/>
        <v>8216.6047738426987</v>
      </c>
      <c r="BV14" s="3">
        <f t="shared" si="75"/>
        <v>8134.4387261042721</v>
      </c>
      <c r="BW14" s="3">
        <f t="shared" si="75"/>
        <v>8053.0943388432297</v>
      </c>
      <c r="BX14" s="3">
        <f t="shared" si="75"/>
        <v>7972.5633954547975</v>
      </c>
      <c r="BY14" s="3">
        <f t="shared" si="75"/>
        <v>7892.8377615002491</v>
      </c>
      <c r="BZ14" s="3">
        <f t="shared" si="75"/>
        <v>7813.9093838852468</v>
      </c>
      <c r="CA14" s="3">
        <f t="shared" si="75"/>
        <v>7735.7702900463946</v>
      </c>
      <c r="CB14" s="3">
        <f t="shared" si="75"/>
        <v>7658.412587145931</v>
      </c>
      <c r="CC14" s="3">
        <f t="shared" si="75"/>
        <v>7581.8284612744719</v>
      </c>
      <c r="CD14" s="3">
        <f t="shared" si="75"/>
        <v>7506.0101766617272</v>
      </c>
      <c r="CE14" s="3">
        <f t="shared" si="75"/>
        <v>7430.9500748951095</v>
      </c>
      <c r="CF14" s="3">
        <f t="shared" si="75"/>
        <v>7356.6405741461585</v>
      </c>
      <c r="CG14" s="3">
        <f t="shared" si="75"/>
        <v>7283.074168404697</v>
      </c>
      <c r="CH14" s="3">
        <f t="shared" si="75"/>
        <v>7210.2434267206499</v>
      </c>
      <c r="CI14" s="3">
        <f t="shared" si="75"/>
        <v>7138.1409924534437</v>
      </c>
      <c r="CJ14" s="3">
        <f t="shared" si="75"/>
        <v>7066.759582528909</v>
      </c>
      <c r="CK14" s="3">
        <f t="shared" si="75"/>
        <v>6996.09198670362</v>
      </c>
      <c r="CL14" s="3">
        <f t="shared" si="75"/>
        <v>6926.1310668365841</v>
      </c>
      <c r="CM14" s="3">
        <f t="shared" si="75"/>
        <v>6856.8697561682184</v>
      </c>
      <c r="CN14" s="3">
        <f t="shared" si="75"/>
        <v>6788.3010586065366</v>
      </c>
      <c r="CO14" s="3">
        <f t="shared" si="75"/>
        <v>6720.4180480204714</v>
      </c>
      <c r="CP14" s="3">
        <f t="shared" si="75"/>
        <v>6653.2138675402666</v>
      </c>
      <c r="CQ14" s="3">
        <f t="shared" si="75"/>
        <v>6586.6817288648635</v>
      </c>
      <c r="CR14" s="3">
        <f t="shared" si="75"/>
        <v>6520.8149115762144</v>
      </c>
      <c r="CS14" s="3">
        <f t="shared" si="75"/>
        <v>6455.606762460452</v>
      </c>
      <c r="CT14" s="3">
        <f t="shared" si="75"/>
        <v>6391.050694835847</v>
      </c>
      <c r="CU14" s="3">
        <f t="shared" si="75"/>
        <v>6327.1401878874885</v>
      </c>
      <c r="CV14" s="3">
        <f t="shared" si="75"/>
        <v>6263.8687860086138</v>
      </c>
      <c r="CW14" s="3">
        <f t="shared" si="75"/>
        <v>6201.2300981485278</v>
      </c>
      <c r="CX14" s="3">
        <f t="shared" si="75"/>
        <v>6139.2177971670426</v>
      </c>
      <c r="CY14" s="3">
        <f t="shared" si="75"/>
        <v>6077.8256191953724</v>
      </c>
      <c r="CZ14" s="3">
        <f t="shared" si="75"/>
        <v>6017.0473630034185</v>
      </c>
      <c r="DA14" s="3">
        <f t="shared" si="75"/>
        <v>5956.8768893733841</v>
      </c>
      <c r="DB14" s="3">
        <f t="shared" si="75"/>
        <v>5897.3081204796499</v>
      </c>
      <c r="DC14" s="3">
        <f t="shared" si="75"/>
        <v>5838.3350392748534</v>
      </c>
      <c r="DD14" s="3">
        <f t="shared" si="75"/>
        <v>5779.9516888821045</v>
      </c>
      <c r="DE14" s="3">
        <f t="shared" si="75"/>
        <v>5722.1521719932834</v>
      </c>
      <c r="DF14" s="3">
        <f t="shared" si="75"/>
        <v>5664.9306502733507</v>
      </c>
      <c r="DG14" s="3">
        <f t="shared" si="75"/>
        <v>5608.2813437706172</v>
      </c>
      <c r="DH14" s="3">
        <f t="shared" si="75"/>
        <v>5552.1985303329111</v>
      </c>
      <c r="DI14" s="3">
        <f t="shared" si="75"/>
        <v>5496.6765450295816</v>
      </c>
      <c r="DJ14" s="3">
        <f t="shared" si="75"/>
        <v>5441.7097795792861</v>
      </c>
      <c r="DK14" s="3">
        <f t="shared" si="75"/>
        <v>5387.2926817834932</v>
      </c>
      <c r="DL14" s="3">
        <f t="shared" si="75"/>
        <v>5333.4197549656583</v>
      </c>
      <c r="DM14" s="3">
        <f t="shared" si="75"/>
        <v>5280.0855574160014</v>
      </c>
      <c r="DN14" s="3">
        <f t="shared" si="75"/>
        <v>5227.2847018418415</v>
      </c>
      <c r="DO14" s="3">
        <f t="shared" ref="DO14:EF14" si="76">DN14*(1+$BD$20)</f>
        <v>5175.0118548234232</v>
      </c>
      <c r="DP14" s="3">
        <f t="shared" si="76"/>
        <v>5123.2617362751889</v>
      </c>
      <c r="DQ14" s="3">
        <f t="shared" si="76"/>
        <v>5072.0291189124373</v>
      </c>
      <c r="DR14" s="3">
        <f t="shared" si="76"/>
        <v>5021.3088277233128</v>
      </c>
      <c r="DS14" s="3">
        <f t="shared" si="76"/>
        <v>4971.0957394460793</v>
      </c>
      <c r="DT14" s="3">
        <f t="shared" si="76"/>
        <v>4921.3847820516185</v>
      </c>
      <c r="DU14" s="3">
        <f t="shared" si="76"/>
        <v>4872.1709342311024</v>
      </c>
      <c r="DV14" s="3">
        <f t="shared" si="76"/>
        <v>4823.4492248887909</v>
      </c>
      <c r="DW14" s="3">
        <f t="shared" si="76"/>
        <v>4775.2147326399026</v>
      </c>
      <c r="DX14" s="3">
        <f t="shared" si="76"/>
        <v>4727.462585313504</v>
      </c>
      <c r="DY14" s="3">
        <f t="shared" si="76"/>
        <v>4680.1879594603688</v>
      </c>
      <c r="DZ14" s="3">
        <f t="shared" si="76"/>
        <v>4633.3860798657652</v>
      </c>
      <c r="EA14" s="3">
        <f t="shared" si="76"/>
        <v>4587.0522190671072</v>
      </c>
      <c r="EB14" s="3">
        <f t="shared" si="76"/>
        <v>4541.181696876436</v>
      </c>
      <c r="EC14" s="3">
        <f t="shared" si="76"/>
        <v>4495.7698799076716</v>
      </c>
      <c r="ED14" s="3">
        <f t="shared" si="76"/>
        <v>4450.8121811085948</v>
      </c>
      <c r="EE14" s="3">
        <f t="shared" si="76"/>
        <v>4406.3040592975085</v>
      </c>
      <c r="EF14" s="3">
        <f t="shared" si="76"/>
        <v>4362.2410187045334</v>
      </c>
    </row>
    <row r="15" spans="2:136" x14ac:dyDescent="0.3">
      <c r="B15" s="1" t="s">
        <v>19</v>
      </c>
      <c r="C15" s="5">
        <v>659</v>
      </c>
      <c r="D15" s="5">
        <v>659</v>
      </c>
      <c r="E15" s="5">
        <v>659</v>
      </c>
      <c r="F15" s="5">
        <v>659</v>
      </c>
      <c r="G15" s="5">
        <v>659</v>
      </c>
      <c r="H15" s="5">
        <v>659</v>
      </c>
      <c r="I15" s="5">
        <v>659</v>
      </c>
      <c r="J15" s="5">
        <v>659</v>
      </c>
      <c r="K15" s="5">
        <v>659</v>
      </c>
      <c r="L15" s="5">
        <v>659</v>
      </c>
      <c r="M15" s="5">
        <v>659</v>
      </c>
      <c r="N15" s="5">
        <v>659</v>
      </c>
      <c r="O15" s="5">
        <v>659</v>
      </c>
      <c r="P15" s="5">
        <v>659</v>
      </c>
      <c r="Q15" s="5">
        <v>659</v>
      </c>
      <c r="R15" s="5">
        <v>659</v>
      </c>
      <c r="S15" s="5">
        <v>659</v>
      </c>
      <c r="T15" s="5">
        <v>659</v>
      </c>
      <c r="U15" s="5">
        <v>659</v>
      </c>
      <c r="V15" s="5">
        <v>659</v>
      </c>
      <c r="W15" s="5">
        <v>659</v>
      </c>
      <c r="X15" s="5">
        <v>659</v>
      </c>
      <c r="Y15" s="5">
        <v>659</v>
      </c>
      <c r="Z15" s="5">
        <v>659</v>
      </c>
      <c r="AA15" s="5">
        <v>632.6</v>
      </c>
      <c r="AB15" s="5">
        <v>632.6</v>
      </c>
      <c r="AC15" s="5">
        <v>632.6</v>
      </c>
      <c r="AD15" s="5">
        <f>566.4+55.8</f>
        <v>622.19999999999993</v>
      </c>
      <c r="AE15" s="5">
        <f t="shared" ref="AE15:AH15" si="77">566.4+55.8</f>
        <v>622.19999999999993</v>
      </c>
      <c r="AF15" s="5">
        <f t="shared" si="77"/>
        <v>622.19999999999993</v>
      </c>
      <c r="AG15" s="5">
        <f t="shared" si="77"/>
        <v>622.19999999999993</v>
      </c>
      <c r="AH15" s="5">
        <f t="shared" si="77"/>
        <v>622.19999999999993</v>
      </c>
      <c r="AJ15" s="5">
        <v>659</v>
      </c>
      <c r="AK15" s="5">
        <v>659</v>
      </c>
      <c r="AL15" s="5">
        <v>659</v>
      </c>
      <c r="AM15" s="5">
        <v>659</v>
      </c>
      <c r="AN15" s="5">
        <v>659</v>
      </c>
      <c r="AO15" s="5">
        <v>659</v>
      </c>
      <c r="AP15" s="5">
        <f t="shared" ref="AP15:BA15" si="78">566.4+55.8</f>
        <v>622.19999999999993</v>
      </c>
      <c r="AQ15" s="5">
        <f t="shared" si="78"/>
        <v>622.19999999999993</v>
      </c>
      <c r="AR15" s="5">
        <f t="shared" si="78"/>
        <v>622.19999999999993</v>
      </c>
      <c r="AS15" s="5">
        <f t="shared" si="78"/>
        <v>622.19999999999993</v>
      </c>
      <c r="AT15" s="5">
        <f t="shared" si="78"/>
        <v>622.19999999999993</v>
      </c>
      <c r="AU15" s="5">
        <f t="shared" si="78"/>
        <v>622.19999999999993</v>
      </c>
      <c r="AV15" s="5">
        <f t="shared" si="78"/>
        <v>622.19999999999993</v>
      </c>
      <c r="AW15" s="5">
        <f t="shared" si="78"/>
        <v>622.19999999999993</v>
      </c>
      <c r="AX15" s="5">
        <f t="shared" si="78"/>
        <v>622.19999999999993</v>
      </c>
      <c r="AY15" s="5">
        <f t="shared" si="78"/>
        <v>622.19999999999993</v>
      </c>
      <c r="AZ15" s="5">
        <f t="shared" si="78"/>
        <v>622.19999999999993</v>
      </c>
      <c r="BA15" s="5">
        <f t="shared" si="78"/>
        <v>622.19999999999993</v>
      </c>
    </row>
    <row r="16" spans="2:136" s="3" customFormat="1" x14ac:dyDescent="0.3">
      <c r="B16" s="3" t="s">
        <v>20</v>
      </c>
      <c r="C16" s="6">
        <f t="shared" ref="C16:N16" si="79">C14/C15</f>
        <v>2.0606980273141122</v>
      </c>
      <c r="D16" s="6">
        <f t="shared" si="79"/>
        <v>2.0880121396054627</v>
      </c>
      <c r="E16" s="6">
        <f t="shared" si="79"/>
        <v>3.1213960546282244</v>
      </c>
      <c r="F16" s="6">
        <f t="shared" si="79"/>
        <v>3.3125948406676784</v>
      </c>
      <c r="G16" s="6">
        <f t="shared" si="79"/>
        <v>0.85128983308042494</v>
      </c>
      <c r="H16" s="6">
        <f t="shared" si="79"/>
        <v>2.206373292867982</v>
      </c>
      <c r="I16" s="6">
        <f t="shared" si="79"/>
        <v>2.3080424886191198</v>
      </c>
      <c r="J16" s="6">
        <f t="shared" si="79"/>
        <v>2.0925644916540214</v>
      </c>
      <c r="K16" s="6">
        <f t="shared" si="79"/>
        <v>0.84066767830045519</v>
      </c>
      <c r="L16" s="6">
        <f t="shared" si="79"/>
        <v>-0.72837632776934746</v>
      </c>
      <c r="M16" s="6">
        <f t="shared" si="79"/>
        <v>2.7101669195751139</v>
      </c>
      <c r="N16" s="6">
        <f t="shared" si="79"/>
        <v>2.9059180576631261</v>
      </c>
      <c r="O16" s="6">
        <f t="shared" ref="O16:R16" si="80">O14/O15</f>
        <v>4.2655538694992412</v>
      </c>
      <c r="P16" s="6">
        <f t="shared" si="80"/>
        <v>7.2367223065250377</v>
      </c>
      <c r="Q16" s="6">
        <f t="shared" si="80"/>
        <v>3.890743550834598</v>
      </c>
      <c r="R16" s="6">
        <f t="shared" si="80"/>
        <v>3.3960546282245825</v>
      </c>
      <c r="S16" s="6">
        <f t="shared" ref="S16:T16" si="81">S14/S15</f>
        <v>15.388467374810318</v>
      </c>
      <c r="T16" s="6">
        <f t="shared" si="81"/>
        <v>4.3095599393019723</v>
      </c>
      <c r="U16" s="6">
        <f t="shared" ref="U16:V16" si="82">U14/U15</f>
        <v>4.2200303490136575</v>
      </c>
      <c r="V16" s="6">
        <f t="shared" si="82"/>
        <v>3.3065250379362672</v>
      </c>
      <c r="W16" s="6">
        <f t="shared" ref="W16:Y16" si="83">W14/W15</f>
        <v>5.1896813353566005</v>
      </c>
      <c r="X16" s="6">
        <f t="shared" si="83"/>
        <v>4.2564491654021248</v>
      </c>
      <c r="Y16" s="6">
        <f t="shared" si="83"/>
        <v>4.0622154779969648</v>
      </c>
      <c r="Z16" s="6">
        <f t="shared" ref="Z16" si="84">Z14/Z15</f>
        <v>3.6236722306525038</v>
      </c>
      <c r="AA16" s="6">
        <f t="shared" ref="AA16:AD16" si="85">AA14/AA15</f>
        <v>4.4119506797344288</v>
      </c>
      <c r="AB16" s="6">
        <f t="shared" si="85"/>
        <v>4.130572241542839</v>
      </c>
      <c r="AC16" s="6">
        <f t="shared" si="85"/>
        <v>0.61492254189061013</v>
      </c>
      <c r="AD16" s="6">
        <f t="shared" si="85"/>
        <v>4.2203150112504026</v>
      </c>
      <c r="AE16" s="6">
        <f t="shared" ref="AE16:AH16" si="86">AE14/AE15</f>
        <v>2.9264241401478626</v>
      </c>
      <c r="AF16" s="6">
        <f t="shared" si="86"/>
        <v>2.6996104146576667</v>
      </c>
      <c r="AG16" s="6">
        <f t="shared" si="86"/>
        <v>2.8212963355834146</v>
      </c>
      <c r="AH16" s="6">
        <f t="shared" si="86"/>
        <v>2.3388887817422064</v>
      </c>
      <c r="AJ16" s="6">
        <f>AJ14/AJ15</f>
        <v>10.582701062215477</v>
      </c>
      <c r="AK16" s="6">
        <f>AK14/AK15</f>
        <v>7.4582701062215477</v>
      </c>
      <c r="AL16" s="6">
        <f>AL14/AL15</f>
        <v>5.7283763277693476</v>
      </c>
      <c r="AM16" s="6">
        <f t="shared" ref="AM16:AU16" si="87">AM14/AM15</f>
        <v>18.789074355083461</v>
      </c>
      <c r="AN16" s="6">
        <f t="shared" si="87"/>
        <v>27.224582701062214</v>
      </c>
      <c r="AO16" s="6">
        <f t="shared" si="87"/>
        <v>17.132018209408194</v>
      </c>
      <c r="AP16" s="6">
        <f t="shared" si="87"/>
        <v>11.716489874638381</v>
      </c>
      <c r="AQ16" s="6">
        <f t="shared" si="87"/>
        <v>12.823065059466408</v>
      </c>
      <c r="AR16" s="6">
        <f t="shared" si="87"/>
        <v>14.459533326364514</v>
      </c>
      <c r="AS16" s="6">
        <f t="shared" si="87"/>
        <v>15.048442811128133</v>
      </c>
      <c r="AT16" s="6">
        <f t="shared" si="87"/>
        <v>15.343878246268655</v>
      </c>
      <c r="AU16" s="6">
        <f t="shared" si="87"/>
        <v>15.345090551712941</v>
      </c>
      <c r="AV16" s="6">
        <f>AV14/AV15</f>
        <v>15.473219764068011</v>
      </c>
      <c r="AW16" s="6">
        <f>AW14/AW15</f>
        <v>15.605866374909208</v>
      </c>
      <c r="AX16" s="6">
        <f t="shared" ref="AX16:BA16" si="88">AX14/AX15</f>
        <v>15.739505525281338</v>
      </c>
      <c r="AY16" s="6">
        <f t="shared" si="88"/>
        <v>15.874035781102219</v>
      </c>
      <c r="AZ16" s="6">
        <f t="shared" si="88"/>
        <v>16.009454132893978</v>
      </c>
      <c r="BA16" s="6">
        <f t="shared" si="88"/>
        <v>16.145760230658041</v>
      </c>
    </row>
    <row r="18" spans="2:56" x14ac:dyDescent="0.3">
      <c r="B18" s="3" t="s">
        <v>28</v>
      </c>
      <c r="C18" s="7"/>
      <c r="D18" s="7"/>
      <c r="E18" s="7"/>
      <c r="F18" s="7"/>
      <c r="G18" s="8">
        <f t="shared" ref="G18:O18" si="89">G3/C3-1</f>
        <v>-9.1159215051588083E-2</v>
      </c>
      <c r="H18" s="8">
        <f t="shared" si="89"/>
        <v>3.9283837853130166E-2</v>
      </c>
      <c r="I18" s="8">
        <f t="shared" si="89"/>
        <v>6.5699556408104653E-2</v>
      </c>
      <c r="J18" s="8">
        <f t="shared" si="89"/>
        <v>0.31250558684187002</v>
      </c>
      <c r="K18" s="8">
        <f t="shared" si="89"/>
        <v>3.5170510194995952E-2</v>
      </c>
      <c r="L18" s="8">
        <f t="shared" si="89"/>
        <v>-0.22329379739451682</v>
      </c>
      <c r="M18" s="8">
        <f t="shared" si="89"/>
        <v>-1.439982000224993E-2</v>
      </c>
      <c r="N18" s="8">
        <f t="shared" si="89"/>
        <v>3.9501464278417497E-3</v>
      </c>
      <c r="O18" s="8">
        <f t="shared" si="89"/>
        <v>0.15164286943058669</v>
      </c>
      <c r="P18" s="8">
        <f t="shared" ref="P18:R18" si="90">P3/L3-1</f>
        <v>0.43103189305562517</v>
      </c>
      <c r="Q18" s="8">
        <f t="shared" si="90"/>
        <v>4.5200319598219352E-2</v>
      </c>
      <c r="R18" s="8">
        <f t="shared" si="90"/>
        <v>-3.642900753001832E-2</v>
      </c>
      <c r="S18" s="8">
        <f t="shared" ref="S18" si="91">S3/O3-1</f>
        <v>0.16296960191201726</v>
      </c>
      <c r="T18" s="8">
        <f t="shared" ref="T18" si="92">T3/P3-1</f>
        <v>0.21649989503883571</v>
      </c>
      <c r="U18" s="8">
        <f t="shared" ref="U18" si="93">U3/Q3-1</f>
        <v>0.35328164245932081</v>
      </c>
      <c r="V18" s="8">
        <f t="shared" ref="V18" si="94">V3/R3-1</f>
        <v>0.39122782314840898</v>
      </c>
      <c r="W18" s="8">
        <f t="shared" ref="W18" si="95">W3/S3-1</f>
        <v>0.18338578126003457</v>
      </c>
      <c r="X18" s="8">
        <f t="shared" ref="X18" si="96">X3/T3-1</f>
        <v>7.0434282427380035E-2</v>
      </c>
      <c r="Y18" s="8">
        <f t="shared" ref="Y18" si="97">Y3/U3-1</f>
        <v>3.4484613729287794E-2</v>
      </c>
      <c r="Z18" s="8">
        <f t="shared" ref="Z18" si="98">Z3/V3-1</f>
        <v>8.719194372754413E-2</v>
      </c>
      <c r="AA18" s="8">
        <f t="shared" ref="AA18" si="99">AA3/W3-1</f>
        <v>-6.4852250834396274E-3</v>
      </c>
      <c r="AB18" s="8">
        <f t="shared" ref="AB18" si="100">AB3/X3-1</f>
        <v>-7.3886993202396667E-3</v>
      </c>
      <c r="AC18" s="8">
        <f t="shared" ref="AC18" si="101">AC3/Y3-1</f>
        <v>-0.15736647771594992</v>
      </c>
      <c r="AD18" s="8">
        <f t="shared" ref="AD18" si="102">AD3/Z3-1</f>
        <v>-0.15248557065723334</v>
      </c>
      <c r="AE18" s="8">
        <f t="shared" ref="AE18" si="103">AE3/AA3-1</f>
        <v>-0.15000000000000002</v>
      </c>
      <c r="AF18" s="8">
        <f t="shared" ref="AF18" si="104">AF3/AB3-1</f>
        <v>-0.15000000000000002</v>
      </c>
      <c r="AG18" s="8">
        <f t="shared" ref="AG18" si="105">AG3/AC3-1</f>
        <v>-3.0000000000000027E-2</v>
      </c>
      <c r="AH18" s="8">
        <f t="shared" ref="AH18" si="106">AH3/AD3-1</f>
        <v>-9.9999999999999978E-2</v>
      </c>
      <c r="AJ18" s="8"/>
      <c r="AK18" s="8">
        <f t="shared" ref="AK18:AW18" si="107">AK3/AJ3-1</f>
        <v>7.5938258221052157E-2</v>
      </c>
      <c r="AL18" s="8">
        <f t="shared" si="107"/>
        <v>-5.0091162076576157E-2</v>
      </c>
      <c r="AM18" s="8">
        <f t="shared" si="107"/>
        <v>0.12373977169411043</v>
      </c>
      <c r="AN18" s="8">
        <f t="shared" si="107"/>
        <v>0.28201440142396095</v>
      </c>
      <c r="AO18" s="8">
        <f t="shared" si="107"/>
        <v>9.0372344155388751E-2</v>
      </c>
      <c r="AP18" s="8">
        <f t="shared" si="107"/>
        <v>-8.4361213649050137E-2</v>
      </c>
      <c r="AQ18" s="8">
        <f t="shared" si="107"/>
        <v>-0.10989942407641529</v>
      </c>
      <c r="AR18" s="8">
        <f t="shared" si="107"/>
        <v>5.0000000000000044E-2</v>
      </c>
      <c r="AS18" s="8">
        <f t="shared" si="107"/>
        <v>3.0000000000000027E-2</v>
      </c>
      <c r="AT18" s="8">
        <f t="shared" si="107"/>
        <v>2.0000000000000018E-2</v>
      </c>
      <c r="AU18" s="8">
        <f t="shared" si="107"/>
        <v>1.0000000000000009E-2</v>
      </c>
      <c r="AV18" s="8">
        <f t="shared" si="107"/>
        <v>1.0000000000000009E-2</v>
      </c>
      <c r="AW18" s="8">
        <f t="shared" si="107"/>
        <v>1.0000000000000009E-2</v>
      </c>
      <c r="AX18" s="8">
        <f t="shared" ref="AX18" si="108">AX3/AW3-1</f>
        <v>1.0000000000000009E-2</v>
      </c>
      <c r="AY18" s="8">
        <f t="shared" ref="AY18" si="109">AY3/AX3-1</f>
        <v>1.0000000000000009E-2</v>
      </c>
      <c r="AZ18" s="8">
        <f t="shared" ref="AZ18" si="110">AZ3/AY3-1</f>
        <v>1.0000000000000009E-2</v>
      </c>
      <c r="BA18" s="8">
        <f t="shared" ref="BA18" si="111">BA3/AZ3-1</f>
        <v>1.0000000000000009E-2</v>
      </c>
    </row>
    <row r="19" spans="2:56" x14ac:dyDescent="0.3">
      <c r="B19" s="3" t="s">
        <v>26</v>
      </c>
      <c r="C19" s="8">
        <f>C5/C3</f>
        <v>0.15998381549666194</v>
      </c>
      <c r="D19" s="8">
        <f t="shared" ref="D19:N19" si="112">D5/D3</f>
        <v>0.16061108192215981</v>
      </c>
      <c r="E19" s="8">
        <f t="shared" si="112"/>
        <v>0.20333293370099509</v>
      </c>
      <c r="F19" s="8">
        <f t="shared" si="112"/>
        <v>0.23965316885670868</v>
      </c>
      <c r="G19" s="8">
        <f t="shared" si="112"/>
        <v>0.18057163208975158</v>
      </c>
      <c r="H19" s="8">
        <f t="shared" si="112"/>
        <v>0.17674509041415518</v>
      </c>
      <c r="I19" s="8">
        <f t="shared" si="112"/>
        <v>0.17133535830802116</v>
      </c>
      <c r="J19" s="8">
        <f t="shared" si="112"/>
        <v>0.16662126268473745</v>
      </c>
      <c r="K19" s="8">
        <f t="shared" si="112"/>
        <v>0.15198692585584037</v>
      </c>
      <c r="L19" s="8">
        <f t="shared" si="112"/>
        <v>6.4637260301406901E-2</v>
      </c>
      <c r="M19" s="8">
        <f t="shared" si="112"/>
        <v>0.15276033938287106</v>
      </c>
      <c r="N19" s="8">
        <f t="shared" si="112"/>
        <v>0.16084390475544399</v>
      </c>
      <c r="O19" s="8">
        <f t="shared" ref="O19:R19" si="113">O5/O3</f>
        <v>0.19381581895585928</v>
      </c>
      <c r="P19" s="8">
        <f t="shared" si="113"/>
        <v>0.2120565390805402</v>
      </c>
      <c r="Q19" s="8">
        <f t="shared" si="113"/>
        <v>0.18932692657711769</v>
      </c>
      <c r="R19" s="8">
        <f t="shared" si="113"/>
        <v>0.1948042804843706</v>
      </c>
      <c r="S19" s="8">
        <f t="shared" ref="S19:AD19" si="114">S5/S3</f>
        <v>0.17734891786012458</v>
      </c>
      <c r="T19" s="8">
        <f t="shared" si="114"/>
        <v>0.17227494966925511</v>
      </c>
      <c r="U19" s="8">
        <f t="shared" si="114"/>
        <v>0.16755433613083709</v>
      </c>
      <c r="V19" s="8">
        <f t="shared" si="114"/>
        <v>0.17271393148120034</v>
      </c>
      <c r="W19" s="8">
        <f t="shared" si="114"/>
        <v>0.21089192196022033</v>
      </c>
      <c r="X19" s="8">
        <f t="shared" si="114"/>
        <v>0.19156882237566833</v>
      </c>
      <c r="Y19" s="8">
        <f t="shared" si="114"/>
        <v>0.18001456133964325</v>
      </c>
      <c r="Z19" s="8">
        <f t="shared" si="114"/>
        <v>0.18301992180227145</v>
      </c>
      <c r="AA19" s="8">
        <f t="shared" si="114"/>
        <v>0.17927568689572296</v>
      </c>
      <c r="AB19" s="8">
        <f t="shared" si="114"/>
        <v>0.18024577739281075</v>
      </c>
      <c r="AC19" s="8">
        <f t="shared" si="114"/>
        <v>0.13102511880515955</v>
      </c>
      <c r="AD19" s="8">
        <f t="shared" si="114"/>
        <v>0.18</v>
      </c>
      <c r="AE19" s="8">
        <f t="shared" ref="AE19:AH19" si="115">AE5/AE3</f>
        <v>0.17</v>
      </c>
      <c r="AF19" s="8">
        <f t="shared" si="115"/>
        <v>0.17</v>
      </c>
      <c r="AG19" s="8">
        <f t="shared" si="115"/>
        <v>0.17</v>
      </c>
      <c r="AH19" s="8">
        <f t="shared" si="115"/>
        <v>0.17</v>
      </c>
      <c r="AJ19" s="8">
        <f>AJ5/AJ3</f>
        <v>0.18974756078674307</v>
      </c>
      <c r="AK19" s="8">
        <f t="shared" ref="AK19:AV19" si="116">AK5/AK3</f>
        <v>0.17333269359946263</v>
      </c>
      <c r="AL19" s="8">
        <f t="shared" si="116"/>
        <v>0.13720577836145065</v>
      </c>
      <c r="AM19" s="8">
        <f t="shared" si="116"/>
        <v>0.1976465088682926</v>
      </c>
      <c r="AN19" s="8">
        <f t="shared" si="116"/>
        <v>0.17227403407895658</v>
      </c>
      <c r="AO19" s="8">
        <f t="shared" si="116"/>
        <v>0.19092850068811174</v>
      </c>
      <c r="AP19" s="8">
        <f t="shared" si="116"/>
        <v>0.16080207894367188</v>
      </c>
      <c r="AQ19" s="8">
        <f t="shared" si="116"/>
        <v>0.18</v>
      </c>
      <c r="AR19" s="8">
        <f t="shared" si="116"/>
        <v>0.18</v>
      </c>
      <c r="AS19" s="8">
        <f t="shared" si="116"/>
        <v>0.18</v>
      </c>
      <c r="AT19" s="8">
        <f t="shared" si="116"/>
        <v>0.18</v>
      </c>
      <c r="AU19" s="8">
        <f t="shared" si="116"/>
        <v>0.18</v>
      </c>
      <c r="AV19" s="8">
        <f t="shared" si="116"/>
        <v>0.18</v>
      </c>
      <c r="AW19" s="8">
        <f t="shared" ref="AW19:BA19" si="117">AW5/AW3</f>
        <v>0.18</v>
      </c>
      <c r="AX19" s="8">
        <f t="shared" si="117"/>
        <v>0.18</v>
      </c>
      <c r="AY19" s="8">
        <f t="shared" si="117"/>
        <v>0.18</v>
      </c>
      <c r="AZ19" s="8">
        <f t="shared" si="117"/>
        <v>0.18</v>
      </c>
      <c r="BA19" s="8">
        <f t="shared" si="117"/>
        <v>0.18</v>
      </c>
    </row>
    <row r="20" spans="2:56" x14ac:dyDescent="0.3">
      <c r="B20" s="3" t="s">
        <v>27</v>
      </c>
      <c r="C20" s="8">
        <f>C9/C3</f>
        <v>6.9674286870321664E-2</v>
      </c>
      <c r="D20" s="8">
        <f t="shared" ref="D20:N20" si="118">D9/D3</f>
        <v>7.0524996968839668E-2</v>
      </c>
      <c r="E20" s="8">
        <f t="shared" si="118"/>
        <v>0.10973904008312353</v>
      </c>
      <c r="F20" s="8">
        <f t="shared" si="118"/>
        <v>0.12156967909180298</v>
      </c>
      <c r="G20" s="8">
        <f t="shared" si="118"/>
        <v>2.6222063930193214E-2</v>
      </c>
      <c r="H20" s="8">
        <f t="shared" si="118"/>
        <v>8.5592066887030915E-2</v>
      </c>
      <c r="I20" s="8">
        <f t="shared" si="118"/>
        <v>8.5836427044661948E-2</v>
      </c>
      <c r="J20" s="8">
        <f t="shared" si="118"/>
        <v>7.9411564394197373E-2</v>
      </c>
      <c r="K20" s="8">
        <f t="shared" si="118"/>
        <v>5.913469809048684E-2</v>
      </c>
      <c r="L20" s="8">
        <f t="shared" si="118"/>
        <v>-4.5861913583337507E-2</v>
      </c>
      <c r="M20" s="8">
        <f t="shared" si="118"/>
        <v>7.3203211201156637E-2</v>
      </c>
      <c r="N20" s="8">
        <f t="shared" si="118"/>
        <v>8.2999796485991456E-2</v>
      </c>
      <c r="O20" s="8">
        <f t="shared" ref="O20:R20" si="119">O9/O3</f>
        <v>0.11296586750317425</v>
      </c>
      <c r="P20" s="8">
        <f t="shared" si="119"/>
        <v>0.17511020922258763</v>
      </c>
      <c r="Q20" s="8">
        <f t="shared" si="119"/>
        <v>0.10494703505514906</v>
      </c>
      <c r="R20" s="8">
        <f t="shared" si="119"/>
        <v>8.7545761757251483E-2</v>
      </c>
      <c r="S20" s="8">
        <f t="shared" ref="S20:AD20" si="120">S9/S3</f>
        <v>0.10888831802710167</v>
      </c>
      <c r="T20" s="8">
        <f t="shared" si="120"/>
        <v>9.8533218291630711E-2</v>
      </c>
      <c r="U20" s="8">
        <f t="shared" si="120"/>
        <v>9.9042392941682808E-2</v>
      </c>
      <c r="V20" s="8">
        <f t="shared" si="120"/>
        <v>8.855827134254339E-2</v>
      </c>
      <c r="W20" s="8">
        <f t="shared" si="120"/>
        <v>0.14584972729492851</v>
      </c>
      <c r="X20" s="8">
        <f t="shared" si="120"/>
        <v>0.11668771326473037</v>
      </c>
      <c r="Y20" s="8">
        <f t="shared" si="120"/>
        <v>0.11316241094180665</v>
      </c>
      <c r="Z20" s="8">
        <f t="shared" si="120"/>
        <v>0.10268106497858871</v>
      </c>
      <c r="AA20" s="8">
        <f t="shared" si="120"/>
        <v>0.11072267438684656</v>
      </c>
      <c r="AB20" s="8">
        <f t="shared" si="120"/>
        <v>0.10494261585101776</v>
      </c>
      <c r="AC20" s="8">
        <f t="shared" si="120"/>
        <v>5.2335987162871071E-2</v>
      </c>
      <c r="AD20" s="8">
        <f t="shared" si="120"/>
        <v>8.2680140597539545E-2</v>
      </c>
      <c r="AE20" s="8">
        <f t="shared" ref="AE20:AH20" si="121">AE9/AE3</f>
        <v>9.000649060629333E-2</v>
      </c>
      <c r="AF20" s="8">
        <f t="shared" si="121"/>
        <v>8.2782462486943681E-2</v>
      </c>
      <c r="AG20" s="8">
        <f t="shared" si="121"/>
        <v>8.6140640876609983E-2</v>
      </c>
      <c r="AH20" s="8">
        <f t="shared" si="121"/>
        <v>6.9534087580550699E-2</v>
      </c>
      <c r="AJ20" s="8">
        <f t="shared" ref="AJ20" si="122">AJ9/AJ3</f>
        <v>9.2230654070517781E-2</v>
      </c>
      <c r="AK20" s="8">
        <f t="shared" ref="AK20:AV20" si="123">AK9/AK3</f>
        <v>7.1116015737453214E-2</v>
      </c>
      <c r="AL20" s="8">
        <f t="shared" si="123"/>
        <v>4.8792807354278211E-2</v>
      </c>
      <c r="AM20" s="8">
        <f t="shared" si="123"/>
        <v>0.1204613489873156</v>
      </c>
      <c r="AN20" s="8">
        <f t="shared" si="123"/>
        <v>9.8162821681509013E-2</v>
      </c>
      <c r="AO20" s="8">
        <f t="shared" si="123"/>
        <v>0.1188568341715006</v>
      </c>
      <c r="AP20" s="8">
        <f t="shared" si="123"/>
        <v>8.0832982160415789E-2</v>
      </c>
      <c r="AQ20" s="8">
        <f t="shared" si="123"/>
        <v>9.1963243530547648E-2</v>
      </c>
      <c r="AR20" s="8">
        <f t="shared" si="123"/>
        <v>9.3564985229558764E-2</v>
      </c>
      <c r="AS20" s="8">
        <f t="shared" si="123"/>
        <v>9.4315732492093837E-2</v>
      </c>
      <c r="AT20" s="8">
        <f t="shared" si="123"/>
        <v>9.4228171791573931E-2</v>
      </c>
      <c r="AU20" s="8">
        <f t="shared" si="123"/>
        <v>9.3291385069188396E-2</v>
      </c>
      <c r="AV20" s="8">
        <f t="shared" si="123"/>
        <v>9.3185124727279814E-2</v>
      </c>
      <c r="AW20" s="8">
        <f t="shared" ref="AW20:BA20" si="124">AW9/AW3</f>
        <v>9.3077812302778062E-2</v>
      </c>
      <c r="AX20" s="8">
        <f t="shared" si="124"/>
        <v>9.2969437379023814E-2</v>
      </c>
      <c r="AY20" s="8">
        <f t="shared" si="124"/>
        <v>9.2859989436222562E-2</v>
      </c>
      <c r="AZ20" s="8">
        <f t="shared" si="124"/>
        <v>9.2749457850423184E-2</v>
      </c>
      <c r="BA20" s="8">
        <f t="shared" si="124"/>
        <v>9.2637831892487241E-2</v>
      </c>
      <c r="BC20" s="1" t="s">
        <v>43</v>
      </c>
      <c r="BD20" s="7">
        <v>-0.01</v>
      </c>
    </row>
    <row r="21" spans="2:56" x14ac:dyDescent="0.3">
      <c r="B21" s="1" t="s">
        <v>55</v>
      </c>
      <c r="C21" s="7"/>
      <c r="D21" s="7"/>
      <c r="E21" s="7"/>
      <c r="F21" s="7"/>
      <c r="G21" s="7">
        <f>G6/C6-1</f>
        <v>-6.9706269180184077E-2</v>
      </c>
      <c r="H21" s="7">
        <f t="shared" ref="H21:O21" si="125">H6/D6-1</f>
        <v>1.0096575943810304E-2</v>
      </c>
      <c r="I21" s="7">
        <f t="shared" si="125"/>
        <v>-4.1470713980333529E-2</v>
      </c>
      <c r="J21" s="7">
        <f t="shared" si="125"/>
        <v>1.1985018726591745E-2</v>
      </c>
      <c r="K21" s="7">
        <f t="shared" si="125"/>
        <v>2.0263901979264753E-2</v>
      </c>
      <c r="L21" s="7">
        <f t="shared" si="125"/>
        <v>-0.13342025206431984</v>
      </c>
      <c r="M21" s="7">
        <f t="shared" si="125"/>
        <v>-6.3782337198929562E-2</v>
      </c>
      <c r="N21" s="7">
        <f t="shared" si="125"/>
        <v>-6.1065877128053336E-2</v>
      </c>
      <c r="O21" s="7">
        <f t="shared" si="125"/>
        <v>-4.2032332563510355E-2</v>
      </c>
      <c r="P21" s="7">
        <f t="shared" ref="P21" si="126">P6/L6-1</f>
        <v>2.7582748244734168E-2</v>
      </c>
      <c r="Q21" s="7">
        <f t="shared" ref="Q21" si="127">Q6/M6-1</f>
        <v>5.5740828966174272E-2</v>
      </c>
      <c r="R21" s="7">
        <f t="shared" ref="R21" si="128">R6/N6-1</f>
        <v>0.14071738273551437</v>
      </c>
      <c r="S21" s="7">
        <f t="shared" ref="S21" si="129">S6/O6-1</f>
        <v>6.9913211186113822E-2</v>
      </c>
      <c r="T21" s="7">
        <f t="shared" ref="T21" si="130">T6/P6-1</f>
        <v>0.21669106881405553</v>
      </c>
      <c r="U21" s="7">
        <f t="shared" ref="U21" si="131">U6/Q6-1</f>
        <v>0.1502707581227436</v>
      </c>
      <c r="V21" s="7">
        <f t="shared" ref="V21" si="132">V6/R6-1</f>
        <v>0.1592950932964754</v>
      </c>
      <c r="W21" s="7">
        <f t="shared" ref="W21" si="133">W6/S6-1</f>
        <v>6.3091482649842323E-2</v>
      </c>
      <c r="X21" s="7">
        <f t="shared" ref="X21" si="134">X6/T6-1</f>
        <v>5.4953870838347463E-2</v>
      </c>
      <c r="Y21" s="7">
        <f t="shared" ref="Y21" si="135">Y6/U6-1</f>
        <v>2.5892506865437426E-2</v>
      </c>
      <c r="Z21" s="7">
        <f t="shared" ref="Z21" si="136">Z6/V6-1</f>
        <v>1.9672131147540961E-2</v>
      </c>
      <c r="AA21" s="7">
        <f t="shared" ref="AA21" si="137">AA6/W6-1</f>
        <v>6.6129715981348092E-2</v>
      </c>
      <c r="AB21" s="7">
        <f t="shared" ref="AB21" si="138">AB6/X6-1</f>
        <v>5.3992395437262308E-2</v>
      </c>
      <c r="AC21" s="7">
        <f t="shared" ref="AC21" si="139">AC6/Y6-1</f>
        <v>1.9502868068833612E-2</v>
      </c>
      <c r="AD21" s="7">
        <f t="shared" ref="AD21" si="140">AD6/Z6-1</f>
        <v>-2.2800350774627276E-2</v>
      </c>
      <c r="AE21" s="7">
        <f t="shared" ref="AE21" si="141">AE6/AA6-1</f>
        <v>-3.0000000000000138E-2</v>
      </c>
      <c r="AF21" s="7">
        <f t="shared" ref="AF21" si="142">AF6/AB6-1</f>
        <v>-2.9999999999999916E-2</v>
      </c>
      <c r="AG21" s="7">
        <f t="shared" ref="AG21" si="143">AG6/AC6-1</f>
        <v>-3.0000000000000027E-2</v>
      </c>
      <c r="AH21" s="7">
        <f t="shared" ref="AH21" si="144">AH6/AD6-1</f>
        <v>-3.0000000000000027E-2</v>
      </c>
      <c r="AJ21" s="7"/>
      <c r="AK21" s="7">
        <f>AK6/AJ6-1</f>
        <v>-2.1007525083612033E-2</v>
      </c>
      <c r="AL21" s="7">
        <f t="shared" ref="AL21:AW21" si="145">AL6/AK6-1</f>
        <v>-6.1065442510942702E-2</v>
      </c>
      <c r="AM21" s="7">
        <f t="shared" si="145"/>
        <v>4.9801023308698067E-2</v>
      </c>
      <c r="AN21" s="7">
        <f t="shared" si="145"/>
        <v>0.14978880103974879</v>
      </c>
      <c r="AO21" s="7">
        <f t="shared" si="145"/>
        <v>3.8526752072343573E-2</v>
      </c>
      <c r="AP21" s="7">
        <f t="shared" si="145"/>
        <v>2.4580498866213052E-2</v>
      </c>
      <c r="AQ21" s="7">
        <f t="shared" si="145"/>
        <v>-3.0000000000000138E-2</v>
      </c>
      <c r="AR21" s="7">
        <f t="shared" si="145"/>
        <v>3.0000000000000027E-2</v>
      </c>
      <c r="AS21" s="7">
        <f t="shared" si="145"/>
        <v>2.0000000000000018E-2</v>
      </c>
      <c r="AT21" s="7">
        <f t="shared" si="145"/>
        <v>2.0000000000000018E-2</v>
      </c>
      <c r="AU21" s="7">
        <f t="shared" si="145"/>
        <v>2.0000000000000018E-2</v>
      </c>
      <c r="AV21" s="7">
        <f t="shared" si="145"/>
        <v>1.0000000000000009E-2</v>
      </c>
      <c r="AW21" s="7">
        <f t="shared" si="145"/>
        <v>1.0000000000000009E-2</v>
      </c>
      <c r="AX21" s="7">
        <f t="shared" ref="AX21" si="146">AX6/AW6-1</f>
        <v>1.0000000000000009E-2</v>
      </c>
      <c r="AY21" s="7">
        <f t="shared" ref="AY21" si="147">AY6/AX6-1</f>
        <v>1.0000000000000009E-2</v>
      </c>
      <c r="AZ21" s="7">
        <f t="shared" ref="AZ21" si="148">AZ6/AY6-1</f>
        <v>1.0000000000000009E-2</v>
      </c>
      <c r="BA21" s="7">
        <f t="shared" ref="BA21" si="149">BA6/AZ6-1</f>
        <v>1.0000000000000009E-2</v>
      </c>
      <c r="BC21" s="1" t="s">
        <v>44</v>
      </c>
      <c r="BD21" s="7">
        <v>0.08</v>
      </c>
    </row>
    <row r="22" spans="2:56" x14ac:dyDescent="0.3">
      <c r="B22" s="3" t="s">
        <v>42</v>
      </c>
      <c r="C22" s="8">
        <f t="shared" ref="C22:O22" si="150">C12/C11</f>
        <v>0.2305159165751921</v>
      </c>
      <c r="D22" s="8">
        <f t="shared" si="150"/>
        <v>0.23035230352303523</v>
      </c>
      <c r="E22" s="8">
        <f t="shared" si="150"/>
        <v>0.27288548555516884</v>
      </c>
      <c r="F22" s="8">
        <f t="shared" si="150"/>
        <v>0.29186912860382247</v>
      </c>
      <c r="G22" s="8">
        <f t="shared" si="150"/>
        <v>0.28608923884514437</v>
      </c>
      <c r="H22" s="8">
        <f t="shared" si="150"/>
        <v>0.27910375060886505</v>
      </c>
      <c r="I22" s="8">
        <f t="shared" si="150"/>
        <v>0.3122775800711744</v>
      </c>
      <c r="J22" s="8">
        <f t="shared" si="150"/>
        <v>0.31484184914841851</v>
      </c>
      <c r="K22" s="8">
        <f t="shared" si="150"/>
        <v>0.2807017543859649</v>
      </c>
      <c r="L22" s="8">
        <f t="shared" si="150"/>
        <v>0.16</v>
      </c>
      <c r="M22" s="8">
        <f t="shared" si="150"/>
        <v>0.26339285714285715</v>
      </c>
      <c r="N22" s="8">
        <f t="shared" si="150"/>
        <v>0.23107569721115537</v>
      </c>
      <c r="O22" s="8">
        <f t="shared" si="150"/>
        <v>0.24594091030077189</v>
      </c>
      <c r="P22" s="8">
        <f t="shared" ref="P22:R22" si="151">P12/P11</f>
        <v>0.19886268606790433</v>
      </c>
      <c r="Q22" s="8">
        <f t="shared" si="151"/>
        <v>0.24378109452736318</v>
      </c>
      <c r="R22" s="8">
        <f t="shared" si="151"/>
        <v>0.22394220846233232</v>
      </c>
      <c r="S22" s="8">
        <f t="shared" ref="S22:AD22" si="152">S12/S11</f>
        <v>0.16700744254518687</v>
      </c>
      <c r="T22" s="8">
        <f t="shared" si="152"/>
        <v>0.22448460167981674</v>
      </c>
      <c r="U22" s="8">
        <f t="shared" si="152"/>
        <v>0.22560975609756098</v>
      </c>
      <c r="V22" s="8">
        <f t="shared" si="152"/>
        <v>0.33138641254226869</v>
      </c>
      <c r="W22" s="8">
        <f t="shared" si="152"/>
        <v>0.28602066679664651</v>
      </c>
      <c r="X22" s="8">
        <f t="shared" si="152"/>
        <v>0.29938417811463763</v>
      </c>
      <c r="Y22" s="8">
        <f t="shared" si="152"/>
        <v>0.27861186315530395</v>
      </c>
      <c r="Z22" s="8">
        <f t="shared" si="152"/>
        <v>0.29005975013579577</v>
      </c>
      <c r="AA22" s="8">
        <f t="shared" si="152"/>
        <v>0.29096588178760213</v>
      </c>
      <c r="AB22" s="8">
        <f t="shared" si="152"/>
        <v>0.29940429940429941</v>
      </c>
      <c r="AC22" s="8">
        <f t="shared" si="152"/>
        <v>0.43198090692124103</v>
      </c>
      <c r="AD22" s="8">
        <f t="shared" si="152"/>
        <v>0.17413426863607173</v>
      </c>
      <c r="AE22" s="8">
        <f t="shared" ref="AE22:AH22" si="153">AE12/AE11</f>
        <v>0.28000000000000003</v>
      </c>
      <c r="AF22" s="8">
        <f t="shared" si="153"/>
        <v>0.28000000000000003</v>
      </c>
      <c r="AG22" s="8">
        <f t="shared" si="153"/>
        <v>0.28000000000000003</v>
      </c>
      <c r="AH22" s="8">
        <f t="shared" si="153"/>
        <v>0.28000000000000003</v>
      </c>
      <c r="AJ22" s="8">
        <f t="shared" ref="AJ22:AW22" si="154">AJ12/AJ11</f>
        <v>0.26280253453827779</v>
      </c>
      <c r="AK22" s="8">
        <f t="shared" si="154"/>
        <v>0.30064624894633324</v>
      </c>
      <c r="AL22" s="8">
        <f t="shared" si="154"/>
        <v>0.26139410187667561</v>
      </c>
      <c r="AM22" s="8">
        <f t="shared" si="154"/>
        <v>0.22397260273972602</v>
      </c>
      <c r="AN22" s="8">
        <f t="shared" si="154"/>
        <v>0.20957931005146965</v>
      </c>
      <c r="AO22" s="8">
        <f t="shared" si="154"/>
        <v>0.28843004211511464</v>
      </c>
      <c r="AP22" s="8">
        <f t="shared" si="154"/>
        <v>0.3001549539695561</v>
      </c>
      <c r="AQ22" s="8">
        <f t="shared" si="154"/>
        <v>0.24730909582156868</v>
      </c>
      <c r="AR22" s="8">
        <f t="shared" si="154"/>
        <v>0.28000000000000003</v>
      </c>
      <c r="AS22" s="8">
        <f t="shared" si="154"/>
        <v>0.28000000000000003</v>
      </c>
      <c r="AT22" s="8">
        <f t="shared" si="154"/>
        <v>0.28000000000000003</v>
      </c>
      <c r="AU22" s="8">
        <f t="shared" si="154"/>
        <v>0.28000000000000003</v>
      </c>
      <c r="AV22" s="8">
        <f t="shared" si="154"/>
        <v>0.28000000000000003</v>
      </c>
      <c r="AW22" s="8">
        <f t="shared" si="154"/>
        <v>0.28000000000000003</v>
      </c>
      <c r="AX22" s="8">
        <f t="shared" ref="AX22:BA22" si="155">AX12/AX11</f>
        <v>0.28000000000000003</v>
      </c>
      <c r="AY22" s="8">
        <f t="shared" si="155"/>
        <v>0.28000000000000003</v>
      </c>
      <c r="AZ22" s="8">
        <f t="shared" si="155"/>
        <v>0.28000000000000003</v>
      </c>
      <c r="BA22" s="8">
        <f t="shared" si="155"/>
        <v>0.28000000000000003</v>
      </c>
      <c r="BC22" s="1" t="s">
        <v>45</v>
      </c>
      <c r="BD22" s="5">
        <f>NPV(BD21,AQ14:EF14)</f>
        <v>114294.63466361948</v>
      </c>
    </row>
    <row r="23" spans="2:56" x14ac:dyDescent="0.3">
      <c r="B23" s="3" t="s">
        <v>61</v>
      </c>
      <c r="C23" s="8">
        <f>C14/C3</f>
        <v>5.4946388832692698E-2</v>
      </c>
      <c r="D23" s="8">
        <f t="shared" ref="D23:O23" si="156">D14/D3</f>
        <v>5.5611688154225437E-2</v>
      </c>
      <c r="E23" s="8">
        <f t="shared" si="156"/>
        <v>8.2204371977780438E-2</v>
      </c>
      <c r="F23" s="8">
        <f t="shared" si="156"/>
        <v>9.7568606418163936E-2</v>
      </c>
      <c r="G23" s="8">
        <f t="shared" si="156"/>
        <v>2.4975514201762979E-2</v>
      </c>
      <c r="H23" s="8">
        <f t="shared" si="156"/>
        <v>5.654287380906086E-2</v>
      </c>
      <c r="I23" s="8">
        <f t="shared" si="156"/>
        <v>5.7036787040161997E-2</v>
      </c>
      <c r="J23" s="8">
        <f t="shared" si="156"/>
        <v>4.6959068310290814E-2</v>
      </c>
      <c r="K23" s="8">
        <f t="shared" si="156"/>
        <v>2.3825907448821605E-2</v>
      </c>
      <c r="L23" s="8">
        <f t="shared" si="156"/>
        <v>-2.4032443799128823E-2</v>
      </c>
      <c r="M23" s="8">
        <f t="shared" si="156"/>
        <v>6.79526690256059E-2</v>
      </c>
      <c r="N23" s="8">
        <f t="shared" si="156"/>
        <v>6.4954887728105287E-2</v>
      </c>
      <c r="O23" s="8">
        <f t="shared" si="156"/>
        <v>0.10497423257898275</v>
      </c>
      <c r="P23" s="8">
        <f t="shared" ref="P23:R23" si="157">P14/P3</f>
        <v>0.16685326429221189</v>
      </c>
      <c r="Q23" s="8">
        <f t="shared" si="157"/>
        <v>9.3334789414291436E-2</v>
      </c>
      <c r="R23" s="8">
        <f t="shared" si="157"/>
        <v>7.8780625176006758E-2</v>
      </c>
      <c r="S23" s="8">
        <f t="shared" ref="S23:AD23" si="158">S14/S3</f>
        <v>0.32563740286429904</v>
      </c>
      <c r="T23" s="8">
        <f t="shared" si="158"/>
        <v>8.16796088582111E-2</v>
      </c>
      <c r="U23" s="8">
        <f t="shared" si="158"/>
        <v>7.480632666236281E-2</v>
      </c>
      <c r="V23" s="8">
        <f t="shared" si="158"/>
        <v>5.5133849501543444E-2</v>
      </c>
      <c r="W23" s="8">
        <f t="shared" si="158"/>
        <v>9.2801128809052183E-2</v>
      </c>
      <c r="X23" s="8">
        <f t="shared" si="158"/>
        <v>7.5364733066444561E-2</v>
      </c>
      <c r="Y23" s="8">
        <f t="shared" si="158"/>
        <v>6.9608403973165534E-2</v>
      </c>
      <c r="Z23" s="8">
        <f t="shared" si="158"/>
        <v>5.557624278532862E-2</v>
      </c>
      <c r="AA23" s="8">
        <f t="shared" si="158"/>
        <v>7.6227672475009556E-2</v>
      </c>
      <c r="AB23" s="8">
        <f t="shared" si="158"/>
        <v>7.0728670420095285E-2</v>
      </c>
      <c r="AC23" s="8">
        <f t="shared" si="158"/>
        <v>1.2003949885823612E-2</v>
      </c>
      <c r="AD23" s="8">
        <f t="shared" si="158"/>
        <v>7.2107864674868197E-2</v>
      </c>
      <c r="AE23" s="8">
        <f t="shared" ref="AE23:AH23" si="159">AE14/AE3</f>
        <v>5.8506103419135723E-2</v>
      </c>
      <c r="AF23" s="8">
        <f t="shared" si="159"/>
        <v>5.3489465773316688E-2</v>
      </c>
      <c r="AG23" s="8">
        <f t="shared" si="159"/>
        <v>5.5844646943960373E-2</v>
      </c>
      <c r="AH23" s="8">
        <f t="shared" si="159"/>
        <v>4.4402234670962722E-2</v>
      </c>
      <c r="AJ23" s="8">
        <f t="shared" ref="AJ23:AW23" si="160">AJ14/AJ3</f>
        <v>7.2004542873367411E-2</v>
      </c>
      <c r="AK23" s="8">
        <f t="shared" si="160"/>
        <v>4.7164379618078879E-2</v>
      </c>
      <c r="AL23" s="8">
        <f t="shared" si="160"/>
        <v>3.8135165168198808E-2</v>
      </c>
      <c r="AM23" s="8">
        <f t="shared" si="160"/>
        <v>0.11130988232544342</v>
      </c>
      <c r="AN23" s="8">
        <f t="shared" si="160"/>
        <v>0.12580464203071312</v>
      </c>
      <c r="AO23" s="8">
        <f t="shared" si="160"/>
        <v>7.2605435439684118E-2</v>
      </c>
      <c r="AP23" s="8">
        <f t="shared" si="160"/>
        <v>5.120101137800253E-2</v>
      </c>
      <c r="AQ23" s="8">
        <f t="shared" si="160"/>
        <v>6.2955515127451095E-2</v>
      </c>
      <c r="AR23" s="8">
        <f t="shared" si="160"/>
        <v>6.7609373818811463E-2</v>
      </c>
      <c r="AS23" s="8">
        <f t="shared" si="160"/>
        <v>6.8313568864517379E-2</v>
      </c>
      <c r="AT23" s="8">
        <f t="shared" si="160"/>
        <v>6.8288942009082365E-2</v>
      </c>
      <c r="AU23" s="8">
        <f t="shared" si="160"/>
        <v>6.7618155895454821E-2</v>
      </c>
      <c r="AV23" s="8">
        <f t="shared" si="160"/>
        <v>6.7507680583923479E-2</v>
      </c>
      <c r="AW23" s="8">
        <f t="shared" si="160"/>
        <v>6.7412278016599173E-2</v>
      </c>
      <c r="AX23" s="8">
        <f t="shared" ref="AX23:BA23" si="161">AX14/AX3</f>
        <v>6.7316391856434218E-2</v>
      </c>
      <c r="AY23" s="8">
        <f t="shared" si="161"/>
        <v>6.7219569473323679E-2</v>
      </c>
      <c r="AZ23" s="8">
        <f t="shared" si="161"/>
        <v>6.7121788827583601E-2</v>
      </c>
      <c r="BA23" s="8">
        <f t="shared" si="161"/>
        <v>6.7023040067326359E-2</v>
      </c>
      <c r="BC23" s="1" t="s">
        <v>46</v>
      </c>
      <c r="BD23" s="5">
        <f>Main!D8</f>
        <v>-91974</v>
      </c>
    </row>
    <row r="24" spans="2:56" x14ac:dyDescent="0.3">
      <c r="BC24" s="1" t="s">
        <v>47</v>
      </c>
      <c r="BD24" s="5">
        <f>BD22+BD23</f>
        <v>22320.634663619479</v>
      </c>
    </row>
    <row r="25" spans="2:56" x14ac:dyDescent="0.3">
      <c r="BC25" s="1" t="s">
        <v>48</v>
      </c>
      <c r="BD25" s="9">
        <f>BD24/AV15</f>
        <v>35.873729771165998</v>
      </c>
    </row>
    <row r="26" spans="2:56" x14ac:dyDescent="0.3">
      <c r="BC26" s="1" t="s">
        <v>49</v>
      </c>
      <c r="BD26" s="9">
        <f>Main!D3</f>
        <v>73.680000000000007</v>
      </c>
    </row>
    <row r="27" spans="2:56" x14ac:dyDescent="0.3">
      <c r="BC27" s="3" t="s">
        <v>50</v>
      </c>
      <c r="BD27" s="8">
        <f>BD25/BD26-1</f>
        <v>-0.51311441678656355</v>
      </c>
    </row>
    <row r="28" spans="2:56" x14ac:dyDescent="0.3">
      <c r="BC28" s="1" t="s">
        <v>56</v>
      </c>
      <c r="BD28" s="2" t="s">
        <v>78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2020-09-06T13:56:34Z</cp:lastPrinted>
  <dcterms:created xsi:type="dcterms:W3CDTF">2020-09-05T13:02:36Z</dcterms:created>
  <dcterms:modified xsi:type="dcterms:W3CDTF">2025-04-24T11:43:53Z</dcterms:modified>
</cp:coreProperties>
</file>