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285B0056-F4B0-46B4-B0C4-C127536599BC}" xr6:coauthVersionLast="47" xr6:coauthVersionMax="47" xr10:uidLastSave="{00000000-0000-0000-0000-000000000000}"/>
  <bookViews>
    <workbookView xWindow="-108" yWindow="-108" windowWidth="23256" windowHeight="12576" activeTab="1" xr2:uid="{6EBED238-DDC4-4B4C-8319-080D97F2435C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2" i="2" l="1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B11" i="2"/>
  <c r="AB9" i="2"/>
  <c r="AB7" i="2"/>
  <c r="AC7" i="2" s="1"/>
  <c r="AK5" i="2"/>
  <c r="AJ5" i="2"/>
  <c r="AI5" i="2"/>
  <c r="AH5" i="2"/>
  <c r="AG5" i="2"/>
  <c r="AI3" i="2"/>
  <c r="AD3" i="2"/>
  <c r="AC3" i="2"/>
  <c r="V7" i="2"/>
  <c r="U7" i="2"/>
  <c r="U20" i="2" s="1"/>
  <c r="V3" i="2"/>
  <c r="V5" i="2" s="1"/>
  <c r="U3" i="2"/>
  <c r="U6" i="2" s="1"/>
  <c r="U19" i="2" s="1"/>
  <c r="T5" i="2"/>
  <c r="T8" i="2" s="1"/>
  <c r="T10" i="2" s="1"/>
  <c r="D7" i="1"/>
  <c r="S5" i="2"/>
  <c r="S20" i="2"/>
  <c r="T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AA19" i="2"/>
  <c r="R11" i="2"/>
  <c r="R9" i="2"/>
  <c r="R7" i="2"/>
  <c r="R4" i="2"/>
  <c r="R3" i="2"/>
  <c r="R5" i="2" s="1"/>
  <c r="AE3" i="2" l="1"/>
  <c r="AF3" i="2" s="1"/>
  <c r="V6" i="2"/>
  <c r="V8" i="2" s="1"/>
  <c r="V10" i="2" s="1"/>
  <c r="T21" i="2"/>
  <c r="T17" i="2"/>
  <c r="S19" i="2"/>
  <c r="V20" i="2"/>
  <c r="AB3" i="2"/>
  <c r="AC5" i="2" s="1"/>
  <c r="T18" i="2"/>
  <c r="S16" i="2"/>
  <c r="T16" i="2"/>
  <c r="S8" i="2"/>
  <c r="U5" i="2"/>
  <c r="U16" i="2"/>
  <c r="AN24" i="2"/>
  <c r="AC9" i="2"/>
  <c r="AD9" i="2" s="1"/>
  <c r="AE9" i="2" s="1"/>
  <c r="AF9" i="2" s="1"/>
  <c r="AG9" i="2" s="1"/>
  <c r="AH9" i="2" s="1"/>
  <c r="AI9" i="2" s="1"/>
  <c r="AJ9" i="2" s="1"/>
  <c r="AK9" i="2" s="1"/>
  <c r="X3" i="2"/>
  <c r="X4" i="2"/>
  <c r="Z11" i="2"/>
  <c r="Z9" i="2"/>
  <c r="Z7" i="2"/>
  <c r="Z6" i="2"/>
  <c r="Z4" i="2"/>
  <c r="Z3" i="2"/>
  <c r="Y11" i="2"/>
  <c r="Y9" i="2"/>
  <c r="Y6" i="2"/>
  <c r="Y4" i="2"/>
  <c r="Y3" i="2"/>
  <c r="X11" i="2"/>
  <c r="X9" i="2"/>
  <c r="X6" i="2"/>
  <c r="R17" i="2"/>
  <c r="R20" i="2"/>
  <c r="Q20" i="2"/>
  <c r="P20" i="2"/>
  <c r="O20" i="2"/>
  <c r="N20" i="2"/>
  <c r="L20" i="2"/>
  <c r="K20" i="2"/>
  <c r="J20" i="2"/>
  <c r="G20" i="2"/>
  <c r="R16" i="2"/>
  <c r="Q16" i="2"/>
  <c r="P16" i="2"/>
  <c r="O16" i="2"/>
  <c r="N16" i="2"/>
  <c r="M16" i="2"/>
  <c r="L16" i="2"/>
  <c r="K16" i="2"/>
  <c r="J16" i="2"/>
  <c r="I16" i="2"/>
  <c r="H16" i="2"/>
  <c r="G16" i="2"/>
  <c r="F5" i="2"/>
  <c r="F8" i="2" s="1"/>
  <c r="F10" i="2" s="1"/>
  <c r="F12" i="2" s="1"/>
  <c r="F14" i="2" s="1"/>
  <c r="C5" i="2"/>
  <c r="C8" i="2" s="1"/>
  <c r="C10" i="2" s="1"/>
  <c r="C12" i="2" s="1"/>
  <c r="C14" i="2" s="1"/>
  <c r="G5" i="2"/>
  <c r="G8" i="2" s="1"/>
  <c r="D7" i="2"/>
  <c r="D5" i="2"/>
  <c r="D17" i="2" s="1"/>
  <c r="H5" i="2"/>
  <c r="H8" i="2" s="1"/>
  <c r="H10" i="2" s="1"/>
  <c r="H12" i="2" s="1"/>
  <c r="H14" i="2" s="1"/>
  <c r="E7" i="2"/>
  <c r="E5" i="2"/>
  <c r="E17" i="2" s="1"/>
  <c r="I7" i="2"/>
  <c r="Y7" i="2" s="1"/>
  <c r="I5" i="2"/>
  <c r="I17" i="2" s="1"/>
  <c r="J5" i="2"/>
  <c r="J8" i="2" s="1"/>
  <c r="J10" i="2" s="1"/>
  <c r="J12" i="2" s="1"/>
  <c r="J14" i="2" s="1"/>
  <c r="N5" i="2"/>
  <c r="N8" i="2" s="1"/>
  <c r="N10" i="2" s="1"/>
  <c r="N12" i="2" s="1"/>
  <c r="N14" i="2" s="1"/>
  <c r="K5" i="2"/>
  <c r="K8" i="2" s="1"/>
  <c r="K10" i="2" s="1"/>
  <c r="K12" i="2" s="1"/>
  <c r="K14" i="2" s="1"/>
  <c r="V11" i="2" l="1"/>
  <c r="V21" i="2" s="1"/>
  <c r="U17" i="2"/>
  <c r="U8" i="2"/>
  <c r="T12" i="2"/>
  <c r="T14" i="2" s="1"/>
  <c r="S10" i="2"/>
  <c r="S18" i="2"/>
  <c r="X19" i="2"/>
  <c r="Y19" i="2"/>
  <c r="G10" i="2"/>
  <c r="G12" i="2" s="1"/>
  <c r="G14" i="2" s="1"/>
  <c r="G18" i="2"/>
  <c r="Z19" i="2"/>
  <c r="V16" i="2"/>
  <c r="V18" i="2"/>
  <c r="U4" i="2"/>
  <c r="S17" i="2"/>
  <c r="C18" i="2"/>
  <c r="H21" i="2"/>
  <c r="M20" i="2"/>
  <c r="X7" i="2"/>
  <c r="Y20" i="2" s="1"/>
  <c r="H20" i="2"/>
  <c r="Z16" i="2"/>
  <c r="X5" i="2"/>
  <c r="X17" i="2" s="1"/>
  <c r="Z20" i="2"/>
  <c r="F21" i="2"/>
  <c r="N21" i="2"/>
  <c r="H17" i="2"/>
  <c r="J18" i="2"/>
  <c r="K18" i="2"/>
  <c r="J17" i="2"/>
  <c r="I20" i="2"/>
  <c r="K17" i="2"/>
  <c r="J21" i="2"/>
  <c r="F18" i="2"/>
  <c r="N18" i="2"/>
  <c r="G17" i="2"/>
  <c r="C21" i="2"/>
  <c r="K21" i="2"/>
  <c r="C17" i="2"/>
  <c r="F17" i="2"/>
  <c r="N17" i="2"/>
  <c r="H18" i="2"/>
  <c r="AC20" i="2"/>
  <c r="AD7" i="2"/>
  <c r="AB20" i="2"/>
  <c r="AB16" i="2"/>
  <c r="AA16" i="2"/>
  <c r="AA20" i="2"/>
  <c r="AA5" i="2"/>
  <c r="AA17" i="2" s="1"/>
  <c r="Y16" i="2"/>
  <c r="Z5" i="2"/>
  <c r="Y5" i="2"/>
  <c r="D8" i="2"/>
  <c r="E8" i="2"/>
  <c r="I8" i="2"/>
  <c r="AE7" i="2" l="1"/>
  <c r="AF7" i="2" s="1"/>
  <c r="AG7" i="2" s="1"/>
  <c r="AH7" i="2" s="1"/>
  <c r="AH20" i="2" s="1"/>
  <c r="V12" i="2"/>
  <c r="V14" i="2" s="1"/>
  <c r="U10" i="2"/>
  <c r="U18" i="2"/>
  <c r="S21" i="2"/>
  <c r="AD16" i="2"/>
  <c r="AC6" i="2"/>
  <c r="AC19" i="2" s="1"/>
  <c r="G21" i="2"/>
  <c r="V17" i="2"/>
  <c r="V4" i="2"/>
  <c r="AB4" i="2" s="1"/>
  <c r="AB5" i="2" s="1"/>
  <c r="AB17" i="2" s="1"/>
  <c r="X8" i="2"/>
  <c r="X18" i="2" s="1"/>
  <c r="Y8" i="2"/>
  <c r="Y17" i="2"/>
  <c r="Z8" i="2"/>
  <c r="Z17" i="2"/>
  <c r="I10" i="2"/>
  <c r="I18" i="2"/>
  <c r="E10" i="2"/>
  <c r="E18" i="2"/>
  <c r="D10" i="2"/>
  <c r="D18" i="2"/>
  <c r="AD20" i="2"/>
  <c r="AC4" i="2"/>
  <c r="AC16" i="2"/>
  <c r="AA8" i="2"/>
  <c r="AE20" i="2" l="1"/>
  <c r="S12" i="2"/>
  <c r="S14" i="2" s="1"/>
  <c r="U11" i="2"/>
  <c r="U21" i="2" s="1"/>
  <c r="X10" i="2"/>
  <c r="X12" i="2" s="1"/>
  <c r="X14" i="2" s="1"/>
  <c r="AE16" i="2"/>
  <c r="AD5" i="2"/>
  <c r="AD4" i="2" s="1"/>
  <c r="AD6" i="2"/>
  <c r="AD19" i="2" s="1"/>
  <c r="E12" i="2"/>
  <c r="E14" i="2" s="1"/>
  <c r="E21" i="2"/>
  <c r="Z10" i="2"/>
  <c r="Z18" i="2"/>
  <c r="I12" i="2"/>
  <c r="I14" i="2" s="1"/>
  <c r="I21" i="2"/>
  <c r="D12" i="2"/>
  <c r="D14" i="2" s="1"/>
  <c r="D21" i="2"/>
  <c r="Y10" i="2"/>
  <c r="Y18" i="2"/>
  <c r="AG20" i="2"/>
  <c r="AI7" i="2"/>
  <c r="AI20" i="2" s="1"/>
  <c r="AF20" i="2"/>
  <c r="AC8" i="2"/>
  <c r="AC17" i="2"/>
  <c r="AA10" i="2"/>
  <c r="AA18" i="2"/>
  <c r="U12" i="2" l="1"/>
  <c r="U14" i="2" s="1"/>
  <c r="AG3" i="2"/>
  <c r="AH3" i="2" s="1"/>
  <c r="X21" i="2"/>
  <c r="AE5" i="2"/>
  <c r="AE17" i="2" s="1"/>
  <c r="AD17" i="2"/>
  <c r="AD8" i="2"/>
  <c r="AD18" i="2" s="1"/>
  <c r="AE6" i="2"/>
  <c r="AE19" i="2" s="1"/>
  <c r="Z12" i="2"/>
  <c r="Z14" i="2" s="1"/>
  <c r="Z21" i="2"/>
  <c r="Y12" i="2"/>
  <c r="Y14" i="2" s="1"/>
  <c r="Y21" i="2"/>
  <c r="AJ7" i="2"/>
  <c r="AK7" i="2" s="1"/>
  <c r="AK20" i="2" s="1"/>
  <c r="AC10" i="2"/>
  <c r="AC18" i="2"/>
  <c r="AA12" i="2"/>
  <c r="AA14" i="2" s="1"/>
  <c r="AA21" i="2"/>
  <c r="AF6" i="2" l="1"/>
  <c r="AF19" i="2" s="1"/>
  <c r="AF16" i="2"/>
  <c r="AF5" i="2"/>
  <c r="AF17" i="2" s="1"/>
  <c r="AE8" i="2"/>
  <c r="AE10" i="2" s="1"/>
  <c r="AD10" i="2"/>
  <c r="AD11" i="2" s="1"/>
  <c r="AD21" i="2" s="1"/>
  <c r="AE4" i="2"/>
  <c r="AJ20" i="2"/>
  <c r="AC11" i="2"/>
  <c r="AC21" i="2" s="1"/>
  <c r="AG6" i="2"/>
  <c r="AG19" i="2" s="1"/>
  <c r="AG4" i="2"/>
  <c r="AG16" i="2"/>
  <c r="AF4" i="2" l="1"/>
  <c r="AF8" i="2"/>
  <c r="AF10" i="2" s="1"/>
  <c r="AE18" i="2"/>
  <c r="AD12" i="2"/>
  <c r="AD14" i="2" s="1"/>
  <c r="AC12" i="2"/>
  <c r="AC14" i="2" s="1"/>
  <c r="AE11" i="2"/>
  <c r="AE21" i="2" s="1"/>
  <c r="AH4" i="2"/>
  <c r="AH6" i="2"/>
  <c r="AH19" i="2" s="1"/>
  <c r="AH16" i="2"/>
  <c r="AG17" i="2"/>
  <c r="AG8" i="2"/>
  <c r="AF18" i="2" l="1"/>
  <c r="AH8" i="2"/>
  <c r="AH17" i="2"/>
  <c r="AJ3" i="2"/>
  <c r="AK3" i="2" s="1"/>
  <c r="AI6" i="2"/>
  <c r="AI19" i="2" s="1"/>
  <c r="AI16" i="2"/>
  <c r="AF11" i="2"/>
  <c r="AF21" i="2" s="1"/>
  <c r="AG10" i="2"/>
  <c r="AG18" i="2"/>
  <c r="AE12" i="2"/>
  <c r="AE14" i="2" s="1"/>
  <c r="AF12" i="2" l="1"/>
  <c r="AF14" i="2" s="1"/>
  <c r="AJ16" i="2"/>
  <c r="AJ6" i="2"/>
  <c r="AJ19" i="2" s="1"/>
  <c r="AI4" i="2"/>
  <c r="AI17" i="2"/>
  <c r="AI8" i="2"/>
  <c r="AG11" i="2"/>
  <c r="AG21" i="2" s="1"/>
  <c r="AH10" i="2"/>
  <c r="AH18" i="2"/>
  <c r="AG12" i="2" l="1"/>
  <c r="AG14" i="2" s="1"/>
  <c r="AI18" i="2"/>
  <c r="AI10" i="2"/>
  <c r="AI11" i="2" s="1"/>
  <c r="AH11" i="2"/>
  <c r="AH21" i="2" s="1"/>
  <c r="AJ4" i="2"/>
  <c r="AJ17" i="2"/>
  <c r="AJ8" i="2"/>
  <c r="AK16" i="2"/>
  <c r="AK6" i="2"/>
  <c r="AK19" i="2" s="1"/>
  <c r="AH12" i="2" l="1"/>
  <c r="AH14" i="2" s="1"/>
  <c r="AK4" i="2"/>
  <c r="AK8" i="2"/>
  <c r="AK17" i="2"/>
  <c r="AJ10" i="2"/>
  <c r="AJ18" i="2"/>
  <c r="AI12" i="2"/>
  <c r="AI14" i="2" s="1"/>
  <c r="AI21" i="2"/>
  <c r="AJ11" i="2" l="1"/>
  <c r="AJ21" i="2" s="1"/>
  <c r="AK18" i="2"/>
  <c r="AK10" i="2"/>
  <c r="AK11" i="2" l="1"/>
  <c r="AK21" i="2" s="1"/>
  <c r="AJ12" i="2"/>
  <c r="AJ14" i="2" l="1"/>
  <c r="AK12" i="2"/>
  <c r="AL12" i="2" l="1"/>
  <c r="AK14" i="2"/>
  <c r="AM12" i="2" l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CT12" i="2" s="1"/>
  <c r="CU12" i="2" s="1"/>
  <c r="CV12" i="2" s="1"/>
  <c r="CW12" i="2" s="1"/>
  <c r="CX12" i="2" s="1"/>
  <c r="CY12" i="2" s="1"/>
  <c r="CZ12" i="2" s="1"/>
  <c r="DA12" i="2" s="1"/>
  <c r="DB12" i="2" s="1"/>
  <c r="DC12" i="2" s="1"/>
  <c r="DD12" i="2" s="1"/>
  <c r="DE12" i="2" s="1"/>
  <c r="DF12" i="2" s="1"/>
  <c r="DG12" i="2" s="1"/>
  <c r="DH12" i="2" s="1"/>
  <c r="DI12" i="2" s="1"/>
  <c r="DJ12" i="2" s="1"/>
  <c r="DK12" i="2" s="1"/>
  <c r="DL12" i="2" s="1"/>
  <c r="DM12" i="2" s="1"/>
  <c r="DN12" i="2" s="1"/>
  <c r="DO12" i="2" s="1"/>
  <c r="DP12" i="2" s="1"/>
  <c r="DQ12" i="2" s="1"/>
  <c r="DR12" i="2" s="1"/>
  <c r="DS12" i="2" s="1"/>
  <c r="DT12" i="2" s="1"/>
  <c r="DU12" i="2" s="1"/>
  <c r="DV12" i="2" s="1"/>
  <c r="DW12" i="2" s="1"/>
  <c r="DX12" i="2" s="1"/>
  <c r="DY12" i="2" s="1"/>
  <c r="DZ12" i="2" s="1"/>
  <c r="EA12" i="2" s="1"/>
  <c r="EB12" i="2" s="1"/>
  <c r="EC12" i="2" s="1"/>
  <c r="ED12" i="2" s="1"/>
  <c r="EE12" i="2" s="1"/>
  <c r="EF12" i="2" s="1"/>
  <c r="EG12" i="2" s="1"/>
  <c r="EH12" i="2" s="1"/>
  <c r="EI12" i="2" s="1"/>
  <c r="EJ12" i="2" s="1"/>
  <c r="EK12" i="2" s="1"/>
  <c r="EL12" i="2" s="1"/>
  <c r="EM12" i="2" s="1"/>
  <c r="EN12" i="2" s="1"/>
  <c r="EO12" i="2" s="1"/>
  <c r="EP12" i="2" s="1"/>
  <c r="EQ12" i="2" s="1"/>
  <c r="ER12" i="2" s="1"/>
  <c r="O5" i="2" l="1"/>
  <c r="L5" i="2"/>
  <c r="P6" i="2"/>
  <c r="P5" i="2"/>
  <c r="P17" i="2" s="1"/>
  <c r="M5" i="2"/>
  <c r="M17" i="2" s="1"/>
  <c r="Q5" i="2"/>
  <c r="D8" i="1"/>
  <c r="AN21" i="2" s="1"/>
  <c r="D5" i="1"/>
  <c r="F3" i="1"/>
  <c r="T19" i="2" l="1"/>
  <c r="P19" i="2"/>
  <c r="O8" i="2"/>
  <c r="O17" i="2"/>
  <c r="Q8" i="2"/>
  <c r="Q17" i="2"/>
  <c r="R6" i="2"/>
  <c r="L8" i="2"/>
  <c r="L17" i="2"/>
  <c r="D9" i="1"/>
  <c r="P8" i="2"/>
  <c r="M8" i="2"/>
  <c r="V19" i="2" l="1"/>
  <c r="R19" i="2"/>
  <c r="AB6" i="2"/>
  <c r="AB19" i="2" s="1"/>
  <c r="P10" i="2"/>
  <c r="P18" i="2"/>
  <c r="L10" i="2"/>
  <c r="L18" i="2"/>
  <c r="R8" i="2"/>
  <c r="O10" i="2"/>
  <c r="O18" i="2"/>
  <c r="M10" i="2"/>
  <c r="M18" i="2"/>
  <c r="Q10" i="2"/>
  <c r="Q18" i="2"/>
  <c r="AB8" i="2" l="1"/>
  <c r="M12" i="2"/>
  <c r="M14" i="2" s="1"/>
  <c r="M21" i="2"/>
  <c r="O12" i="2"/>
  <c r="O14" i="2" s="1"/>
  <c r="O21" i="2"/>
  <c r="R18" i="2"/>
  <c r="R10" i="2"/>
  <c r="Q12" i="2"/>
  <c r="Q14" i="2" s="1"/>
  <c r="Q21" i="2"/>
  <c r="L12" i="2"/>
  <c r="L14" i="2" s="1"/>
  <c r="L21" i="2"/>
  <c r="P12" i="2"/>
  <c r="P14" i="2" s="1"/>
  <c r="P21" i="2"/>
  <c r="AB18" i="2" l="1"/>
  <c r="AB10" i="2"/>
  <c r="R21" i="2"/>
  <c r="R12" i="2"/>
  <c r="R14" i="2" s="1"/>
  <c r="AB21" i="2" l="1"/>
  <c r="AB12" i="2" l="1"/>
  <c r="AB14" i="2" l="1"/>
  <c r="AN20" i="2"/>
  <c r="AN22" i="2" s="1"/>
  <c r="AN23" i="2" s="1"/>
  <c r="AN25" i="2" s="1"/>
</calcChain>
</file>

<file path=xl/sharedStrings.xml><?xml version="1.0" encoding="utf-8"?>
<sst xmlns="http://schemas.openxmlformats.org/spreadsheetml/2006/main" count="63" uniqueCount="58">
  <si>
    <t>BOSS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</si>
  <si>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</si>
  <si>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</si>
  <si>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</si>
  <si>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</si>
  <si>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</si>
  <si>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</si>
  <si>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</si>
  <si>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</si>
  <si>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</si>
  <si>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</si>
  <si>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Q320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</si>
  <si>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</si>
  <si>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</si>
  <si>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</si>
  <si>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</si>
  <si>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</si>
  <si>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</si>
  <si>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</si>
  <si>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</si>
  <si>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</si>
  <si>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</si>
  <si>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</si>
  <si>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Q420</t>
  </si>
  <si>
    <t>Cost of sales</t>
  </si>
  <si>
    <t>Gross profit</t>
  </si>
  <si>
    <t>Selling and distribution</t>
  </si>
  <si>
    <t>Administrative expenses</t>
  </si>
  <si>
    <t>Operating profit</t>
  </si>
  <si>
    <t>Net financial expense</t>
  </si>
  <si>
    <t>Pretax profit</t>
  </si>
  <si>
    <t>Taxes</t>
  </si>
  <si>
    <t>Net profit</t>
  </si>
  <si>
    <t>EPS</t>
  </si>
  <si>
    <t>Q117</t>
  </si>
  <si>
    <t>Q217</t>
  </si>
  <si>
    <t>Q317</t>
  </si>
  <si>
    <t>Q417</t>
  </si>
  <si>
    <t>Revenue y/y</t>
  </si>
  <si>
    <t>Gross Margin</t>
  </si>
  <si>
    <t>Operating Margin</t>
  </si>
  <si>
    <t>S&amp;D Margin</t>
  </si>
  <si>
    <t>Adminstrative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</si>
  <si>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</si>
  <si>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</si>
  <si>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</si>
  <si>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</si>
  <si>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</si>
  <si>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</si>
  <si>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</si>
  <si>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</si>
  <si>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</si>
  <si>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Q121</t>
  </si>
  <si>
    <t>Q221</t>
  </si>
  <si>
    <t>Q321</t>
  </si>
  <si>
    <t>Q421</t>
  </si>
  <si>
    <t>Net Margin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</si>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</sst>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0" fontId="0" fillId="0" borderId="0" xfId="0" applyFont="1"/>
    <xf numFmtId="3" fontId="0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</xdr:colOff>
      <xdr:row>0</xdr:row>
      <xdr:rowOff>0</xdr:rowOff>
    </xdr:from>
    <xdr:to>
      <xdr:col>20</xdr:col>
      <xdr:colOff>22860</xdr:colOff>
      <xdr:row>33</xdr:row>
      <xdr:rowOff>99060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081560A-CBEB-469A-92E0-C2E81B636C2C}"/>
            </a:ext>
          </a:extLst>
        </xdr:cNvPr>
        <xdr:cNvCxnSpPr/>
      </xdr:nvCxnSpPr>
      <xdr:spPr>
        <a:xfrm>
          <a:off x="1303020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30480</xdr:colOff>
      <xdr:row>0</xdr:row>
      <xdr:rowOff>0</xdr:rowOff>
    </xdr:from>
    <xdr:to>
      <xdr:col>27</xdr:col>
      <xdr:colOff>30480</xdr:colOff>
      <xdr:row>33</xdr:row>
      <xdr:rowOff>99060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FA01D24-43F4-4D1C-8696-A1024DBBF088}"/>
            </a:ext>
          </a:extLst>
        </xdr:cNvPr>
        <xdr:cNvCxnSpPr/>
      </xdr:nvCxnSpPr>
      <xdr:spPr>
        <a:xfrm>
          <a:off x="17305020" y="0"/>
          <a:ext cx="0" cy="613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549F-9D75-4D1F-9233-01A16E1384D3}">
  <dimension ref="B2:G9"/>
  <sheetViews>
    <sheetView workbookViewId="0">
      <selection activeCell="D7" sqref="D7"/>
    </sheetView>
  </sheetViews>
  <sheetFormatPr defaultRowHeight="14.4" x14ac:dyDescent="0.3"/>
  <cols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52.12</v>
      </c>
      <c r="E3" s="3">
        <v>44420</v>
      </c>
      <c r="F3" s="3">
        <f ca="1">TODAY()</f>
        <v>44420</v>
      </c>
      <c r="G3" s="3">
        <v>44504</v>
      </c>
    </row>
    <row r="4" spans="2:7" x14ac:dyDescent="0.3">
      <c r="C4" t="s">
        <v>2</v>
      </c>
      <c r="D4" s="5">
        <v>70.400000000000006</v>
      </c>
      <c r="E4" s="2" t="s">
        <v>52</v>
      </c>
    </row>
    <row r="5" spans="2:7" x14ac:dyDescent="0.3">
      <c r="C5" t="s">
        <v>3</v>
      </c>
      <c r="D5" s="5">
        <f>D3*D4</f>
        <v>3669.248</v>
      </c>
    </row>
    <row r="6" spans="2:7" x14ac:dyDescent="0.3">
      <c r="C6" t="s">
        <v>4</v>
      </c>
      <c r="D6" s="5">
        <v>138</v>
      </c>
      <c r="E6" s="2" t="s">
        <v>52</v>
      </c>
    </row>
    <row r="7" spans="2:7" x14ac:dyDescent="0.3">
      <c r="C7" t="s">
        <v>5</v>
      </c>
      <c r="D7" s="5">
        <f>86+203</f>
        <v>289</v>
      </c>
      <c r="E7" s="2" t="s">
        <v>52</v>
      </c>
    </row>
    <row r="8" spans="2:7" x14ac:dyDescent="0.3">
      <c r="C8" t="s">
        <v>6</v>
      </c>
      <c r="D8" s="5">
        <f>D6-D7</f>
        <v>-151</v>
      </c>
    </row>
    <row r="9" spans="2:7" x14ac:dyDescent="0.3">
      <c r="C9" t="s">
        <v>7</v>
      </c>
      <c r="D9" s="5">
        <f>D5-D8</f>
        <v>3820.248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06C2-90F0-4E12-9AD1-F73F6A693555}">
  <dimension ref="B2:ER26"/>
  <sheetViews>
    <sheetView tabSelected="1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B5" sqref="AB5"/>
    </sheetView>
  </sheetViews>
  <sheetFormatPr defaultRowHeight="14.4" x14ac:dyDescent="0.3"/>
  <cols>
    <col min="2" max="2" width="20.77734375" bestFit="1" customWidth="1"/>
    <col min="3" max="6" width="8.88671875" customWidth="1"/>
    <col min="39" max="39" width="11.88671875" bestFit="1" customWidth="1"/>
    <col min="40" max="40" width="17.33203125" bestFit="1" customWidth="1"/>
  </cols>
  <sheetData>
    <row r="2" spans="2:148" x14ac:dyDescent="0.3">
      <c r="C2" s="6" t="s">
        <v>34</v>
      </c>
      <c r="D2" s="6" t="s">
        <v>35</v>
      </c>
      <c r="E2" s="6" t="s">
        <v>36</v>
      </c>
      <c r="F2" s="6" t="s">
        <v>37</v>
      </c>
      <c r="G2" s="6" t="s">
        <v>13</v>
      </c>
      <c r="H2" s="6" t="s">
        <v>14</v>
      </c>
      <c r="I2" s="6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6" t="s">
        <v>21</v>
      </c>
      <c r="P2" s="6" t="s">
        <v>22</v>
      </c>
      <c r="Q2" s="6" t="s">
        <v>11</v>
      </c>
      <c r="R2" s="6" t="s">
        <v>23</v>
      </c>
      <c r="S2" s="6" t="s">
        <v>52</v>
      </c>
      <c r="T2" s="6" t="s">
        <v>53</v>
      </c>
      <c r="U2" s="6" t="s">
        <v>54</v>
      </c>
      <c r="V2" s="6" t="s">
        <v>55</v>
      </c>
      <c r="X2">
        <v>2017</v>
      </c>
      <c r="Y2">
        <v>2018</v>
      </c>
      <c r="Z2">
        <v>2019</v>
      </c>
      <c r="AA2">
        <v>2020</v>
      </c>
      <c r="AB2">
        <v>2021</v>
      </c>
      <c r="AC2">
        <v>2022</v>
      </c>
      <c r="AD2">
        <v>2023</v>
      </c>
      <c r="AE2">
        <v>2024</v>
      </c>
      <c r="AF2">
        <v>2025</v>
      </c>
      <c r="AG2">
        <v>2026</v>
      </c>
      <c r="AH2">
        <v>2027</v>
      </c>
      <c r="AI2">
        <v>2028</v>
      </c>
      <c r="AJ2">
        <v>2029</v>
      </c>
      <c r="AK2">
        <v>2030</v>
      </c>
    </row>
    <row r="3" spans="2:148" s="1" customFormat="1" x14ac:dyDescent="0.3">
      <c r="B3" s="1" t="s">
        <v>12</v>
      </c>
      <c r="C3" s="8">
        <v>651</v>
      </c>
      <c r="D3" s="8">
        <v>636</v>
      </c>
      <c r="E3" s="8">
        <v>711</v>
      </c>
      <c r="F3" s="8">
        <v>735</v>
      </c>
      <c r="G3" s="8">
        <v>650</v>
      </c>
      <c r="H3" s="8">
        <v>653</v>
      </c>
      <c r="I3" s="8">
        <v>710</v>
      </c>
      <c r="J3" s="8">
        <v>783</v>
      </c>
      <c r="K3" s="8">
        <v>664</v>
      </c>
      <c r="L3" s="8">
        <v>675</v>
      </c>
      <c r="M3" s="8">
        <v>720</v>
      </c>
      <c r="N3" s="8">
        <v>825</v>
      </c>
      <c r="O3" s="8">
        <v>555</v>
      </c>
      <c r="P3" s="8">
        <v>275</v>
      </c>
      <c r="Q3" s="8">
        <v>533</v>
      </c>
      <c r="R3" s="8">
        <f>AA3-Q3-P3-O3</f>
        <v>582.79999999999995</v>
      </c>
      <c r="S3" s="8">
        <v>497</v>
      </c>
      <c r="T3" s="8">
        <v>629</v>
      </c>
      <c r="U3" s="8">
        <f>Q3*1.27</f>
        <v>676.91</v>
      </c>
      <c r="V3" s="8">
        <f>R3*1.3</f>
        <v>757.64</v>
      </c>
      <c r="X3" s="8">
        <f>SUM(C3:F3)</f>
        <v>2733</v>
      </c>
      <c r="Y3" s="8">
        <f>SUM(G3:J3)</f>
        <v>2796</v>
      </c>
      <c r="Z3" s="8">
        <f>SUM(K3:N3)</f>
        <v>2884</v>
      </c>
      <c r="AA3" s="8">
        <v>1945.8</v>
      </c>
      <c r="AB3" s="8">
        <f>SUM(S3:V3)</f>
        <v>2560.5499999999997</v>
      </c>
      <c r="AC3" s="8">
        <f>AB3*1.14</f>
        <v>2919.0269999999996</v>
      </c>
      <c r="AD3" s="8">
        <f>AC3*1.08</f>
        <v>3152.5491599999996</v>
      </c>
      <c r="AE3" s="8">
        <f>AD3*1.06</f>
        <v>3341.7021095999999</v>
      </c>
      <c r="AF3" s="8">
        <f>AE3*1.04</f>
        <v>3475.3701939839998</v>
      </c>
      <c r="AG3" s="8">
        <f t="shared" ref="AF3:AG3" si="0">AF3*1.03</f>
        <v>3579.6312998035201</v>
      </c>
      <c r="AH3" s="8">
        <f t="shared" ref="AH3" si="1">AG3*1.03</f>
        <v>3687.0202387976256</v>
      </c>
      <c r="AI3" s="8">
        <f t="shared" ref="AI3:AK3" si="2">AH3*1.02</f>
        <v>3760.7606435735779</v>
      </c>
      <c r="AJ3" s="8">
        <f t="shared" si="2"/>
        <v>3835.9758564450494</v>
      </c>
      <c r="AK3" s="8">
        <f t="shared" si="2"/>
        <v>3912.6953735739503</v>
      </c>
    </row>
    <row r="4" spans="2:148" x14ac:dyDescent="0.3">
      <c r="B4" t="s">
        <v>24</v>
      </c>
      <c r="C4" s="5">
        <v>232</v>
      </c>
      <c r="D4" s="5">
        <v>206</v>
      </c>
      <c r="E4" s="5">
        <v>250</v>
      </c>
      <c r="F4" s="5">
        <v>237</v>
      </c>
      <c r="G4" s="5">
        <v>234</v>
      </c>
      <c r="H4" s="5">
        <v>216</v>
      </c>
      <c r="I4" s="5">
        <v>266</v>
      </c>
      <c r="J4" s="5">
        <v>256</v>
      </c>
      <c r="K4" s="5">
        <v>240</v>
      </c>
      <c r="L4" s="5">
        <v>230</v>
      </c>
      <c r="M4" s="5">
        <v>264</v>
      </c>
      <c r="N4" s="5">
        <v>275</v>
      </c>
      <c r="O4" s="5">
        <v>206</v>
      </c>
      <c r="P4" s="5">
        <v>125</v>
      </c>
      <c r="Q4" s="5">
        <v>203</v>
      </c>
      <c r="R4" s="11">
        <f>AA4-Q4-P4-O4</f>
        <v>224.60000000000002</v>
      </c>
      <c r="S4" s="11">
        <v>197</v>
      </c>
      <c r="T4" s="11">
        <v>244</v>
      </c>
      <c r="U4" s="11">
        <f t="shared" ref="T4:V4" si="3">U3-U5</f>
        <v>250.45670000000001</v>
      </c>
      <c r="V4" s="11">
        <f t="shared" si="3"/>
        <v>272.75040000000001</v>
      </c>
      <c r="X4" s="11">
        <f>SUM(C4:F4)</f>
        <v>925</v>
      </c>
      <c r="Y4" s="11">
        <f>SUM(G4:J4)</f>
        <v>972</v>
      </c>
      <c r="Z4" s="11">
        <f>SUM(K4:N4)</f>
        <v>1009</v>
      </c>
      <c r="AA4" s="11">
        <v>758.6</v>
      </c>
      <c r="AB4" s="11">
        <f>SUM(S4:V4)</f>
        <v>964.20709999999997</v>
      </c>
      <c r="AC4" s="5">
        <f t="shared" ref="AC4:AK4" si="4">AC3-AC5</f>
        <v>1050.8497199999997</v>
      </c>
      <c r="AD4" s="5">
        <f t="shared" si="4"/>
        <v>1103.392206</v>
      </c>
      <c r="AE4" s="5">
        <f t="shared" si="4"/>
        <v>1169.5957383599998</v>
      </c>
      <c r="AF4" s="5">
        <f t="shared" si="4"/>
        <v>1216.3795678943998</v>
      </c>
      <c r="AG4" s="5">
        <f t="shared" si="4"/>
        <v>1252.8709549312321</v>
      </c>
      <c r="AH4" s="5">
        <f t="shared" si="4"/>
        <v>1290.4570835791687</v>
      </c>
      <c r="AI4" s="5">
        <f t="shared" si="4"/>
        <v>1316.2662252507521</v>
      </c>
      <c r="AJ4" s="5">
        <f t="shared" si="4"/>
        <v>1342.5915497557671</v>
      </c>
      <c r="AK4" s="5">
        <f t="shared" si="4"/>
        <v>1369.4433807508826</v>
      </c>
    </row>
    <row r="5" spans="2:148" s="1" customFormat="1" x14ac:dyDescent="0.3">
      <c r="B5" s="1" t="s">
        <v>25</v>
      </c>
      <c r="C5" s="8">
        <f t="shared" ref="C5:T5" si="5">C3-C4</f>
        <v>419</v>
      </c>
      <c r="D5" s="8">
        <f t="shared" si="5"/>
        <v>430</v>
      </c>
      <c r="E5" s="8">
        <f t="shared" si="5"/>
        <v>461</v>
      </c>
      <c r="F5" s="8">
        <f t="shared" si="5"/>
        <v>498</v>
      </c>
      <c r="G5" s="8">
        <f t="shared" si="5"/>
        <v>416</v>
      </c>
      <c r="H5" s="8">
        <f t="shared" si="5"/>
        <v>437</v>
      </c>
      <c r="I5" s="8">
        <f t="shared" si="5"/>
        <v>444</v>
      </c>
      <c r="J5" s="8">
        <f t="shared" si="5"/>
        <v>527</v>
      </c>
      <c r="K5" s="8">
        <f t="shared" si="5"/>
        <v>424</v>
      </c>
      <c r="L5" s="8">
        <f t="shared" si="5"/>
        <v>445</v>
      </c>
      <c r="M5" s="8">
        <f t="shared" si="5"/>
        <v>456</v>
      </c>
      <c r="N5" s="8">
        <f t="shared" si="5"/>
        <v>550</v>
      </c>
      <c r="O5" s="8">
        <f t="shared" si="5"/>
        <v>349</v>
      </c>
      <c r="P5" s="8">
        <f t="shared" si="5"/>
        <v>150</v>
      </c>
      <c r="Q5" s="8">
        <f t="shared" si="5"/>
        <v>330</v>
      </c>
      <c r="R5" s="8">
        <f t="shared" si="5"/>
        <v>358.19999999999993</v>
      </c>
      <c r="S5" s="8">
        <f t="shared" si="5"/>
        <v>300</v>
      </c>
      <c r="T5" s="8">
        <f t="shared" si="5"/>
        <v>385</v>
      </c>
      <c r="U5" s="8">
        <f>U3*0.63</f>
        <v>426.45329999999996</v>
      </c>
      <c r="V5" s="8">
        <f>V3*0.64</f>
        <v>484.88959999999997</v>
      </c>
      <c r="X5" s="8">
        <f>X3-X4</f>
        <v>1808</v>
      </c>
      <c r="Y5" s="8">
        <f>Y3-Y4</f>
        <v>1824</v>
      </c>
      <c r="Z5" s="8">
        <f>Z3-Z4</f>
        <v>1875</v>
      </c>
      <c r="AA5" s="8">
        <f>AA3-AA4</f>
        <v>1187.1999999999998</v>
      </c>
      <c r="AB5" s="8">
        <f>AB3-AB4</f>
        <v>1596.3428999999996</v>
      </c>
      <c r="AC5" s="8">
        <f>AC3*0.64</f>
        <v>1868.1772799999999</v>
      </c>
      <c r="AD5" s="8">
        <f>AD3*0.65</f>
        <v>2049.1569539999996</v>
      </c>
      <c r="AE5" s="8">
        <f t="shared" ref="AE5:AK5" si="6">AE3*0.65</f>
        <v>2172.10637124</v>
      </c>
      <c r="AF5" s="8">
        <f t="shared" si="6"/>
        <v>2258.9906260896</v>
      </c>
      <c r="AG5" s="8">
        <f t="shared" si="6"/>
        <v>2326.760344872288</v>
      </c>
      <c r="AH5" s="8">
        <f t="shared" si="6"/>
        <v>2396.5631552184568</v>
      </c>
      <c r="AI5" s="8">
        <f t="shared" si="6"/>
        <v>2444.4944183228258</v>
      </c>
      <c r="AJ5" s="8">
        <f t="shared" si="6"/>
        <v>2493.3843066892823</v>
      </c>
      <c r="AK5" s="8">
        <f t="shared" si="6"/>
        <v>2543.2519928230677</v>
      </c>
    </row>
    <row r="6" spans="2:148" x14ac:dyDescent="0.3">
      <c r="B6" t="s">
        <v>26</v>
      </c>
      <c r="C6" s="5">
        <v>283</v>
      </c>
      <c r="D6" s="5">
        <v>286</v>
      </c>
      <c r="E6" s="5">
        <v>284</v>
      </c>
      <c r="F6" s="5">
        <v>342</v>
      </c>
      <c r="G6" s="5">
        <v>272</v>
      </c>
      <c r="H6" s="5">
        <v>289</v>
      </c>
      <c r="I6" s="5">
        <v>281</v>
      </c>
      <c r="J6" s="5">
        <v>331</v>
      </c>
      <c r="K6" s="5">
        <v>286</v>
      </c>
      <c r="L6" s="5">
        <v>293</v>
      </c>
      <c r="M6" s="5">
        <v>306</v>
      </c>
      <c r="N6" s="5">
        <v>350</v>
      </c>
      <c r="O6" s="5">
        <v>288</v>
      </c>
      <c r="P6" s="5">
        <f>204+125</f>
        <v>329</v>
      </c>
      <c r="Q6" s="5">
        <v>251</v>
      </c>
      <c r="R6" s="11">
        <f>AA6-Q6-P6-O6</f>
        <v>270</v>
      </c>
      <c r="S6" s="11">
        <v>231</v>
      </c>
      <c r="T6" s="11">
        <v>270</v>
      </c>
      <c r="U6" s="11">
        <f>U3*0.44</f>
        <v>297.84039999999999</v>
      </c>
      <c r="V6" s="11">
        <f>V3*0.45</f>
        <v>340.93799999999999</v>
      </c>
      <c r="X6" s="11">
        <f>SUM(C6:F6)</f>
        <v>1195</v>
      </c>
      <c r="Y6" s="11">
        <f>SUM(G6:J6)</f>
        <v>1173</v>
      </c>
      <c r="Z6" s="11">
        <f>SUM(K6:N6)</f>
        <v>1235</v>
      </c>
      <c r="AA6" s="11">
        <v>1138</v>
      </c>
      <c r="AB6" s="11">
        <f>SUM(S6:V6)</f>
        <v>1139.7784000000001</v>
      </c>
      <c r="AC6" s="5">
        <f>AC3*0.44</f>
        <v>1284.3718799999999</v>
      </c>
      <c r="AD6" s="5">
        <f>AD3*0.43</f>
        <v>1355.5961387999998</v>
      </c>
      <c r="AE6" s="5">
        <f t="shared" ref="AE6:AG6" si="7">AE3*0.43</f>
        <v>1436.9319071279999</v>
      </c>
      <c r="AF6" s="5">
        <f t="shared" si="7"/>
        <v>1494.40918341312</v>
      </c>
      <c r="AG6" s="5">
        <f t="shared" si="7"/>
        <v>1539.2414589155137</v>
      </c>
      <c r="AH6" s="5">
        <f>AH3*0.42</f>
        <v>1548.5485002950027</v>
      </c>
      <c r="AI6" s="5">
        <f t="shared" ref="AI6:AK6" si="8">AI3*0.42</f>
        <v>1579.5194703009026</v>
      </c>
      <c r="AJ6" s="5">
        <f t="shared" si="8"/>
        <v>1611.1098597069206</v>
      </c>
      <c r="AK6" s="5">
        <f t="shared" si="8"/>
        <v>1643.3320569010591</v>
      </c>
    </row>
    <row r="7" spans="2:148" x14ac:dyDescent="0.3">
      <c r="B7" t="s">
        <v>27</v>
      </c>
      <c r="C7" s="5">
        <v>72</v>
      </c>
      <c r="D7" s="5">
        <f>69-6</f>
        <v>63</v>
      </c>
      <c r="E7" s="5">
        <f>67-5</f>
        <v>62</v>
      </c>
      <c r="F7" s="5">
        <v>75</v>
      </c>
      <c r="G7" s="5">
        <v>74</v>
      </c>
      <c r="H7" s="5">
        <v>74</v>
      </c>
      <c r="I7" s="5">
        <f>68+3</f>
        <v>71</v>
      </c>
      <c r="J7" s="5">
        <v>84</v>
      </c>
      <c r="K7" s="5">
        <v>80</v>
      </c>
      <c r="L7" s="5">
        <v>72</v>
      </c>
      <c r="M7" s="5">
        <v>67</v>
      </c>
      <c r="N7" s="5">
        <v>79</v>
      </c>
      <c r="O7" s="5">
        <v>75</v>
      </c>
      <c r="P7" s="5">
        <v>71</v>
      </c>
      <c r="Q7" s="5">
        <v>65</v>
      </c>
      <c r="R7" s="11">
        <f>AA7-Q7-P7-O7</f>
        <v>73.800000000000011</v>
      </c>
      <c r="S7" s="11">
        <v>68</v>
      </c>
      <c r="T7" s="11">
        <v>73</v>
      </c>
      <c r="U7" s="11">
        <f>Q7*1.15</f>
        <v>74.75</v>
      </c>
      <c r="V7" s="11">
        <f>R7*1.07</f>
        <v>78.966000000000022</v>
      </c>
      <c r="X7" s="11">
        <f>SUM(C7:F7)</f>
        <v>272</v>
      </c>
      <c r="Y7" s="11">
        <f>SUM(G7:J7)</f>
        <v>303</v>
      </c>
      <c r="Z7" s="11">
        <f>SUM(K7:N7)</f>
        <v>298</v>
      </c>
      <c r="AA7" s="11">
        <v>284.8</v>
      </c>
      <c r="AB7" s="11">
        <f>SUM(S7:V7)</f>
        <v>294.71600000000001</v>
      </c>
      <c r="AC7" s="5">
        <f>AB7*1.03</f>
        <v>303.55748</v>
      </c>
      <c r="AD7" s="5">
        <f t="shared" ref="AD7:AE7" si="9">AC7*1.02</f>
        <v>309.62862960000001</v>
      </c>
      <c r="AE7" s="5">
        <f t="shared" si="9"/>
        <v>315.82120219200004</v>
      </c>
      <c r="AF7" s="5">
        <f>AE7*1.01</f>
        <v>318.97941421392005</v>
      </c>
      <c r="AG7" s="5">
        <f>AF7*1.01</f>
        <v>322.16920835605924</v>
      </c>
      <c r="AH7" s="5">
        <f t="shared" ref="AH7:AK7" si="10">AG7*1.01</f>
        <v>325.39090043961983</v>
      </c>
      <c r="AI7" s="5">
        <f t="shared" si="10"/>
        <v>328.644809444016</v>
      </c>
      <c r="AJ7" s="5">
        <f t="shared" si="10"/>
        <v>331.93125753845618</v>
      </c>
      <c r="AK7" s="5">
        <f t="shared" si="10"/>
        <v>335.25057011384075</v>
      </c>
    </row>
    <row r="8" spans="2:148" s="1" customFormat="1" x14ac:dyDescent="0.3">
      <c r="B8" s="1" t="s">
        <v>28</v>
      </c>
      <c r="C8" s="8">
        <f t="shared" ref="C8:V8" si="11">C5-C6-C7</f>
        <v>64</v>
      </c>
      <c r="D8" s="8">
        <f t="shared" si="11"/>
        <v>81</v>
      </c>
      <c r="E8" s="8">
        <f t="shared" si="11"/>
        <v>115</v>
      </c>
      <c r="F8" s="8">
        <f t="shared" si="11"/>
        <v>81</v>
      </c>
      <c r="G8" s="8">
        <f t="shared" si="11"/>
        <v>70</v>
      </c>
      <c r="H8" s="8">
        <f t="shared" si="11"/>
        <v>74</v>
      </c>
      <c r="I8" s="8">
        <f t="shared" si="11"/>
        <v>92</v>
      </c>
      <c r="J8" s="8">
        <f t="shared" si="11"/>
        <v>112</v>
      </c>
      <c r="K8" s="8">
        <f t="shared" si="11"/>
        <v>58</v>
      </c>
      <c r="L8" s="8">
        <f t="shared" si="11"/>
        <v>80</v>
      </c>
      <c r="M8" s="8">
        <f t="shared" si="11"/>
        <v>83</v>
      </c>
      <c r="N8" s="8">
        <f t="shared" si="11"/>
        <v>121</v>
      </c>
      <c r="O8" s="8">
        <f t="shared" si="11"/>
        <v>-14</v>
      </c>
      <c r="P8" s="8">
        <f t="shared" si="11"/>
        <v>-250</v>
      </c>
      <c r="Q8" s="8">
        <f t="shared" si="11"/>
        <v>14</v>
      </c>
      <c r="R8" s="8">
        <f t="shared" si="11"/>
        <v>14.39999999999992</v>
      </c>
      <c r="S8" s="8">
        <f t="shared" si="11"/>
        <v>1</v>
      </c>
      <c r="T8" s="8">
        <f t="shared" si="11"/>
        <v>42</v>
      </c>
      <c r="U8" s="8">
        <f t="shared" si="11"/>
        <v>53.862899999999968</v>
      </c>
      <c r="V8" s="8">
        <f t="shared" si="11"/>
        <v>64.985599999999963</v>
      </c>
      <c r="X8" s="8">
        <f>X5-X6-X7</f>
        <v>341</v>
      </c>
      <c r="Y8" s="8">
        <f>Y5-Y6-Y7</f>
        <v>348</v>
      </c>
      <c r="Z8" s="8">
        <f>Z5-Z6-Z7</f>
        <v>342</v>
      </c>
      <c r="AA8" s="8">
        <f>AA5-AA6-AA7</f>
        <v>-235.60000000000019</v>
      </c>
      <c r="AB8" s="8">
        <f t="shared" ref="AB8:AK8" si="12">AB5-AB6-AB7</f>
        <v>161.84849999999949</v>
      </c>
      <c r="AC8" s="8">
        <f t="shared" si="12"/>
        <v>280.24791999999997</v>
      </c>
      <c r="AD8" s="8">
        <f t="shared" si="12"/>
        <v>383.93218559999974</v>
      </c>
      <c r="AE8" s="8">
        <f t="shared" si="12"/>
        <v>419.35326192000008</v>
      </c>
      <c r="AF8" s="8">
        <f t="shared" si="12"/>
        <v>445.60202846255999</v>
      </c>
      <c r="AG8" s="8">
        <f t="shared" si="12"/>
        <v>465.34967760071504</v>
      </c>
      <c r="AH8" s="8">
        <f t="shared" si="12"/>
        <v>522.62375448383432</v>
      </c>
      <c r="AI8" s="8">
        <f t="shared" si="12"/>
        <v>536.33013857790718</v>
      </c>
      <c r="AJ8" s="8">
        <f t="shared" si="12"/>
        <v>550.34318944390554</v>
      </c>
      <c r="AK8" s="8">
        <f t="shared" si="12"/>
        <v>564.66936580816787</v>
      </c>
    </row>
    <row r="9" spans="2:148" x14ac:dyDescent="0.3">
      <c r="B9" t="s">
        <v>29</v>
      </c>
      <c r="C9" s="5">
        <v>1</v>
      </c>
      <c r="D9" s="5">
        <v>5</v>
      </c>
      <c r="E9" s="5">
        <v>3</v>
      </c>
      <c r="F9" s="5">
        <v>1</v>
      </c>
      <c r="G9" s="5">
        <v>3</v>
      </c>
      <c r="H9" s="5">
        <v>2</v>
      </c>
      <c r="I9" s="5">
        <v>3</v>
      </c>
      <c r="J9" s="5">
        <v>3</v>
      </c>
      <c r="K9" s="5">
        <v>8</v>
      </c>
      <c r="L9" s="5">
        <v>9</v>
      </c>
      <c r="M9" s="5">
        <v>8</v>
      </c>
      <c r="N9" s="5">
        <v>9</v>
      </c>
      <c r="O9" s="5">
        <v>11</v>
      </c>
      <c r="P9" s="5">
        <v>9</v>
      </c>
      <c r="Q9" s="5">
        <v>10</v>
      </c>
      <c r="R9" s="11">
        <f>AA9-Q9-P9-O9</f>
        <v>7.6000000000000014</v>
      </c>
      <c r="S9" s="11">
        <v>11</v>
      </c>
      <c r="T9" s="11">
        <v>8</v>
      </c>
      <c r="U9" s="11">
        <v>8</v>
      </c>
      <c r="V9" s="11">
        <v>8</v>
      </c>
      <c r="X9" s="11">
        <f>SUM(C9:F9)</f>
        <v>10</v>
      </c>
      <c r="Y9" s="11">
        <f>SUM(G9:J9)</f>
        <v>11</v>
      </c>
      <c r="Z9" s="11">
        <f>SUM(K9:N9)</f>
        <v>34</v>
      </c>
      <c r="AA9" s="11">
        <v>37.6</v>
      </c>
      <c r="AB9" s="11">
        <f>SUM(S9:V9)</f>
        <v>35</v>
      </c>
      <c r="AC9" s="5">
        <f t="shared" ref="AC9:AK9" si="13">AB9*0.8</f>
        <v>28</v>
      </c>
      <c r="AD9" s="5">
        <f t="shared" si="13"/>
        <v>22.400000000000002</v>
      </c>
      <c r="AE9" s="5">
        <f t="shared" si="13"/>
        <v>17.920000000000002</v>
      </c>
      <c r="AF9" s="5">
        <f t="shared" si="13"/>
        <v>14.336000000000002</v>
      </c>
      <c r="AG9" s="5">
        <f t="shared" si="13"/>
        <v>11.468800000000002</v>
      </c>
      <c r="AH9" s="5">
        <f t="shared" si="13"/>
        <v>9.175040000000001</v>
      </c>
      <c r="AI9" s="5">
        <f t="shared" si="13"/>
        <v>7.3400320000000008</v>
      </c>
      <c r="AJ9" s="5">
        <f t="shared" si="13"/>
        <v>5.8720256000000006</v>
      </c>
      <c r="AK9" s="5">
        <f t="shared" si="13"/>
        <v>4.6976204800000003</v>
      </c>
    </row>
    <row r="10" spans="2:148" s="1" customFormat="1" x14ac:dyDescent="0.3">
      <c r="B10" s="1" t="s">
        <v>30</v>
      </c>
      <c r="C10" s="8">
        <f t="shared" ref="C10:V10" si="14">C8-C9</f>
        <v>63</v>
      </c>
      <c r="D10" s="8">
        <f t="shared" si="14"/>
        <v>76</v>
      </c>
      <c r="E10" s="8">
        <f t="shared" si="14"/>
        <v>112</v>
      </c>
      <c r="F10" s="8">
        <f t="shared" si="14"/>
        <v>80</v>
      </c>
      <c r="G10" s="8">
        <f t="shared" si="14"/>
        <v>67</v>
      </c>
      <c r="H10" s="8">
        <f t="shared" si="14"/>
        <v>72</v>
      </c>
      <c r="I10" s="8">
        <f t="shared" si="14"/>
        <v>89</v>
      </c>
      <c r="J10" s="8">
        <f t="shared" si="14"/>
        <v>109</v>
      </c>
      <c r="K10" s="8">
        <f t="shared" si="14"/>
        <v>50</v>
      </c>
      <c r="L10" s="8">
        <f t="shared" si="14"/>
        <v>71</v>
      </c>
      <c r="M10" s="8">
        <f t="shared" si="14"/>
        <v>75</v>
      </c>
      <c r="N10" s="8">
        <f t="shared" si="14"/>
        <v>112</v>
      </c>
      <c r="O10" s="8">
        <f t="shared" si="14"/>
        <v>-25</v>
      </c>
      <c r="P10" s="8">
        <f t="shared" si="14"/>
        <v>-259</v>
      </c>
      <c r="Q10" s="8">
        <f t="shared" si="14"/>
        <v>4</v>
      </c>
      <c r="R10" s="8">
        <f t="shared" si="14"/>
        <v>6.799999999999919</v>
      </c>
      <c r="S10" s="8">
        <f t="shared" si="14"/>
        <v>-10</v>
      </c>
      <c r="T10" s="8">
        <f t="shared" si="14"/>
        <v>34</v>
      </c>
      <c r="U10" s="8">
        <f t="shared" si="14"/>
        <v>45.862899999999968</v>
      </c>
      <c r="V10" s="8">
        <f t="shared" si="14"/>
        <v>56.985599999999963</v>
      </c>
      <c r="X10" s="8">
        <f>X8-X9</f>
        <v>331</v>
      </c>
      <c r="Y10" s="8">
        <f>Y8-Y9</f>
        <v>337</v>
      </c>
      <c r="Z10" s="8">
        <f>Z8-Z9</f>
        <v>308</v>
      </c>
      <c r="AA10" s="8">
        <f>AA8-AA9</f>
        <v>-273.20000000000022</v>
      </c>
      <c r="AB10" s="8">
        <f t="shared" ref="AB10:AK10" si="15">AB8-AB9</f>
        <v>126.84849999999949</v>
      </c>
      <c r="AC10" s="8">
        <f t="shared" si="15"/>
        <v>252.24791999999997</v>
      </c>
      <c r="AD10" s="8">
        <f t="shared" si="15"/>
        <v>361.53218559999976</v>
      </c>
      <c r="AE10" s="8">
        <f t="shared" si="15"/>
        <v>401.43326192000006</v>
      </c>
      <c r="AF10" s="8">
        <f t="shared" si="15"/>
        <v>431.26602846255997</v>
      </c>
      <c r="AG10" s="8">
        <f t="shared" si="15"/>
        <v>453.88087760071505</v>
      </c>
      <c r="AH10" s="8">
        <f t="shared" si="15"/>
        <v>513.44871448383435</v>
      </c>
      <c r="AI10" s="8">
        <f t="shared" si="15"/>
        <v>528.99010657790723</v>
      </c>
      <c r="AJ10" s="8">
        <f t="shared" si="15"/>
        <v>544.47116384390552</v>
      </c>
      <c r="AK10" s="8">
        <f t="shared" si="15"/>
        <v>559.97174532816791</v>
      </c>
    </row>
    <row r="11" spans="2:148" x14ac:dyDescent="0.3">
      <c r="B11" t="s">
        <v>31</v>
      </c>
      <c r="C11" s="5">
        <v>15</v>
      </c>
      <c r="D11" s="5">
        <v>18</v>
      </c>
      <c r="E11" s="5">
        <v>32</v>
      </c>
      <c r="F11" s="5">
        <v>35</v>
      </c>
      <c r="G11" s="5">
        <v>17</v>
      </c>
      <c r="H11" s="5">
        <v>18</v>
      </c>
      <c r="I11" s="5">
        <v>23</v>
      </c>
      <c r="J11" s="5">
        <v>41</v>
      </c>
      <c r="K11" s="5">
        <v>13</v>
      </c>
      <c r="L11" s="5">
        <v>18</v>
      </c>
      <c r="M11" s="5">
        <v>20</v>
      </c>
      <c r="N11" s="5">
        <v>51</v>
      </c>
      <c r="O11" s="5">
        <v>-7</v>
      </c>
      <c r="P11" s="5">
        <v>-72</v>
      </c>
      <c r="Q11" s="5">
        <v>1</v>
      </c>
      <c r="R11" s="11">
        <f>AA11-Q11-P11-O11</f>
        <v>24</v>
      </c>
      <c r="S11" s="11">
        <v>-3</v>
      </c>
      <c r="T11" s="11">
        <v>10</v>
      </c>
      <c r="U11" s="11">
        <f t="shared" ref="T11:V11" si="16">U10*0.3</f>
        <v>13.758869999999989</v>
      </c>
      <c r="V11" s="11">
        <f t="shared" si="16"/>
        <v>17.095679999999987</v>
      </c>
      <c r="X11" s="11">
        <f>SUM(C11:F11)</f>
        <v>100</v>
      </c>
      <c r="Y11" s="11">
        <f>SUM(G11:J11)</f>
        <v>99</v>
      </c>
      <c r="Z11" s="11">
        <f>SUM(K11:N11)</f>
        <v>102</v>
      </c>
      <c r="AA11" s="11">
        <v>-54</v>
      </c>
      <c r="AB11" s="11">
        <f>SUM(S11:V11)</f>
        <v>37.854549999999975</v>
      </c>
      <c r="AC11" s="5">
        <f t="shared" ref="AC11:AK11" si="17">AC10*0.3</f>
        <v>75.674375999999981</v>
      </c>
      <c r="AD11" s="5">
        <f t="shared" si="17"/>
        <v>108.45965567999993</v>
      </c>
      <c r="AE11" s="5">
        <f t="shared" si="17"/>
        <v>120.42997857600001</v>
      </c>
      <c r="AF11" s="5">
        <f t="shared" si="17"/>
        <v>129.37980853876797</v>
      </c>
      <c r="AG11" s="5">
        <f t="shared" si="17"/>
        <v>136.1642632802145</v>
      </c>
      <c r="AH11" s="5">
        <f t="shared" si="17"/>
        <v>154.03461434515029</v>
      </c>
      <c r="AI11" s="5">
        <f t="shared" si="17"/>
        <v>158.69703197337216</v>
      </c>
      <c r="AJ11" s="5">
        <f t="shared" si="17"/>
        <v>163.34134915317165</v>
      </c>
      <c r="AK11" s="5">
        <f t="shared" si="17"/>
        <v>167.99152359845036</v>
      </c>
    </row>
    <row r="12" spans="2:148" s="1" customFormat="1" x14ac:dyDescent="0.3">
      <c r="B12" s="1" t="s">
        <v>32</v>
      </c>
      <c r="C12" s="8">
        <f t="shared" ref="C12:R12" si="18">C10-C11</f>
        <v>48</v>
      </c>
      <c r="D12" s="8">
        <f t="shared" si="18"/>
        <v>58</v>
      </c>
      <c r="E12" s="8">
        <f t="shared" si="18"/>
        <v>80</v>
      </c>
      <c r="F12" s="8">
        <f t="shared" si="18"/>
        <v>45</v>
      </c>
      <c r="G12" s="8">
        <f t="shared" si="18"/>
        <v>50</v>
      </c>
      <c r="H12" s="8">
        <f t="shared" si="18"/>
        <v>54</v>
      </c>
      <c r="I12" s="8">
        <f t="shared" si="18"/>
        <v>66</v>
      </c>
      <c r="J12" s="8">
        <f t="shared" si="18"/>
        <v>68</v>
      </c>
      <c r="K12" s="8">
        <f t="shared" si="18"/>
        <v>37</v>
      </c>
      <c r="L12" s="8">
        <f t="shared" si="18"/>
        <v>53</v>
      </c>
      <c r="M12" s="8">
        <f t="shared" si="18"/>
        <v>55</v>
      </c>
      <c r="N12" s="8">
        <f t="shared" si="18"/>
        <v>61</v>
      </c>
      <c r="O12" s="8">
        <f t="shared" si="18"/>
        <v>-18</v>
      </c>
      <c r="P12" s="8">
        <f t="shared" si="18"/>
        <v>-187</v>
      </c>
      <c r="Q12" s="8">
        <f t="shared" si="18"/>
        <v>3</v>
      </c>
      <c r="R12" s="8">
        <f t="shared" si="18"/>
        <v>-17.200000000000081</v>
      </c>
      <c r="S12" s="8">
        <f t="shared" ref="S12:V12" si="19">S10-S11</f>
        <v>-7</v>
      </c>
      <c r="T12" s="8">
        <f t="shared" si="19"/>
        <v>24</v>
      </c>
      <c r="U12" s="8">
        <f t="shared" si="19"/>
        <v>32.10402999999998</v>
      </c>
      <c r="V12" s="8">
        <f t="shared" si="19"/>
        <v>39.889919999999975</v>
      </c>
      <c r="X12" s="8">
        <f>X10-X11</f>
        <v>231</v>
      </c>
      <c r="Y12" s="8">
        <f>Y10-Y11</f>
        <v>238</v>
      </c>
      <c r="Z12" s="8">
        <f>Z10-Z11</f>
        <v>206</v>
      </c>
      <c r="AA12" s="8">
        <f>AA10-AA11</f>
        <v>-219.20000000000022</v>
      </c>
      <c r="AB12" s="8">
        <f t="shared" ref="AB12:AK12" si="20">AB10-AB11</f>
        <v>88.993949999999515</v>
      </c>
      <c r="AC12" s="8">
        <f t="shared" si="20"/>
        <v>176.57354399999997</v>
      </c>
      <c r="AD12" s="8">
        <f t="shared" si="20"/>
        <v>253.07252991999985</v>
      </c>
      <c r="AE12" s="8">
        <f t="shared" si="20"/>
        <v>281.00328334400007</v>
      </c>
      <c r="AF12" s="8">
        <f t="shared" si="20"/>
        <v>301.886219923792</v>
      </c>
      <c r="AG12" s="8">
        <f t="shared" si="20"/>
        <v>317.71661432050053</v>
      </c>
      <c r="AH12" s="8">
        <f t="shared" si="20"/>
        <v>359.41410013868403</v>
      </c>
      <c r="AI12" s="8">
        <f t="shared" si="20"/>
        <v>370.29307460453504</v>
      </c>
      <c r="AJ12" s="8">
        <f t="shared" si="20"/>
        <v>381.12981469073384</v>
      </c>
      <c r="AK12" s="8">
        <f t="shared" si="20"/>
        <v>391.98022172971753</v>
      </c>
      <c r="AL12" s="1">
        <f>AK12*(1+$AN$18)</f>
        <v>388.06041951242037</v>
      </c>
      <c r="AM12" s="1">
        <f t="shared" ref="AM12:CX12" si="21">AL12*(1+$AN$18)</f>
        <v>384.17981531729617</v>
      </c>
      <c r="AN12" s="1">
        <f t="shared" si="21"/>
        <v>380.33801716412319</v>
      </c>
      <c r="AO12" s="1">
        <f t="shared" si="21"/>
        <v>376.53463699248198</v>
      </c>
      <c r="AP12" s="1">
        <f t="shared" si="21"/>
        <v>372.76929062255715</v>
      </c>
      <c r="AQ12" s="1">
        <f t="shared" si="21"/>
        <v>369.04159771633158</v>
      </c>
      <c r="AR12" s="1">
        <f t="shared" si="21"/>
        <v>365.35118173916828</v>
      </c>
      <c r="AS12" s="1">
        <f t="shared" si="21"/>
        <v>361.69766992177659</v>
      </c>
      <c r="AT12" s="1">
        <f t="shared" si="21"/>
        <v>358.08069322255881</v>
      </c>
      <c r="AU12" s="1">
        <f t="shared" si="21"/>
        <v>354.49988629033322</v>
      </c>
      <c r="AV12" s="1">
        <f t="shared" si="21"/>
        <v>350.95488742742987</v>
      </c>
      <c r="AW12" s="1">
        <f t="shared" si="21"/>
        <v>347.44533855315558</v>
      </c>
      <c r="AX12" s="1">
        <f t="shared" si="21"/>
        <v>343.97088516762403</v>
      </c>
      <c r="AY12" s="1">
        <f t="shared" si="21"/>
        <v>340.53117631594779</v>
      </c>
      <c r="AZ12" s="1">
        <f t="shared" si="21"/>
        <v>337.1258645527883</v>
      </c>
      <c r="BA12" s="1">
        <f t="shared" si="21"/>
        <v>333.75460590726044</v>
      </c>
      <c r="BB12" s="1">
        <f t="shared" si="21"/>
        <v>330.41705984818782</v>
      </c>
      <c r="BC12" s="1">
        <f t="shared" si="21"/>
        <v>327.11288924970592</v>
      </c>
      <c r="BD12" s="1">
        <f t="shared" si="21"/>
        <v>323.84176035720884</v>
      </c>
      <c r="BE12" s="1">
        <f t="shared" si="21"/>
        <v>320.60334275363675</v>
      </c>
      <c r="BF12" s="1">
        <f t="shared" si="21"/>
        <v>317.39730932610036</v>
      </c>
      <c r="BG12" s="1">
        <f t="shared" si="21"/>
        <v>314.22333623283936</v>
      </c>
      <c r="BH12" s="1">
        <f t="shared" si="21"/>
        <v>311.08110287051096</v>
      </c>
      <c r="BI12" s="1">
        <f t="shared" si="21"/>
        <v>307.97029184180587</v>
      </c>
      <c r="BJ12" s="1">
        <f t="shared" si="21"/>
        <v>304.89058892338784</v>
      </c>
      <c r="BK12" s="1">
        <f t="shared" si="21"/>
        <v>301.84168303415396</v>
      </c>
      <c r="BL12" s="1">
        <f t="shared" si="21"/>
        <v>298.82326620381241</v>
      </c>
      <c r="BM12" s="1">
        <f t="shared" si="21"/>
        <v>295.83503354177429</v>
      </c>
      <c r="BN12" s="1">
        <f t="shared" si="21"/>
        <v>292.87668320635657</v>
      </c>
      <c r="BO12" s="1">
        <f t="shared" si="21"/>
        <v>289.94791637429302</v>
      </c>
      <c r="BP12" s="1">
        <f t="shared" si="21"/>
        <v>287.04843721055011</v>
      </c>
      <c r="BQ12" s="1">
        <f t="shared" si="21"/>
        <v>284.17795283844458</v>
      </c>
      <c r="BR12" s="1">
        <f t="shared" si="21"/>
        <v>281.33617331006013</v>
      </c>
      <c r="BS12" s="1">
        <f t="shared" si="21"/>
        <v>278.52281157695955</v>
      </c>
      <c r="BT12" s="1">
        <f t="shared" si="21"/>
        <v>275.73758346118996</v>
      </c>
      <c r="BU12" s="1">
        <f t="shared" si="21"/>
        <v>272.98020762657808</v>
      </c>
      <c r="BV12" s="1">
        <f t="shared" si="21"/>
        <v>270.25040555031228</v>
      </c>
      <c r="BW12" s="1">
        <f t="shared" si="21"/>
        <v>267.54790149480914</v>
      </c>
      <c r="BX12" s="1">
        <f t="shared" si="21"/>
        <v>264.87242247986103</v>
      </c>
      <c r="BY12" s="1">
        <f t="shared" si="21"/>
        <v>262.2236982550624</v>
      </c>
      <c r="BZ12" s="1">
        <f t="shared" si="21"/>
        <v>259.60146127251176</v>
      </c>
      <c r="CA12" s="1">
        <f t="shared" si="21"/>
        <v>257.00544665978663</v>
      </c>
      <c r="CB12" s="1">
        <f t="shared" si="21"/>
        <v>254.43539219318876</v>
      </c>
      <c r="CC12" s="1">
        <f t="shared" si="21"/>
        <v>251.89103827125686</v>
      </c>
      <c r="CD12" s="1">
        <f t="shared" si="21"/>
        <v>249.3721278885443</v>
      </c>
      <c r="CE12" s="1">
        <f t="shared" si="21"/>
        <v>246.87840660965887</v>
      </c>
      <c r="CF12" s="1">
        <f t="shared" si="21"/>
        <v>244.40962254356228</v>
      </c>
      <c r="CG12" s="1">
        <f t="shared" si="21"/>
        <v>241.96552631812665</v>
      </c>
      <c r="CH12" s="1">
        <f t="shared" si="21"/>
        <v>239.54587105494539</v>
      </c>
      <c r="CI12" s="1">
        <f t="shared" si="21"/>
        <v>237.15041234439593</v>
      </c>
      <c r="CJ12" s="1">
        <f t="shared" si="21"/>
        <v>234.77890822095196</v>
      </c>
      <c r="CK12" s="1">
        <f t="shared" si="21"/>
        <v>232.43111913874245</v>
      </c>
      <c r="CL12" s="1">
        <f t="shared" si="21"/>
        <v>230.10680794735501</v>
      </c>
      <c r="CM12" s="1">
        <f t="shared" si="21"/>
        <v>227.80573986788144</v>
      </c>
      <c r="CN12" s="1">
        <f t="shared" si="21"/>
        <v>225.52768246920263</v>
      </c>
      <c r="CO12" s="1">
        <f t="shared" si="21"/>
        <v>223.2724056445106</v>
      </c>
      <c r="CP12" s="1">
        <f t="shared" si="21"/>
        <v>221.03968158806549</v>
      </c>
      <c r="CQ12" s="1">
        <f t="shared" si="21"/>
        <v>218.82928477218482</v>
      </c>
      <c r="CR12" s="1">
        <f t="shared" si="21"/>
        <v>216.64099192446298</v>
      </c>
      <c r="CS12" s="1">
        <f t="shared" si="21"/>
        <v>214.47458200521834</v>
      </c>
      <c r="CT12" s="1">
        <f t="shared" si="21"/>
        <v>212.32983618516616</v>
      </c>
      <c r="CU12" s="1">
        <f t="shared" si="21"/>
        <v>210.20653782331451</v>
      </c>
      <c r="CV12" s="1">
        <f t="shared" si="21"/>
        <v>208.10447244508137</v>
      </c>
      <c r="CW12" s="1">
        <f t="shared" si="21"/>
        <v>206.02342772063056</v>
      </c>
      <c r="CX12" s="1">
        <f t="shared" si="21"/>
        <v>203.96319344342425</v>
      </c>
      <c r="CY12" s="1">
        <f t="shared" ref="CY12:ER12" si="22">CX12*(1+$AN$18)</f>
        <v>201.92356150898999</v>
      </c>
      <c r="CZ12" s="1">
        <f t="shared" si="22"/>
        <v>199.90432589390008</v>
      </c>
      <c r="DA12" s="1">
        <f t="shared" si="22"/>
        <v>197.90528263496108</v>
      </c>
      <c r="DB12" s="1">
        <f t="shared" si="22"/>
        <v>195.92622980861148</v>
      </c>
      <c r="DC12" s="1">
        <f t="shared" si="22"/>
        <v>193.96696751052536</v>
      </c>
      <c r="DD12" s="1">
        <f t="shared" si="22"/>
        <v>192.02729783542011</v>
      </c>
      <c r="DE12" s="1">
        <f t="shared" si="22"/>
        <v>190.10702485706591</v>
      </c>
      <c r="DF12" s="1">
        <f t="shared" si="22"/>
        <v>188.20595460849526</v>
      </c>
      <c r="DG12" s="1">
        <f t="shared" si="22"/>
        <v>186.32389506241032</v>
      </c>
      <c r="DH12" s="1">
        <f t="shared" si="22"/>
        <v>184.46065611178622</v>
      </c>
      <c r="DI12" s="1">
        <f t="shared" si="22"/>
        <v>182.61604955066835</v>
      </c>
      <c r="DJ12" s="1">
        <f t="shared" si="22"/>
        <v>180.78988905516167</v>
      </c>
      <c r="DK12" s="1">
        <f t="shared" si="22"/>
        <v>178.98199016461004</v>
      </c>
      <c r="DL12" s="1">
        <f t="shared" si="22"/>
        <v>177.19217026296394</v>
      </c>
      <c r="DM12" s="1">
        <f t="shared" si="22"/>
        <v>175.4202485603343</v>
      </c>
      <c r="DN12" s="1">
        <f t="shared" si="22"/>
        <v>173.66604607473096</v>
      </c>
      <c r="DO12" s="1">
        <f t="shared" si="22"/>
        <v>171.92938561398364</v>
      </c>
      <c r="DP12" s="1">
        <f t="shared" si="22"/>
        <v>170.2100917578438</v>
      </c>
      <c r="DQ12" s="1">
        <f t="shared" si="22"/>
        <v>168.50799084026536</v>
      </c>
      <c r="DR12" s="1">
        <f t="shared" si="22"/>
        <v>166.82291093186271</v>
      </c>
      <c r="DS12" s="1">
        <f t="shared" si="22"/>
        <v>165.15468182254409</v>
      </c>
      <c r="DT12" s="1">
        <f t="shared" si="22"/>
        <v>163.50313500431864</v>
      </c>
      <c r="DU12" s="1">
        <f t="shared" si="22"/>
        <v>161.86810365427544</v>
      </c>
      <c r="DV12" s="1">
        <f t="shared" si="22"/>
        <v>160.24942261773268</v>
      </c>
      <c r="DW12" s="1">
        <f t="shared" si="22"/>
        <v>158.64692839155535</v>
      </c>
      <c r="DX12" s="1">
        <f t="shared" si="22"/>
        <v>157.06045910763979</v>
      </c>
      <c r="DY12" s="1">
        <f t="shared" si="22"/>
        <v>155.48985451656338</v>
      </c>
      <c r="DZ12" s="1">
        <f t="shared" si="22"/>
        <v>153.93495597139776</v>
      </c>
      <c r="EA12" s="1">
        <f t="shared" si="22"/>
        <v>152.39560641168379</v>
      </c>
      <c r="EB12" s="1">
        <f t="shared" si="22"/>
        <v>150.87165034756694</v>
      </c>
      <c r="EC12" s="1">
        <f t="shared" si="22"/>
        <v>149.36293384409126</v>
      </c>
      <c r="ED12" s="1">
        <f t="shared" si="22"/>
        <v>147.86930450565035</v>
      </c>
      <c r="EE12" s="1">
        <f t="shared" si="22"/>
        <v>146.39061146059385</v>
      </c>
      <c r="EF12" s="1">
        <f t="shared" si="22"/>
        <v>144.9267053459879</v>
      </c>
      <c r="EG12" s="1">
        <f t="shared" si="22"/>
        <v>143.47743829252801</v>
      </c>
      <c r="EH12" s="1">
        <f t="shared" si="22"/>
        <v>142.04266390960274</v>
      </c>
      <c r="EI12" s="1">
        <f t="shared" si="22"/>
        <v>140.6222372705067</v>
      </c>
      <c r="EJ12" s="1">
        <f t="shared" si="22"/>
        <v>139.21601489780164</v>
      </c>
      <c r="EK12" s="1">
        <f t="shared" si="22"/>
        <v>137.82385474882363</v>
      </c>
      <c r="EL12" s="1">
        <f t="shared" si="22"/>
        <v>136.44561620133538</v>
      </c>
      <c r="EM12" s="1">
        <f t="shared" si="22"/>
        <v>135.08116003932201</v>
      </c>
      <c r="EN12" s="1">
        <f t="shared" si="22"/>
        <v>133.73034843892879</v>
      </c>
      <c r="EO12" s="1">
        <f t="shared" si="22"/>
        <v>132.3930449545395</v>
      </c>
      <c r="EP12" s="1">
        <f t="shared" si="22"/>
        <v>131.0691145049941</v>
      </c>
      <c r="EQ12" s="1">
        <f t="shared" si="22"/>
        <v>129.75842335994417</v>
      </c>
      <c r="ER12" s="1">
        <f t="shared" si="22"/>
        <v>128.46083912634472</v>
      </c>
    </row>
    <row r="13" spans="2:148" x14ac:dyDescent="0.3">
      <c r="B13" t="s">
        <v>2</v>
      </c>
      <c r="C13" s="5">
        <v>70.400000000000006</v>
      </c>
      <c r="D13" s="5">
        <v>70.400000000000006</v>
      </c>
      <c r="E13" s="5">
        <v>70.400000000000006</v>
      </c>
      <c r="F13" s="5">
        <v>70.400000000000006</v>
      </c>
      <c r="G13" s="5">
        <v>70.400000000000006</v>
      </c>
      <c r="H13" s="5">
        <v>70.400000000000006</v>
      </c>
      <c r="I13" s="5">
        <v>70.400000000000006</v>
      </c>
      <c r="J13" s="5">
        <v>70.400000000000006</v>
      </c>
      <c r="K13" s="5">
        <v>70.400000000000006</v>
      </c>
      <c r="L13" s="5">
        <v>70.400000000000006</v>
      </c>
      <c r="M13" s="5">
        <v>70.400000000000006</v>
      </c>
      <c r="N13" s="5">
        <v>70.400000000000006</v>
      </c>
      <c r="O13" s="5">
        <v>70.400000000000006</v>
      </c>
      <c r="P13" s="5">
        <v>70.400000000000006</v>
      </c>
      <c r="Q13" s="5">
        <v>70.400000000000006</v>
      </c>
      <c r="R13" s="5">
        <v>70.400000000000006</v>
      </c>
      <c r="S13" s="5">
        <v>70.400000000000006</v>
      </c>
      <c r="T13" s="5">
        <v>70.400000000000006</v>
      </c>
      <c r="U13" s="5">
        <v>70.400000000000006</v>
      </c>
      <c r="V13" s="5">
        <v>70.400000000000006</v>
      </c>
      <c r="X13" s="5">
        <v>70.400000000000006</v>
      </c>
      <c r="Y13" s="5">
        <v>70.400000000000006</v>
      </c>
      <c r="Z13" s="5">
        <v>70.400000000000006</v>
      </c>
      <c r="AA13" s="5">
        <v>70.400000000000006</v>
      </c>
      <c r="AB13" s="5">
        <v>70.400000000000006</v>
      </c>
      <c r="AC13" s="5">
        <v>70.400000000000006</v>
      </c>
      <c r="AD13" s="5">
        <v>70.400000000000006</v>
      </c>
      <c r="AE13" s="5">
        <v>70.400000000000006</v>
      </c>
      <c r="AF13" s="5">
        <v>70.400000000000006</v>
      </c>
      <c r="AG13" s="5">
        <v>70.400000000000006</v>
      </c>
      <c r="AH13" s="5">
        <v>70.400000000000006</v>
      </c>
      <c r="AI13" s="5">
        <v>70.400000000000006</v>
      </c>
      <c r="AJ13" s="5">
        <v>70.400000000000006</v>
      </c>
      <c r="AK13" s="5">
        <v>70.400000000000006</v>
      </c>
    </row>
    <row r="14" spans="2:148" s="1" customFormat="1" x14ac:dyDescent="0.3">
      <c r="B14" s="1" t="s">
        <v>33</v>
      </c>
      <c r="C14" s="7">
        <f t="shared" ref="C14:R14" si="23">C12/C13</f>
        <v>0.68181818181818177</v>
      </c>
      <c r="D14" s="7">
        <f t="shared" si="23"/>
        <v>0.82386363636363624</v>
      </c>
      <c r="E14" s="7">
        <f t="shared" si="23"/>
        <v>1.1363636363636362</v>
      </c>
      <c r="F14" s="7">
        <f t="shared" si="23"/>
        <v>0.63920454545454541</v>
      </c>
      <c r="G14" s="7">
        <f t="shared" si="23"/>
        <v>0.71022727272727271</v>
      </c>
      <c r="H14" s="7">
        <f t="shared" si="23"/>
        <v>0.76704545454545447</v>
      </c>
      <c r="I14" s="7">
        <f t="shared" si="23"/>
        <v>0.93749999999999989</v>
      </c>
      <c r="J14" s="7">
        <f t="shared" si="23"/>
        <v>0.96590909090909083</v>
      </c>
      <c r="K14" s="7">
        <f t="shared" si="23"/>
        <v>0.52556818181818177</v>
      </c>
      <c r="L14" s="7">
        <f t="shared" si="23"/>
        <v>0.75284090909090906</v>
      </c>
      <c r="M14" s="7">
        <f t="shared" si="23"/>
        <v>0.78124999999999989</v>
      </c>
      <c r="N14" s="7">
        <f t="shared" si="23"/>
        <v>0.86647727272727271</v>
      </c>
      <c r="O14" s="7">
        <f t="shared" si="23"/>
        <v>-0.25568181818181818</v>
      </c>
      <c r="P14" s="7">
        <f t="shared" si="23"/>
        <v>-2.65625</v>
      </c>
      <c r="Q14" s="7">
        <f t="shared" si="23"/>
        <v>4.261363636363636E-2</v>
      </c>
      <c r="R14" s="7">
        <f t="shared" si="23"/>
        <v>-0.24431818181818296</v>
      </c>
      <c r="S14" s="7">
        <f t="shared" ref="S14:V14" si="24">S12/S13</f>
        <v>-9.9431818181818177E-2</v>
      </c>
      <c r="T14" s="7">
        <f t="shared" si="24"/>
        <v>0.34090909090909088</v>
      </c>
      <c r="U14" s="7">
        <f t="shared" si="24"/>
        <v>0.45602315340909061</v>
      </c>
      <c r="V14" s="7">
        <f t="shared" si="24"/>
        <v>0.56661818181818147</v>
      </c>
      <c r="X14" s="7">
        <f>X12/X13</f>
        <v>3.2812499999999996</v>
      </c>
      <c r="Y14" s="7">
        <f>Y12/Y13</f>
        <v>3.3806818181818179</v>
      </c>
      <c r="Z14" s="7">
        <f>Z12/Z13</f>
        <v>2.9261363636363633</v>
      </c>
      <c r="AA14" s="7">
        <f>AA12/AA13</f>
        <v>-3.1136363636363664</v>
      </c>
      <c r="AB14" s="7">
        <f t="shared" ref="AB14:AK14" si="25">AB12/AB13</f>
        <v>1.2641186079545386</v>
      </c>
      <c r="AC14" s="7">
        <f t="shared" si="25"/>
        <v>2.5081469318181813</v>
      </c>
      <c r="AD14" s="7">
        <f t="shared" si="25"/>
        <v>3.5947802545454524</v>
      </c>
      <c r="AE14" s="7">
        <f t="shared" si="25"/>
        <v>3.9915239111363641</v>
      </c>
      <c r="AF14" s="7">
        <f t="shared" si="25"/>
        <v>4.2881565330084088</v>
      </c>
      <c r="AG14" s="7">
        <f t="shared" si="25"/>
        <v>4.5130200897798369</v>
      </c>
      <c r="AH14" s="7">
        <f t="shared" si="25"/>
        <v>5.1053139224244886</v>
      </c>
      <c r="AI14" s="7">
        <f t="shared" si="25"/>
        <v>5.2598448097235089</v>
      </c>
      <c r="AJ14" s="7">
        <f t="shared" si="25"/>
        <v>5.4137757768570145</v>
      </c>
      <c r="AK14" s="7">
        <f t="shared" si="25"/>
        <v>5.567900876842578</v>
      </c>
    </row>
    <row r="16" spans="2:148" x14ac:dyDescent="0.3">
      <c r="B16" s="1" t="s">
        <v>38</v>
      </c>
      <c r="G16" s="9">
        <f>G3/C3-1</f>
        <v>-1.536098310291889E-3</v>
      </c>
      <c r="H16" s="9">
        <f t="shared" ref="H16:R16" si="26">H3/D3-1</f>
        <v>2.6729559748427612E-2</v>
      </c>
      <c r="I16" s="9">
        <f t="shared" si="26"/>
        <v>-1.4064697609000865E-3</v>
      </c>
      <c r="J16" s="9">
        <f t="shared" si="26"/>
        <v>6.5306122448979487E-2</v>
      </c>
      <c r="K16" s="9">
        <f t="shared" si="26"/>
        <v>2.1538461538461506E-2</v>
      </c>
      <c r="L16" s="9">
        <f t="shared" si="26"/>
        <v>3.3690658499234249E-2</v>
      </c>
      <c r="M16" s="9">
        <f t="shared" si="26"/>
        <v>1.4084507042253502E-2</v>
      </c>
      <c r="N16" s="9">
        <f t="shared" si="26"/>
        <v>5.3639846743295028E-2</v>
      </c>
      <c r="O16" s="9">
        <f t="shared" si="26"/>
        <v>-0.16415662650602414</v>
      </c>
      <c r="P16" s="9">
        <f t="shared" si="26"/>
        <v>-0.59259259259259256</v>
      </c>
      <c r="Q16" s="9">
        <f t="shared" si="26"/>
        <v>-0.25972222222222219</v>
      </c>
      <c r="R16" s="9">
        <f t="shared" si="26"/>
        <v>-0.2935757575757576</v>
      </c>
      <c r="S16" s="9">
        <f t="shared" ref="S16" si="27">S3/O3-1</f>
        <v>-0.10450450450450455</v>
      </c>
      <c r="T16" s="9">
        <f t="shared" ref="T16" si="28">T3/P3-1</f>
        <v>1.2872727272727271</v>
      </c>
      <c r="U16" s="9">
        <f t="shared" ref="U16" si="29">U3/Q3-1</f>
        <v>0.27</v>
      </c>
      <c r="V16" s="9">
        <f t="shared" ref="V16" si="30">V3/R3-1</f>
        <v>0.30000000000000004</v>
      </c>
      <c r="Y16" s="9">
        <f>Y3/X3-1</f>
        <v>2.3051591657519133E-2</v>
      </c>
      <c r="Z16" s="9">
        <f t="shared" ref="Z16:AK16" si="31">Z3/Y3-1</f>
        <v>3.1473533619456262E-2</v>
      </c>
      <c r="AA16" s="9">
        <f t="shared" si="31"/>
        <v>-0.32531206657420253</v>
      </c>
      <c r="AB16" s="9">
        <f t="shared" si="31"/>
        <v>0.31593688971117273</v>
      </c>
      <c r="AC16" s="9">
        <f t="shared" si="31"/>
        <v>0.1399999999999999</v>
      </c>
      <c r="AD16" s="9">
        <f t="shared" si="31"/>
        <v>8.0000000000000071E-2</v>
      </c>
      <c r="AE16" s="9">
        <f t="shared" si="31"/>
        <v>6.0000000000000053E-2</v>
      </c>
      <c r="AF16" s="9">
        <f t="shared" si="31"/>
        <v>4.0000000000000036E-2</v>
      </c>
      <c r="AG16" s="9">
        <f t="shared" si="31"/>
        <v>3.0000000000000027E-2</v>
      </c>
      <c r="AH16" s="9">
        <f t="shared" si="31"/>
        <v>3.0000000000000027E-2</v>
      </c>
      <c r="AI16" s="9">
        <f t="shared" si="31"/>
        <v>2.0000000000000018E-2</v>
      </c>
      <c r="AJ16" s="9">
        <f t="shared" si="31"/>
        <v>2.0000000000000018E-2</v>
      </c>
      <c r="AK16" s="9">
        <f t="shared" si="31"/>
        <v>2.0000000000000018E-2</v>
      </c>
    </row>
    <row r="17" spans="2:40" x14ac:dyDescent="0.3">
      <c r="B17" s="1" t="s">
        <v>39</v>
      </c>
      <c r="C17" s="9">
        <f>C5/C3</f>
        <v>0.64362519201228874</v>
      </c>
      <c r="D17" s="9">
        <f t="shared" ref="D17:R17" si="32">D5/D3</f>
        <v>0.67610062893081757</v>
      </c>
      <c r="E17" s="9">
        <f t="shared" si="32"/>
        <v>0.64838255977496484</v>
      </c>
      <c r="F17" s="9">
        <f t="shared" si="32"/>
        <v>0.67755102040816328</v>
      </c>
      <c r="G17" s="9">
        <f t="shared" si="32"/>
        <v>0.64</v>
      </c>
      <c r="H17" s="9">
        <f t="shared" si="32"/>
        <v>0.66921898928024504</v>
      </c>
      <c r="I17" s="9">
        <f t="shared" si="32"/>
        <v>0.62535211267605639</v>
      </c>
      <c r="J17" s="9">
        <f t="shared" si="32"/>
        <v>0.6730523627075351</v>
      </c>
      <c r="K17" s="9">
        <f t="shared" si="32"/>
        <v>0.63855421686746983</v>
      </c>
      <c r="L17" s="9">
        <f t="shared" si="32"/>
        <v>0.65925925925925921</v>
      </c>
      <c r="M17" s="9">
        <f t="shared" si="32"/>
        <v>0.6333333333333333</v>
      </c>
      <c r="N17" s="9">
        <f t="shared" si="32"/>
        <v>0.66666666666666663</v>
      </c>
      <c r="O17" s="9">
        <f t="shared" si="32"/>
        <v>0.62882882882882885</v>
      </c>
      <c r="P17" s="9">
        <f t="shared" si="32"/>
        <v>0.54545454545454541</v>
      </c>
      <c r="Q17" s="9">
        <f t="shared" si="32"/>
        <v>0.61913696060037526</v>
      </c>
      <c r="R17" s="9">
        <f t="shared" si="32"/>
        <v>0.61461908030199031</v>
      </c>
      <c r="S17" s="9">
        <f t="shared" ref="S17:V17" si="33">S5/S3</f>
        <v>0.60362173038229372</v>
      </c>
      <c r="T17" s="9">
        <f t="shared" si="33"/>
        <v>0.61208267090620028</v>
      </c>
      <c r="U17" s="9">
        <f t="shared" si="33"/>
        <v>0.63</v>
      </c>
      <c r="V17" s="9">
        <f t="shared" si="33"/>
        <v>0.64</v>
      </c>
      <c r="X17" s="9">
        <f t="shared" ref="X17:AK17" si="34">X5/X3</f>
        <v>0.66154409074277354</v>
      </c>
      <c r="Y17" s="9">
        <f t="shared" si="34"/>
        <v>0.6523605150214592</v>
      </c>
      <c r="Z17" s="9">
        <f t="shared" si="34"/>
        <v>0.65013869625520115</v>
      </c>
      <c r="AA17" s="9">
        <f t="shared" si="34"/>
        <v>0.61013464898756287</v>
      </c>
      <c r="AB17" s="9">
        <f t="shared" si="34"/>
        <v>0.62343750366132267</v>
      </c>
      <c r="AC17" s="9">
        <f t="shared" si="34"/>
        <v>0.64</v>
      </c>
      <c r="AD17" s="9">
        <f t="shared" si="34"/>
        <v>0.64999999999999991</v>
      </c>
      <c r="AE17" s="9">
        <f t="shared" si="34"/>
        <v>0.65</v>
      </c>
      <c r="AF17" s="9">
        <f t="shared" si="34"/>
        <v>0.65</v>
      </c>
      <c r="AG17" s="9">
        <f t="shared" si="34"/>
        <v>0.65</v>
      </c>
      <c r="AH17" s="9">
        <f t="shared" si="34"/>
        <v>0.65</v>
      </c>
      <c r="AI17" s="9">
        <f t="shared" si="34"/>
        <v>0.65</v>
      </c>
      <c r="AJ17" s="9">
        <f t="shared" si="34"/>
        <v>0.65</v>
      </c>
      <c r="AK17" s="9">
        <f t="shared" si="34"/>
        <v>0.65</v>
      </c>
    </row>
    <row r="18" spans="2:40" x14ac:dyDescent="0.3">
      <c r="B18" s="10" t="s">
        <v>40</v>
      </c>
      <c r="C18" s="9">
        <f>C8/C3</f>
        <v>9.8310291858678955E-2</v>
      </c>
      <c r="D18" s="9">
        <f t="shared" ref="D18:R18" si="35">D8/D3</f>
        <v>0.12735849056603774</v>
      </c>
      <c r="E18" s="9">
        <f t="shared" si="35"/>
        <v>0.16174402250351619</v>
      </c>
      <c r="F18" s="9">
        <f t="shared" si="35"/>
        <v>0.11020408163265306</v>
      </c>
      <c r="G18" s="9">
        <f t="shared" si="35"/>
        <v>0.1076923076923077</v>
      </c>
      <c r="H18" s="9">
        <f t="shared" si="35"/>
        <v>0.11332312404287902</v>
      </c>
      <c r="I18" s="9">
        <f t="shared" si="35"/>
        <v>0.12957746478873239</v>
      </c>
      <c r="J18" s="9">
        <f t="shared" si="35"/>
        <v>0.14303959131545338</v>
      </c>
      <c r="K18" s="9">
        <f t="shared" si="35"/>
        <v>8.7349397590361449E-2</v>
      </c>
      <c r="L18" s="9">
        <f t="shared" si="35"/>
        <v>0.11851851851851852</v>
      </c>
      <c r="M18" s="9">
        <f t="shared" si="35"/>
        <v>0.11527777777777778</v>
      </c>
      <c r="N18" s="9">
        <f t="shared" si="35"/>
        <v>0.14666666666666667</v>
      </c>
      <c r="O18" s="9">
        <f t="shared" si="35"/>
        <v>-2.5225225225225224E-2</v>
      </c>
      <c r="P18" s="9">
        <f t="shared" si="35"/>
        <v>-0.90909090909090906</v>
      </c>
      <c r="Q18" s="9">
        <f t="shared" si="35"/>
        <v>2.6266416510318951E-2</v>
      </c>
      <c r="R18" s="9">
        <f t="shared" si="35"/>
        <v>2.4708304735758274E-2</v>
      </c>
      <c r="S18" s="9">
        <f t="shared" ref="S18:V18" si="36">S8/S3</f>
        <v>2.012072434607646E-3</v>
      </c>
      <c r="T18" s="9">
        <f t="shared" si="36"/>
        <v>6.6772655007949128E-2</v>
      </c>
      <c r="U18" s="9">
        <f t="shared" si="36"/>
        <v>7.9571730362972881E-2</v>
      </c>
      <c r="V18" s="9">
        <f t="shared" si="36"/>
        <v>8.5773718388680587E-2</v>
      </c>
      <c r="X18" s="9">
        <f t="shared" ref="X18:AK18" si="37">X8/X3</f>
        <v>0.1247713135748262</v>
      </c>
      <c r="Y18" s="9">
        <f t="shared" si="37"/>
        <v>0.12446351931330472</v>
      </c>
      <c r="Z18" s="9">
        <f t="shared" si="37"/>
        <v>0.11858529819694869</v>
      </c>
      <c r="AA18" s="9">
        <f t="shared" si="37"/>
        <v>-0.12108130331997133</v>
      </c>
      <c r="AB18" s="9">
        <f t="shared" si="37"/>
        <v>6.320849036339829E-2</v>
      </c>
      <c r="AC18" s="9">
        <f t="shared" si="37"/>
        <v>9.6007306544269713E-2</v>
      </c>
      <c r="AD18" s="9">
        <f t="shared" si="37"/>
        <v>0.12178467840292133</v>
      </c>
      <c r="AE18" s="9">
        <f t="shared" si="37"/>
        <v>0.12549091695375458</v>
      </c>
      <c r="AF18" s="9">
        <f t="shared" si="37"/>
        <v>0.12821714050316549</v>
      </c>
      <c r="AG18" s="9">
        <f t="shared" si="37"/>
        <v>0.12999933194970592</v>
      </c>
      <c r="AH18" s="9">
        <f t="shared" si="37"/>
        <v>0.14174691773709036</v>
      </c>
      <c r="AI18" s="9">
        <f t="shared" si="37"/>
        <v>0.14261214403378555</v>
      </c>
      <c r="AJ18" s="9">
        <f t="shared" si="37"/>
        <v>0.14346888771972885</v>
      </c>
      <c r="AK18" s="9">
        <f t="shared" si="37"/>
        <v>0.14431723195777066</v>
      </c>
      <c r="AM18" t="s">
        <v>43</v>
      </c>
      <c r="AN18" s="9">
        <v>-0.01</v>
      </c>
    </row>
    <row r="19" spans="2:40" x14ac:dyDescent="0.3">
      <c r="B19" s="10" t="s">
        <v>41</v>
      </c>
      <c r="C19" s="9">
        <f>C6/C3</f>
        <v>0.43471582181259599</v>
      </c>
      <c r="D19" s="9">
        <f t="shared" ref="D19:R19" si="38">D6/D3</f>
        <v>0.44968553459119498</v>
      </c>
      <c r="E19" s="9">
        <f t="shared" si="38"/>
        <v>0.39943741209563993</v>
      </c>
      <c r="F19" s="9">
        <f t="shared" si="38"/>
        <v>0.46530612244897956</v>
      </c>
      <c r="G19" s="9">
        <f t="shared" si="38"/>
        <v>0.41846153846153844</v>
      </c>
      <c r="H19" s="9">
        <f t="shared" si="38"/>
        <v>0.44257274119448697</v>
      </c>
      <c r="I19" s="9">
        <f t="shared" si="38"/>
        <v>0.39577464788732392</v>
      </c>
      <c r="J19" s="9">
        <f t="shared" si="38"/>
        <v>0.42273307790549169</v>
      </c>
      <c r="K19" s="9">
        <f t="shared" si="38"/>
        <v>0.43072289156626509</v>
      </c>
      <c r="L19" s="9">
        <f t="shared" si="38"/>
        <v>0.43407407407407406</v>
      </c>
      <c r="M19" s="9">
        <f t="shared" si="38"/>
        <v>0.42499999999999999</v>
      </c>
      <c r="N19" s="9">
        <f t="shared" si="38"/>
        <v>0.42424242424242425</v>
      </c>
      <c r="O19" s="9">
        <f t="shared" si="38"/>
        <v>0.51891891891891895</v>
      </c>
      <c r="P19" s="9">
        <f t="shared" si="38"/>
        <v>1.1963636363636363</v>
      </c>
      <c r="Q19" s="9">
        <f t="shared" si="38"/>
        <v>0.47091932457786118</v>
      </c>
      <c r="R19" s="9">
        <f t="shared" si="38"/>
        <v>0.4632807137954702</v>
      </c>
      <c r="S19" s="9">
        <f t="shared" ref="S19:V19" si="39">S6/S3</f>
        <v>0.46478873239436619</v>
      </c>
      <c r="T19" s="9">
        <f t="shared" si="39"/>
        <v>0.42925278219395868</v>
      </c>
      <c r="U19" s="9">
        <f t="shared" si="39"/>
        <v>0.44</v>
      </c>
      <c r="V19" s="9">
        <f t="shared" si="39"/>
        <v>0.45</v>
      </c>
      <c r="X19" s="9">
        <f t="shared" ref="X19:AK19" si="40">X6/X3</f>
        <v>0.4372484449323088</v>
      </c>
      <c r="Y19" s="9">
        <f t="shared" si="40"/>
        <v>0.41952789699570814</v>
      </c>
      <c r="Z19" s="9">
        <f t="shared" si="40"/>
        <v>0.42822468793342577</v>
      </c>
      <c r="AA19" s="9">
        <f t="shared" si="40"/>
        <v>0.58484941926200018</v>
      </c>
      <c r="AB19" s="9">
        <f t="shared" si="40"/>
        <v>0.44513030403624232</v>
      </c>
      <c r="AC19" s="9">
        <f t="shared" si="40"/>
        <v>0.44000000000000006</v>
      </c>
      <c r="AD19" s="9">
        <f t="shared" si="40"/>
        <v>0.43</v>
      </c>
      <c r="AE19" s="9">
        <f t="shared" si="40"/>
        <v>0.43</v>
      </c>
      <c r="AF19" s="9">
        <f t="shared" si="40"/>
        <v>0.43000000000000005</v>
      </c>
      <c r="AG19" s="9">
        <f t="shared" si="40"/>
        <v>0.43000000000000005</v>
      </c>
      <c r="AH19" s="9">
        <f t="shared" si="40"/>
        <v>0.42</v>
      </c>
      <c r="AI19" s="9">
        <f t="shared" si="40"/>
        <v>0.42</v>
      </c>
      <c r="AJ19" s="9">
        <f t="shared" si="40"/>
        <v>0.41999999999999993</v>
      </c>
      <c r="AK19" s="9">
        <f t="shared" si="40"/>
        <v>0.42</v>
      </c>
      <c r="AM19" t="s">
        <v>44</v>
      </c>
      <c r="AN19" s="9">
        <v>7.0000000000000007E-2</v>
      </c>
    </row>
    <row r="20" spans="2:40" x14ac:dyDescent="0.3">
      <c r="B20" s="10" t="s">
        <v>42</v>
      </c>
      <c r="G20" s="9">
        <f t="shared" ref="G20:R20" si="41">G7/C7-1</f>
        <v>2.7777777777777679E-2</v>
      </c>
      <c r="H20" s="9">
        <f t="shared" si="41"/>
        <v>0.17460317460317465</v>
      </c>
      <c r="I20" s="9">
        <f t="shared" si="41"/>
        <v>0.14516129032258074</v>
      </c>
      <c r="J20" s="9">
        <f t="shared" si="41"/>
        <v>0.12000000000000011</v>
      </c>
      <c r="K20" s="9">
        <f t="shared" si="41"/>
        <v>8.1081081081081141E-2</v>
      </c>
      <c r="L20" s="9">
        <f t="shared" si="41"/>
        <v>-2.7027027027026973E-2</v>
      </c>
      <c r="M20" s="9">
        <f t="shared" si="41"/>
        <v>-5.633802816901412E-2</v>
      </c>
      <c r="N20" s="9">
        <f t="shared" si="41"/>
        <v>-5.9523809523809534E-2</v>
      </c>
      <c r="O20" s="9">
        <f t="shared" si="41"/>
        <v>-6.25E-2</v>
      </c>
      <c r="P20" s="9">
        <f t="shared" si="41"/>
        <v>-1.388888888888884E-2</v>
      </c>
      <c r="Q20" s="9">
        <f t="shared" si="41"/>
        <v>-2.9850746268656692E-2</v>
      </c>
      <c r="R20" s="9">
        <f t="shared" si="41"/>
        <v>-6.5822784810126489E-2</v>
      </c>
      <c r="S20" s="9">
        <f t="shared" ref="S20" si="42">S7/O7-1</f>
        <v>-9.3333333333333379E-2</v>
      </c>
      <c r="T20" s="9">
        <f t="shared" ref="T20" si="43">T7/P7-1</f>
        <v>2.8169014084507005E-2</v>
      </c>
      <c r="U20" s="9">
        <f t="shared" ref="U20" si="44">U7/Q7-1</f>
        <v>0.14999999999999991</v>
      </c>
      <c r="V20" s="9">
        <f t="shared" ref="V20" si="45">V7/R7-1</f>
        <v>7.0000000000000062E-2</v>
      </c>
      <c r="Y20" s="9">
        <f t="shared" ref="Y20:AK20" si="46">Y7/X7-1</f>
        <v>0.11397058823529416</v>
      </c>
      <c r="Z20" s="9">
        <f t="shared" si="46"/>
        <v>-1.6501650165016479E-2</v>
      </c>
      <c r="AA20" s="9">
        <f t="shared" si="46"/>
        <v>-4.4295302013422799E-2</v>
      </c>
      <c r="AB20" s="9">
        <f t="shared" si="46"/>
        <v>3.4817415730337142E-2</v>
      </c>
      <c r="AC20" s="9">
        <f t="shared" si="46"/>
        <v>3.0000000000000027E-2</v>
      </c>
      <c r="AD20" s="9">
        <f t="shared" si="46"/>
        <v>2.0000000000000018E-2</v>
      </c>
      <c r="AE20" s="9">
        <f t="shared" si="46"/>
        <v>2.0000000000000018E-2</v>
      </c>
      <c r="AF20" s="9">
        <f t="shared" si="46"/>
        <v>1.0000000000000009E-2</v>
      </c>
      <c r="AG20" s="9">
        <f t="shared" si="46"/>
        <v>1.0000000000000009E-2</v>
      </c>
      <c r="AH20" s="9">
        <f t="shared" si="46"/>
        <v>1.0000000000000009E-2</v>
      </c>
      <c r="AI20" s="9">
        <f t="shared" si="46"/>
        <v>1.0000000000000009E-2</v>
      </c>
      <c r="AJ20" s="9">
        <f t="shared" si="46"/>
        <v>1.0000000000000009E-2</v>
      </c>
      <c r="AK20" s="9">
        <f t="shared" si="46"/>
        <v>1.0000000000000009E-2</v>
      </c>
      <c r="AM20" t="s">
        <v>45</v>
      </c>
      <c r="AN20" s="5">
        <f>NPV(AN19,AB12:ER12)</f>
        <v>4396.652157073866</v>
      </c>
    </row>
    <row r="21" spans="2:40" x14ac:dyDescent="0.3">
      <c r="B21" s="10" t="s">
        <v>31</v>
      </c>
      <c r="C21" s="9">
        <f>C11/C10</f>
        <v>0.23809523809523808</v>
      </c>
      <c r="D21" s="9">
        <f t="shared" ref="D21:AK21" si="47">D11/D10</f>
        <v>0.23684210526315788</v>
      </c>
      <c r="E21" s="9">
        <f t="shared" si="47"/>
        <v>0.2857142857142857</v>
      </c>
      <c r="F21" s="9">
        <f t="shared" si="47"/>
        <v>0.4375</v>
      </c>
      <c r="G21" s="9">
        <f t="shared" si="47"/>
        <v>0.2537313432835821</v>
      </c>
      <c r="H21" s="9">
        <f t="shared" si="47"/>
        <v>0.25</v>
      </c>
      <c r="I21" s="9">
        <f t="shared" si="47"/>
        <v>0.25842696629213485</v>
      </c>
      <c r="J21" s="9">
        <f t="shared" si="47"/>
        <v>0.37614678899082571</v>
      </c>
      <c r="K21" s="9">
        <f t="shared" si="47"/>
        <v>0.26</v>
      </c>
      <c r="L21" s="9">
        <f t="shared" si="47"/>
        <v>0.25352112676056338</v>
      </c>
      <c r="M21" s="9">
        <f t="shared" si="47"/>
        <v>0.26666666666666666</v>
      </c>
      <c r="N21" s="9">
        <f t="shared" si="47"/>
        <v>0.45535714285714285</v>
      </c>
      <c r="O21" s="9">
        <f t="shared" si="47"/>
        <v>0.28000000000000003</v>
      </c>
      <c r="P21" s="9">
        <f t="shared" si="47"/>
        <v>0.27799227799227799</v>
      </c>
      <c r="Q21" s="9">
        <f t="shared" si="47"/>
        <v>0.25</v>
      </c>
      <c r="R21" s="9">
        <f t="shared" si="47"/>
        <v>3.5294117647059244</v>
      </c>
      <c r="S21" s="9">
        <f t="shared" ref="S21:V21" si="48">S11/S10</f>
        <v>0.3</v>
      </c>
      <c r="T21" s="9">
        <f t="shared" si="48"/>
        <v>0.29411764705882354</v>
      </c>
      <c r="U21" s="9">
        <f t="shared" si="48"/>
        <v>0.3</v>
      </c>
      <c r="V21" s="9">
        <f t="shared" si="48"/>
        <v>0.3</v>
      </c>
      <c r="X21" s="9">
        <f t="shared" si="47"/>
        <v>0.30211480362537763</v>
      </c>
      <c r="Y21" s="9">
        <f t="shared" si="47"/>
        <v>0.29376854599406527</v>
      </c>
      <c r="Z21" s="9">
        <f t="shared" si="47"/>
        <v>0.33116883116883117</v>
      </c>
      <c r="AA21" s="9">
        <f t="shared" si="47"/>
        <v>0.1976573938506587</v>
      </c>
      <c r="AB21" s="9">
        <f t="shared" si="47"/>
        <v>0.29842331600294941</v>
      </c>
      <c r="AC21" s="9">
        <f t="shared" si="47"/>
        <v>0.3</v>
      </c>
      <c r="AD21" s="9">
        <f t="shared" si="47"/>
        <v>0.3</v>
      </c>
      <c r="AE21" s="9">
        <f t="shared" si="47"/>
        <v>0.3</v>
      </c>
      <c r="AF21" s="9">
        <f t="shared" si="47"/>
        <v>0.29999999999999993</v>
      </c>
      <c r="AG21" s="9">
        <f t="shared" si="47"/>
        <v>0.3</v>
      </c>
      <c r="AH21" s="9">
        <f t="shared" si="47"/>
        <v>0.3</v>
      </c>
      <c r="AI21" s="9">
        <f t="shared" si="47"/>
        <v>0.3</v>
      </c>
      <c r="AJ21" s="9">
        <f t="shared" si="47"/>
        <v>0.3</v>
      </c>
      <c r="AK21" s="9">
        <f t="shared" si="47"/>
        <v>0.3</v>
      </c>
      <c r="AM21" t="s">
        <v>46</v>
      </c>
      <c r="AN21" s="5">
        <f>Main!D8</f>
        <v>-151</v>
      </c>
    </row>
    <row r="22" spans="2:40" x14ac:dyDescent="0.3">
      <c r="B22" s="10" t="s">
        <v>56</v>
      </c>
      <c r="C22" s="9">
        <f>C12/C3</f>
        <v>7.3732718894009217E-2</v>
      </c>
      <c r="D22" s="9">
        <f t="shared" ref="D22:AK22" si="49">D12/D3</f>
        <v>9.1194968553459113E-2</v>
      </c>
      <c r="E22" s="9">
        <f t="shared" si="49"/>
        <v>0.11251758087201125</v>
      </c>
      <c r="F22" s="9">
        <f t="shared" si="49"/>
        <v>6.1224489795918366E-2</v>
      </c>
      <c r="G22" s="9">
        <f t="shared" si="49"/>
        <v>7.6923076923076927E-2</v>
      </c>
      <c r="H22" s="9">
        <f t="shared" si="49"/>
        <v>8.2695252679938741E-2</v>
      </c>
      <c r="I22" s="9">
        <f t="shared" si="49"/>
        <v>9.295774647887324E-2</v>
      </c>
      <c r="J22" s="9">
        <f t="shared" si="49"/>
        <v>8.6845466155810985E-2</v>
      </c>
      <c r="K22" s="9">
        <f t="shared" si="49"/>
        <v>5.5722891566265059E-2</v>
      </c>
      <c r="L22" s="9">
        <f t="shared" si="49"/>
        <v>7.8518518518518515E-2</v>
      </c>
      <c r="M22" s="9">
        <f t="shared" si="49"/>
        <v>7.6388888888888895E-2</v>
      </c>
      <c r="N22" s="9">
        <f t="shared" si="49"/>
        <v>7.3939393939393944E-2</v>
      </c>
      <c r="O22" s="9">
        <f t="shared" si="49"/>
        <v>-3.2432432432432434E-2</v>
      </c>
      <c r="P22" s="9">
        <f t="shared" si="49"/>
        <v>-0.68</v>
      </c>
      <c r="Q22" s="9">
        <f t="shared" si="49"/>
        <v>5.6285178236397749E-3</v>
      </c>
      <c r="R22" s="9">
        <f t="shared" si="49"/>
        <v>-2.9512697323267129E-2</v>
      </c>
      <c r="S22" s="9">
        <f t="shared" si="49"/>
        <v>-1.4084507042253521E-2</v>
      </c>
      <c r="T22" s="9">
        <f t="shared" si="49"/>
        <v>3.8155802861685212E-2</v>
      </c>
      <c r="U22" s="9">
        <f t="shared" si="49"/>
        <v>4.7427324164216779E-2</v>
      </c>
      <c r="V22" s="9">
        <f t="shared" si="49"/>
        <v>5.2650229660524753E-2</v>
      </c>
      <c r="W22" s="9"/>
      <c r="X22" s="9">
        <f t="shared" si="49"/>
        <v>8.4522502744237102E-2</v>
      </c>
      <c r="Y22" s="9">
        <f t="shared" si="49"/>
        <v>8.5121602288984258E-2</v>
      </c>
      <c r="Z22" s="9">
        <f t="shared" si="49"/>
        <v>7.1428571428571425E-2</v>
      </c>
      <c r="AA22" s="9">
        <f t="shared" si="49"/>
        <v>-0.11265289341145042</v>
      </c>
      <c r="AB22" s="9">
        <f t="shared" si="49"/>
        <v>3.4755794653492225E-2</v>
      </c>
      <c r="AC22" s="9">
        <f t="shared" si="49"/>
        <v>6.049054839163872E-2</v>
      </c>
      <c r="AD22" s="9">
        <f t="shared" si="49"/>
        <v>8.0275522149193035E-2</v>
      </c>
      <c r="AE22" s="9">
        <f t="shared" si="49"/>
        <v>8.4089866220192808E-2</v>
      </c>
      <c r="AF22" s="9">
        <f t="shared" si="49"/>
        <v>8.6864478623419381E-2</v>
      </c>
      <c r="AG22" s="9">
        <f t="shared" si="49"/>
        <v>8.8756798594855135E-2</v>
      </c>
      <c r="AH22" s="9">
        <f t="shared" si="49"/>
        <v>9.7480913274263059E-2</v>
      </c>
      <c r="AI22" s="9">
        <f t="shared" si="49"/>
        <v>9.846228188898308E-2</v>
      </c>
      <c r="AJ22" s="9">
        <f t="shared" si="49"/>
        <v>9.9356677141326413E-2</v>
      </c>
      <c r="AK22" s="9">
        <f t="shared" si="49"/>
        <v>0.10018163549790315</v>
      </c>
      <c r="AM22" t="s">
        <v>47</v>
      </c>
      <c r="AN22" s="5">
        <f>AN20+AN21</f>
        <v>4245.652157073866</v>
      </c>
    </row>
    <row r="23" spans="2:40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AM23" t="s">
        <v>48</v>
      </c>
      <c r="AN23" s="4">
        <f>AN22/AK13</f>
        <v>60.307559049344682</v>
      </c>
    </row>
    <row r="24" spans="2:40" x14ac:dyDescent="0.3">
      <c r="AM24" t="s">
        <v>49</v>
      </c>
      <c r="AN24" s="4">
        <f>Main!D3</f>
        <v>52.12</v>
      </c>
    </row>
    <row r="25" spans="2:40" x14ac:dyDescent="0.3">
      <c r="AM25" s="1" t="s">
        <v>50</v>
      </c>
      <c r="AN25" s="12">
        <f>AN23/AN24-1</f>
        <v>0.15709054200584593</v>
      </c>
    </row>
    <row r="26" spans="2:40" x14ac:dyDescent="0.3">
      <c r="AM26" t="s">
        <v>51</v>
      </c>
      <c r="AN26" s="6" t="s">
        <v>57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2021-01-10T12:00:00Z</dcterms:created>
  <dcterms:modified xsi:type="dcterms:W3CDTF">2021-08-12T11:22:32Z</dcterms:modified>
</cp:coreProperties>
</file>