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95239CCD-B90A-4AAF-A197-FCFA8C962CAE}" xr6:coauthVersionLast="47" xr6:coauthVersionMax="47" xr10:uidLastSave="{00000000-0000-0000-0000-000000000000}"/>
  <bookViews>
    <workbookView xWindow="-108" yWindow="-108" windowWidth="23256" windowHeight="12576" activeTab="1" xr2:uid="{1D2DB14B-5A89-41BF-ACD6-4CC38AF6A294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R3" i="2"/>
  <c r="T3" i="2" s="1"/>
  <c r="S3" i="2"/>
  <c r="P4" i="2"/>
  <c r="R4" i="2"/>
  <c r="O5" i="2"/>
  <c r="P5" i="2"/>
  <c r="P21" i="2" s="1"/>
  <c r="Q5" i="2"/>
  <c r="Q8" i="2" s="1"/>
  <c r="R5" i="2"/>
  <c r="R21" i="2" s="1"/>
  <c r="S5" i="2"/>
  <c r="S4" i="2" s="1"/>
  <c r="P6" i="2"/>
  <c r="R6" i="2"/>
  <c r="R22" i="2" s="1"/>
  <c r="S6" i="2"/>
  <c r="P7" i="2"/>
  <c r="R7" i="2"/>
  <c r="O8" i="2"/>
  <c r="S8" i="2"/>
  <c r="P9" i="2"/>
  <c r="R9" i="2"/>
  <c r="P10" i="2"/>
  <c r="R10" i="2"/>
  <c r="P11" i="2"/>
  <c r="P12" i="2" s="1"/>
  <c r="R11" i="2"/>
  <c r="R12" i="2" s="1"/>
  <c r="O12" i="2"/>
  <c r="Q12" i="2"/>
  <c r="S12" i="2"/>
  <c r="T12" i="2"/>
  <c r="O13" i="2"/>
  <c r="S13" i="2"/>
  <c r="P14" i="2"/>
  <c r="R14" i="2"/>
  <c r="P15" i="2"/>
  <c r="R15" i="2"/>
  <c r="O16" i="2"/>
  <c r="S16" i="2"/>
  <c r="O18" i="2"/>
  <c r="S18" i="2"/>
  <c r="Q20" i="2"/>
  <c r="S20" i="2"/>
  <c r="O21" i="2"/>
  <c r="S21" i="2"/>
  <c r="Q22" i="2"/>
  <c r="S22" i="2"/>
  <c r="O23" i="2"/>
  <c r="S23" i="2"/>
  <c r="O24" i="2"/>
  <c r="S24" i="2"/>
  <c r="O25" i="2"/>
  <c r="S25" i="2"/>
  <c r="M6" i="2"/>
  <c r="AA10" i="2"/>
  <c r="AA9" i="2"/>
  <c r="Z5" i="2"/>
  <c r="M3" i="2"/>
  <c r="L13" i="2"/>
  <c r="L10" i="2"/>
  <c r="L9" i="2"/>
  <c r="L8" i="2"/>
  <c r="L6" i="2"/>
  <c r="N6" i="2" s="1"/>
  <c r="L4" i="2"/>
  <c r="L3" i="2"/>
  <c r="N3" i="2" s="1"/>
  <c r="D7" i="1"/>
  <c r="Q23" i="2" l="1"/>
  <c r="Q13" i="2"/>
  <c r="Q21" i="2"/>
  <c r="T20" i="2"/>
  <c r="T5" i="2"/>
  <c r="T4" i="2"/>
  <c r="R20" i="2"/>
  <c r="R8" i="2"/>
  <c r="P8" i="2"/>
  <c r="T6" i="2"/>
  <c r="T22" i="2" s="1"/>
  <c r="L5" i="2"/>
  <c r="N5" i="2"/>
  <c r="N7" i="2" s="1"/>
  <c r="N20" i="2" s="1"/>
  <c r="N18" i="2"/>
  <c r="M5" i="2"/>
  <c r="M19" i="2" s="1"/>
  <c r="M18" i="2"/>
  <c r="AA6" i="2"/>
  <c r="AA3" i="2"/>
  <c r="M21" i="2"/>
  <c r="N21" i="2"/>
  <c r="Y21" i="2"/>
  <c r="X21" i="2"/>
  <c r="W21" i="2"/>
  <c r="AL26" i="2"/>
  <c r="Q24" i="2" l="1"/>
  <c r="Q16" i="2"/>
  <c r="R13" i="2"/>
  <c r="R23" i="2"/>
  <c r="T8" i="2"/>
  <c r="T21" i="2"/>
  <c r="P23" i="2"/>
  <c r="P13" i="2"/>
  <c r="M7" i="2"/>
  <c r="M20" i="2" s="1"/>
  <c r="M4" i="2"/>
  <c r="N4" i="2"/>
  <c r="N19" i="2"/>
  <c r="L11" i="2"/>
  <c r="K21" i="2"/>
  <c r="I21" i="2"/>
  <c r="G21" i="2"/>
  <c r="E21" i="2"/>
  <c r="AB9" i="2"/>
  <c r="AC9" i="2" s="1"/>
  <c r="AD9" i="2" s="1"/>
  <c r="AE9" i="2" s="1"/>
  <c r="AF9" i="2" s="1"/>
  <c r="AG9" i="2" s="1"/>
  <c r="AH9" i="2" s="1"/>
  <c r="AI9" i="2" s="1"/>
  <c r="Y18" i="2"/>
  <c r="X18" i="2"/>
  <c r="W18" i="2"/>
  <c r="K18" i="2"/>
  <c r="I18" i="2"/>
  <c r="G18" i="2"/>
  <c r="Q18" i="2" l="1"/>
  <c r="Q25" i="2"/>
  <c r="P16" i="2"/>
  <c r="P24" i="2"/>
  <c r="T23" i="2"/>
  <c r="T13" i="2"/>
  <c r="R16" i="2"/>
  <c r="R24" i="2"/>
  <c r="AA4" i="2"/>
  <c r="AA5" i="2" s="1"/>
  <c r="L19" i="2"/>
  <c r="Z11" i="2"/>
  <c r="E18" i="2"/>
  <c r="D13" i="2"/>
  <c r="D10" i="2"/>
  <c r="D9" i="2"/>
  <c r="D8" i="2"/>
  <c r="D6" i="2"/>
  <c r="D4" i="2"/>
  <c r="D3" i="2"/>
  <c r="C11" i="2"/>
  <c r="C5" i="2"/>
  <c r="F13" i="2"/>
  <c r="F10" i="2"/>
  <c r="F9" i="2"/>
  <c r="F8" i="2"/>
  <c r="F6" i="2"/>
  <c r="F4" i="2"/>
  <c r="F3" i="2"/>
  <c r="H13" i="2"/>
  <c r="H10" i="2"/>
  <c r="H9" i="2"/>
  <c r="H8" i="2"/>
  <c r="H6" i="2"/>
  <c r="H4" i="2"/>
  <c r="H3" i="2"/>
  <c r="E11" i="2"/>
  <c r="E5" i="2"/>
  <c r="G11" i="2"/>
  <c r="G5" i="2"/>
  <c r="V11" i="2"/>
  <c r="V5" i="2"/>
  <c r="W11" i="2"/>
  <c r="W5" i="2"/>
  <c r="X11" i="2"/>
  <c r="X5" i="2"/>
  <c r="J4" i="2"/>
  <c r="J3" i="2"/>
  <c r="Y5" i="2"/>
  <c r="Y19" i="2" s="1"/>
  <c r="R18" i="2" l="1"/>
  <c r="R25" i="2"/>
  <c r="T14" i="2"/>
  <c r="T24" i="2" s="1"/>
  <c r="T16" i="2"/>
  <c r="P18" i="2"/>
  <c r="P25" i="2"/>
  <c r="H18" i="2"/>
  <c r="F18" i="2"/>
  <c r="D5" i="2"/>
  <c r="D19" i="2" s="1"/>
  <c r="Z19" i="2"/>
  <c r="W7" i="2"/>
  <c r="W20" i="2" s="1"/>
  <c r="W19" i="2"/>
  <c r="V7" i="2"/>
  <c r="V20" i="2" s="1"/>
  <c r="V19" i="2"/>
  <c r="H5" i="2"/>
  <c r="H19" i="2" s="1"/>
  <c r="X7" i="2"/>
  <c r="X20" i="2" s="1"/>
  <c r="X19" i="2"/>
  <c r="F5" i="2"/>
  <c r="F19" i="2" s="1"/>
  <c r="F21" i="2"/>
  <c r="H21" i="2"/>
  <c r="E7" i="2"/>
  <c r="E20" i="2" s="1"/>
  <c r="E19" i="2"/>
  <c r="J18" i="2"/>
  <c r="G7" i="2"/>
  <c r="G20" i="2" s="1"/>
  <c r="G19" i="2"/>
  <c r="Z18" i="2"/>
  <c r="L18" i="2"/>
  <c r="C7" i="2"/>
  <c r="C20" i="2" s="1"/>
  <c r="C19" i="2"/>
  <c r="D11" i="2"/>
  <c r="F11" i="2"/>
  <c r="H11" i="2"/>
  <c r="T18" i="2" l="1"/>
  <c r="T25" i="2"/>
  <c r="D7" i="2"/>
  <c r="D20" i="2" s="1"/>
  <c r="E12" i="2"/>
  <c r="E14" i="2" s="1"/>
  <c r="X12" i="2"/>
  <c r="X22" i="2" s="1"/>
  <c r="G12" i="2"/>
  <c r="G14" i="2" s="1"/>
  <c r="F7" i="2"/>
  <c r="F20" i="2" s="1"/>
  <c r="H7" i="2"/>
  <c r="H20" i="2" s="1"/>
  <c r="W12" i="2"/>
  <c r="C12" i="2"/>
  <c r="V12" i="2"/>
  <c r="AB3" i="2"/>
  <c r="AA18" i="2"/>
  <c r="D12" i="2"/>
  <c r="F12" i="2" l="1"/>
  <c r="F14" i="2" s="1"/>
  <c r="X14" i="2"/>
  <c r="X16" i="2" s="1"/>
  <c r="E22" i="2"/>
  <c r="G16" i="2"/>
  <c r="G23" i="2"/>
  <c r="E16" i="2"/>
  <c r="E23" i="2"/>
  <c r="AC3" i="2"/>
  <c r="AB5" i="2"/>
  <c r="AB4" i="2" s="1"/>
  <c r="G22" i="2"/>
  <c r="H12" i="2"/>
  <c r="H14" i="2" s="1"/>
  <c r="D14" i="2"/>
  <c r="D22" i="2"/>
  <c r="W14" i="2"/>
  <c r="W22" i="2"/>
  <c r="AA19" i="2"/>
  <c r="AB18" i="2"/>
  <c r="V14" i="2"/>
  <c r="V22" i="2"/>
  <c r="H22" i="2"/>
  <c r="C14" i="2"/>
  <c r="C22" i="2"/>
  <c r="F22" i="2" l="1"/>
  <c r="X23" i="2"/>
  <c r="C16" i="2"/>
  <c r="C23" i="2"/>
  <c r="AD3" i="2"/>
  <c r="AD5" i="2" s="1"/>
  <c r="AC5" i="2"/>
  <c r="D16" i="2"/>
  <c r="D23" i="2"/>
  <c r="H16" i="2"/>
  <c r="H23" i="2"/>
  <c r="W16" i="2"/>
  <c r="W23" i="2"/>
  <c r="V16" i="2"/>
  <c r="V23" i="2"/>
  <c r="F16" i="2"/>
  <c r="F23" i="2"/>
  <c r="AB19" i="2"/>
  <c r="AC18" i="2"/>
  <c r="AC19" i="2" l="1"/>
  <c r="AE3" i="2"/>
  <c r="AE5" i="2" s="1"/>
  <c r="AD4" i="2"/>
  <c r="AD18" i="2"/>
  <c r="AC4" i="2"/>
  <c r="AF3" i="2" l="1"/>
  <c r="AF5" i="2" s="1"/>
  <c r="AE18" i="2"/>
  <c r="AD19" i="2"/>
  <c r="AG3" i="2" l="1"/>
  <c r="AF18" i="2"/>
  <c r="AE4" i="2"/>
  <c r="AE19" i="2"/>
  <c r="AH3" i="2" l="1"/>
  <c r="AG5" i="2"/>
  <c r="AG18" i="2"/>
  <c r="AF4" i="2"/>
  <c r="AF19" i="2"/>
  <c r="AI3" i="2" l="1"/>
  <c r="AI5" i="2" s="1"/>
  <c r="AH5" i="2"/>
  <c r="AG4" i="2"/>
  <c r="AG19" i="2"/>
  <c r="AH18" i="2"/>
  <c r="AH4" i="2" l="1"/>
  <c r="AH19" i="2"/>
  <c r="AI18" i="2"/>
  <c r="J5" i="2" l="1"/>
  <c r="J19" i="2" s="1"/>
  <c r="I11" i="2"/>
  <c r="I5" i="2"/>
  <c r="K11" i="2"/>
  <c r="K5" i="2"/>
  <c r="K19" i="2" s="1"/>
  <c r="K7" i="2" l="1"/>
  <c r="I7" i="2"/>
  <c r="I20" i="2" s="1"/>
  <c r="I19" i="2"/>
  <c r="D8" i="1"/>
  <c r="AL23" i="2" s="1"/>
  <c r="D5" i="1"/>
  <c r="F3" i="1"/>
  <c r="I12" i="2" l="1"/>
  <c r="D9" i="1"/>
  <c r="I14" i="2"/>
  <c r="I22" i="2"/>
  <c r="K20" i="2"/>
  <c r="K12" i="2"/>
  <c r="J6" i="2"/>
  <c r="Y7" i="2"/>
  <c r="Y20" i="2" s="1"/>
  <c r="J8" i="2"/>
  <c r="J9" i="2"/>
  <c r="J10" i="2"/>
  <c r="Y11" i="2"/>
  <c r="J11" i="2" s="1"/>
  <c r="J13" i="2"/>
  <c r="I16" i="2" l="1"/>
  <c r="I23" i="2"/>
  <c r="J7" i="2"/>
  <c r="J20" i="2" s="1"/>
  <c r="J21" i="2"/>
  <c r="K22" i="2"/>
  <c r="K14" i="2"/>
  <c r="Y12" i="2"/>
  <c r="J12" i="2" l="1"/>
  <c r="J14" i="2" s="1"/>
  <c r="J16" i="2" s="1"/>
  <c r="K16" i="2"/>
  <c r="K23" i="2"/>
  <c r="J22" i="2"/>
  <c r="L21" i="2"/>
  <c r="L7" i="2"/>
  <c r="Y22" i="2"/>
  <c r="Y14" i="2"/>
  <c r="J23" i="2" l="1"/>
  <c r="Y16" i="2"/>
  <c r="Y23" i="2"/>
  <c r="AB6" i="2"/>
  <c r="AC6" i="2" s="1"/>
  <c r="L20" i="2"/>
  <c r="L12" i="2"/>
  <c r="Z21" i="2"/>
  <c r="Z7" i="2"/>
  <c r="Z12" i="2" l="1"/>
  <c r="Z20" i="2"/>
  <c r="AA21" i="2"/>
  <c r="AD6" i="2"/>
  <c r="AE6" i="2" s="1"/>
  <c r="AF6" i="2" s="1"/>
  <c r="AA7" i="2"/>
  <c r="AA20" i="2" s="1"/>
  <c r="AB21" i="2" l="1"/>
  <c r="AB7" i="2"/>
  <c r="AB20" i="2" s="1"/>
  <c r="Z22" i="2"/>
  <c r="L22" i="2"/>
  <c r="L14" i="2"/>
  <c r="M8" i="2" s="1"/>
  <c r="M11" i="2" s="1"/>
  <c r="M12" i="2" s="1"/>
  <c r="M13" i="2" s="1"/>
  <c r="M22" i="2" l="1"/>
  <c r="L16" i="2"/>
  <c r="L23" i="2"/>
  <c r="Z14" i="2"/>
  <c r="AC21" i="2"/>
  <c r="AC7" i="2"/>
  <c r="AC20" i="2" s="1"/>
  <c r="M14" i="2" l="1"/>
  <c r="Z16" i="2"/>
  <c r="Z23" i="2"/>
  <c r="AD21" i="2"/>
  <c r="AD7" i="2"/>
  <c r="AD20" i="2" s="1"/>
  <c r="M23" i="2" l="1"/>
  <c r="N8" i="2"/>
  <c r="M16" i="2"/>
  <c r="AE21" i="2"/>
  <c r="AE7" i="2"/>
  <c r="AE20" i="2" s="1"/>
  <c r="N11" i="2" l="1"/>
  <c r="N12" i="2" s="1"/>
  <c r="N13" i="2" s="1"/>
  <c r="AA8" i="2"/>
  <c r="AA11" i="2" s="1"/>
  <c r="AA12" i="2" s="1"/>
  <c r="AB8" i="2" s="1"/>
  <c r="AB11" i="2" s="1"/>
  <c r="AB12" i="2" s="1"/>
  <c r="AB13" i="2" s="1"/>
  <c r="AF21" i="2"/>
  <c r="AG6" i="2"/>
  <c r="AF7" i="2"/>
  <c r="AF20" i="2" s="1"/>
  <c r="AC8" i="2" l="1"/>
  <c r="AC11" i="2" s="1"/>
  <c r="AC12" i="2" s="1"/>
  <c r="AC13" i="2" s="1"/>
  <c r="AB22" i="2"/>
  <c r="N22" i="2"/>
  <c r="AA13" i="2"/>
  <c r="N14" i="2"/>
  <c r="AH6" i="2"/>
  <c r="AG21" i="2"/>
  <c r="AG7" i="2"/>
  <c r="AG20" i="2" s="1"/>
  <c r="AB14" i="2" l="1"/>
  <c r="AB16" i="2" s="1"/>
  <c r="AC22" i="2"/>
  <c r="AD8" i="2"/>
  <c r="AD11" i="2" s="1"/>
  <c r="AD12" i="2" s="1"/>
  <c r="AD13" i="2" s="1"/>
  <c r="AC14" i="2"/>
  <c r="AA22" i="2"/>
  <c r="AA14" i="2"/>
  <c r="N23" i="2"/>
  <c r="N16" i="2"/>
  <c r="AH21" i="2"/>
  <c r="AI6" i="2"/>
  <c r="AH7" i="2"/>
  <c r="AH20" i="2" s="1"/>
  <c r="AB23" i="2" l="1"/>
  <c r="AC16" i="2"/>
  <c r="AC23" i="2"/>
  <c r="AE8" i="2"/>
  <c r="AE11" i="2" s="1"/>
  <c r="AE12" i="2" s="1"/>
  <c r="AE13" i="2" s="1"/>
  <c r="AD22" i="2"/>
  <c r="AA16" i="2"/>
  <c r="AA23" i="2"/>
  <c r="AI21" i="2"/>
  <c r="AD14" i="2" l="1"/>
  <c r="AD23" i="2" s="1"/>
  <c r="AE22" i="2"/>
  <c r="AF8" i="2"/>
  <c r="AF11" i="2" s="1"/>
  <c r="AF12" i="2" s="1"/>
  <c r="AF13" i="2" s="1"/>
  <c r="AD16" i="2" l="1"/>
  <c r="AE14" i="2"/>
  <c r="AE23" i="2" s="1"/>
  <c r="AG8" i="2"/>
  <c r="AG11" i="2" s="1"/>
  <c r="AG12" i="2" s="1"/>
  <c r="AG13" i="2" s="1"/>
  <c r="AF22" i="2"/>
  <c r="AE16" i="2" l="1"/>
  <c r="AF14" i="2"/>
  <c r="AF23" i="2" s="1"/>
  <c r="AH8" i="2"/>
  <c r="AH11" i="2" s="1"/>
  <c r="AH12" i="2" s="1"/>
  <c r="AH13" i="2" s="1"/>
  <c r="AG22" i="2"/>
  <c r="AF16" i="2" l="1"/>
  <c r="AG14" i="2"/>
  <c r="AI8" i="2"/>
  <c r="AI11" i="2" s="1"/>
  <c r="AH22" i="2"/>
  <c r="AH14" i="2" l="1"/>
  <c r="AG16" i="2"/>
  <c r="AG23" i="2"/>
  <c r="AH16" i="2" l="1"/>
  <c r="AH23" i="2"/>
  <c r="AI7" i="2" l="1"/>
  <c r="AI12" i="2" s="1"/>
  <c r="AI13" i="2" s="1"/>
  <c r="AI4" i="2"/>
  <c r="AI19" i="2"/>
  <c r="AI22" i="2" l="1"/>
  <c r="AI14" i="2"/>
  <c r="AI20" i="2"/>
  <c r="AI23" i="2" l="1"/>
  <c r="AJ14" i="2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AI16" i="2"/>
  <c r="AL22" i="2" l="1"/>
  <c r="AL24" i="2" s="1"/>
  <c r="AL25" i="2" s="1"/>
  <c r="AL27" i="2" s="1"/>
</calcChain>
</file>

<file path=xl/sharedStrings.xml><?xml version="1.0" encoding="utf-8"?>
<sst xmlns="http://schemas.openxmlformats.org/spreadsheetml/2006/main" count="64" uniqueCount="59">
  <si>
    <t>BRBY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</si>
  <si>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</si>
  <si>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</si>
  <si>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</si>
  <si>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</si>
  <si>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</si>
  <si>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</si>
  <si>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</si>
  <si>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</si>
  <si>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</si>
  <si>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</si>
  <si>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H121</t>
  </si>
  <si>
    <t>Revenue</t>
  </si>
  <si>
    <t>H118</t>
  </si>
  <si>
    <t>H218</t>
  </si>
  <si>
    <t>H119</t>
  </si>
  <si>
    <t>H219</t>
  </si>
  <si>
    <t>H120</t>
  </si>
  <si>
    <t>H220</t>
  </si>
  <si>
    <t>H221</t>
  </si>
  <si>
    <t>Cost of sales</t>
  </si>
  <si>
    <t>Gross profit</t>
  </si>
  <si>
    <t>Operating expenses</t>
  </si>
  <si>
    <t>Operating profit</t>
  </si>
  <si>
    <t>Finance income</t>
  </si>
  <si>
    <t>Finance expense</t>
  </si>
  <si>
    <t>Other financing charge</t>
  </si>
  <si>
    <t>Pretax profit</t>
  </si>
  <si>
    <t>Taxes</t>
  </si>
  <si>
    <t>Net profit</t>
  </si>
  <si>
    <t>EPS</t>
  </si>
  <si>
    <t>Net finance expense</t>
  </si>
  <si>
    <t>H117</t>
  </si>
  <si>
    <t>H217</t>
  </si>
  <si>
    <t>Revenue y/y</t>
  </si>
  <si>
    <t>Gross Margin</t>
  </si>
  <si>
    <t>Operating Margin</t>
  </si>
  <si>
    <t>Operating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</si>
  <si>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</si>
  <si>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</si>
  <si>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</si>
  <si>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</si>
  <si>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</si>
  <si>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</si>
  <si>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</si>
  <si>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</si>
  <si>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</si>
  <si>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pessimistic forecast</t>
  </si>
  <si>
    <t>Net Margin</t>
  </si>
  <si>
    <t>H122</t>
  </si>
  <si>
    <t>H222</t>
  </si>
  <si>
    <t>Fairly valued</t>
  </si>
  <si>
    <t>August?</t>
  </si>
  <si>
    <t>H225</t>
  </si>
  <si>
    <t>H125</t>
  </si>
  <si>
    <t>H224</t>
  </si>
  <si>
    <t>H124</t>
  </si>
  <si>
    <t>H223</t>
  </si>
  <si>
    <t>H123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</si>
</sst>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9" fontId="0" fillId="0" borderId="0" xfId="0" applyNumberFormat="1"/>
    <xf numFmtId="4" fontId="1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0</xdr:row>
      <xdr:rowOff>0</xdr:rowOff>
    </xdr:from>
    <xdr:to>
      <xdr:col>12</xdr:col>
      <xdr:colOff>30480</xdr:colOff>
      <xdr:row>33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A3C305A-FA44-4A17-9375-750F7C4DDD6F}"/>
            </a:ext>
          </a:extLst>
        </xdr:cNvPr>
        <xdr:cNvCxnSpPr/>
      </xdr:nvCxnSpPr>
      <xdr:spPr>
        <a:xfrm>
          <a:off x="922020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0</xdr:row>
      <xdr:rowOff>0</xdr:rowOff>
    </xdr:from>
    <xdr:to>
      <xdr:col>26</xdr:col>
      <xdr:colOff>22860</xdr:colOff>
      <xdr:row>33</xdr:row>
      <xdr:rowOff>99060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749E8C6-2659-4166-B907-82A5D55DE96B}"/>
            </a:ext>
          </a:extLst>
        </xdr:cNvPr>
        <xdr:cNvCxnSpPr/>
      </xdr:nvCxnSpPr>
      <xdr:spPr>
        <a:xfrm>
          <a:off x="1431798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rby2(delete).xlsx" TargetMode="External"/><Relationship Id="rId1" Type="http://schemas.openxmlformats.org/officeDocument/2006/relationships/externalLinkPath" Target="brby2(dele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 refreshError="1"/>
      <sheetData sheetId="1">
        <row r="3">
          <cell r="N3">
            <v>3094</v>
          </cell>
          <cell r="O3">
            <v>2968</v>
          </cell>
        </row>
        <row r="4">
          <cell r="N4">
            <v>911</v>
          </cell>
          <cell r="O4">
            <v>959</v>
          </cell>
        </row>
        <row r="6">
          <cell r="N6">
            <v>1572</v>
          </cell>
          <cell r="O6">
            <v>1604</v>
          </cell>
        </row>
        <row r="7">
          <cell r="N7">
            <v>-46</v>
          </cell>
          <cell r="O7">
            <v>-13</v>
          </cell>
        </row>
        <row r="9">
          <cell r="N9">
            <v>-21</v>
          </cell>
          <cell r="O9">
            <v>-31</v>
          </cell>
        </row>
        <row r="10">
          <cell r="N10">
            <v>42</v>
          </cell>
          <cell r="O10">
            <v>66</v>
          </cell>
        </row>
        <row r="11">
          <cell r="N11">
            <v>2</v>
          </cell>
          <cell r="O11">
            <v>0</v>
          </cell>
        </row>
        <row r="14">
          <cell r="N14">
            <v>142</v>
          </cell>
          <cell r="O14">
            <v>112</v>
          </cell>
        </row>
        <row r="15">
          <cell r="N15">
            <v>2</v>
          </cell>
          <cell r="O1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6F74-F933-40B0-BB6E-310B015964E8}">
  <dimension ref="B2:G9"/>
  <sheetViews>
    <sheetView workbookViewId="0">
      <selection activeCell="C29" sqref="C29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5">
        <v>20.190000000000001</v>
      </c>
      <c r="E3" s="3">
        <v>44329</v>
      </c>
      <c r="F3" s="3">
        <f ca="1">TODAY()</f>
        <v>45606</v>
      </c>
      <c r="G3" s="3" t="s">
        <v>52</v>
      </c>
    </row>
    <row r="4" spans="2:7" x14ac:dyDescent="0.3">
      <c r="C4" t="s">
        <v>2</v>
      </c>
      <c r="D4" s="4">
        <v>405.1</v>
      </c>
      <c r="E4" s="2" t="s">
        <v>19</v>
      </c>
    </row>
    <row r="5" spans="2:7" x14ac:dyDescent="0.3">
      <c r="C5" t="s">
        <v>3</v>
      </c>
      <c r="D5" s="4">
        <f>D3*D4</f>
        <v>8178.969000000001</v>
      </c>
    </row>
    <row r="6" spans="2:7" x14ac:dyDescent="0.3">
      <c r="C6" t="s">
        <v>4</v>
      </c>
      <c r="D6" s="4">
        <v>1261.3</v>
      </c>
      <c r="E6" s="2" t="s">
        <v>19</v>
      </c>
    </row>
    <row r="7" spans="2:7" x14ac:dyDescent="0.3">
      <c r="C7" t="s">
        <v>5</v>
      </c>
      <c r="D7" s="4">
        <f>297.1+45.4</f>
        <v>342.5</v>
      </c>
      <c r="E7" s="2" t="s">
        <v>19</v>
      </c>
    </row>
    <row r="8" spans="2:7" x14ac:dyDescent="0.3">
      <c r="C8" t="s">
        <v>6</v>
      </c>
      <c r="D8" s="4">
        <f>D6-D7</f>
        <v>918.8</v>
      </c>
    </row>
    <row r="9" spans="2:7" x14ac:dyDescent="0.3">
      <c r="C9" t="s">
        <v>7</v>
      </c>
      <c r="D9" s="4">
        <f>D5-D8</f>
        <v>7260.1690000000008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C85E-E34E-4E58-8D5B-D415CA07750A}">
  <dimension ref="B1:FA31"/>
  <sheetViews>
    <sheetView tabSelected="1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P3" sqref="P3"/>
    </sheetView>
  </sheetViews>
  <sheetFormatPr defaultRowHeight="14.4" x14ac:dyDescent="0.3"/>
  <cols>
    <col min="2" max="2" width="19.5546875" bestFit="1" customWidth="1"/>
    <col min="3" max="20" width="10.5546875" customWidth="1"/>
    <col min="37" max="37" width="11.88671875" bestFit="1" customWidth="1"/>
    <col min="38" max="38" width="16.44140625" bestFit="1" customWidth="1"/>
  </cols>
  <sheetData>
    <row r="1" spans="2:157" x14ac:dyDescent="0.3">
      <c r="C1" s="7">
        <v>42643</v>
      </c>
      <c r="D1" s="7">
        <v>42825</v>
      </c>
      <c r="E1" s="7">
        <v>43008</v>
      </c>
      <c r="F1" s="7">
        <v>43190</v>
      </c>
      <c r="G1" s="7">
        <v>43373</v>
      </c>
      <c r="H1" s="7">
        <v>43555</v>
      </c>
      <c r="I1" s="7">
        <v>43738</v>
      </c>
      <c r="J1" s="7">
        <v>43921</v>
      </c>
      <c r="K1" s="7">
        <v>44104</v>
      </c>
      <c r="L1" s="7">
        <v>44286</v>
      </c>
      <c r="M1" s="7">
        <v>44469</v>
      </c>
      <c r="N1" s="7">
        <v>44651</v>
      </c>
      <c r="O1" s="7">
        <v>44834</v>
      </c>
      <c r="P1" s="7">
        <v>45015</v>
      </c>
      <c r="Q1" s="7">
        <v>45199</v>
      </c>
      <c r="R1" s="7">
        <v>45381</v>
      </c>
      <c r="S1" s="7">
        <v>45565</v>
      </c>
      <c r="T1" s="7">
        <v>45746</v>
      </c>
    </row>
    <row r="2" spans="2:157" x14ac:dyDescent="0.3">
      <c r="C2" s="6" t="s">
        <v>32</v>
      </c>
      <c r="D2" s="6" t="s">
        <v>33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11</v>
      </c>
      <c r="L2" s="6" t="s">
        <v>19</v>
      </c>
      <c r="M2" s="6" t="s">
        <v>49</v>
      </c>
      <c r="N2" s="6" t="s">
        <v>50</v>
      </c>
      <c r="O2" s="6" t="s">
        <v>58</v>
      </c>
      <c r="P2" s="6" t="s">
        <v>57</v>
      </c>
      <c r="Q2" s="6" t="s">
        <v>56</v>
      </c>
      <c r="R2" s="6" t="s">
        <v>55</v>
      </c>
      <c r="S2" s="6" t="s">
        <v>54</v>
      </c>
      <c r="T2" s="6" t="s">
        <v>53</v>
      </c>
      <c r="U2" s="6"/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</row>
    <row r="3" spans="2:157" s="1" customFormat="1" x14ac:dyDescent="0.3">
      <c r="B3" s="1" t="s">
        <v>12</v>
      </c>
      <c r="C3" s="10">
        <v>1158.5</v>
      </c>
      <c r="D3" s="10">
        <f>V3-C3</f>
        <v>1607.5</v>
      </c>
      <c r="E3" s="10">
        <v>1263.4000000000001</v>
      </c>
      <c r="F3" s="10">
        <f>W3-E3</f>
        <v>1469.4</v>
      </c>
      <c r="G3" s="10">
        <v>1220</v>
      </c>
      <c r="H3" s="10">
        <f>X3-G3</f>
        <v>1500.1999999999998</v>
      </c>
      <c r="I3" s="10">
        <v>1281.2</v>
      </c>
      <c r="J3" s="10">
        <f>Y3-I3</f>
        <v>1351.8999999999999</v>
      </c>
      <c r="K3" s="10">
        <v>877.7</v>
      </c>
      <c r="L3" s="10">
        <f>Z3-K3</f>
        <v>1466.3</v>
      </c>
      <c r="M3" s="10">
        <f>K3*1.4</f>
        <v>1228.78</v>
      </c>
      <c r="N3" s="10">
        <f>L3*1.04</f>
        <v>1524.952</v>
      </c>
      <c r="O3" s="10">
        <v>1345</v>
      </c>
      <c r="P3" s="10">
        <f>[1]Model!N3-O3</f>
        <v>1749</v>
      </c>
      <c r="Q3" s="10">
        <v>1396</v>
      </c>
      <c r="R3" s="10">
        <f>[1]Model!O3-Q3</f>
        <v>1572</v>
      </c>
      <c r="S3" s="10">
        <f>Q3*0.8</f>
        <v>1116.8</v>
      </c>
      <c r="T3" s="10">
        <f>R3*0.85</f>
        <v>1336.2</v>
      </c>
      <c r="V3" s="10">
        <v>2766</v>
      </c>
      <c r="W3" s="10">
        <v>2732.8</v>
      </c>
      <c r="X3" s="10">
        <v>2720.2</v>
      </c>
      <c r="Y3" s="10">
        <v>2633.1</v>
      </c>
      <c r="Z3" s="10">
        <v>2344</v>
      </c>
      <c r="AA3" s="10">
        <f>SUM(M3:N3)</f>
        <v>2753.732</v>
      </c>
      <c r="AB3" s="10">
        <f>AA3*1.05</f>
        <v>2891.4186</v>
      </c>
      <c r="AC3" s="10">
        <f>AB3*1.04</f>
        <v>3007.0753439999999</v>
      </c>
      <c r="AD3" s="10">
        <f>AC3*1.03</f>
        <v>3097.2876043199999</v>
      </c>
      <c r="AE3" s="10">
        <f>AD3*1.02</f>
        <v>3159.2333564064002</v>
      </c>
      <c r="AF3" s="10">
        <f t="shared" ref="AF3:AG3" si="0">AE3*1.02</f>
        <v>3222.4180235345284</v>
      </c>
      <c r="AG3" s="10">
        <f t="shared" si="0"/>
        <v>3286.8663840052191</v>
      </c>
      <c r="AH3" s="10">
        <f t="shared" ref="AH3:AI3" si="1">AG3*1.01</f>
        <v>3319.7350478452713</v>
      </c>
      <c r="AI3" s="10">
        <f t="shared" si="1"/>
        <v>3352.9323983237241</v>
      </c>
    </row>
    <row r="4" spans="2:157" x14ac:dyDescent="0.3">
      <c r="B4" t="s">
        <v>20</v>
      </c>
      <c r="C4" s="4">
        <v>363.5</v>
      </c>
      <c r="D4" s="4">
        <f>V4-C4</f>
        <v>469.4</v>
      </c>
      <c r="E4" s="4">
        <v>389.4</v>
      </c>
      <c r="F4" s="4">
        <f>W4-E4</f>
        <v>446</v>
      </c>
      <c r="G4" s="4">
        <v>394.9</v>
      </c>
      <c r="H4" s="4">
        <f>X4-G4</f>
        <v>464.5</v>
      </c>
      <c r="I4" s="4">
        <v>415.8</v>
      </c>
      <c r="J4" s="4">
        <f>Y4-I4</f>
        <v>511.8</v>
      </c>
      <c r="K4" s="4">
        <v>273.3</v>
      </c>
      <c r="L4" s="4">
        <f>Z4-K4</f>
        <v>408.09999999999997</v>
      </c>
      <c r="M4" s="4">
        <f>M3-M5</f>
        <v>380.92180000000008</v>
      </c>
      <c r="N4" s="4">
        <f t="shared" ref="N4" si="2">N3-N5</f>
        <v>457.48559999999998</v>
      </c>
      <c r="O4" s="4">
        <v>402</v>
      </c>
      <c r="P4" s="4">
        <f>[1]Model!N4-O4</f>
        <v>509</v>
      </c>
      <c r="Q4" s="4">
        <v>421</v>
      </c>
      <c r="R4" s="4">
        <f>[1]Model!O4-Q4</f>
        <v>538</v>
      </c>
      <c r="S4" s="4">
        <f>S3-S5</f>
        <v>390.88</v>
      </c>
      <c r="T4" s="4">
        <f>T3-T5</f>
        <v>427.58399999999995</v>
      </c>
      <c r="V4" s="4">
        <v>832.9</v>
      </c>
      <c r="W4" s="4">
        <v>835.4</v>
      </c>
      <c r="X4" s="4">
        <v>859.4</v>
      </c>
      <c r="Y4" s="4">
        <v>927.6</v>
      </c>
      <c r="Z4" s="4">
        <v>681.4</v>
      </c>
      <c r="AA4" s="4">
        <f>SUM(M4:N4)</f>
        <v>838.40740000000005</v>
      </c>
      <c r="AB4" s="4">
        <f t="shared" ref="AB4:AI4" si="3">AB3-AB5</f>
        <v>867.42558000000008</v>
      </c>
      <c r="AC4" s="4">
        <f t="shared" si="3"/>
        <v>902.12260319999996</v>
      </c>
      <c r="AD4" s="4">
        <f t="shared" si="3"/>
        <v>929.18628129600029</v>
      </c>
      <c r="AE4" s="4">
        <f t="shared" si="3"/>
        <v>947.77000692192041</v>
      </c>
      <c r="AF4" s="4">
        <f t="shared" si="3"/>
        <v>966.72540706035852</v>
      </c>
      <c r="AG4" s="4">
        <f t="shared" si="3"/>
        <v>986.05991520156567</v>
      </c>
      <c r="AH4" s="4">
        <f t="shared" si="3"/>
        <v>995.92051435358144</v>
      </c>
      <c r="AI4" s="4">
        <f t="shared" si="3"/>
        <v>1005.8797194971175</v>
      </c>
    </row>
    <row r="5" spans="2:157" s="1" customFormat="1" x14ac:dyDescent="0.3">
      <c r="B5" s="1" t="s">
        <v>21</v>
      </c>
      <c r="C5" s="10">
        <f t="shared" ref="C5:L5" si="4">C3-C4</f>
        <v>795</v>
      </c>
      <c r="D5" s="10">
        <f t="shared" si="4"/>
        <v>1138.0999999999999</v>
      </c>
      <c r="E5" s="10">
        <f t="shared" si="4"/>
        <v>874.00000000000011</v>
      </c>
      <c r="F5" s="10">
        <f t="shared" si="4"/>
        <v>1023.4000000000001</v>
      </c>
      <c r="G5" s="10">
        <f t="shared" si="4"/>
        <v>825.1</v>
      </c>
      <c r="H5" s="10">
        <f t="shared" si="4"/>
        <v>1035.6999999999998</v>
      </c>
      <c r="I5" s="10">
        <f t="shared" si="4"/>
        <v>865.40000000000009</v>
      </c>
      <c r="J5" s="10">
        <f t="shared" si="4"/>
        <v>840.09999999999991</v>
      </c>
      <c r="K5" s="10">
        <f t="shared" si="4"/>
        <v>604.40000000000009</v>
      </c>
      <c r="L5" s="10">
        <f t="shared" si="4"/>
        <v>1058.2</v>
      </c>
      <c r="M5" s="10">
        <f>M3*0.69</f>
        <v>847.8581999999999</v>
      </c>
      <c r="N5" s="10">
        <f>N3*0.7</f>
        <v>1067.4664</v>
      </c>
      <c r="O5" s="10">
        <f>O3-O4</f>
        <v>943</v>
      </c>
      <c r="P5" s="10">
        <f>P3-P4</f>
        <v>1240</v>
      </c>
      <c r="Q5" s="10">
        <f>Q3-Q4</f>
        <v>975</v>
      </c>
      <c r="R5" s="10">
        <f>R3-R4</f>
        <v>1034</v>
      </c>
      <c r="S5" s="10">
        <f>S3*0.65</f>
        <v>725.92</v>
      </c>
      <c r="T5" s="10">
        <f>T3*0.68</f>
        <v>908.6160000000001</v>
      </c>
      <c r="V5" s="10">
        <f t="shared" ref="V5:AA5" si="5">V3-V4</f>
        <v>1933.1</v>
      </c>
      <c r="W5" s="10">
        <f t="shared" si="5"/>
        <v>1897.4</v>
      </c>
      <c r="X5" s="10">
        <f t="shared" si="5"/>
        <v>1860.7999999999997</v>
      </c>
      <c r="Y5" s="10">
        <f t="shared" si="5"/>
        <v>1705.5</v>
      </c>
      <c r="Z5" s="10">
        <f t="shared" si="5"/>
        <v>1662.6</v>
      </c>
      <c r="AA5" s="10">
        <f t="shared" si="5"/>
        <v>1915.3245999999999</v>
      </c>
      <c r="AB5" s="10">
        <f>AB3*0.7</f>
        <v>2023.9930199999999</v>
      </c>
      <c r="AC5" s="10">
        <f t="shared" ref="AC5:AI5" si="6">AC3*0.7</f>
        <v>2104.9527407999999</v>
      </c>
      <c r="AD5" s="10">
        <f t="shared" si="6"/>
        <v>2168.1013230239996</v>
      </c>
      <c r="AE5" s="10">
        <f t="shared" si="6"/>
        <v>2211.4633494844797</v>
      </c>
      <c r="AF5" s="10">
        <f t="shared" si="6"/>
        <v>2255.6926164741699</v>
      </c>
      <c r="AG5" s="10">
        <f t="shared" si="6"/>
        <v>2300.8064688036534</v>
      </c>
      <c r="AH5" s="10">
        <f t="shared" si="6"/>
        <v>2323.8145334916899</v>
      </c>
      <c r="AI5" s="10">
        <f t="shared" si="6"/>
        <v>2347.0526788266066</v>
      </c>
    </row>
    <row r="6" spans="2:157" x14ac:dyDescent="0.3">
      <c r="B6" t="s">
        <v>22</v>
      </c>
      <c r="C6" s="4">
        <v>692.6</v>
      </c>
      <c r="D6" s="4">
        <f>V6-C6</f>
        <v>846.19999999999993</v>
      </c>
      <c r="E6" s="4">
        <v>747.5</v>
      </c>
      <c r="F6" s="4">
        <f>W6-E6</f>
        <v>739.59999999999991</v>
      </c>
      <c r="G6" s="4">
        <v>652.6</v>
      </c>
      <c r="H6" s="4">
        <f>X6-G6</f>
        <v>770.99999999999989</v>
      </c>
      <c r="I6" s="4">
        <v>663.4</v>
      </c>
      <c r="J6" s="4">
        <f>Y6-I6</f>
        <v>853.4</v>
      </c>
      <c r="K6" s="4">
        <v>516.29999999999995</v>
      </c>
      <c r="L6" s="4">
        <f>Z6-K6</f>
        <v>625.10000000000014</v>
      </c>
      <c r="M6" s="4">
        <f>K6*1.15</f>
        <v>593.74499999999989</v>
      </c>
      <c r="N6" s="4">
        <f>L6*1.16</f>
        <v>725.1160000000001</v>
      </c>
      <c r="O6" s="4">
        <v>712</v>
      </c>
      <c r="P6" s="4">
        <f>[1]Model!N6-O6</f>
        <v>860</v>
      </c>
      <c r="Q6" s="4">
        <v>758</v>
      </c>
      <c r="R6" s="4">
        <f>[1]Model!O6-Q6</f>
        <v>846</v>
      </c>
      <c r="S6" s="4">
        <f>Q6*0.98</f>
        <v>742.84</v>
      </c>
      <c r="T6" s="4">
        <f>R6*0.96</f>
        <v>812.16</v>
      </c>
      <c r="V6" s="4">
        <v>1538.8</v>
      </c>
      <c r="W6" s="4">
        <v>1487.1</v>
      </c>
      <c r="X6" s="4">
        <v>1423.6</v>
      </c>
      <c r="Y6" s="4">
        <v>1516.8</v>
      </c>
      <c r="Z6" s="4">
        <v>1141.4000000000001</v>
      </c>
      <c r="AA6" s="4">
        <f>SUM(M6:N6)</f>
        <v>1318.8609999999999</v>
      </c>
      <c r="AB6" s="4">
        <f>AA6*1.05</f>
        <v>1384.80405</v>
      </c>
      <c r="AC6" s="4">
        <f>AB6*1.03</f>
        <v>1426.3481715</v>
      </c>
      <c r="AD6" s="4">
        <f t="shared" ref="AD6:AF6" si="7">AC6*1.02</f>
        <v>1454.8751349300001</v>
      </c>
      <c r="AE6" s="4">
        <f t="shared" si="7"/>
        <v>1483.9726376286001</v>
      </c>
      <c r="AF6" s="4">
        <f t="shared" si="7"/>
        <v>1513.652090381172</v>
      </c>
      <c r="AG6" s="4">
        <f t="shared" ref="AG6:AI6" si="8">AF6*1.01</f>
        <v>1528.7886112849837</v>
      </c>
      <c r="AH6" s="4">
        <f t="shared" si="8"/>
        <v>1544.0764973978337</v>
      </c>
      <c r="AI6" s="4">
        <f t="shared" si="8"/>
        <v>1559.517262371812</v>
      </c>
    </row>
    <row r="7" spans="2:157" s="1" customFormat="1" x14ac:dyDescent="0.3">
      <c r="B7" s="1" t="s">
        <v>23</v>
      </c>
      <c r="C7" s="10">
        <f t="shared" ref="C7:N7" si="9">C5-C6</f>
        <v>102.39999999999998</v>
      </c>
      <c r="D7" s="10">
        <f t="shared" si="9"/>
        <v>291.89999999999998</v>
      </c>
      <c r="E7" s="10">
        <f t="shared" si="9"/>
        <v>126.50000000000011</v>
      </c>
      <c r="F7" s="10">
        <f t="shared" si="9"/>
        <v>283.80000000000018</v>
      </c>
      <c r="G7" s="10">
        <f t="shared" si="9"/>
        <v>172.5</v>
      </c>
      <c r="H7" s="10">
        <f t="shared" si="9"/>
        <v>264.69999999999993</v>
      </c>
      <c r="I7" s="10">
        <f t="shared" si="9"/>
        <v>202.00000000000011</v>
      </c>
      <c r="J7" s="10">
        <f t="shared" si="9"/>
        <v>-13.300000000000068</v>
      </c>
      <c r="K7" s="10">
        <f t="shared" si="9"/>
        <v>88.100000000000136</v>
      </c>
      <c r="L7" s="10">
        <f t="shared" si="9"/>
        <v>433.09999999999991</v>
      </c>
      <c r="M7" s="10">
        <f t="shared" si="9"/>
        <v>254.11320000000001</v>
      </c>
      <c r="N7" s="10">
        <f t="shared" si="9"/>
        <v>342.35039999999992</v>
      </c>
      <c r="O7" s="4">
        <v>-32</v>
      </c>
      <c r="P7" s="4">
        <f>[1]Model!N7-O7</f>
        <v>-14</v>
      </c>
      <c r="Q7" s="4">
        <v>-6</v>
      </c>
      <c r="R7" s="4">
        <f>[1]Model!O7-Q7</f>
        <v>-7</v>
      </c>
      <c r="S7" s="4">
        <v>-3</v>
      </c>
      <c r="T7" s="4">
        <v>-4</v>
      </c>
      <c r="V7" s="10">
        <f t="shared" ref="V7:AA7" si="10">V5-V6</f>
        <v>394.29999999999995</v>
      </c>
      <c r="W7" s="10">
        <f t="shared" si="10"/>
        <v>410.30000000000018</v>
      </c>
      <c r="X7" s="10">
        <f t="shared" si="10"/>
        <v>437.19999999999982</v>
      </c>
      <c r="Y7" s="10">
        <f t="shared" si="10"/>
        <v>188.70000000000005</v>
      </c>
      <c r="Z7" s="10">
        <f t="shared" si="10"/>
        <v>521.19999999999982</v>
      </c>
      <c r="AA7" s="10">
        <f t="shared" si="10"/>
        <v>596.46360000000004</v>
      </c>
      <c r="AB7" s="10">
        <f t="shared" ref="AB7:AI7" si="11">AB5-AB6</f>
        <v>639.18896999999993</v>
      </c>
      <c r="AC7" s="10">
        <f t="shared" si="11"/>
        <v>678.60456929999987</v>
      </c>
      <c r="AD7" s="10">
        <f t="shared" si="11"/>
        <v>713.22618809399955</v>
      </c>
      <c r="AE7" s="10">
        <f t="shared" si="11"/>
        <v>727.49071185587968</v>
      </c>
      <c r="AF7" s="10">
        <f t="shared" si="11"/>
        <v>742.04052609299788</v>
      </c>
      <c r="AG7" s="10">
        <f t="shared" si="11"/>
        <v>772.01785751866964</v>
      </c>
      <c r="AH7" s="10">
        <f t="shared" si="11"/>
        <v>779.73803609385618</v>
      </c>
      <c r="AI7" s="10">
        <f t="shared" si="11"/>
        <v>787.53541645479459</v>
      </c>
    </row>
    <row r="8" spans="2:157" x14ac:dyDescent="0.3">
      <c r="B8" t="s">
        <v>24</v>
      </c>
      <c r="C8" s="4">
        <v>-2.6</v>
      </c>
      <c r="D8" s="4">
        <f>V8-C8</f>
        <v>-2.9</v>
      </c>
      <c r="E8" s="4">
        <v>-3.6</v>
      </c>
      <c r="F8" s="4">
        <f>W8-E8</f>
        <v>-4.1999999999999993</v>
      </c>
      <c r="G8" s="4">
        <v>-4.2</v>
      </c>
      <c r="H8" s="4">
        <f>X8-G8</f>
        <v>-4.4999999999999991</v>
      </c>
      <c r="I8" s="4">
        <v>-4.5</v>
      </c>
      <c r="J8" s="4">
        <f>Y8-I8</f>
        <v>-3.0999999999999996</v>
      </c>
      <c r="K8" s="4">
        <v>-1.5</v>
      </c>
      <c r="L8" s="4">
        <f>Z8-K8</f>
        <v>-1.6</v>
      </c>
      <c r="M8" s="4">
        <f>-L14*0.01</f>
        <v>-3.2769999999999988</v>
      </c>
      <c r="N8" s="4">
        <f t="shared" ref="N8" si="12">-M14*0.01</f>
        <v>-1.8029264999999999</v>
      </c>
      <c r="O8" s="10">
        <f>O5-O6-O7</f>
        <v>263</v>
      </c>
      <c r="P8" s="10">
        <f>P5-P6-P7</f>
        <v>394</v>
      </c>
      <c r="Q8" s="10">
        <f>Q5-Q6-Q7</f>
        <v>223</v>
      </c>
      <c r="R8" s="10">
        <f>R5-R6-R7</f>
        <v>195</v>
      </c>
      <c r="S8" s="10">
        <f>S5-S6-S7</f>
        <v>-13.920000000000073</v>
      </c>
      <c r="T8" s="10">
        <f>T5-T6-T7</f>
        <v>100.45600000000013</v>
      </c>
      <c r="V8" s="4">
        <v>-5.5</v>
      </c>
      <c r="W8" s="4">
        <v>-7.8</v>
      </c>
      <c r="X8" s="4">
        <v>-8.6999999999999993</v>
      </c>
      <c r="Y8" s="4">
        <v>-7.6</v>
      </c>
      <c r="Z8" s="4">
        <v>-3.1</v>
      </c>
      <c r="AA8" s="4">
        <f>SUM(M8:N8)</f>
        <v>-5.0799264999999991</v>
      </c>
      <c r="AB8" s="4">
        <f t="shared" ref="AB8:AI8" si="13">-AA12*0.02</f>
        <v>-11.350870530000002</v>
      </c>
      <c r="AC8" s="4">
        <f t="shared" si="13"/>
        <v>-12.4667968106</v>
      </c>
      <c r="AD8" s="4">
        <f t="shared" si="13"/>
        <v>-13.386227322211996</v>
      </c>
      <c r="AE8" s="4">
        <f t="shared" si="13"/>
        <v>-14.184088308324231</v>
      </c>
      <c r="AF8" s="4">
        <f t="shared" si="13"/>
        <v>-14.554968003284078</v>
      </c>
      <c r="AG8" s="4">
        <f t="shared" si="13"/>
        <v>-14.90908748192564</v>
      </c>
      <c r="AH8" s="4">
        <f t="shared" si="13"/>
        <v>-15.560280980011905</v>
      </c>
      <c r="AI8" s="4">
        <f t="shared" si="13"/>
        <v>-15.763360005477361</v>
      </c>
    </row>
    <row r="9" spans="2:157" x14ac:dyDescent="0.3">
      <c r="B9" t="s">
        <v>25</v>
      </c>
      <c r="C9" s="4">
        <v>0.9</v>
      </c>
      <c r="D9" s="4">
        <f>V9-C9</f>
        <v>0.9</v>
      </c>
      <c r="E9" s="4">
        <v>0.8</v>
      </c>
      <c r="F9" s="4">
        <f>W9-E9</f>
        <v>2.7</v>
      </c>
      <c r="G9" s="4">
        <v>1.7</v>
      </c>
      <c r="H9" s="4">
        <f>X9-G9</f>
        <v>1.9000000000000001</v>
      </c>
      <c r="I9" s="4">
        <v>13.2</v>
      </c>
      <c r="J9" s="4">
        <f>Y9-I9</f>
        <v>13.400000000000002</v>
      </c>
      <c r="K9" s="4">
        <v>16.399999999999999</v>
      </c>
      <c r="L9" s="4">
        <f>Z9-K9</f>
        <v>16.899999999999999</v>
      </c>
      <c r="M9" s="4">
        <v>17</v>
      </c>
      <c r="N9" s="4">
        <v>17</v>
      </c>
      <c r="O9" s="4">
        <v>-6</v>
      </c>
      <c r="P9" s="4">
        <f>[1]Model!N9-O9</f>
        <v>-15</v>
      </c>
      <c r="Q9" s="4">
        <v>-20</v>
      </c>
      <c r="R9" s="4">
        <f>[1]Model!O9-Q9</f>
        <v>-11</v>
      </c>
      <c r="S9" s="4">
        <v>-5</v>
      </c>
      <c r="T9" s="4">
        <v>-10</v>
      </c>
      <c r="V9" s="4">
        <v>1.8</v>
      </c>
      <c r="W9" s="4">
        <v>3.5</v>
      </c>
      <c r="X9" s="4">
        <v>3.6</v>
      </c>
      <c r="Y9" s="4">
        <v>26.6</v>
      </c>
      <c r="Z9" s="4">
        <v>33.299999999999997</v>
      </c>
      <c r="AA9" s="4">
        <f>SUM(M9:N9)</f>
        <v>34</v>
      </c>
      <c r="AB9" s="4">
        <f t="shared" ref="AB9:AI9" si="14">AA9*0.8</f>
        <v>27.200000000000003</v>
      </c>
      <c r="AC9" s="4">
        <f t="shared" si="14"/>
        <v>21.760000000000005</v>
      </c>
      <c r="AD9" s="4">
        <f t="shared" si="14"/>
        <v>17.408000000000005</v>
      </c>
      <c r="AE9" s="4">
        <f t="shared" si="14"/>
        <v>13.926400000000005</v>
      </c>
      <c r="AF9" s="4">
        <f t="shared" si="14"/>
        <v>11.141120000000004</v>
      </c>
      <c r="AG9" s="4">
        <f t="shared" si="14"/>
        <v>8.9128960000000035</v>
      </c>
      <c r="AH9" s="4">
        <f t="shared" si="14"/>
        <v>7.1303168000000028</v>
      </c>
      <c r="AI9" s="4">
        <f t="shared" si="14"/>
        <v>5.7042534400000022</v>
      </c>
    </row>
    <row r="10" spans="2:157" x14ac:dyDescent="0.3">
      <c r="B10" t="s">
        <v>26</v>
      </c>
      <c r="C10" s="4">
        <v>2.1</v>
      </c>
      <c r="D10" s="4">
        <f>V10-C10</f>
        <v>1.1000000000000001</v>
      </c>
      <c r="E10" s="4">
        <v>1</v>
      </c>
      <c r="F10" s="4">
        <f>W10-E10</f>
        <v>1</v>
      </c>
      <c r="G10" s="4">
        <v>0.9</v>
      </c>
      <c r="H10" s="4">
        <f>X10-G10</f>
        <v>0.79999999999999993</v>
      </c>
      <c r="I10" s="4">
        <v>0.7</v>
      </c>
      <c r="J10" s="4">
        <f>Y10-I10</f>
        <v>0.5</v>
      </c>
      <c r="K10" s="4">
        <v>0.4</v>
      </c>
      <c r="L10" s="4">
        <f>Z10-K10</f>
        <v>0.29999999999999993</v>
      </c>
      <c r="M10" s="4">
        <v>0</v>
      </c>
      <c r="N10" s="4">
        <v>0</v>
      </c>
      <c r="O10" s="4">
        <v>18</v>
      </c>
      <c r="P10" s="4">
        <f>[1]Model!N10-O10</f>
        <v>24</v>
      </c>
      <c r="Q10" s="4">
        <v>24</v>
      </c>
      <c r="R10" s="4">
        <f>[1]Model!O10-Q10</f>
        <v>42</v>
      </c>
      <c r="S10" s="4">
        <v>30</v>
      </c>
      <c r="T10" s="4">
        <v>45</v>
      </c>
      <c r="V10" s="4">
        <v>3.2</v>
      </c>
      <c r="W10" s="4">
        <v>2</v>
      </c>
      <c r="X10" s="4">
        <v>1.7</v>
      </c>
      <c r="Y10" s="4">
        <v>1.2</v>
      </c>
      <c r="Z10" s="4">
        <v>0.7</v>
      </c>
      <c r="AA10" s="4">
        <f>SUM(M10:N10)</f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</row>
    <row r="11" spans="2:157" x14ac:dyDescent="0.3">
      <c r="B11" t="s">
        <v>31</v>
      </c>
      <c r="C11" s="4">
        <f t="shared" ref="C11:I11" si="15">C8+C9+C10</f>
        <v>0.39999999999999991</v>
      </c>
      <c r="D11" s="4">
        <f t="shared" si="15"/>
        <v>-0.89999999999999991</v>
      </c>
      <c r="E11" s="4">
        <f t="shared" si="15"/>
        <v>-1.7999999999999998</v>
      </c>
      <c r="F11" s="4">
        <f t="shared" si="15"/>
        <v>-0.49999999999999911</v>
      </c>
      <c r="G11" s="4">
        <f t="shared" si="15"/>
        <v>-1.6</v>
      </c>
      <c r="H11" s="4">
        <f t="shared" si="15"/>
        <v>-1.7999999999999989</v>
      </c>
      <c r="I11" s="4">
        <f t="shared" si="15"/>
        <v>9.3999999999999986</v>
      </c>
      <c r="J11" s="4">
        <f>Y11-I11</f>
        <v>10.8</v>
      </c>
      <c r="K11" s="4">
        <f>K8+K9+K10</f>
        <v>15.299999999999999</v>
      </c>
      <c r="L11" s="4">
        <f t="shared" ref="L11:N11" si="16">L8+L9+L10</f>
        <v>15.6</v>
      </c>
      <c r="M11" s="4">
        <f t="shared" si="16"/>
        <v>13.723000000000001</v>
      </c>
      <c r="N11" s="4">
        <f t="shared" si="16"/>
        <v>15.1970735</v>
      </c>
      <c r="O11" s="4">
        <v>0</v>
      </c>
      <c r="P11" s="4">
        <f>[1]Model!N11-O11</f>
        <v>2</v>
      </c>
      <c r="Q11" s="4">
        <v>0</v>
      </c>
      <c r="R11" s="4">
        <f>[1]Model!O11-Q11</f>
        <v>0</v>
      </c>
      <c r="S11" s="4">
        <v>0</v>
      </c>
      <c r="T11" s="4">
        <v>0</v>
      </c>
      <c r="V11" s="4">
        <f>V8+V9+V10</f>
        <v>-0.5</v>
      </c>
      <c r="W11" s="4">
        <f>W8+W9+W10</f>
        <v>-2.2999999999999998</v>
      </c>
      <c r="X11" s="4">
        <f>X8+X9+X10</f>
        <v>-3.3999999999999995</v>
      </c>
      <c r="Y11" s="4">
        <f>Y8+Y9+Y10</f>
        <v>20.2</v>
      </c>
      <c r="Z11" s="4">
        <f>Z8+Z9+Z10</f>
        <v>30.899999999999995</v>
      </c>
      <c r="AA11" s="4">
        <f t="shared" ref="AA11:AI11" si="17">AA8+AA9+AA10</f>
        <v>28.920073500000001</v>
      </c>
      <c r="AB11" s="4">
        <f t="shared" si="17"/>
        <v>15.849129470000001</v>
      </c>
      <c r="AC11" s="4">
        <f t="shared" si="17"/>
        <v>9.2932031894000051</v>
      </c>
      <c r="AD11" s="4">
        <f t="shared" si="17"/>
        <v>4.0217726777880092</v>
      </c>
      <c r="AE11" s="4">
        <f t="shared" si="17"/>
        <v>-0.25768830832422651</v>
      </c>
      <c r="AF11" s="4">
        <f t="shared" si="17"/>
        <v>-3.4138480032840732</v>
      </c>
      <c r="AG11" s="4">
        <f t="shared" si="17"/>
        <v>-5.9961914819256368</v>
      </c>
      <c r="AH11" s="4">
        <f t="shared" si="17"/>
        <v>-8.4299641800119023</v>
      </c>
      <c r="AI11" s="4">
        <f t="shared" si="17"/>
        <v>-10.059106565477359</v>
      </c>
    </row>
    <row r="12" spans="2:157" s="1" customFormat="1" x14ac:dyDescent="0.3">
      <c r="B12" s="1" t="s">
        <v>27</v>
      </c>
      <c r="C12" s="10">
        <f t="shared" ref="C12:K12" si="18">C7-C11</f>
        <v>101.99999999999997</v>
      </c>
      <c r="D12" s="10">
        <f t="shared" si="18"/>
        <v>292.79999999999995</v>
      </c>
      <c r="E12" s="10">
        <f t="shared" si="18"/>
        <v>128.30000000000013</v>
      </c>
      <c r="F12" s="10">
        <f t="shared" si="18"/>
        <v>284.30000000000018</v>
      </c>
      <c r="G12" s="10">
        <f t="shared" si="18"/>
        <v>174.1</v>
      </c>
      <c r="H12" s="10">
        <f t="shared" si="18"/>
        <v>266.49999999999994</v>
      </c>
      <c r="I12" s="10">
        <f t="shared" si="18"/>
        <v>192.60000000000011</v>
      </c>
      <c r="J12" s="10">
        <f t="shared" si="18"/>
        <v>-24.100000000000069</v>
      </c>
      <c r="K12" s="10">
        <f t="shared" si="18"/>
        <v>72.800000000000139</v>
      </c>
      <c r="L12" s="10">
        <f t="shared" ref="L12:N12" si="19">L7-L11</f>
        <v>417.49999999999989</v>
      </c>
      <c r="M12" s="10">
        <f t="shared" si="19"/>
        <v>240.39019999999999</v>
      </c>
      <c r="N12" s="10">
        <f t="shared" si="19"/>
        <v>327.15332649999993</v>
      </c>
      <c r="O12" s="4">
        <f>SUM(O9:O11)</f>
        <v>12</v>
      </c>
      <c r="P12" s="4">
        <f>SUM(P9:P11)</f>
        <v>11</v>
      </c>
      <c r="Q12" s="4">
        <f>SUM(Q9:Q11)</f>
        <v>4</v>
      </c>
      <c r="R12" s="4">
        <f>SUM(R9:R11)</f>
        <v>31</v>
      </c>
      <c r="S12" s="4">
        <f>SUM(S9:S11)</f>
        <v>25</v>
      </c>
      <c r="T12" s="4">
        <f>SUM(T9:T11)</f>
        <v>35</v>
      </c>
      <c r="V12" s="10">
        <f>V7-V11</f>
        <v>394.79999999999995</v>
      </c>
      <c r="W12" s="10">
        <f>W7-W11</f>
        <v>412.60000000000019</v>
      </c>
      <c r="X12" s="10">
        <f>X7-X11</f>
        <v>440.5999999999998</v>
      </c>
      <c r="Y12" s="10">
        <f>Y7-Y11</f>
        <v>168.50000000000006</v>
      </c>
      <c r="Z12" s="10">
        <f>Z7-Z11</f>
        <v>490.29999999999984</v>
      </c>
      <c r="AA12" s="10">
        <f t="shared" ref="AA12:AI12" si="20">AA7-AA11</f>
        <v>567.5435265000001</v>
      </c>
      <c r="AB12" s="10">
        <f t="shared" si="20"/>
        <v>623.33984052999995</v>
      </c>
      <c r="AC12" s="10">
        <f t="shared" si="20"/>
        <v>669.31136611059981</v>
      </c>
      <c r="AD12" s="10">
        <f t="shared" si="20"/>
        <v>709.20441541621153</v>
      </c>
      <c r="AE12" s="10">
        <f t="shared" si="20"/>
        <v>727.74840016420387</v>
      </c>
      <c r="AF12" s="10">
        <f t="shared" si="20"/>
        <v>745.45437409628198</v>
      </c>
      <c r="AG12" s="10">
        <f t="shared" si="20"/>
        <v>778.01404900059526</v>
      </c>
      <c r="AH12" s="10">
        <f t="shared" si="20"/>
        <v>788.16800027386807</v>
      </c>
      <c r="AI12" s="10">
        <f t="shared" si="20"/>
        <v>797.59452302027194</v>
      </c>
    </row>
    <row r="13" spans="2:157" x14ac:dyDescent="0.3">
      <c r="B13" t="s">
        <v>28</v>
      </c>
      <c r="C13" s="4">
        <v>28.9</v>
      </c>
      <c r="D13" s="4">
        <f>V13-C13</f>
        <v>78.199999999999989</v>
      </c>
      <c r="E13" s="4">
        <v>35.299999999999997</v>
      </c>
      <c r="F13" s="4">
        <f>W13-E13</f>
        <v>83.7</v>
      </c>
      <c r="G13" s="4">
        <v>42.2</v>
      </c>
      <c r="H13" s="4">
        <f>X13-G13</f>
        <v>59.3</v>
      </c>
      <c r="I13" s="4">
        <v>42.5</v>
      </c>
      <c r="J13" s="4">
        <f>Y13-I13</f>
        <v>4.3999999999999986</v>
      </c>
      <c r="K13" s="4">
        <v>24.5</v>
      </c>
      <c r="L13" s="4">
        <f>Z13-K13</f>
        <v>89.8</v>
      </c>
      <c r="M13" s="4">
        <f>M12*0.25</f>
        <v>60.097549999999998</v>
      </c>
      <c r="N13" s="4">
        <f t="shared" ref="N13" si="21">N12*0.25</f>
        <v>81.788331624999984</v>
      </c>
      <c r="O13" s="10">
        <f>O8-O12</f>
        <v>251</v>
      </c>
      <c r="P13" s="10">
        <f>P8-P12</f>
        <v>383</v>
      </c>
      <c r="Q13" s="10">
        <f>Q8-Q12</f>
        <v>219</v>
      </c>
      <c r="R13" s="10">
        <f>R8-R12</f>
        <v>164</v>
      </c>
      <c r="S13" s="10">
        <f>S8-S12</f>
        <v>-38.920000000000073</v>
      </c>
      <c r="T13" s="10">
        <f>T8-T12</f>
        <v>65.456000000000131</v>
      </c>
      <c r="V13" s="4">
        <v>107.1</v>
      </c>
      <c r="W13" s="4">
        <v>119</v>
      </c>
      <c r="X13" s="4">
        <v>101.5</v>
      </c>
      <c r="Y13" s="4">
        <v>46.9</v>
      </c>
      <c r="Z13" s="4">
        <v>114.3</v>
      </c>
      <c r="AA13" s="4">
        <f>SUM(M13:N13)</f>
        <v>141.88588162499997</v>
      </c>
      <c r="AB13" s="4">
        <f>AB12*0.25</f>
        <v>155.83496013249999</v>
      </c>
      <c r="AC13" s="4">
        <f t="shared" ref="AC13:AI13" si="22">AC12*0.25</f>
        <v>167.32784152764995</v>
      </c>
      <c r="AD13" s="4">
        <f t="shared" si="22"/>
        <v>177.30110385405288</v>
      </c>
      <c r="AE13" s="4">
        <f t="shared" si="22"/>
        <v>181.93710004105097</v>
      </c>
      <c r="AF13" s="4">
        <f t="shared" si="22"/>
        <v>186.3635935240705</v>
      </c>
      <c r="AG13" s="4">
        <f t="shared" si="22"/>
        <v>194.50351225014882</v>
      </c>
      <c r="AH13" s="4">
        <f t="shared" si="22"/>
        <v>197.04200006846702</v>
      </c>
      <c r="AI13" s="4">
        <f t="shared" si="22"/>
        <v>199.39863075506798</v>
      </c>
    </row>
    <row r="14" spans="2:157" s="1" customFormat="1" x14ac:dyDescent="0.3">
      <c r="B14" s="1" t="s">
        <v>29</v>
      </c>
      <c r="C14" s="10">
        <f t="shared" ref="C14:L14" si="23">C12-C13</f>
        <v>73.099999999999966</v>
      </c>
      <c r="D14" s="10">
        <f t="shared" si="23"/>
        <v>214.59999999999997</v>
      </c>
      <c r="E14" s="10">
        <f t="shared" si="23"/>
        <v>93.000000000000128</v>
      </c>
      <c r="F14" s="10">
        <f t="shared" si="23"/>
        <v>200.60000000000019</v>
      </c>
      <c r="G14" s="10">
        <f t="shared" si="23"/>
        <v>131.89999999999998</v>
      </c>
      <c r="H14" s="10">
        <f t="shared" si="23"/>
        <v>207.19999999999993</v>
      </c>
      <c r="I14" s="10">
        <f t="shared" si="23"/>
        <v>150.10000000000011</v>
      </c>
      <c r="J14" s="10">
        <f t="shared" si="23"/>
        <v>-28.500000000000068</v>
      </c>
      <c r="K14" s="10">
        <f t="shared" si="23"/>
        <v>48.300000000000139</v>
      </c>
      <c r="L14" s="10">
        <f t="shared" si="23"/>
        <v>327.69999999999987</v>
      </c>
      <c r="M14" s="10">
        <f t="shared" ref="M14:N14" si="24">M12-M13</f>
        <v>180.29264999999998</v>
      </c>
      <c r="N14" s="10">
        <f t="shared" si="24"/>
        <v>245.36499487499995</v>
      </c>
      <c r="O14" s="4">
        <v>57</v>
      </c>
      <c r="P14" s="4">
        <f>[1]Model!N14-O14</f>
        <v>85</v>
      </c>
      <c r="Q14" s="4">
        <v>60</v>
      </c>
      <c r="R14" s="4">
        <f>[1]Model!O14-Q14</f>
        <v>52</v>
      </c>
      <c r="S14" s="4">
        <v>15</v>
      </c>
      <c r="T14" s="4">
        <f>T13*0.25</f>
        <v>16.364000000000033</v>
      </c>
      <c r="V14" s="10">
        <f>V12-V13</f>
        <v>287.69999999999993</v>
      </c>
      <c r="W14" s="10">
        <f>W12-W13</f>
        <v>293.60000000000019</v>
      </c>
      <c r="X14" s="10">
        <f>X12-X13</f>
        <v>339.0999999999998</v>
      </c>
      <c r="Y14" s="10">
        <f>Y12-Y13</f>
        <v>121.60000000000005</v>
      </c>
      <c r="Z14" s="10">
        <f>Z12-Z13</f>
        <v>375.99999999999983</v>
      </c>
      <c r="AA14" s="10">
        <f t="shared" ref="AA14:AI14" si="25">AA12-AA13</f>
        <v>425.65764487500013</v>
      </c>
      <c r="AB14" s="10">
        <f t="shared" si="25"/>
        <v>467.50488039749996</v>
      </c>
      <c r="AC14" s="10">
        <f t="shared" si="25"/>
        <v>501.98352458294983</v>
      </c>
      <c r="AD14" s="10">
        <f t="shared" si="25"/>
        <v>531.90331156215871</v>
      </c>
      <c r="AE14" s="10">
        <f t="shared" si="25"/>
        <v>545.81130012315293</v>
      </c>
      <c r="AF14" s="10">
        <f t="shared" si="25"/>
        <v>559.09078057221154</v>
      </c>
      <c r="AG14" s="10">
        <f t="shared" si="25"/>
        <v>583.51053675044648</v>
      </c>
      <c r="AH14" s="10">
        <f t="shared" si="25"/>
        <v>591.12600020540106</v>
      </c>
      <c r="AI14" s="10">
        <f t="shared" si="25"/>
        <v>598.19589226520395</v>
      </c>
      <c r="AJ14" s="1">
        <f>AI14*(1+$AL$20)</f>
        <v>592.21393334255185</v>
      </c>
      <c r="AK14" s="1">
        <f t="shared" ref="AK14" si="26">AJ14*(1+$AL$20)</f>
        <v>586.29179400912631</v>
      </c>
      <c r="AL14" s="1">
        <f t="shared" ref="AL14" si="27">AK14*(1+$AL$20)</f>
        <v>580.42887606903503</v>
      </c>
      <c r="AM14" s="1">
        <f t="shared" ref="AM14" si="28">AL14*(1+$AL$20)</f>
        <v>574.62458730834464</v>
      </c>
      <c r="AN14" s="1">
        <f t="shared" ref="AN14" si="29">AM14*(1+$AL$20)</f>
        <v>568.87834143526118</v>
      </c>
      <c r="AO14" s="1">
        <f t="shared" ref="AO14" si="30">AN14*(1+$AL$20)</f>
        <v>563.18955802090852</v>
      </c>
      <c r="AP14" s="1">
        <f t="shared" ref="AP14" si="31">AO14*(1+$AL$20)</f>
        <v>557.55766244069946</v>
      </c>
      <c r="AQ14" s="1">
        <f t="shared" ref="AQ14" si="32">AP14*(1+$AL$20)</f>
        <v>551.98208581629251</v>
      </c>
      <c r="AR14" s="1">
        <f t="shared" ref="AR14" si="33">AQ14*(1+$AL$20)</f>
        <v>546.46226495812959</v>
      </c>
      <c r="AS14" s="1">
        <f t="shared" ref="AS14" si="34">AR14*(1+$AL$20)</f>
        <v>540.99764230854828</v>
      </c>
      <c r="AT14" s="1">
        <f t="shared" ref="AT14" si="35">AS14*(1+$AL$20)</f>
        <v>535.5876658854628</v>
      </c>
      <c r="AU14" s="1">
        <f t="shared" ref="AU14" si="36">AT14*(1+$AL$20)</f>
        <v>530.23178922660816</v>
      </c>
      <c r="AV14" s="1">
        <f t="shared" ref="AV14" si="37">AU14*(1+$AL$20)</f>
        <v>524.92947133434211</v>
      </c>
      <c r="AW14" s="1">
        <f t="shared" ref="AW14" si="38">AV14*(1+$AL$20)</f>
        <v>519.68017662099874</v>
      </c>
      <c r="AX14" s="1">
        <f t="shared" ref="AX14" si="39">AW14*(1+$AL$20)</f>
        <v>514.48337485478874</v>
      </c>
      <c r="AY14" s="1">
        <f t="shared" ref="AY14" si="40">AX14*(1+$AL$20)</f>
        <v>509.33854110624083</v>
      </c>
      <c r="AZ14" s="1">
        <f t="shared" ref="AZ14" si="41">AY14*(1+$AL$20)</f>
        <v>504.24515569517843</v>
      </c>
      <c r="BA14" s="1">
        <f t="shared" ref="BA14" si="42">AZ14*(1+$AL$20)</f>
        <v>499.20270413822664</v>
      </c>
      <c r="BB14" s="1">
        <f t="shared" ref="BB14" si="43">BA14*(1+$AL$20)</f>
        <v>494.21067709684439</v>
      </c>
      <c r="BC14" s="1">
        <f t="shared" ref="BC14" si="44">BB14*(1+$AL$20)</f>
        <v>489.26857032587594</v>
      </c>
      <c r="BD14" s="1">
        <f t="shared" ref="BD14" si="45">BC14*(1+$AL$20)</f>
        <v>484.37588462261715</v>
      </c>
      <c r="BE14" s="1">
        <f t="shared" ref="BE14" si="46">BD14*(1+$AL$20)</f>
        <v>479.53212577639096</v>
      </c>
      <c r="BF14" s="1">
        <f t="shared" ref="BF14" si="47">BE14*(1+$AL$20)</f>
        <v>474.73680451862703</v>
      </c>
      <c r="BG14" s="1">
        <f t="shared" ref="BG14" si="48">BF14*(1+$AL$20)</f>
        <v>469.98943647344078</v>
      </c>
      <c r="BH14" s="1">
        <f t="shared" ref="BH14" si="49">BG14*(1+$AL$20)</f>
        <v>465.28954210870637</v>
      </c>
      <c r="BI14" s="1">
        <f t="shared" ref="BI14" si="50">BH14*(1+$AL$20)</f>
        <v>460.6366466876193</v>
      </c>
      <c r="BJ14" s="1">
        <f t="shared" ref="BJ14" si="51">BI14*(1+$AL$20)</f>
        <v>456.03028022074312</v>
      </c>
      <c r="BK14" s="1">
        <f t="shared" ref="BK14" si="52">BJ14*(1+$AL$20)</f>
        <v>451.46997741853568</v>
      </c>
      <c r="BL14" s="1">
        <f t="shared" ref="BL14" si="53">BK14*(1+$AL$20)</f>
        <v>446.9552776443503</v>
      </c>
      <c r="BM14" s="1">
        <f t="shared" ref="BM14" si="54">BL14*(1+$AL$20)</f>
        <v>442.48572486790681</v>
      </c>
      <c r="BN14" s="1">
        <f t="shared" ref="BN14" si="55">BM14*(1+$AL$20)</f>
        <v>438.06086761922774</v>
      </c>
      <c r="BO14" s="1">
        <f t="shared" ref="BO14" si="56">BN14*(1+$AL$20)</f>
        <v>433.68025894303548</v>
      </c>
      <c r="BP14" s="1">
        <f t="shared" ref="BP14" si="57">BO14*(1+$AL$20)</f>
        <v>429.34345635360512</v>
      </c>
      <c r="BQ14" s="1">
        <f t="shared" ref="BQ14" si="58">BP14*(1+$AL$20)</f>
        <v>425.05002179006908</v>
      </c>
      <c r="BR14" s="1">
        <f t="shared" ref="BR14" si="59">BQ14*(1+$AL$20)</f>
        <v>420.79952157216837</v>
      </c>
      <c r="BS14" s="1">
        <f t="shared" ref="BS14" si="60">BR14*(1+$AL$20)</f>
        <v>416.59152635644671</v>
      </c>
      <c r="BT14" s="1">
        <f t="shared" ref="BT14" si="61">BS14*(1+$AL$20)</f>
        <v>412.42561109288226</v>
      </c>
      <c r="BU14" s="1">
        <f t="shared" ref="BU14" si="62">BT14*(1+$AL$20)</f>
        <v>408.30135498195341</v>
      </c>
      <c r="BV14" s="1">
        <f t="shared" ref="BV14" si="63">BU14*(1+$AL$20)</f>
        <v>404.21834143213385</v>
      </c>
      <c r="BW14" s="1">
        <f t="shared" ref="BW14" si="64">BV14*(1+$AL$20)</f>
        <v>400.1761580178125</v>
      </c>
      <c r="BX14" s="1">
        <f t="shared" ref="BX14" si="65">BW14*(1+$AL$20)</f>
        <v>396.17439643763436</v>
      </c>
      <c r="BY14" s="1">
        <f t="shared" ref="BY14" si="66">BX14*(1+$AL$20)</f>
        <v>392.212652473258</v>
      </c>
      <c r="BZ14" s="1">
        <f t="shared" ref="BZ14" si="67">BY14*(1+$AL$20)</f>
        <v>388.29052594852544</v>
      </c>
      <c r="CA14" s="1">
        <f t="shared" ref="CA14" si="68">BZ14*(1+$AL$20)</f>
        <v>384.40762068904019</v>
      </c>
      <c r="CB14" s="1">
        <f t="shared" ref="CB14" si="69">CA14*(1+$AL$20)</f>
        <v>380.56354448214978</v>
      </c>
      <c r="CC14" s="1">
        <f t="shared" ref="CC14" si="70">CB14*(1+$AL$20)</f>
        <v>376.75790903732826</v>
      </c>
      <c r="CD14" s="1">
        <f t="shared" ref="CD14" si="71">CC14*(1+$AL$20)</f>
        <v>372.990329946955</v>
      </c>
      <c r="CE14" s="1">
        <f t="shared" ref="CE14" si="72">CD14*(1+$AL$20)</f>
        <v>369.26042664748547</v>
      </c>
      <c r="CF14" s="1">
        <f t="shared" ref="CF14" si="73">CE14*(1+$AL$20)</f>
        <v>365.56782238101061</v>
      </c>
      <c r="CG14" s="1">
        <f t="shared" ref="CG14" si="74">CF14*(1+$AL$20)</f>
        <v>361.91214415720049</v>
      </c>
      <c r="CH14" s="1">
        <f t="shared" ref="CH14" si="75">CG14*(1+$AL$20)</f>
        <v>358.29302271562847</v>
      </c>
      <c r="CI14" s="1">
        <f t="shared" ref="CI14" si="76">CH14*(1+$AL$20)</f>
        <v>354.71009248847218</v>
      </c>
      <c r="CJ14" s="1">
        <f t="shared" ref="CJ14" si="77">CI14*(1+$AL$20)</f>
        <v>351.16299156358747</v>
      </c>
      <c r="CK14" s="1">
        <f t="shared" ref="CK14" si="78">CJ14*(1+$AL$20)</f>
        <v>347.6513616479516</v>
      </c>
      <c r="CL14" s="1">
        <f t="shared" ref="CL14" si="79">CK14*(1+$AL$20)</f>
        <v>344.1748480314721</v>
      </c>
      <c r="CM14" s="1">
        <f t="shared" ref="CM14" si="80">CL14*(1+$AL$20)</f>
        <v>340.73309955115735</v>
      </c>
      <c r="CN14" s="1">
        <f t="shared" ref="CN14" si="81">CM14*(1+$AL$20)</f>
        <v>337.32576855564577</v>
      </c>
      <c r="CO14" s="1">
        <f t="shared" ref="CO14" si="82">CN14*(1+$AL$20)</f>
        <v>333.95251087008933</v>
      </c>
      <c r="CP14" s="1">
        <f t="shared" ref="CP14" si="83">CO14*(1+$AL$20)</f>
        <v>330.61298576138842</v>
      </c>
      <c r="CQ14" s="1">
        <f t="shared" ref="CQ14" si="84">CP14*(1+$AL$20)</f>
        <v>327.30685590377453</v>
      </c>
      <c r="CR14" s="1">
        <f t="shared" ref="CR14" si="85">CQ14*(1+$AL$20)</f>
        <v>324.03378734473677</v>
      </c>
      <c r="CS14" s="1">
        <f t="shared" ref="CS14" si="86">CR14*(1+$AL$20)</f>
        <v>320.79344947128942</v>
      </c>
      <c r="CT14" s="1">
        <f t="shared" ref="CT14" si="87">CS14*(1+$AL$20)</f>
        <v>317.58551497657652</v>
      </c>
      <c r="CU14" s="1">
        <f t="shared" ref="CU14" si="88">CT14*(1+$AL$20)</f>
        <v>314.40965982681075</v>
      </c>
      <c r="CV14" s="1">
        <f t="shared" ref="CV14" si="89">CU14*(1+$AL$20)</f>
        <v>311.26556322854265</v>
      </c>
      <c r="CW14" s="1">
        <f t="shared" ref="CW14" si="90">CV14*(1+$AL$20)</f>
        <v>308.15290759625719</v>
      </c>
      <c r="CX14" s="1">
        <f t="shared" ref="CX14" si="91">CW14*(1+$AL$20)</f>
        <v>305.07137852029462</v>
      </c>
      <c r="CY14" s="1">
        <f t="shared" ref="CY14" si="92">CX14*(1+$AL$20)</f>
        <v>302.02066473509166</v>
      </c>
      <c r="CZ14" s="1">
        <f t="shared" ref="CZ14" si="93">CY14*(1+$AL$20)</f>
        <v>299.00045808774075</v>
      </c>
      <c r="DA14" s="1">
        <f t="shared" ref="DA14" si="94">CZ14*(1+$AL$20)</f>
        <v>296.01045350686337</v>
      </c>
      <c r="DB14" s="1">
        <f t="shared" ref="DB14" si="95">DA14*(1+$AL$20)</f>
        <v>293.05034897179473</v>
      </c>
      <c r="DC14" s="1">
        <f t="shared" ref="DC14" si="96">DB14*(1+$AL$20)</f>
        <v>290.11984548207676</v>
      </c>
      <c r="DD14" s="1">
        <f t="shared" ref="DD14" si="97">DC14*(1+$AL$20)</f>
        <v>287.218647027256</v>
      </c>
      <c r="DE14" s="1">
        <f t="shared" ref="DE14" si="98">DD14*(1+$AL$20)</f>
        <v>284.34646055698346</v>
      </c>
      <c r="DF14" s="1">
        <f t="shared" ref="DF14" si="99">DE14*(1+$AL$20)</f>
        <v>281.5029959514136</v>
      </c>
      <c r="DG14" s="1">
        <f t="shared" ref="DG14" si="100">DF14*(1+$AL$20)</f>
        <v>278.68796599189943</v>
      </c>
      <c r="DH14" s="1">
        <f t="shared" ref="DH14" si="101">DG14*(1+$AL$20)</f>
        <v>275.90108633198042</v>
      </c>
      <c r="DI14" s="1">
        <f t="shared" ref="DI14" si="102">DH14*(1+$AL$20)</f>
        <v>273.14207546866061</v>
      </c>
      <c r="DJ14" s="1">
        <f t="shared" ref="DJ14" si="103">DI14*(1+$AL$20)</f>
        <v>270.410654713974</v>
      </c>
      <c r="DK14" s="1">
        <f t="shared" ref="DK14" si="104">DJ14*(1+$AL$20)</f>
        <v>267.70654816683424</v>
      </c>
      <c r="DL14" s="1">
        <f t="shared" ref="DL14" si="105">DK14*(1+$AL$20)</f>
        <v>265.02948268516587</v>
      </c>
      <c r="DM14" s="1">
        <f t="shared" ref="DM14" si="106">DL14*(1+$AL$20)</f>
        <v>262.3791878583142</v>
      </c>
      <c r="DN14" s="1">
        <f t="shared" ref="DN14" si="107">DM14*(1+$AL$20)</f>
        <v>259.75539597973108</v>
      </c>
      <c r="DO14" s="1">
        <f t="shared" ref="DO14" si="108">DN14*(1+$AL$20)</f>
        <v>257.15784201993375</v>
      </c>
      <c r="DP14" s="1">
        <f t="shared" ref="DP14" si="109">DO14*(1+$AL$20)</f>
        <v>254.58626359973442</v>
      </c>
      <c r="DQ14" s="1">
        <f t="shared" ref="DQ14" si="110">DP14*(1+$AL$20)</f>
        <v>252.04040096373708</v>
      </c>
      <c r="DR14" s="1">
        <f t="shared" ref="DR14" si="111">DQ14*(1+$AL$20)</f>
        <v>249.51999695409972</v>
      </c>
      <c r="DS14" s="1">
        <f t="shared" ref="DS14" si="112">DR14*(1+$AL$20)</f>
        <v>247.02479698455872</v>
      </c>
      <c r="DT14" s="1">
        <f t="shared" ref="DT14" si="113">DS14*(1+$AL$20)</f>
        <v>244.55454901471313</v>
      </c>
      <c r="DU14" s="1">
        <f t="shared" ref="DU14" si="114">DT14*(1+$AL$20)</f>
        <v>242.10900352456599</v>
      </c>
      <c r="DV14" s="1">
        <f t="shared" ref="DV14" si="115">DU14*(1+$AL$20)</f>
        <v>239.68791348932032</v>
      </c>
      <c r="DW14" s="1">
        <f t="shared" ref="DW14" si="116">DV14*(1+$AL$20)</f>
        <v>237.29103435442713</v>
      </c>
      <c r="DX14" s="1">
        <f t="shared" ref="DX14" si="117">DW14*(1+$AL$20)</f>
        <v>234.91812401088285</v>
      </c>
      <c r="DY14" s="1">
        <f t="shared" ref="DY14" si="118">DX14*(1+$AL$20)</f>
        <v>232.56894277077402</v>
      </c>
      <c r="DZ14" s="1">
        <f t="shared" ref="DZ14" si="119">DY14*(1+$AL$20)</f>
        <v>230.24325334306627</v>
      </c>
      <c r="EA14" s="1">
        <f t="shared" ref="EA14" si="120">DZ14*(1+$AL$20)</f>
        <v>227.9408208096356</v>
      </c>
      <c r="EB14" s="1">
        <f t="shared" ref="EB14" si="121">EA14*(1+$AL$20)</f>
        <v>225.66141260153924</v>
      </c>
      <c r="EC14" s="1">
        <f t="shared" ref="EC14" si="122">EB14*(1+$AL$20)</f>
        <v>223.40479847552385</v>
      </c>
      <c r="ED14" s="1">
        <f t="shared" ref="ED14" si="123">EC14*(1+$AL$20)</f>
        <v>221.1707504907686</v>
      </c>
      <c r="EE14" s="1">
        <f t="shared" ref="EE14" si="124">ED14*(1+$AL$20)</f>
        <v>218.95904298586092</v>
      </c>
      <c r="EF14" s="1">
        <f t="shared" ref="EF14" si="125">EE14*(1+$AL$20)</f>
        <v>216.76945255600231</v>
      </c>
      <c r="EG14" s="1">
        <f t="shared" ref="EG14" si="126">EF14*(1+$AL$20)</f>
        <v>214.60175803044228</v>
      </c>
      <c r="EH14" s="1">
        <f t="shared" ref="EH14" si="127">EG14*(1+$AL$20)</f>
        <v>212.45574045013785</v>
      </c>
      <c r="EI14" s="1">
        <f t="shared" ref="EI14" si="128">EH14*(1+$AL$20)</f>
        <v>210.33118304563646</v>
      </c>
      <c r="EJ14" s="1">
        <f t="shared" ref="EJ14" si="129">EI14*(1+$AL$20)</f>
        <v>208.2278712151801</v>
      </c>
      <c r="EK14" s="1">
        <f t="shared" ref="EK14" si="130">EJ14*(1+$AL$20)</f>
        <v>206.1455925030283</v>
      </c>
      <c r="EL14" s="1">
        <f t="shared" ref="EL14" si="131">EK14*(1+$AL$20)</f>
        <v>204.08413657799801</v>
      </c>
      <c r="EM14" s="1">
        <f t="shared" ref="EM14" si="132">EL14*(1+$AL$20)</f>
        <v>202.04329521221803</v>
      </c>
      <c r="EN14" s="1">
        <f t="shared" ref="EN14" si="133">EM14*(1+$AL$20)</f>
        <v>200.02286226009585</v>
      </c>
      <c r="EO14" s="1">
        <f t="shared" ref="EO14" si="134">EN14*(1+$AL$20)</f>
        <v>198.02263363749489</v>
      </c>
      <c r="EP14" s="1">
        <f t="shared" ref="EP14" si="135">EO14*(1+$AL$20)</f>
        <v>196.04240730111994</v>
      </c>
      <c r="EQ14" s="1">
        <f t="shared" ref="EQ14" si="136">EP14*(1+$AL$20)</f>
        <v>194.08198322810873</v>
      </c>
      <c r="ER14" s="1">
        <f t="shared" ref="ER14" si="137">EQ14*(1+$AL$20)</f>
        <v>192.14116339582765</v>
      </c>
      <c r="ES14" s="1">
        <f t="shared" ref="ES14" si="138">ER14*(1+$AL$20)</f>
        <v>190.21975176186936</v>
      </c>
      <c r="ET14" s="1">
        <f t="shared" ref="ET14" si="139">ES14*(1+$AL$20)</f>
        <v>188.31755424425066</v>
      </c>
      <c r="EU14" s="1">
        <f t="shared" ref="EU14" si="140">ET14*(1+$AL$20)</f>
        <v>186.43437870180816</v>
      </c>
      <c r="EV14" s="1">
        <f t="shared" ref="EV14" si="141">EU14*(1+$AL$20)</f>
        <v>184.57003491479009</v>
      </c>
      <c r="EW14" s="1">
        <f t="shared" ref="EW14" si="142">EV14*(1+$AL$20)</f>
        <v>182.72433456564218</v>
      </c>
      <c r="EX14" s="1">
        <f t="shared" ref="EX14" si="143">EW14*(1+$AL$20)</f>
        <v>180.89709121998575</v>
      </c>
      <c r="EY14" s="1">
        <f t="shared" ref="EY14" si="144">EX14*(1+$AL$20)</f>
        <v>179.08812030778589</v>
      </c>
      <c r="EZ14" s="1">
        <f t="shared" ref="EZ14" si="145">EY14*(1+$AL$20)</f>
        <v>177.29723910470801</v>
      </c>
      <c r="FA14" s="1">
        <f t="shared" ref="FA14" si="146">EZ14*(1+$AL$20)</f>
        <v>175.52426671366092</v>
      </c>
    </row>
    <row r="15" spans="2:157" x14ac:dyDescent="0.3">
      <c r="B15" t="s">
        <v>2</v>
      </c>
      <c r="C15" s="4">
        <v>405</v>
      </c>
      <c r="D15" s="4">
        <v>405</v>
      </c>
      <c r="E15" s="4">
        <v>405</v>
      </c>
      <c r="F15" s="4">
        <v>405</v>
      </c>
      <c r="G15" s="4">
        <v>405</v>
      </c>
      <c r="H15" s="4">
        <v>405</v>
      </c>
      <c r="I15" s="4">
        <v>405</v>
      </c>
      <c r="J15" s="4">
        <v>405</v>
      </c>
      <c r="K15" s="4">
        <v>405</v>
      </c>
      <c r="L15" s="4">
        <v>405</v>
      </c>
      <c r="M15" s="4">
        <v>405</v>
      </c>
      <c r="N15" s="4">
        <v>405</v>
      </c>
      <c r="O15" s="4">
        <v>1</v>
      </c>
      <c r="P15" s="4">
        <f>[1]Model!N15-O15</f>
        <v>1</v>
      </c>
      <c r="Q15" s="4">
        <v>1</v>
      </c>
      <c r="R15" s="4">
        <f>[1]Model!O15-Q15</f>
        <v>0</v>
      </c>
      <c r="S15" s="4">
        <v>1</v>
      </c>
      <c r="T15" s="4">
        <v>1</v>
      </c>
      <c r="V15" s="4">
        <v>405</v>
      </c>
      <c r="W15" s="4">
        <v>405</v>
      </c>
      <c r="X15" s="4">
        <v>405</v>
      </c>
      <c r="Y15" s="4">
        <v>405</v>
      </c>
      <c r="Z15" s="4">
        <v>405</v>
      </c>
      <c r="AA15" s="4">
        <v>405</v>
      </c>
      <c r="AB15" s="4">
        <v>405</v>
      </c>
      <c r="AC15" s="4">
        <v>405</v>
      </c>
      <c r="AD15" s="4">
        <v>405</v>
      </c>
      <c r="AE15" s="4">
        <v>405</v>
      </c>
      <c r="AF15" s="4">
        <v>405</v>
      </c>
      <c r="AG15" s="4">
        <v>405</v>
      </c>
      <c r="AH15" s="4">
        <v>405</v>
      </c>
      <c r="AI15" s="4">
        <v>405</v>
      </c>
    </row>
    <row r="16" spans="2:157" s="1" customFormat="1" x14ac:dyDescent="0.3">
      <c r="B16" s="1" t="s">
        <v>30</v>
      </c>
      <c r="C16" s="9">
        <f t="shared" ref="C16:L16" si="147">C14/C15</f>
        <v>0.18049382716049375</v>
      </c>
      <c r="D16" s="9">
        <f t="shared" si="147"/>
        <v>0.52987654320987643</v>
      </c>
      <c r="E16" s="9">
        <f t="shared" si="147"/>
        <v>0.22962962962962993</v>
      </c>
      <c r="F16" s="9">
        <f t="shared" si="147"/>
        <v>0.49530864197530911</v>
      </c>
      <c r="G16" s="9">
        <f t="shared" si="147"/>
        <v>0.32567901234567898</v>
      </c>
      <c r="H16" s="9">
        <f t="shared" si="147"/>
        <v>0.5116049382716048</v>
      </c>
      <c r="I16" s="9">
        <f t="shared" si="147"/>
        <v>0.37061728395061755</v>
      </c>
      <c r="J16" s="9">
        <f t="shared" si="147"/>
        <v>-7.0370370370370541E-2</v>
      </c>
      <c r="K16" s="9">
        <f t="shared" si="147"/>
        <v>0.11925925925925961</v>
      </c>
      <c r="L16" s="9">
        <f t="shared" si="147"/>
        <v>0.80913580246913552</v>
      </c>
      <c r="M16" s="9">
        <f t="shared" ref="M16:N16" si="148">M14/M15</f>
        <v>0.44516703703703697</v>
      </c>
      <c r="N16" s="9">
        <f t="shared" si="148"/>
        <v>0.6058394935185184</v>
      </c>
      <c r="O16" s="10">
        <f>O13-O14-O15</f>
        <v>193</v>
      </c>
      <c r="P16" s="10">
        <f>P13-P14-P15</f>
        <v>297</v>
      </c>
      <c r="Q16" s="10">
        <f>Q13-Q14-Q15</f>
        <v>158</v>
      </c>
      <c r="R16" s="10">
        <f>R13-R14-R15</f>
        <v>112</v>
      </c>
      <c r="S16" s="10">
        <f>S13-S14-S15</f>
        <v>-54.920000000000073</v>
      </c>
      <c r="T16" s="10">
        <f>T13-T14-T15</f>
        <v>48.092000000000098</v>
      </c>
      <c r="V16" s="9">
        <f>V14/V15</f>
        <v>0.71037037037037021</v>
      </c>
      <c r="W16" s="9">
        <f>W14/W15</f>
        <v>0.72493827160493873</v>
      </c>
      <c r="X16" s="9">
        <f>X14/X15</f>
        <v>0.83728395061728345</v>
      </c>
      <c r="Y16" s="9">
        <f>Y14/Y15</f>
        <v>0.30024691358024702</v>
      </c>
      <c r="Z16" s="9">
        <f>Z14/Z15</f>
        <v>0.92839506172839459</v>
      </c>
      <c r="AA16" s="9">
        <f t="shared" ref="AA16:AI16" si="149">AA14/AA15</f>
        <v>1.0510065305555558</v>
      </c>
      <c r="AB16" s="9">
        <f t="shared" si="149"/>
        <v>1.1543330380185184</v>
      </c>
      <c r="AC16" s="9">
        <f t="shared" si="149"/>
        <v>1.2394654927974069</v>
      </c>
      <c r="AD16" s="9">
        <f t="shared" si="149"/>
        <v>1.3133415100300214</v>
      </c>
      <c r="AE16" s="9">
        <f t="shared" si="149"/>
        <v>1.3476822225263034</v>
      </c>
      <c r="AF16" s="9">
        <f t="shared" si="149"/>
        <v>1.3804710631412631</v>
      </c>
      <c r="AG16" s="9">
        <f t="shared" si="149"/>
        <v>1.4407667574085099</v>
      </c>
      <c r="AH16" s="9">
        <f t="shared" si="149"/>
        <v>1.4595703708775334</v>
      </c>
      <c r="AI16" s="9">
        <f t="shared" si="149"/>
        <v>1.4770268944819851</v>
      </c>
    </row>
    <row r="17" spans="2:38" x14ac:dyDescent="0.3">
      <c r="O17">
        <v>365</v>
      </c>
      <c r="P17">
        <v>365</v>
      </c>
      <c r="Q17">
        <v>365</v>
      </c>
      <c r="R17">
        <v>365</v>
      </c>
      <c r="S17">
        <v>365</v>
      </c>
      <c r="T17">
        <v>365</v>
      </c>
    </row>
    <row r="18" spans="2:38" x14ac:dyDescent="0.3">
      <c r="B18" s="1" t="s">
        <v>34</v>
      </c>
      <c r="E18" s="8">
        <f>E3/C3-1</f>
        <v>9.0548122572291945E-2</v>
      </c>
      <c r="F18" s="8">
        <f t="shared" ref="F18:L18" si="150">F3/D3-1</f>
        <v>-8.5909797822706024E-2</v>
      </c>
      <c r="G18" s="8">
        <f t="shared" si="150"/>
        <v>-3.4351749248060837E-2</v>
      </c>
      <c r="H18" s="8">
        <f t="shared" si="150"/>
        <v>2.0960936436640543E-2</v>
      </c>
      <c r="I18" s="8">
        <f t="shared" si="150"/>
        <v>5.0163934426229462E-2</v>
      </c>
      <c r="J18" s="8">
        <f t="shared" si="150"/>
        <v>-9.8853486201839758E-2</v>
      </c>
      <c r="K18" s="8">
        <f t="shared" si="150"/>
        <v>-0.31493911957539811</v>
      </c>
      <c r="L18" s="8">
        <f t="shared" si="150"/>
        <v>8.462164361269342E-2</v>
      </c>
      <c r="M18" s="8">
        <f t="shared" ref="M18" si="151">M3/K3-1</f>
        <v>0.39999999999999991</v>
      </c>
      <c r="N18" s="8">
        <f t="shared" ref="N18" si="152">N3/L3-1</f>
        <v>4.0000000000000036E-2</v>
      </c>
      <c r="O18" s="12">
        <f>O16/O17</f>
        <v>0.52876712328767128</v>
      </c>
      <c r="P18" s="12">
        <f>P16/P17</f>
        <v>0.81369863013698629</v>
      </c>
      <c r="Q18" s="12">
        <f>Q16/Q17</f>
        <v>0.43287671232876712</v>
      </c>
      <c r="R18" s="12">
        <f>R16/R17</f>
        <v>0.30684931506849317</v>
      </c>
      <c r="S18" s="12">
        <f>S16/S17</f>
        <v>-0.15046575342465773</v>
      </c>
      <c r="T18" s="12">
        <f>T16/T17</f>
        <v>0.13175890410958932</v>
      </c>
      <c r="W18" s="8">
        <f>W3/V3-1</f>
        <v>-1.2002892263195841E-2</v>
      </c>
      <c r="X18" s="8">
        <f t="shared" ref="X18:AI18" si="153">X3/W3-1</f>
        <v>-4.6106557377050272E-3</v>
      </c>
      <c r="Y18" s="8">
        <f t="shared" si="153"/>
        <v>-3.2019704433497553E-2</v>
      </c>
      <c r="Z18" s="8">
        <f t="shared" si="153"/>
        <v>-0.10979453875659861</v>
      </c>
      <c r="AA18" s="8">
        <f t="shared" si="153"/>
        <v>0.17480034129692834</v>
      </c>
      <c r="AB18" s="8">
        <f t="shared" si="153"/>
        <v>5.0000000000000044E-2</v>
      </c>
      <c r="AC18" s="8">
        <f t="shared" si="153"/>
        <v>4.0000000000000036E-2</v>
      </c>
      <c r="AD18" s="8">
        <f t="shared" si="153"/>
        <v>3.0000000000000027E-2</v>
      </c>
      <c r="AE18" s="8">
        <f t="shared" si="153"/>
        <v>2.0000000000000018E-2</v>
      </c>
      <c r="AF18" s="8">
        <f t="shared" si="153"/>
        <v>2.0000000000000018E-2</v>
      </c>
      <c r="AG18" s="8">
        <f t="shared" si="153"/>
        <v>2.0000000000000018E-2</v>
      </c>
      <c r="AH18" s="8">
        <f t="shared" si="153"/>
        <v>1.0000000000000009E-2</v>
      </c>
      <c r="AI18" s="8">
        <f t="shared" si="153"/>
        <v>1.0000000000000009E-2</v>
      </c>
    </row>
    <row r="19" spans="2:38" x14ac:dyDescent="0.3">
      <c r="B19" s="1" t="s">
        <v>35</v>
      </c>
      <c r="C19" s="8">
        <f>C5/C3</f>
        <v>0.68623219680621494</v>
      </c>
      <c r="D19" s="8">
        <f t="shared" ref="D19:L19" si="154">D5/D3</f>
        <v>0.70799377916018658</v>
      </c>
      <c r="E19" s="8">
        <f t="shared" si="154"/>
        <v>0.69178407471901227</v>
      </c>
      <c r="F19" s="8">
        <f t="shared" si="154"/>
        <v>0.69647475159929229</v>
      </c>
      <c r="G19" s="8">
        <f t="shared" si="154"/>
        <v>0.67631147540983605</v>
      </c>
      <c r="H19" s="8">
        <f t="shared" si="154"/>
        <v>0.69037461671777089</v>
      </c>
      <c r="I19" s="8">
        <f t="shared" si="154"/>
        <v>0.67546050577583516</v>
      </c>
      <c r="J19" s="8">
        <f t="shared" si="154"/>
        <v>0.62142170278866782</v>
      </c>
      <c r="K19" s="8">
        <f t="shared" si="154"/>
        <v>0.68861797880824893</v>
      </c>
      <c r="L19" s="8">
        <f t="shared" si="154"/>
        <v>0.72168042010502631</v>
      </c>
      <c r="M19" s="8">
        <f t="shared" ref="M19:N19" si="155">M5/M3</f>
        <v>0.69</v>
      </c>
      <c r="N19" s="8">
        <f t="shared" si="155"/>
        <v>0.70000000000000007</v>
      </c>
      <c r="V19" s="8">
        <f t="shared" ref="V19:AI19" si="156">V5/V3</f>
        <v>0.69887924801156898</v>
      </c>
      <c r="W19" s="8">
        <f t="shared" si="156"/>
        <v>0.69430620608899296</v>
      </c>
      <c r="X19" s="8">
        <f t="shared" si="156"/>
        <v>0.68406734798911839</v>
      </c>
      <c r="Y19" s="8">
        <f t="shared" si="156"/>
        <v>0.64771562037142538</v>
      </c>
      <c r="Z19" s="8">
        <f t="shared" si="156"/>
        <v>0.70930034129692832</v>
      </c>
      <c r="AA19" s="8">
        <f t="shared" si="156"/>
        <v>0.69553776474980133</v>
      </c>
      <c r="AB19" s="8">
        <f t="shared" si="156"/>
        <v>0.7</v>
      </c>
      <c r="AC19" s="8">
        <f t="shared" si="156"/>
        <v>0.7</v>
      </c>
      <c r="AD19" s="8">
        <f t="shared" si="156"/>
        <v>0.69999999999999984</v>
      </c>
      <c r="AE19" s="8">
        <f t="shared" si="156"/>
        <v>0.69999999999999984</v>
      </c>
      <c r="AF19" s="8">
        <f t="shared" si="156"/>
        <v>0.7</v>
      </c>
      <c r="AG19" s="8">
        <f t="shared" si="156"/>
        <v>0.70000000000000007</v>
      </c>
      <c r="AH19" s="8">
        <f t="shared" si="156"/>
        <v>0.7</v>
      </c>
      <c r="AI19" s="8">
        <f t="shared" si="156"/>
        <v>0.7</v>
      </c>
    </row>
    <row r="20" spans="2:38" x14ac:dyDescent="0.3">
      <c r="B20" t="s">
        <v>36</v>
      </c>
      <c r="C20" s="8">
        <f>C7/C3</f>
        <v>8.8390159689253331E-2</v>
      </c>
      <c r="D20" s="8">
        <f t="shared" ref="D20:L20" si="157">D7/D3</f>
        <v>0.18158631415241056</v>
      </c>
      <c r="E20" s="8">
        <f t="shared" si="157"/>
        <v>0.10012664239354133</v>
      </c>
      <c r="F20" s="8">
        <f t="shared" si="157"/>
        <v>0.1931400571661904</v>
      </c>
      <c r="G20" s="8">
        <f t="shared" si="157"/>
        <v>0.14139344262295081</v>
      </c>
      <c r="H20" s="8">
        <f t="shared" si="157"/>
        <v>0.17644314091454472</v>
      </c>
      <c r="I20" s="8">
        <f t="shared" si="157"/>
        <v>0.15766468935373096</v>
      </c>
      <c r="J20" s="8">
        <f t="shared" si="157"/>
        <v>-9.8380057696575707E-3</v>
      </c>
      <c r="K20" s="8">
        <f t="shared" si="157"/>
        <v>0.10037598268200995</v>
      </c>
      <c r="L20" s="8">
        <f t="shared" si="157"/>
        <v>0.29536929686967189</v>
      </c>
      <c r="M20" s="8">
        <f t="shared" ref="M20:N20" si="158">M7/M3</f>
        <v>0.20680121746773222</v>
      </c>
      <c r="N20" s="8">
        <f t="shared" si="158"/>
        <v>0.22449913177595093</v>
      </c>
      <c r="O20" s="8"/>
      <c r="P20" s="8"/>
      <c r="Q20" s="8">
        <f>Q3/O3-1</f>
        <v>3.7918215613382822E-2</v>
      </c>
      <c r="R20" s="8">
        <f>R3/P3-1</f>
        <v>-0.10120068610634647</v>
      </c>
      <c r="S20" s="8">
        <f>S3/Q3-1</f>
        <v>-0.20000000000000007</v>
      </c>
      <c r="T20" s="8">
        <f>T3/R3-1</f>
        <v>-0.15000000000000002</v>
      </c>
      <c r="V20" s="8">
        <f t="shared" ref="V20:AI20" si="159">V7/V3</f>
        <v>0.14255242227042658</v>
      </c>
      <c r="W20" s="8">
        <f t="shared" si="159"/>
        <v>0.1501390515222483</v>
      </c>
      <c r="X20" s="8">
        <f t="shared" si="159"/>
        <v>0.16072347621498415</v>
      </c>
      <c r="Y20" s="8">
        <f t="shared" si="159"/>
        <v>7.1664577873988861E-2</v>
      </c>
      <c r="Z20" s="8">
        <f t="shared" si="159"/>
        <v>0.22235494880546067</v>
      </c>
      <c r="AA20" s="8">
        <f t="shared" si="159"/>
        <v>0.21660190606783813</v>
      </c>
      <c r="AB20" s="8">
        <f t="shared" si="159"/>
        <v>0.22106414131803673</v>
      </c>
      <c r="AC20" s="8">
        <f t="shared" si="159"/>
        <v>0.2256692938053633</v>
      </c>
      <c r="AD20" s="8">
        <f t="shared" si="159"/>
        <v>0.23027444629268976</v>
      </c>
      <c r="AE20" s="8">
        <f t="shared" si="159"/>
        <v>0.23027444629268978</v>
      </c>
      <c r="AF20" s="8">
        <f t="shared" si="159"/>
        <v>0.23027444629268995</v>
      </c>
      <c r="AG20" s="8">
        <f t="shared" si="159"/>
        <v>0.23487959878001655</v>
      </c>
      <c r="AH20" s="8">
        <f t="shared" si="159"/>
        <v>0.23487959878001649</v>
      </c>
      <c r="AI20" s="8">
        <f t="shared" si="159"/>
        <v>0.23487959878001644</v>
      </c>
      <c r="AK20" t="s">
        <v>38</v>
      </c>
      <c r="AL20" s="8">
        <v>-0.01</v>
      </c>
    </row>
    <row r="21" spans="2:38" x14ac:dyDescent="0.3">
      <c r="B21" t="s">
        <v>37</v>
      </c>
      <c r="C21" s="8"/>
      <c r="D21" s="8"/>
      <c r="E21" s="8">
        <f t="shared" ref="E21:L21" si="160">E6/C6-1</f>
        <v>7.9266531908749549E-2</v>
      </c>
      <c r="F21" s="8">
        <f t="shared" si="160"/>
        <v>-0.12597494682108257</v>
      </c>
      <c r="G21" s="8">
        <f t="shared" si="160"/>
        <v>-0.12695652173913041</v>
      </c>
      <c r="H21" s="8">
        <f t="shared" si="160"/>
        <v>4.2455381287182181E-2</v>
      </c>
      <c r="I21" s="8">
        <f t="shared" si="160"/>
        <v>1.6549187863928783E-2</v>
      </c>
      <c r="J21" s="8">
        <f t="shared" si="160"/>
        <v>0.1068741893644618</v>
      </c>
      <c r="K21" s="8">
        <f t="shared" si="160"/>
        <v>-0.22173650889357854</v>
      </c>
      <c r="L21" s="8">
        <f t="shared" si="160"/>
        <v>-0.26751816264354333</v>
      </c>
      <c r="M21" s="8">
        <f t="shared" ref="M21" si="161">M6/K6-1</f>
        <v>0.14999999999999991</v>
      </c>
      <c r="N21" s="8">
        <f t="shared" ref="N21" si="162">N6/L6-1</f>
        <v>0.15999999999999992</v>
      </c>
      <c r="O21" s="8">
        <f>O5/O3</f>
        <v>0.70111524163568772</v>
      </c>
      <c r="P21" s="8">
        <f>P5/P3</f>
        <v>0.70897655803316184</v>
      </c>
      <c r="Q21" s="8">
        <f>Q5/Q3</f>
        <v>0.6984240687679083</v>
      </c>
      <c r="R21" s="8">
        <f>R5/R3</f>
        <v>0.65776081424936383</v>
      </c>
      <c r="S21" s="8">
        <f>S5/S3</f>
        <v>0.65</v>
      </c>
      <c r="T21" s="8">
        <f>T5/T3</f>
        <v>0.68</v>
      </c>
      <c r="V21" s="8"/>
      <c r="W21" s="8">
        <f>W6/V6-1</f>
        <v>-3.3597608526124256E-2</v>
      </c>
      <c r="X21" s="8">
        <f t="shared" ref="X21:AI21" si="163">X6/W6-1</f>
        <v>-4.2700558133279554E-2</v>
      </c>
      <c r="Y21" s="8">
        <f t="shared" si="163"/>
        <v>6.5467828041584797E-2</v>
      </c>
      <c r="Z21" s="8">
        <f t="shared" si="163"/>
        <v>-0.24749472573839659</v>
      </c>
      <c r="AA21" s="8">
        <f t="shared" si="163"/>
        <v>0.15547660767478511</v>
      </c>
      <c r="AB21" s="8">
        <f t="shared" si="163"/>
        <v>5.0000000000000044E-2</v>
      </c>
      <c r="AC21" s="8">
        <f t="shared" si="163"/>
        <v>3.0000000000000027E-2</v>
      </c>
      <c r="AD21" s="8">
        <f t="shared" si="163"/>
        <v>2.0000000000000018E-2</v>
      </c>
      <c r="AE21" s="8">
        <f t="shared" si="163"/>
        <v>2.0000000000000018E-2</v>
      </c>
      <c r="AF21" s="8">
        <f t="shared" si="163"/>
        <v>2.0000000000000018E-2</v>
      </c>
      <c r="AG21" s="8">
        <f t="shared" si="163"/>
        <v>1.0000000000000009E-2</v>
      </c>
      <c r="AH21" s="8">
        <f t="shared" si="163"/>
        <v>1.0000000000000009E-2</v>
      </c>
      <c r="AI21" s="8">
        <f t="shared" si="163"/>
        <v>1.0000000000000009E-2</v>
      </c>
      <c r="AK21" t="s">
        <v>39</v>
      </c>
      <c r="AL21" s="8">
        <v>0.09</v>
      </c>
    </row>
    <row r="22" spans="2:38" x14ac:dyDescent="0.3">
      <c r="B22" t="s">
        <v>28</v>
      </c>
      <c r="C22" s="8">
        <f>C13/C12</f>
        <v>0.28333333333333338</v>
      </c>
      <c r="D22" s="8">
        <f t="shared" ref="D22:L22" si="164">D13/D12</f>
        <v>0.26707650273224043</v>
      </c>
      <c r="E22" s="8">
        <f t="shared" si="164"/>
        <v>0.27513639906469184</v>
      </c>
      <c r="F22" s="8">
        <f t="shared" si="164"/>
        <v>0.29440731621526539</v>
      </c>
      <c r="G22" s="8">
        <f t="shared" si="164"/>
        <v>0.24238943136128663</v>
      </c>
      <c r="H22" s="8">
        <f t="shared" si="164"/>
        <v>0.22251407129455913</v>
      </c>
      <c r="I22" s="8">
        <f t="shared" si="164"/>
        <v>0.2206645898234682</v>
      </c>
      <c r="J22" s="8">
        <f t="shared" si="164"/>
        <v>-0.18257261410788322</v>
      </c>
      <c r="K22" s="8">
        <f t="shared" si="164"/>
        <v>0.3365384615384609</v>
      </c>
      <c r="L22" s="8">
        <f t="shared" si="164"/>
        <v>0.21508982035928148</v>
      </c>
      <c r="M22" s="8">
        <f t="shared" ref="M22:N22" si="165">M13/M12</f>
        <v>0.25</v>
      </c>
      <c r="N22" s="8">
        <f t="shared" si="165"/>
        <v>0.25</v>
      </c>
      <c r="O22" s="8"/>
      <c r="P22" s="8"/>
      <c r="Q22" s="8">
        <f>Q6/O6-1</f>
        <v>6.460674157303381E-2</v>
      </c>
      <c r="R22" s="8">
        <f>R6/P6-1</f>
        <v>-1.6279069767441867E-2</v>
      </c>
      <c r="S22" s="8">
        <f>S6/Q6-1</f>
        <v>-1.9999999999999907E-2</v>
      </c>
      <c r="T22" s="8">
        <f>T6/R6-1</f>
        <v>-4.0000000000000036E-2</v>
      </c>
      <c r="V22" s="8">
        <f t="shared" ref="V22:AI22" si="166">V13/V12</f>
        <v>0.27127659574468088</v>
      </c>
      <c r="W22" s="8">
        <f t="shared" si="166"/>
        <v>0.28841492971400862</v>
      </c>
      <c r="X22" s="8">
        <f t="shared" si="166"/>
        <v>0.23036768043576952</v>
      </c>
      <c r="Y22" s="8">
        <f t="shared" si="166"/>
        <v>0.27833827893175062</v>
      </c>
      <c r="Z22" s="8">
        <f t="shared" si="166"/>
        <v>0.23312257801346123</v>
      </c>
      <c r="AA22" s="8">
        <f t="shared" si="166"/>
        <v>0.24999999999999989</v>
      </c>
      <c r="AB22" s="8">
        <f t="shared" si="166"/>
        <v>0.25</v>
      </c>
      <c r="AC22" s="8">
        <f t="shared" si="166"/>
        <v>0.25</v>
      </c>
      <c r="AD22" s="8">
        <f t="shared" si="166"/>
        <v>0.25</v>
      </c>
      <c r="AE22" s="8">
        <f t="shared" si="166"/>
        <v>0.25</v>
      </c>
      <c r="AF22" s="8">
        <f t="shared" si="166"/>
        <v>0.25</v>
      </c>
      <c r="AG22" s="8">
        <f t="shared" si="166"/>
        <v>0.25</v>
      </c>
      <c r="AH22" s="8">
        <f t="shared" si="166"/>
        <v>0.25</v>
      </c>
      <c r="AI22" s="8">
        <f t="shared" si="166"/>
        <v>0.25</v>
      </c>
      <c r="AK22" t="s">
        <v>40</v>
      </c>
      <c r="AL22" s="4">
        <f>NPV(AL21,Z14:FA14)</f>
        <v>5716.0861066233338</v>
      </c>
    </row>
    <row r="23" spans="2:38" x14ac:dyDescent="0.3">
      <c r="B23" t="s">
        <v>48</v>
      </c>
      <c r="C23" s="8">
        <f>C14/C3</f>
        <v>6.3098834700043127E-2</v>
      </c>
      <c r="D23" s="8">
        <f t="shared" ref="D23:L23" si="167">D14/D3</f>
        <v>0.13349922239502332</v>
      </c>
      <c r="E23" s="8">
        <f t="shared" si="167"/>
        <v>7.3610891245844648E-2</v>
      </c>
      <c r="F23" s="8">
        <f t="shared" si="167"/>
        <v>0.13651830679188798</v>
      </c>
      <c r="G23" s="8">
        <f t="shared" si="167"/>
        <v>0.10811475409836063</v>
      </c>
      <c r="H23" s="8">
        <f t="shared" si="167"/>
        <v>0.13811491801093184</v>
      </c>
      <c r="I23" s="8">
        <f t="shared" si="167"/>
        <v>0.11715579144551991</v>
      </c>
      <c r="J23" s="8">
        <f t="shared" si="167"/>
        <v>-2.1081440934980451E-2</v>
      </c>
      <c r="K23" s="8">
        <f t="shared" si="167"/>
        <v>5.5030192548707002E-2</v>
      </c>
      <c r="L23" s="8">
        <f t="shared" si="167"/>
        <v>0.22348769010434419</v>
      </c>
      <c r="M23" s="8">
        <f t="shared" ref="M23:N23" si="168">M14/M3</f>
        <v>0.14672492228063608</v>
      </c>
      <c r="N23" s="8">
        <f t="shared" si="168"/>
        <v>0.16090014300450109</v>
      </c>
      <c r="O23" s="8">
        <f>O8/O3</f>
        <v>0.19553903345724907</v>
      </c>
      <c r="P23" s="8">
        <f>P8/P3</f>
        <v>0.22527158376214981</v>
      </c>
      <c r="Q23" s="8">
        <f>Q8/Q3</f>
        <v>0.15974212034383956</v>
      </c>
      <c r="R23" s="8">
        <f>R8/R3</f>
        <v>0.12404580152671756</v>
      </c>
      <c r="S23" s="8">
        <f>S8/S3</f>
        <v>-1.2464183381088892E-2</v>
      </c>
      <c r="T23" s="8">
        <f>T8/T3</f>
        <v>7.518036222122447E-2</v>
      </c>
      <c r="V23" s="8">
        <f t="shared" ref="V23:AI23" si="169">V14/V3</f>
        <v>0.10401301518438176</v>
      </c>
      <c r="W23" s="8">
        <f t="shared" si="169"/>
        <v>0.10743559718969561</v>
      </c>
      <c r="X23" s="8">
        <f t="shared" si="169"/>
        <v>0.12465995147415625</v>
      </c>
      <c r="Y23" s="8">
        <f t="shared" si="169"/>
        <v>4.6181307204435855E-2</v>
      </c>
      <c r="Z23" s="8">
        <f t="shared" si="169"/>
        <v>0.16040955631399309</v>
      </c>
      <c r="AA23" s="8">
        <f t="shared" si="169"/>
        <v>0.15457482604516348</v>
      </c>
      <c r="AB23" s="8">
        <f t="shared" si="169"/>
        <v>0.16168702808977573</v>
      </c>
      <c r="AC23" s="8">
        <f t="shared" si="169"/>
        <v>0.16693413604835497</v>
      </c>
      <c r="AD23" s="8">
        <f t="shared" si="169"/>
        <v>0.17173197310455657</v>
      </c>
      <c r="AE23" s="8">
        <f t="shared" si="169"/>
        <v>0.17276700976087705</v>
      </c>
      <c r="AF23" s="8">
        <f t="shared" si="169"/>
        <v>0.17350038899018119</v>
      </c>
      <c r="AG23" s="8">
        <f t="shared" si="169"/>
        <v>0.17752791521735309</v>
      </c>
      <c r="AH23" s="8">
        <f t="shared" si="169"/>
        <v>0.17806421045230134</v>
      </c>
      <c r="AI23" s="8">
        <f t="shared" si="169"/>
        <v>0.17840976828649094</v>
      </c>
      <c r="AK23" t="s">
        <v>41</v>
      </c>
      <c r="AL23" s="4">
        <f>Main!D8</f>
        <v>918.8</v>
      </c>
    </row>
    <row r="24" spans="2:38" x14ac:dyDescent="0.3">
      <c r="O24" s="8">
        <f>O14/O13</f>
        <v>0.22709163346613545</v>
      </c>
      <c r="P24" s="8">
        <f>P14/P13</f>
        <v>0.22193211488250653</v>
      </c>
      <c r="Q24" s="8">
        <f>Q14/Q13</f>
        <v>0.27397260273972601</v>
      </c>
      <c r="R24" s="8">
        <f>R14/R13</f>
        <v>0.31707317073170732</v>
      </c>
      <c r="S24" s="8">
        <f>S14/S13</f>
        <v>-0.38540596094552859</v>
      </c>
      <c r="T24" s="8">
        <f>T14/T13</f>
        <v>0.25</v>
      </c>
      <c r="AK24" t="s">
        <v>42</v>
      </c>
      <c r="AL24" s="4">
        <f>AL22+AL23</f>
        <v>6634.8861066233339</v>
      </c>
    </row>
    <row r="25" spans="2:38" x14ac:dyDescent="0.3">
      <c r="O25" s="8">
        <f>O16/O3</f>
        <v>0.14349442379182156</v>
      </c>
      <c r="P25" s="8">
        <f>P16/P3</f>
        <v>0.16981132075471697</v>
      </c>
      <c r="Q25" s="8">
        <f>Q16/Q3</f>
        <v>0.11318051575931232</v>
      </c>
      <c r="R25" s="8">
        <f>R16/R3</f>
        <v>7.124681933842239E-2</v>
      </c>
      <c r="S25" s="8">
        <f>S16/S3</f>
        <v>-4.9176217765043044E-2</v>
      </c>
      <c r="T25" s="8">
        <f>T16/T3</f>
        <v>3.5991618021254376E-2</v>
      </c>
      <c r="AK25" t="s">
        <v>43</v>
      </c>
      <c r="AL25" s="5">
        <f>AL24/AI15</f>
        <v>16.382434831168727</v>
      </c>
    </row>
    <row r="26" spans="2:38" x14ac:dyDescent="0.3">
      <c r="AK26" t="s">
        <v>44</v>
      </c>
      <c r="AL26" s="5">
        <f>Main!D3</f>
        <v>20.190000000000001</v>
      </c>
    </row>
    <row r="27" spans="2:38" x14ac:dyDescent="0.3">
      <c r="AK27" s="1" t="s">
        <v>45</v>
      </c>
      <c r="AL27" s="11">
        <f>AL25/AL26-1</f>
        <v>-0.18858668493468422</v>
      </c>
    </row>
    <row r="28" spans="2:38" x14ac:dyDescent="0.3">
      <c r="AK28" t="s">
        <v>46</v>
      </c>
      <c r="AL28" s="6" t="s">
        <v>51</v>
      </c>
    </row>
    <row r="31" spans="2:38" x14ac:dyDescent="0.3">
      <c r="AK31" t="s">
        <v>47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2021-01-03T11:31:30Z</dcterms:created>
  <dcterms:modified xsi:type="dcterms:W3CDTF">2024-11-10T17:26:00Z</dcterms:modified>
</cp:coreProperties>
</file>