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9A1DFEB5-C821-4DC3-918C-DE310DB8037A}" xr6:coauthVersionLast="47" xr6:coauthVersionMax="47" xr10:uidLastSave="{00000000-0000-0000-0000-000000000000}"/>
  <bookViews>
    <workbookView xWindow="-108" yWindow="-108" windowWidth="23256" windowHeight="12576" activeTab="1" xr2:uid="{EE075BA3-B62D-42AA-AD11-2E99A8FED7C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2" l="1"/>
  <c r="D4" i="1"/>
  <c r="V3" i="2"/>
  <c r="AG53" i="2"/>
  <c r="AH53" i="2" s="1"/>
  <c r="AI53" i="2" s="1"/>
  <c r="AJ53" i="2" s="1"/>
  <c r="AK53" i="2" s="1"/>
  <c r="AL53" i="2" s="1"/>
  <c r="AM53" i="2" s="1"/>
  <c r="AN53" i="2" s="1"/>
  <c r="AO53" i="2" s="1"/>
  <c r="AF53" i="2"/>
  <c r="AG31" i="2"/>
  <c r="AH31" i="2" s="1"/>
  <c r="AI31" i="2" s="1"/>
  <c r="AJ31" i="2" s="1"/>
  <c r="AK31" i="2" s="1"/>
  <c r="AL31" i="2" s="1"/>
  <c r="AM31" i="2" s="1"/>
  <c r="AN31" i="2" s="1"/>
  <c r="AO31" i="2" s="1"/>
  <c r="AF31" i="2"/>
  <c r="AL6" i="2"/>
  <c r="AM6" i="2" s="1"/>
  <c r="AN6" i="2" s="1"/>
  <c r="AO6" i="2" s="1"/>
  <c r="AK6" i="2"/>
  <c r="AS62" i="2" l="1"/>
  <c r="AS59" i="2"/>
  <c r="AH30" i="2"/>
  <c r="AI30" i="2" s="1"/>
  <c r="AJ30" i="2" s="1"/>
  <c r="AK30" i="2" s="1"/>
  <c r="AL30" i="2" s="1"/>
  <c r="AM30" i="2" s="1"/>
  <c r="AN30" i="2" s="1"/>
  <c r="AO30" i="2" s="1"/>
  <c r="AG30" i="2"/>
  <c r="AF30" i="2"/>
  <c r="AB52" i="2"/>
  <c r="AB54" i="2" s="1"/>
  <c r="AB29" i="2"/>
  <c r="AC29" i="2"/>
  <c r="AC52" i="2"/>
  <c r="AC54" i="2" s="1"/>
  <c r="AD54" i="2"/>
  <c r="AD52" i="2"/>
  <c r="AE14" i="2"/>
  <c r="AE12" i="2"/>
  <c r="AE11" i="2"/>
  <c r="AE8" i="2"/>
  <c r="AE6" i="2"/>
  <c r="U17" i="2"/>
  <c r="U15" i="2"/>
  <c r="T15" i="2"/>
  <c r="T17" i="2" s="1"/>
  <c r="S15" i="2"/>
  <c r="S26" i="2" s="1"/>
  <c r="U13" i="2"/>
  <c r="T13" i="2"/>
  <c r="S13" i="2"/>
  <c r="V12" i="2"/>
  <c r="U12" i="2"/>
  <c r="T12" i="2"/>
  <c r="S12" i="2"/>
  <c r="U9" i="2"/>
  <c r="U10" i="2" s="1"/>
  <c r="T9" i="2"/>
  <c r="T10" i="2" s="1"/>
  <c r="S9" i="2"/>
  <c r="S10" i="2" s="1"/>
  <c r="S24" i="2" s="1"/>
  <c r="V8" i="2"/>
  <c r="V23" i="2" s="1"/>
  <c r="U8" i="2"/>
  <c r="U23" i="2" s="1"/>
  <c r="T8" i="2"/>
  <c r="S8" i="2"/>
  <c r="S23" i="2" s="1"/>
  <c r="U7" i="2"/>
  <c r="V7" i="2"/>
  <c r="AE7" i="2" s="1"/>
  <c r="T7" i="2"/>
  <c r="S7" i="2"/>
  <c r="AE3" i="2"/>
  <c r="AF3" i="2" s="1"/>
  <c r="AF7" i="2" s="1"/>
  <c r="V6" i="2"/>
  <c r="V21" i="2" s="1"/>
  <c r="U6" i="2"/>
  <c r="U21" i="2" s="1"/>
  <c r="T6" i="2"/>
  <c r="T21" i="2" s="1"/>
  <c r="S6" i="2"/>
  <c r="S21" i="2" s="1"/>
  <c r="V5" i="2"/>
  <c r="T5" i="2"/>
  <c r="T4" i="2" s="1"/>
  <c r="R5" i="2"/>
  <c r="D7" i="1"/>
  <c r="D6" i="1"/>
  <c r="U5" i="2"/>
  <c r="U4" i="2" s="1"/>
  <c r="S4" i="2"/>
  <c r="S5" i="2"/>
  <c r="S20" i="2" s="1"/>
  <c r="U3" i="2"/>
  <c r="T3" i="2"/>
  <c r="U25" i="2"/>
  <c r="T25" i="2"/>
  <c r="S25" i="2"/>
  <c r="T23" i="2"/>
  <c r="S22" i="2"/>
  <c r="S19" i="2"/>
  <c r="R22" i="2"/>
  <c r="Q5" i="2"/>
  <c r="AD8" i="2"/>
  <c r="AS26" i="2"/>
  <c r="R23" i="2"/>
  <c r="R21" i="2"/>
  <c r="Q21" i="2"/>
  <c r="Z23" i="2"/>
  <c r="Y23" i="2"/>
  <c r="Z21" i="2"/>
  <c r="Y21" i="2"/>
  <c r="Z19" i="2"/>
  <c r="Y19" i="2"/>
  <c r="Z22" i="2"/>
  <c r="Y22" i="2"/>
  <c r="X22" i="2"/>
  <c r="Q19" i="2"/>
  <c r="AD12" i="2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D11" i="2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C14" i="2"/>
  <c r="AC12" i="2"/>
  <c r="AC11" i="2"/>
  <c r="AC8" i="2"/>
  <c r="AC7" i="2"/>
  <c r="AC6" i="2"/>
  <c r="AC4" i="2"/>
  <c r="AC3" i="2"/>
  <c r="AB14" i="2"/>
  <c r="AB12" i="2"/>
  <c r="AB11" i="2"/>
  <c r="AB8" i="2"/>
  <c r="AB7" i="2"/>
  <c r="AB6" i="2"/>
  <c r="AB4" i="2"/>
  <c r="AB3" i="2"/>
  <c r="AA14" i="2"/>
  <c r="AA12" i="2"/>
  <c r="AA11" i="2"/>
  <c r="AA8" i="2"/>
  <c r="AA23" i="2" s="1"/>
  <c r="AA7" i="2"/>
  <c r="AA6" i="2"/>
  <c r="AA21" i="2" s="1"/>
  <c r="AA4" i="2"/>
  <c r="AA3" i="2"/>
  <c r="AA19" i="2" s="1"/>
  <c r="X9" i="2"/>
  <c r="X5" i="2"/>
  <c r="X20" i="2" s="1"/>
  <c r="Y9" i="2"/>
  <c r="Y5" i="2"/>
  <c r="Y20" i="2" s="1"/>
  <c r="Z9" i="2"/>
  <c r="Z5" i="2"/>
  <c r="Z20" i="2" s="1"/>
  <c r="J23" i="2"/>
  <c r="I23" i="2"/>
  <c r="H23" i="2"/>
  <c r="G23" i="2"/>
  <c r="J21" i="2"/>
  <c r="I21" i="2"/>
  <c r="H21" i="2"/>
  <c r="G21" i="2"/>
  <c r="G19" i="2"/>
  <c r="H19" i="2"/>
  <c r="I19" i="2"/>
  <c r="J19" i="2"/>
  <c r="J22" i="2"/>
  <c r="I22" i="2"/>
  <c r="H22" i="2"/>
  <c r="G22" i="2"/>
  <c r="F22" i="2"/>
  <c r="E22" i="2"/>
  <c r="D22" i="2"/>
  <c r="C22" i="2"/>
  <c r="E9" i="2"/>
  <c r="E5" i="2"/>
  <c r="E20" i="2" s="1"/>
  <c r="F9" i="2"/>
  <c r="F5" i="2"/>
  <c r="F20" i="2" s="1"/>
  <c r="P23" i="2"/>
  <c r="O23" i="2"/>
  <c r="N23" i="2"/>
  <c r="M23" i="2"/>
  <c r="L23" i="2"/>
  <c r="K23" i="2"/>
  <c r="P22" i="2"/>
  <c r="O22" i="2"/>
  <c r="N22" i="2"/>
  <c r="M22" i="2"/>
  <c r="L22" i="2"/>
  <c r="K22" i="2"/>
  <c r="P21" i="2"/>
  <c r="O21" i="2"/>
  <c r="N21" i="2"/>
  <c r="M21" i="2"/>
  <c r="L21" i="2"/>
  <c r="K21" i="2"/>
  <c r="P19" i="2"/>
  <c r="O19" i="2"/>
  <c r="N19" i="2"/>
  <c r="M19" i="2"/>
  <c r="L19" i="2"/>
  <c r="K19" i="2"/>
  <c r="C9" i="2"/>
  <c r="C5" i="2"/>
  <c r="C20" i="2" s="1"/>
  <c r="G9" i="2"/>
  <c r="G5" i="2"/>
  <c r="G20" i="2" s="1"/>
  <c r="D9" i="2"/>
  <c r="D5" i="2"/>
  <c r="D20" i="2" s="1"/>
  <c r="H9" i="2"/>
  <c r="H5" i="2"/>
  <c r="H20" i="2" s="1"/>
  <c r="I9" i="2"/>
  <c r="I5" i="2"/>
  <c r="I20" i="2" s="1"/>
  <c r="M9" i="2"/>
  <c r="M5" i="2"/>
  <c r="M20" i="2" s="1"/>
  <c r="J9" i="2"/>
  <c r="J5" i="2"/>
  <c r="J20" i="2" s="1"/>
  <c r="N9" i="2"/>
  <c r="N5" i="2"/>
  <c r="N20" i="2" s="1"/>
  <c r="K9" i="2"/>
  <c r="K5" i="2"/>
  <c r="K20" i="2" s="1"/>
  <c r="O9" i="2"/>
  <c r="O5" i="2"/>
  <c r="O20" i="2" s="1"/>
  <c r="P14" i="2"/>
  <c r="L9" i="2"/>
  <c r="L5" i="2"/>
  <c r="P9" i="2"/>
  <c r="P5" i="2"/>
  <c r="P20" i="2" s="1"/>
  <c r="F3" i="1"/>
  <c r="D5" i="1"/>
  <c r="V9" i="2" l="1"/>
  <c r="V10" i="2" s="1"/>
  <c r="V13" i="2" s="1"/>
  <c r="AF5" i="2"/>
  <c r="AG3" i="2"/>
  <c r="AI3" i="2" s="1"/>
  <c r="AJ3" i="2" s="1"/>
  <c r="AK3" i="2" s="1"/>
  <c r="AL3" i="2" s="1"/>
  <c r="AM3" i="2" s="1"/>
  <c r="AN3" i="2" s="1"/>
  <c r="AO3" i="2" s="1"/>
  <c r="S17" i="2"/>
  <c r="T24" i="2"/>
  <c r="V24" i="2"/>
  <c r="U22" i="2"/>
  <c r="U20" i="2"/>
  <c r="V22" i="2"/>
  <c r="U19" i="2"/>
  <c r="U26" i="2"/>
  <c r="V19" i="2"/>
  <c r="U24" i="2"/>
  <c r="T19" i="2"/>
  <c r="T20" i="2"/>
  <c r="T26" i="2"/>
  <c r="T22" i="2"/>
  <c r="AA22" i="2"/>
  <c r="AB22" i="2"/>
  <c r="AC22" i="2"/>
  <c r="R19" i="2"/>
  <c r="AB23" i="2"/>
  <c r="AC23" i="2"/>
  <c r="AB19" i="2"/>
  <c r="AC19" i="2"/>
  <c r="P10" i="2"/>
  <c r="P24" i="2" s="1"/>
  <c r="AB21" i="2"/>
  <c r="AC21" i="2"/>
  <c r="L10" i="2"/>
  <c r="L13" i="2" s="1"/>
  <c r="L15" i="2" s="1"/>
  <c r="L17" i="2" s="1"/>
  <c r="AA5" i="2"/>
  <c r="AA20" i="2" s="1"/>
  <c r="AF8" i="2"/>
  <c r="AG8" i="2" s="1"/>
  <c r="AH8" i="2" s="1"/>
  <c r="AI8" i="2" s="1"/>
  <c r="AJ8" i="2" s="1"/>
  <c r="AK8" i="2" s="1"/>
  <c r="AL8" i="2" s="1"/>
  <c r="AM8" i="2" s="1"/>
  <c r="AN8" i="2" s="1"/>
  <c r="AO8" i="2" s="1"/>
  <c r="R9" i="2"/>
  <c r="R10" i="2" s="1"/>
  <c r="R24" i="2" s="1"/>
  <c r="R20" i="2"/>
  <c r="D8" i="1"/>
  <c r="AS23" i="2" s="1"/>
  <c r="Q20" i="2"/>
  <c r="Q22" i="2"/>
  <c r="Q9" i="2"/>
  <c r="Q10" i="2" s="1"/>
  <c r="Q24" i="2" s="1"/>
  <c r="AD3" i="2"/>
  <c r="AD4" i="2"/>
  <c r="AE23" i="2"/>
  <c r="AD23" i="2"/>
  <c r="Q23" i="2"/>
  <c r="AD7" i="2"/>
  <c r="AD6" i="2"/>
  <c r="AF6" i="2" s="1"/>
  <c r="AF21" i="2" s="1"/>
  <c r="AC9" i="2"/>
  <c r="AC5" i="2"/>
  <c r="AC20" i="2" s="1"/>
  <c r="AB9" i="2"/>
  <c r="AB5" i="2"/>
  <c r="AB20" i="2" s="1"/>
  <c r="AA9" i="2"/>
  <c r="X10" i="2"/>
  <c r="Y10" i="2"/>
  <c r="Z10" i="2"/>
  <c r="P13" i="2"/>
  <c r="P25" i="2" s="1"/>
  <c r="L26" i="2"/>
  <c r="L20" i="2"/>
  <c r="E10" i="2"/>
  <c r="F10" i="2"/>
  <c r="C10" i="2"/>
  <c r="G10" i="2"/>
  <c r="D10" i="2"/>
  <c r="H10" i="2"/>
  <c r="I10" i="2"/>
  <c r="M10" i="2"/>
  <c r="J10" i="2"/>
  <c r="N10" i="2"/>
  <c r="K10" i="2"/>
  <c r="O10" i="2"/>
  <c r="V25" i="2" l="1"/>
  <c r="V15" i="2"/>
  <c r="P15" i="2"/>
  <c r="P26" i="2" s="1"/>
  <c r="L24" i="2"/>
  <c r="AA10" i="2"/>
  <c r="L25" i="2"/>
  <c r="AD5" i="2"/>
  <c r="AD20" i="2" s="1"/>
  <c r="X13" i="2"/>
  <c r="X24" i="2"/>
  <c r="AA13" i="2"/>
  <c r="AA24" i="2"/>
  <c r="AD19" i="2"/>
  <c r="Z13" i="2"/>
  <c r="Z24" i="2"/>
  <c r="Y13" i="2"/>
  <c r="Y24" i="2"/>
  <c r="AD22" i="2"/>
  <c r="AF23" i="2"/>
  <c r="AG23" i="2"/>
  <c r="AG6" i="2"/>
  <c r="AH6" i="2" s="1"/>
  <c r="AI6" i="2" s="1"/>
  <c r="AJ6" i="2" s="1"/>
  <c r="R13" i="2"/>
  <c r="D9" i="1"/>
  <c r="Q13" i="2"/>
  <c r="Q25" i="2" s="1"/>
  <c r="AH23" i="2"/>
  <c r="AD9" i="2"/>
  <c r="AD10" i="2" s="1"/>
  <c r="AD21" i="2"/>
  <c r="AE21" i="2"/>
  <c r="AC10" i="2"/>
  <c r="AB10" i="2"/>
  <c r="D13" i="2"/>
  <c r="D24" i="2"/>
  <c r="G13" i="2"/>
  <c r="G24" i="2"/>
  <c r="O13" i="2"/>
  <c r="O24" i="2"/>
  <c r="K13" i="2"/>
  <c r="K24" i="2"/>
  <c r="C13" i="2"/>
  <c r="C24" i="2"/>
  <c r="N13" i="2"/>
  <c r="N24" i="2"/>
  <c r="F13" i="2"/>
  <c r="F24" i="2"/>
  <c r="J13" i="2"/>
  <c r="J24" i="2"/>
  <c r="E13" i="2"/>
  <c r="E24" i="2"/>
  <c r="M13" i="2"/>
  <c r="M24" i="2"/>
  <c r="I13" i="2"/>
  <c r="I24" i="2"/>
  <c r="H13" i="2"/>
  <c r="H24" i="2"/>
  <c r="V17" i="2" l="1"/>
  <c r="V26" i="2"/>
  <c r="P17" i="2"/>
  <c r="Y15" i="2"/>
  <c r="Y25" i="2"/>
  <c r="X15" i="2"/>
  <c r="X25" i="2"/>
  <c r="AB13" i="2"/>
  <c r="AB24" i="2"/>
  <c r="AC13" i="2"/>
  <c r="AC24" i="2"/>
  <c r="Z15" i="2"/>
  <c r="Z25" i="2"/>
  <c r="AA15" i="2"/>
  <c r="AA25" i="2"/>
  <c r="AI21" i="2"/>
  <c r="AH21" i="2"/>
  <c r="AG21" i="2"/>
  <c r="AE19" i="2"/>
  <c r="AD14" i="2"/>
  <c r="R25" i="2"/>
  <c r="R15" i="2"/>
  <c r="Q15" i="2"/>
  <c r="Q26" i="2" s="1"/>
  <c r="AI23" i="2"/>
  <c r="AJ21" i="2"/>
  <c r="AD13" i="2"/>
  <c r="AD24" i="2"/>
  <c r="I15" i="2"/>
  <c r="I25" i="2"/>
  <c r="F15" i="2"/>
  <c r="F25" i="2"/>
  <c r="O15" i="2"/>
  <c r="O25" i="2"/>
  <c r="M15" i="2"/>
  <c r="M25" i="2"/>
  <c r="N15" i="2"/>
  <c r="N25" i="2"/>
  <c r="E15" i="2"/>
  <c r="E25" i="2"/>
  <c r="C15" i="2"/>
  <c r="C25" i="2"/>
  <c r="G15" i="2"/>
  <c r="G25" i="2"/>
  <c r="H15" i="2"/>
  <c r="H25" i="2"/>
  <c r="J15" i="2"/>
  <c r="J25" i="2"/>
  <c r="K15" i="2"/>
  <c r="K25" i="2"/>
  <c r="D15" i="2"/>
  <c r="D25" i="2"/>
  <c r="AC15" i="2" l="1"/>
  <c r="AC25" i="2"/>
  <c r="Y17" i="2"/>
  <c r="Y26" i="2"/>
  <c r="AA17" i="2"/>
  <c r="AA26" i="2"/>
  <c r="AB15" i="2"/>
  <c r="AB25" i="2"/>
  <c r="X17" i="2"/>
  <c r="X26" i="2"/>
  <c r="Z17" i="2"/>
  <c r="Z26" i="2"/>
  <c r="AE22" i="2"/>
  <c r="AE9" i="2"/>
  <c r="AG7" i="2"/>
  <c r="AF19" i="2"/>
  <c r="R17" i="2"/>
  <c r="R26" i="2"/>
  <c r="Q17" i="2"/>
  <c r="AJ23" i="2"/>
  <c r="AK21" i="2"/>
  <c r="AD15" i="2"/>
  <c r="AD25" i="2"/>
  <c r="H17" i="2"/>
  <c r="H26" i="2"/>
  <c r="G17" i="2"/>
  <c r="G26" i="2"/>
  <c r="M17" i="2"/>
  <c r="M26" i="2"/>
  <c r="N17" i="2"/>
  <c r="N26" i="2"/>
  <c r="I17" i="2"/>
  <c r="I26" i="2"/>
  <c r="D17" i="2"/>
  <c r="D26" i="2"/>
  <c r="K17" i="2"/>
  <c r="K26" i="2"/>
  <c r="C17" i="2"/>
  <c r="C26" i="2"/>
  <c r="O17" i="2"/>
  <c r="O26" i="2"/>
  <c r="J17" i="2"/>
  <c r="J26" i="2"/>
  <c r="E17" i="2"/>
  <c r="E26" i="2"/>
  <c r="F17" i="2"/>
  <c r="F26" i="2"/>
  <c r="AB17" i="2" l="1"/>
  <c r="AB26" i="2"/>
  <c r="AC17" i="2"/>
  <c r="AC26" i="2"/>
  <c r="AG5" i="2"/>
  <c r="AF20" i="2"/>
  <c r="AF4" i="2"/>
  <c r="AF9" i="2"/>
  <c r="AF10" i="2" s="1"/>
  <c r="AF22" i="2"/>
  <c r="AG19" i="2"/>
  <c r="AK23" i="2"/>
  <c r="AL21" i="2"/>
  <c r="AD17" i="2"/>
  <c r="AD26" i="2"/>
  <c r="AH5" i="2" l="1"/>
  <c r="AH7" i="2"/>
  <c r="AF24" i="2"/>
  <c r="AF13" i="2"/>
  <c r="AF14" i="2" s="1"/>
  <c r="AG20" i="2"/>
  <c r="AH19" i="2"/>
  <c r="AG9" i="2"/>
  <c r="AG10" i="2" s="1"/>
  <c r="AG22" i="2"/>
  <c r="AG4" i="2"/>
  <c r="AL23" i="2"/>
  <c r="AM21" i="2"/>
  <c r="AI5" i="2" l="1"/>
  <c r="AI20" i="2" s="1"/>
  <c r="AI7" i="2"/>
  <c r="AG13" i="2"/>
  <c r="AG14" i="2" s="1"/>
  <c r="AG24" i="2"/>
  <c r="AI19" i="2"/>
  <c r="AF25" i="2"/>
  <c r="AH9" i="2"/>
  <c r="AH10" i="2" s="1"/>
  <c r="AH22" i="2"/>
  <c r="AH20" i="2"/>
  <c r="AH4" i="2"/>
  <c r="AM23" i="2"/>
  <c r="AO21" i="2"/>
  <c r="AN21" i="2"/>
  <c r="AI4" i="2" l="1"/>
  <c r="AJ5" i="2"/>
  <c r="AJ20" i="2" s="1"/>
  <c r="AJ7" i="2"/>
  <c r="AF15" i="2"/>
  <c r="AI22" i="2"/>
  <c r="AI9" i="2"/>
  <c r="AI10" i="2" s="1"/>
  <c r="AJ19" i="2"/>
  <c r="AH24" i="2"/>
  <c r="AH13" i="2"/>
  <c r="AH14" i="2" s="1"/>
  <c r="AG25" i="2"/>
  <c r="AN23" i="2"/>
  <c r="AO23" i="2"/>
  <c r="AF26" i="2" l="1"/>
  <c r="AF29" i="2"/>
  <c r="AF52" i="2" s="1"/>
  <c r="AF54" i="2" s="1"/>
  <c r="AJ4" i="2"/>
  <c r="AK5" i="2"/>
  <c r="AK7" i="2"/>
  <c r="AG15" i="2"/>
  <c r="AG29" i="2" s="1"/>
  <c r="AG52" i="2" s="1"/>
  <c r="AG54" i="2" s="1"/>
  <c r="AF17" i="2"/>
  <c r="AJ22" i="2"/>
  <c r="AJ9" i="2"/>
  <c r="AJ10" i="2" s="1"/>
  <c r="AK19" i="2"/>
  <c r="AI13" i="2"/>
  <c r="AI14" i="2" s="1"/>
  <c r="AI24" i="2"/>
  <c r="AH25" i="2"/>
  <c r="AG26" i="2" l="1"/>
  <c r="AL5" i="2"/>
  <c r="AL20" i="2" s="1"/>
  <c r="AL7" i="2"/>
  <c r="AG17" i="2"/>
  <c r="AH15" i="2"/>
  <c r="AK22" i="2"/>
  <c r="AK9" i="2"/>
  <c r="AK10" i="2" s="1"/>
  <c r="AL19" i="2"/>
  <c r="AK20" i="2"/>
  <c r="AJ13" i="2"/>
  <c r="AJ14" i="2" s="1"/>
  <c r="AJ24" i="2"/>
  <c r="AI25" i="2"/>
  <c r="AK4" i="2"/>
  <c r="AH26" i="2" l="1"/>
  <c r="AH29" i="2"/>
  <c r="AH52" i="2" s="1"/>
  <c r="AH54" i="2" s="1"/>
  <c r="AI15" i="2"/>
  <c r="AL4" i="2"/>
  <c r="AM5" i="2"/>
  <c r="AM7" i="2"/>
  <c r="AH17" i="2"/>
  <c r="AK24" i="2"/>
  <c r="AK13" i="2"/>
  <c r="AK14" i="2" s="1"/>
  <c r="AM19" i="2"/>
  <c r="AL9" i="2"/>
  <c r="AL10" i="2" s="1"/>
  <c r="AL22" i="2"/>
  <c r="AJ25" i="2"/>
  <c r="AI17" i="2" l="1"/>
  <c r="AI29" i="2"/>
  <c r="AI52" i="2" s="1"/>
  <c r="AI54" i="2" s="1"/>
  <c r="AI26" i="2"/>
  <c r="AN5" i="2"/>
  <c r="AN7" i="2"/>
  <c r="AL24" i="2"/>
  <c r="AL13" i="2"/>
  <c r="AL14" i="2" s="1"/>
  <c r="AK25" i="2"/>
  <c r="AM9" i="2"/>
  <c r="AM10" i="2" s="1"/>
  <c r="AM22" i="2"/>
  <c r="AN19" i="2"/>
  <c r="AJ15" i="2"/>
  <c r="AJ29" i="2" s="1"/>
  <c r="AJ52" i="2" s="1"/>
  <c r="AJ54" i="2" s="1"/>
  <c r="AM4" i="2"/>
  <c r="AM20" i="2"/>
  <c r="AO5" i="2" l="1"/>
  <c r="AO4" i="2" s="1"/>
  <c r="AO7" i="2"/>
  <c r="AK15" i="2"/>
  <c r="AK29" i="2" s="1"/>
  <c r="AK52" i="2" s="1"/>
  <c r="AK54" i="2" s="1"/>
  <c r="AM13" i="2"/>
  <c r="AM14" i="2" s="1"/>
  <c r="AM24" i="2"/>
  <c r="AO19" i="2"/>
  <c r="AN20" i="2"/>
  <c r="AN4" i="2"/>
  <c r="AJ17" i="2"/>
  <c r="AJ26" i="2"/>
  <c r="AN22" i="2"/>
  <c r="AN9" i="2"/>
  <c r="AN10" i="2" s="1"/>
  <c r="AL25" i="2"/>
  <c r="AK17" i="2" l="1"/>
  <c r="AL15" i="2"/>
  <c r="AK26" i="2"/>
  <c r="AN24" i="2"/>
  <c r="AN13" i="2"/>
  <c r="AN14" i="2" s="1"/>
  <c r="AO20" i="2"/>
  <c r="AM25" i="2"/>
  <c r="AO22" i="2"/>
  <c r="AO9" i="2"/>
  <c r="AO10" i="2" s="1"/>
  <c r="AL17" i="2" l="1"/>
  <c r="AL29" i="2"/>
  <c r="AL52" i="2" s="1"/>
  <c r="AL54" i="2" s="1"/>
  <c r="AL26" i="2"/>
  <c r="AM15" i="2"/>
  <c r="AO24" i="2"/>
  <c r="AO13" i="2"/>
  <c r="AN25" i="2"/>
  <c r="AO14" i="2" l="1"/>
  <c r="AO25" i="2" s="1"/>
  <c r="AM17" i="2"/>
  <c r="AM29" i="2"/>
  <c r="AM52" i="2" s="1"/>
  <c r="AM54" i="2" s="1"/>
  <c r="AM26" i="2"/>
  <c r="AN15" i="2"/>
  <c r="AN29" i="2" s="1"/>
  <c r="AN52" i="2" s="1"/>
  <c r="AN54" i="2" s="1"/>
  <c r="AO15" i="2" l="1"/>
  <c r="AP15" i="2" s="1"/>
  <c r="AN17" i="2"/>
  <c r="AN26" i="2"/>
  <c r="AQ15" i="2" l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AO29" i="2"/>
  <c r="AO52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BJ54" i="2" s="1"/>
  <c r="BK54" i="2" s="1"/>
  <c r="BL54" i="2" s="1"/>
  <c r="BM54" i="2" s="1"/>
  <c r="BN54" i="2" s="1"/>
  <c r="BO54" i="2" s="1"/>
  <c r="BP54" i="2" s="1"/>
  <c r="BQ54" i="2" s="1"/>
  <c r="BR54" i="2" s="1"/>
  <c r="BS54" i="2" s="1"/>
  <c r="BT54" i="2" s="1"/>
  <c r="BU54" i="2" s="1"/>
  <c r="BV54" i="2" s="1"/>
  <c r="BW54" i="2" s="1"/>
  <c r="BX54" i="2" s="1"/>
  <c r="BY54" i="2" s="1"/>
  <c r="BZ54" i="2" s="1"/>
  <c r="CA54" i="2" s="1"/>
  <c r="CB54" i="2" s="1"/>
  <c r="CC54" i="2" s="1"/>
  <c r="CD54" i="2" s="1"/>
  <c r="CE54" i="2" s="1"/>
  <c r="CF54" i="2" s="1"/>
  <c r="CG54" i="2" s="1"/>
  <c r="CH54" i="2" s="1"/>
  <c r="CI54" i="2" s="1"/>
  <c r="CJ54" i="2" s="1"/>
  <c r="CK54" i="2" s="1"/>
  <c r="CL54" i="2" s="1"/>
  <c r="CM54" i="2" s="1"/>
  <c r="CN54" i="2" s="1"/>
  <c r="CO54" i="2" s="1"/>
  <c r="CP54" i="2" s="1"/>
  <c r="CQ54" i="2" s="1"/>
  <c r="CR54" i="2" s="1"/>
  <c r="CS54" i="2" s="1"/>
  <c r="CT54" i="2" s="1"/>
  <c r="CU54" i="2" s="1"/>
  <c r="CV54" i="2" s="1"/>
  <c r="CW54" i="2" s="1"/>
  <c r="CX54" i="2" s="1"/>
  <c r="CY54" i="2" s="1"/>
  <c r="CZ54" i="2" s="1"/>
  <c r="DA54" i="2" s="1"/>
  <c r="DB54" i="2" s="1"/>
  <c r="DC54" i="2" s="1"/>
  <c r="DD54" i="2" s="1"/>
  <c r="DE54" i="2" s="1"/>
  <c r="DF54" i="2" s="1"/>
  <c r="DG54" i="2" s="1"/>
  <c r="DH54" i="2" s="1"/>
  <c r="DI54" i="2" s="1"/>
  <c r="DJ54" i="2" s="1"/>
  <c r="DK54" i="2" s="1"/>
  <c r="DL54" i="2" s="1"/>
  <c r="DM54" i="2" s="1"/>
  <c r="DN54" i="2" s="1"/>
  <c r="DO54" i="2" s="1"/>
  <c r="DP54" i="2" s="1"/>
  <c r="DQ54" i="2" s="1"/>
  <c r="DR54" i="2" s="1"/>
  <c r="DS54" i="2" s="1"/>
  <c r="DT54" i="2" s="1"/>
  <c r="DU54" i="2" s="1"/>
  <c r="DV54" i="2" s="1"/>
  <c r="DW54" i="2" s="1"/>
  <c r="DX54" i="2" s="1"/>
  <c r="DY54" i="2" s="1"/>
  <c r="DZ54" i="2" s="1"/>
  <c r="EA54" i="2" s="1"/>
  <c r="EB54" i="2" s="1"/>
  <c r="EC54" i="2" s="1"/>
  <c r="ED54" i="2" s="1"/>
  <c r="EE54" i="2" s="1"/>
  <c r="EF54" i="2" s="1"/>
  <c r="EG54" i="2" s="1"/>
  <c r="EH54" i="2" s="1"/>
  <c r="EI54" i="2" s="1"/>
  <c r="EJ54" i="2" s="1"/>
  <c r="EK54" i="2" s="1"/>
  <c r="EL54" i="2" s="1"/>
  <c r="EM54" i="2" s="1"/>
  <c r="EN54" i="2" s="1"/>
  <c r="EO54" i="2" s="1"/>
  <c r="EP54" i="2" s="1"/>
  <c r="EQ54" i="2" s="1"/>
  <c r="ER54" i="2" s="1"/>
  <c r="ES54" i="2" s="1"/>
  <c r="ET54" i="2" s="1"/>
  <c r="AO26" i="2"/>
  <c r="AO17" i="2"/>
  <c r="V20" i="2"/>
  <c r="V4" i="2"/>
  <c r="AE4" i="2" s="1"/>
  <c r="AE5" i="2" s="1"/>
  <c r="AE20" i="2" l="1"/>
  <c r="AE10" i="2"/>
  <c r="AE24" i="2" l="1"/>
  <c r="AE13" i="2"/>
  <c r="AE25" i="2" l="1"/>
  <c r="AE15" i="2"/>
  <c r="AE29" i="2" l="1"/>
  <c r="AE52" i="2" s="1"/>
  <c r="AE54" i="2" s="1"/>
  <c r="AS58" i="2" s="1"/>
  <c r="AS60" i="2" s="1"/>
  <c r="AS61" i="2" s="1"/>
  <c r="AS63" i="2" s="1"/>
  <c r="AE26" i="2"/>
  <c r="AE17" i="2"/>
  <c r="AS22" i="2"/>
  <c r="AS24" i="2" s="1"/>
  <c r="AS25" i="2" s="1"/>
  <c r="AS2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 Mniszek</author>
  </authors>
  <commentList>
    <comment ref="P9" authorId="0" shapeId="0" xr:uid="{94656086-D00F-4C13-943D-0312225931CA}">
      <text>
        <r>
          <rPr>
            <b/>
            <sz val="9"/>
            <color indexed="81"/>
            <rFont val="Tahoma"/>
            <family val="2"/>
          </rPr>
          <t>Anton Mniszek:</t>
        </r>
        <r>
          <rPr>
            <sz val="9"/>
            <color indexed="81"/>
            <rFont val="Tahoma"/>
            <family val="2"/>
          </rPr>
          <t xml:space="preserve">
w/o 481.5 impairment expense</t>
        </r>
      </text>
    </comment>
    <comment ref="Q9" authorId="0" shapeId="0" xr:uid="{6D8908CC-E2E9-49FD-90B4-3B619850FED4}">
      <text>
        <r>
          <rPr>
            <b/>
            <sz val="9"/>
            <color indexed="81"/>
            <rFont val="Tahoma"/>
            <family val="2"/>
          </rPr>
          <t>Anton Mniszek:</t>
        </r>
        <r>
          <rPr>
            <sz val="9"/>
            <color indexed="81"/>
            <rFont val="Tahoma"/>
            <family val="2"/>
          </rPr>
          <t xml:space="preserve">
w/o impairment 195.7</t>
        </r>
      </text>
    </comment>
    <comment ref="P14" authorId="0" shapeId="0" xr:uid="{401EA79A-C515-4B57-A3D0-FCC5282EF222}">
      <text>
        <r>
          <rPr>
            <b/>
            <sz val="9"/>
            <color indexed="81"/>
            <rFont val="Tahoma"/>
            <family val="2"/>
          </rPr>
          <t>Anton Mniszek:</t>
        </r>
        <r>
          <rPr>
            <sz val="9"/>
            <color indexed="81"/>
            <rFont val="Tahoma"/>
            <family val="2"/>
          </rPr>
          <t xml:space="preserve">
minus income tax effect of non-GAAP adjustments</t>
        </r>
      </text>
    </comment>
  </commentList>
</comments>
</file>

<file path=xl/sharedStrings.xml><?xml version="1.0" encoding="utf-8"?>
<sst xmlns="http://schemas.openxmlformats.org/spreadsheetml/2006/main" count="104" uniqueCount="92">
  <si>
    <t>CHGG</t>
  </si>
  <si>
    <t>Price</t>
  </si>
  <si>
    <t>Shares</t>
  </si>
  <si>
    <t>MC</t>
  </si>
  <si>
    <t>Cash</t>
  </si>
  <si>
    <t>Debt</t>
  </si>
  <si>
    <t>Net Cash</t>
  </si>
  <si>
    <t>EV</t>
  </si>
  <si>
    <t>Last checked</t>
  </si>
  <si>
    <t>Today</t>
  </si>
  <si>
    <t>Earnings</t>
  </si>
  <si>
    <t>Q224</t>
  </si>
  <si>
    <t>Revenue</t>
  </si>
  <si>
    <t>Cost of sales</t>
  </si>
  <si>
    <t>Gross profit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</si>
  <si>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</si>
  <si>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</si>
  <si>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</si>
  <si>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</si>
  <si>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</si>
  <si>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</si>
  <si>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</si>
  <si>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</si>
  <si>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</si>
  <si>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</si>
  <si>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</si>
  <si>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</si>
  <si>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</si>
  <si>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</si>
  <si>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</si>
  <si>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R&amp;D</t>
  </si>
  <si>
    <t>S&amp;M</t>
  </si>
  <si>
    <t>G&amp;A</t>
  </si>
  <si>
    <t>Total operating expenses</t>
  </si>
  <si>
    <t>Operating profit</t>
  </si>
  <si>
    <t>Net interest expense</t>
  </si>
  <si>
    <t>Other income</t>
  </si>
  <si>
    <t>Pretax profit</t>
  </si>
  <si>
    <t>Taxes</t>
  </si>
  <si>
    <t>Net profit</t>
  </si>
  <si>
    <t>EPS</t>
  </si>
  <si>
    <t>Non-GAAP</t>
  </si>
  <si>
    <t>Revenue y/y</t>
  </si>
  <si>
    <t>Gross Margin</t>
  </si>
  <si>
    <t>R&amp;D y/y</t>
  </si>
  <si>
    <t>S&amp;M Margin</t>
  </si>
  <si>
    <t>G&amp;A y/y</t>
  </si>
  <si>
    <t>Operating Margin</t>
  </si>
  <si>
    <t>Net Margin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</si>
  <si>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</si>
  <si>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</si>
  <si>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</si>
  <si>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</si>
  <si>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</si>
  <si>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</si>
  <si>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</si>
  <si>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</si>
  <si>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</si>
  <si>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Q125</t>
  </si>
  <si>
    <t>Q225</t>
  </si>
  <si>
    <t>Q325</t>
  </si>
  <si>
    <t>Q425</t>
  </si>
  <si>
    <t>Net income</t>
  </si>
  <si>
    <t>SBC</t>
  </si>
  <si>
    <t>D&amp;A</t>
  </si>
  <si>
    <t>D/T</t>
  </si>
  <si>
    <t>Loss on debt</t>
  </si>
  <si>
    <t>Contingencies</t>
  </si>
  <si>
    <t>Impairment</t>
  </si>
  <si>
    <t>PP&amp;E</t>
  </si>
  <si>
    <t>Amortisation</t>
  </si>
  <si>
    <t>Leases</t>
  </si>
  <si>
    <t>Loss on investments</t>
  </si>
  <si>
    <t>Gain on investments</t>
  </si>
  <si>
    <t>Depreciation</t>
  </si>
  <si>
    <t>Gain on forex</t>
  </si>
  <si>
    <t>Other non-cash</t>
  </si>
  <si>
    <t>A/R</t>
  </si>
  <si>
    <t>Prepaids</t>
  </si>
  <si>
    <t>Other assets</t>
  </si>
  <si>
    <t>A/P</t>
  </si>
  <si>
    <t>D/R</t>
  </si>
  <si>
    <t>A/L</t>
  </si>
  <si>
    <t>Other liabilities</t>
  </si>
  <si>
    <t>CFFO</t>
  </si>
  <si>
    <t>FCF</t>
  </si>
  <si>
    <t>NPV (FCF)</t>
  </si>
  <si>
    <t>Chegg</t>
  </si>
  <si>
    <t>AI student help</t>
  </si>
  <si>
    <t>Busuu</t>
  </si>
  <si>
    <t>Language learning</t>
  </si>
  <si>
    <t>Slightly undervalued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</si>
</sst>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</xdr:colOff>
      <xdr:row>0</xdr:row>
      <xdr:rowOff>0</xdr:rowOff>
    </xdr:from>
    <xdr:to>
      <xdr:col>18</xdr:col>
      <xdr:colOff>15240</xdr:colOff>
      <xdr:row>33</xdr:row>
      <xdr:rowOff>91440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2C89C2F-2DAB-27A9-E46B-B9F5879E876C}"/>
            </a:ext>
          </a:extLst>
        </xdr:cNvPr>
        <xdr:cNvCxnSpPr/>
      </xdr:nvCxnSpPr>
      <xdr:spPr>
        <a:xfrm>
          <a:off x="11864340" y="0"/>
          <a:ext cx="0" cy="6126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15240</xdr:colOff>
      <xdr:row>0</xdr:row>
      <xdr:rowOff>15240</xdr:rowOff>
    </xdr:from>
    <xdr:to>
      <xdr:col>30</xdr:col>
      <xdr:colOff>15240</xdr:colOff>
      <xdr:row>62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C770232-CA4B-C8B8-B77E-7E6D9BF884DA}"/>
            </a:ext>
          </a:extLst>
        </xdr:cNvPr>
        <xdr:cNvCxnSpPr/>
      </xdr:nvCxnSpPr>
      <xdr:spPr>
        <a:xfrm>
          <a:off x="19179540" y="15240"/>
          <a:ext cx="0" cy="11430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67F3-1170-4F04-975E-778BC84293D4}">
  <dimension ref="B2:K9"/>
  <sheetViews>
    <sheetView workbookViewId="0">
      <selection activeCell="D4" sqref="D4"/>
    </sheetView>
  </sheetViews>
  <sheetFormatPr defaultRowHeight="14.4" x14ac:dyDescent="0.3"/>
  <cols>
    <col min="5" max="7" width="13.44140625" style="4" customWidth="1"/>
  </cols>
  <sheetData>
    <row r="2" spans="2:11" x14ac:dyDescent="0.3">
      <c r="E2" s="4" t="s">
        <v>8</v>
      </c>
      <c r="F2" s="4" t="s">
        <v>9</v>
      </c>
      <c r="G2" s="4" t="s">
        <v>10</v>
      </c>
    </row>
    <row r="3" spans="2:11" x14ac:dyDescent="0.3">
      <c r="B3" s="1" t="s">
        <v>0</v>
      </c>
      <c r="C3" t="s">
        <v>1</v>
      </c>
      <c r="D3" s="3">
        <v>0.56620000000000004</v>
      </c>
      <c r="E3" s="5">
        <v>45751</v>
      </c>
      <c r="F3" s="5">
        <f ca="1">TODAY()</f>
        <v>45751</v>
      </c>
      <c r="G3" s="5">
        <v>45802</v>
      </c>
    </row>
    <row r="4" spans="2:11" x14ac:dyDescent="0.3">
      <c r="C4" t="s">
        <v>2</v>
      </c>
      <c r="D4" s="2">
        <f>105.1</f>
        <v>105.1</v>
      </c>
      <c r="E4" s="4" t="s">
        <v>29</v>
      </c>
    </row>
    <row r="5" spans="2:11" x14ac:dyDescent="0.3">
      <c r="C5" t="s">
        <v>3</v>
      </c>
      <c r="D5" s="2">
        <f>D3*D4</f>
        <v>59.507620000000003</v>
      </c>
    </row>
    <row r="6" spans="2:11" x14ac:dyDescent="0.3">
      <c r="C6" t="s">
        <v>4</v>
      </c>
      <c r="D6" s="2">
        <f>161.5+154.2+212.7</f>
        <v>528.4</v>
      </c>
      <c r="E6" s="4" t="s">
        <v>29</v>
      </c>
    </row>
    <row r="7" spans="2:11" x14ac:dyDescent="0.3">
      <c r="C7" t="s">
        <v>5</v>
      </c>
      <c r="D7" s="2">
        <f>127.3</f>
        <v>127.3</v>
      </c>
      <c r="E7" s="4" t="s">
        <v>29</v>
      </c>
      <c r="J7" t="s">
        <v>87</v>
      </c>
      <c r="K7" t="s">
        <v>88</v>
      </c>
    </row>
    <row r="8" spans="2:11" x14ac:dyDescent="0.3">
      <c r="C8" t="s">
        <v>6</v>
      </c>
      <c r="D8" s="2">
        <f>D6-D7</f>
        <v>401.09999999999997</v>
      </c>
      <c r="J8" t="s">
        <v>89</v>
      </c>
      <c r="K8" t="s">
        <v>90</v>
      </c>
    </row>
    <row r="9" spans="2:11" x14ac:dyDescent="0.3">
      <c r="C9" t="s">
        <v>7</v>
      </c>
      <c r="D9" s="2">
        <f>D5-D8</f>
        <v>-341.59237999999993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C3E2D-253D-46B0-9AD3-C7A573AF3AFF}">
  <dimension ref="B1:ET63"/>
  <sheetViews>
    <sheetView tabSelected="1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S21" sqref="AS21"/>
    </sheetView>
  </sheetViews>
  <sheetFormatPr defaultRowHeight="14.4" x14ac:dyDescent="0.3"/>
  <cols>
    <col min="2" max="2" width="21.6640625" bestFit="1" customWidth="1"/>
    <col min="44" max="44" width="11.88671875" bestFit="1" customWidth="1"/>
    <col min="45" max="45" width="17.33203125" bestFit="1" customWidth="1"/>
  </cols>
  <sheetData>
    <row r="1" spans="2:145" x14ac:dyDescent="0.3">
      <c r="P1" t="s">
        <v>41</v>
      </c>
    </row>
    <row r="2" spans="2:145" x14ac:dyDescent="0.3">
      <c r="C2" s="6" t="s">
        <v>15</v>
      </c>
      <c r="D2" s="6" t="s">
        <v>16</v>
      </c>
      <c r="E2" s="6" t="s">
        <v>17</v>
      </c>
      <c r="F2" s="6" t="s">
        <v>18</v>
      </c>
      <c r="G2" s="6" t="s">
        <v>19</v>
      </c>
      <c r="H2" s="6" t="s">
        <v>20</v>
      </c>
      <c r="I2" s="6" t="s">
        <v>21</v>
      </c>
      <c r="J2" s="6" t="s">
        <v>22</v>
      </c>
      <c r="K2" s="6" t="s">
        <v>23</v>
      </c>
      <c r="L2" s="6" t="s">
        <v>24</v>
      </c>
      <c r="M2" s="6" t="s">
        <v>25</v>
      </c>
      <c r="N2" s="6" t="s">
        <v>26</v>
      </c>
      <c r="O2" s="6" t="s">
        <v>27</v>
      </c>
      <c r="P2" s="6" t="s">
        <v>11</v>
      </c>
      <c r="Q2" s="6" t="s">
        <v>28</v>
      </c>
      <c r="R2" s="6" t="s">
        <v>29</v>
      </c>
      <c r="S2" s="6" t="s">
        <v>58</v>
      </c>
      <c r="T2" s="6" t="s">
        <v>59</v>
      </c>
      <c r="U2" s="6" t="s">
        <v>60</v>
      </c>
      <c r="V2" s="6" t="s">
        <v>61</v>
      </c>
      <c r="X2">
        <v>2018</v>
      </c>
      <c r="Y2">
        <v>2019</v>
      </c>
      <c r="Z2">
        <v>2020</v>
      </c>
      <c r="AA2">
        <v>2021</v>
      </c>
      <c r="AB2">
        <v>2022</v>
      </c>
      <c r="AC2">
        <v>2023</v>
      </c>
      <c r="AD2">
        <v>2024</v>
      </c>
      <c r="AE2">
        <v>2025</v>
      </c>
      <c r="AF2">
        <v>2026</v>
      </c>
      <c r="AG2">
        <v>2027</v>
      </c>
      <c r="AH2">
        <v>2028</v>
      </c>
      <c r="AI2">
        <v>2029</v>
      </c>
      <c r="AJ2">
        <v>2030</v>
      </c>
      <c r="AK2">
        <v>2031</v>
      </c>
      <c r="AL2">
        <v>2032</v>
      </c>
      <c r="AM2">
        <v>2033</v>
      </c>
      <c r="AN2">
        <v>2034</v>
      </c>
      <c r="AO2">
        <v>2035</v>
      </c>
    </row>
    <row r="3" spans="2:145" s="1" customFormat="1" x14ac:dyDescent="0.3">
      <c r="B3" s="1" t="s">
        <v>12</v>
      </c>
      <c r="C3" s="8">
        <v>198.4</v>
      </c>
      <c r="D3" s="8">
        <v>198.5</v>
      </c>
      <c r="E3" s="8">
        <v>171.9</v>
      </c>
      <c r="F3" s="8">
        <v>207.5</v>
      </c>
      <c r="G3" s="8">
        <v>202.2</v>
      </c>
      <c r="H3" s="8">
        <v>194.7</v>
      </c>
      <c r="I3" s="8">
        <v>164.7</v>
      </c>
      <c r="J3" s="8">
        <v>205.2</v>
      </c>
      <c r="K3" s="8">
        <v>187.6</v>
      </c>
      <c r="L3" s="8">
        <v>182.9</v>
      </c>
      <c r="M3" s="8">
        <v>157.9</v>
      </c>
      <c r="N3" s="8">
        <v>188</v>
      </c>
      <c r="O3" s="8">
        <v>174.4</v>
      </c>
      <c r="P3" s="8">
        <v>163.1</v>
      </c>
      <c r="Q3" s="8">
        <v>136.6</v>
      </c>
      <c r="R3" s="8">
        <v>143.5</v>
      </c>
      <c r="S3" s="8">
        <v>115</v>
      </c>
      <c r="T3" s="8">
        <f>P3*0.75</f>
        <v>122.32499999999999</v>
      </c>
      <c r="U3" s="8">
        <f t="shared" ref="U3" si="0">Q3*0.75</f>
        <v>102.44999999999999</v>
      </c>
      <c r="V3" s="8">
        <f>R3*0.85</f>
        <v>121.97499999999999</v>
      </c>
      <c r="X3" s="8">
        <v>321.10000000000002</v>
      </c>
      <c r="Y3" s="8">
        <v>410.9</v>
      </c>
      <c r="Z3" s="8">
        <v>644.29999999999995</v>
      </c>
      <c r="AA3" s="8">
        <f>SUM(C3:F3)</f>
        <v>776.3</v>
      </c>
      <c r="AB3" s="8">
        <f>SUM(G3:J3)</f>
        <v>766.8</v>
      </c>
      <c r="AC3" s="8">
        <f>SUM(K3:N3)</f>
        <v>716.4</v>
      </c>
      <c r="AD3" s="8">
        <f>SUM(O3:R3)</f>
        <v>617.6</v>
      </c>
      <c r="AE3" s="8">
        <f>SUM(S3:V3)</f>
        <v>461.75</v>
      </c>
      <c r="AF3" s="8">
        <f>AE3*0.98</f>
        <v>452.51499999999999</v>
      </c>
      <c r="AG3" s="8">
        <f>AF3*1.1</f>
        <v>497.76650000000001</v>
      </c>
      <c r="AH3" s="8">
        <f>AG3*1.07</f>
        <v>532.61015500000008</v>
      </c>
      <c r="AI3" s="8">
        <f>AH3*1.05</f>
        <v>559.24066275000007</v>
      </c>
      <c r="AJ3" s="8">
        <f>AI3*1.04</f>
        <v>581.61028926000006</v>
      </c>
      <c r="AK3" s="8">
        <f>AJ3*1.03</f>
        <v>599.05859793780007</v>
      </c>
      <c r="AL3" s="8">
        <f t="shared" ref="AL3:AO3" si="1">AK3*1.03</f>
        <v>617.03035587593411</v>
      </c>
      <c r="AM3" s="8">
        <f t="shared" si="1"/>
        <v>635.54126655221216</v>
      </c>
      <c r="AN3" s="8">
        <f t="shared" si="1"/>
        <v>654.60750454877859</v>
      </c>
      <c r="AO3" s="8">
        <f t="shared" si="1"/>
        <v>674.24572968524194</v>
      </c>
    </row>
    <row r="4" spans="2:145" x14ac:dyDescent="0.3">
      <c r="B4" t="s">
        <v>13</v>
      </c>
      <c r="C4" s="2">
        <v>71.400000000000006</v>
      </c>
      <c r="D4" s="2">
        <v>60.7</v>
      </c>
      <c r="E4" s="2">
        <v>67.099999999999994</v>
      </c>
      <c r="F4" s="2">
        <v>55.7</v>
      </c>
      <c r="G4" s="2">
        <v>55.1</v>
      </c>
      <c r="H4" s="2">
        <v>45.7</v>
      </c>
      <c r="I4" s="2">
        <v>45.2</v>
      </c>
      <c r="J4" s="2">
        <v>51.4</v>
      </c>
      <c r="K4" s="2">
        <v>49.2</v>
      </c>
      <c r="L4" s="2">
        <v>47.4</v>
      </c>
      <c r="M4" s="2">
        <v>83.6</v>
      </c>
      <c r="N4" s="2">
        <v>45.8</v>
      </c>
      <c r="O4" s="2">
        <v>46.5</v>
      </c>
      <c r="P4" s="2">
        <v>45.4</v>
      </c>
      <c r="Q4" s="2">
        <v>43.4</v>
      </c>
      <c r="R4" s="2">
        <v>45.6</v>
      </c>
      <c r="S4" s="2">
        <f>S3-S5</f>
        <v>37.949999999999989</v>
      </c>
      <c r="T4" s="2">
        <f t="shared" ref="T4:V4" si="2">T3-T5</f>
        <v>39.143999999999991</v>
      </c>
      <c r="U4" s="2">
        <f t="shared" si="2"/>
        <v>32.783999999999992</v>
      </c>
      <c r="V4" s="2">
        <f t="shared" si="2"/>
        <v>39.031999999999996</v>
      </c>
      <c r="X4" s="2">
        <v>80</v>
      </c>
      <c r="Y4" s="2">
        <v>92.2</v>
      </c>
      <c r="Z4" s="2">
        <v>205.4</v>
      </c>
      <c r="AA4" s="2">
        <f>SUM(C4:F4)</f>
        <v>254.90000000000003</v>
      </c>
      <c r="AB4" s="2">
        <f>SUM(G4:J4)</f>
        <v>197.4</v>
      </c>
      <c r="AC4" s="2">
        <f>SUM(K4:N4)</f>
        <v>226</v>
      </c>
      <c r="AD4" s="2">
        <f>SUM(O4:R4)</f>
        <v>180.9</v>
      </c>
      <c r="AE4" s="2">
        <f>SUM(S4:V4)</f>
        <v>148.90999999999997</v>
      </c>
      <c r="AF4" s="2">
        <f t="shared" ref="AF4:AO4" si="3">AF3-AF5</f>
        <v>140.27965</v>
      </c>
      <c r="AG4" s="2">
        <f t="shared" si="3"/>
        <v>149.32995</v>
      </c>
      <c r="AH4" s="2">
        <f t="shared" si="3"/>
        <v>159.78304650000007</v>
      </c>
      <c r="AI4" s="2">
        <f t="shared" si="3"/>
        <v>167.77219882500003</v>
      </c>
      <c r="AJ4" s="2">
        <f t="shared" si="3"/>
        <v>174.48308677800003</v>
      </c>
      <c r="AK4" s="2">
        <f t="shared" si="3"/>
        <v>179.71757938134004</v>
      </c>
      <c r="AL4" s="2">
        <f t="shared" si="3"/>
        <v>185.10910676278024</v>
      </c>
      <c r="AM4" s="2">
        <f t="shared" si="3"/>
        <v>190.66237996566366</v>
      </c>
      <c r="AN4" s="2">
        <f t="shared" si="3"/>
        <v>196.38225136463359</v>
      </c>
      <c r="AO4" s="2">
        <f t="shared" si="3"/>
        <v>202.27371890557259</v>
      </c>
    </row>
    <row r="5" spans="2:145" s="1" customFormat="1" x14ac:dyDescent="0.3">
      <c r="B5" s="1" t="s">
        <v>14</v>
      </c>
      <c r="C5" s="8">
        <f t="shared" ref="C5:R5" si="4">C3-C4</f>
        <v>127</v>
      </c>
      <c r="D5" s="8">
        <f t="shared" si="4"/>
        <v>137.80000000000001</v>
      </c>
      <c r="E5" s="8">
        <f t="shared" si="4"/>
        <v>104.80000000000001</v>
      </c>
      <c r="F5" s="8">
        <f t="shared" si="4"/>
        <v>151.80000000000001</v>
      </c>
      <c r="G5" s="8">
        <f t="shared" si="4"/>
        <v>147.1</v>
      </c>
      <c r="H5" s="8">
        <f t="shared" si="4"/>
        <v>149</v>
      </c>
      <c r="I5" s="8">
        <f t="shared" si="4"/>
        <v>119.49999999999999</v>
      </c>
      <c r="J5" s="8">
        <f t="shared" si="4"/>
        <v>153.79999999999998</v>
      </c>
      <c r="K5" s="8">
        <f t="shared" si="4"/>
        <v>138.39999999999998</v>
      </c>
      <c r="L5" s="8">
        <f t="shared" si="4"/>
        <v>135.5</v>
      </c>
      <c r="M5" s="8">
        <f t="shared" si="4"/>
        <v>74.300000000000011</v>
      </c>
      <c r="N5" s="8">
        <f t="shared" si="4"/>
        <v>142.19999999999999</v>
      </c>
      <c r="O5" s="8">
        <f t="shared" si="4"/>
        <v>127.9</v>
      </c>
      <c r="P5" s="8">
        <f t="shared" si="4"/>
        <v>117.69999999999999</v>
      </c>
      <c r="Q5" s="8">
        <f t="shared" si="4"/>
        <v>93.199999999999989</v>
      </c>
      <c r="R5" s="8">
        <f t="shared" si="4"/>
        <v>97.9</v>
      </c>
      <c r="S5" s="8">
        <f>S3*0.67</f>
        <v>77.050000000000011</v>
      </c>
      <c r="T5" s="8">
        <f>T3*0.68</f>
        <v>83.180999999999997</v>
      </c>
      <c r="U5" s="8">
        <f>U3*0.68</f>
        <v>69.665999999999997</v>
      </c>
      <c r="V5" s="8">
        <f>V3*0.68</f>
        <v>82.942999999999998</v>
      </c>
      <c r="X5" s="8">
        <f t="shared" ref="X5:AE5" si="5">X3-X4</f>
        <v>241.10000000000002</v>
      </c>
      <c r="Y5" s="8">
        <f t="shared" si="5"/>
        <v>318.7</v>
      </c>
      <c r="Z5" s="8">
        <f t="shared" si="5"/>
        <v>438.9</v>
      </c>
      <c r="AA5" s="8">
        <f t="shared" si="5"/>
        <v>521.39999999999986</v>
      </c>
      <c r="AB5" s="8">
        <f t="shared" si="5"/>
        <v>569.4</v>
      </c>
      <c r="AC5" s="8">
        <f t="shared" si="5"/>
        <v>490.4</v>
      </c>
      <c r="AD5" s="8">
        <f t="shared" si="5"/>
        <v>436.70000000000005</v>
      </c>
      <c r="AE5" s="8">
        <f t="shared" si="5"/>
        <v>312.84000000000003</v>
      </c>
      <c r="AF5" s="8">
        <f>AF3*0.69</f>
        <v>312.23534999999998</v>
      </c>
      <c r="AG5" s="8">
        <f t="shared" ref="AG5:AO5" si="6">AG3*0.7</f>
        <v>348.43655000000001</v>
      </c>
      <c r="AH5" s="8">
        <f t="shared" si="6"/>
        <v>372.82710850000001</v>
      </c>
      <c r="AI5" s="8">
        <f t="shared" si="6"/>
        <v>391.46846392500004</v>
      </c>
      <c r="AJ5" s="8">
        <f t="shared" si="6"/>
        <v>407.12720248200003</v>
      </c>
      <c r="AK5" s="8">
        <f t="shared" si="6"/>
        <v>419.34101855646003</v>
      </c>
      <c r="AL5" s="8">
        <f t="shared" si="6"/>
        <v>431.92124911315386</v>
      </c>
      <c r="AM5" s="8">
        <f t="shared" si="6"/>
        <v>444.8788865865485</v>
      </c>
      <c r="AN5" s="8">
        <f t="shared" si="6"/>
        <v>458.225253184145</v>
      </c>
      <c r="AO5" s="8">
        <f t="shared" si="6"/>
        <v>471.97201077966935</v>
      </c>
    </row>
    <row r="6" spans="2:145" x14ac:dyDescent="0.3">
      <c r="B6" t="s">
        <v>30</v>
      </c>
      <c r="C6" s="2">
        <v>46.1</v>
      </c>
      <c r="D6" s="2">
        <v>41.6</v>
      </c>
      <c r="E6" s="2">
        <v>43.3</v>
      </c>
      <c r="F6" s="2">
        <v>47.8</v>
      </c>
      <c r="G6" s="2">
        <v>52.4</v>
      </c>
      <c r="H6" s="2">
        <v>52.5</v>
      </c>
      <c r="I6" s="2">
        <v>45.4</v>
      </c>
      <c r="J6" s="2">
        <v>46.3</v>
      </c>
      <c r="K6" s="2">
        <v>46.9</v>
      </c>
      <c r="L6" s="2">
        <v>52.9</v>
      </c>
      <c r="M6" s="2">
        <v>46.2</v>
      </c>
      <c r="N6" s="2">
        <v>45.7</v>
      </c>
      <c r="O6" s="2">
        <v>44.4</v>
      </c>
      <c r="P6" s="2">
        <v>43.7</v>
      </c>
      <c r="Q6" s="2">
        <v>41.3</v>
      </c>
      <c r="R6" s="2">
        <v>41</v>
      </c>
      <c r="S6" s="2">
        <f>O6*0.9</f>
        <v>39.96</v>
      </c>
      <c r="T6" s="2">
        <f t="shared" ref="T6:V6" si="7">P6*0.9</f>
        <v>39.330000000000005</v>
      </c>
      <c r="U6" s="2">
        <f t="shared" si="7"/>
        <v>37.17</v>
      </c>
      <c r="V6" s="2">
        <f t="shared" si="7"/>
        <v>36.9</v>
      </c>
      <c r="X6" s="2">
        <v>114.3</v>
      </c>
      <c r="Y6" s="2">
        <v>139.80000000000001</v>
      </c>
      <c r="Z6" s="2">
        <v>170.9</v>
      </c>
      <c r="AA6" s="2">
        <f>SUM(C6:F6)</f>
        <v>178.8</v>
      </c>
      <c r="AB6" s="2">
        <f>SUM(G6:J6)</f>
        <v>196.60000000000002</v>
      </c>
      <c r="AC6" s="2">
        <f>SUM(K6:N6)</f>
        <v>191.7</v>
      </c>
      <c r="AD6" s="2">
        <f>SUM(O6:R6)</f>
        <v>170.39999999999998</v>
      </c>
      <c r="AE6" s="2">
        <f>SUM(S6:V6)</f>
        <v>153.36000000000001</v>
      </c>
      <c r="AF6" s="2">
        <f>AE6*1.02</f>
        <v>156.42720000000003</v>
      </c>
      <c r="AG6" s="2">
        <f t="shared" ref="AG6:AJ6" si="8">AF6*1.02</f>
        <v>159.55574400000003</v>
      </c>
      <c r="AH6" s="2">
        <f t="shared" si="8"/>
        <v>162.74685888000005</v>
      </c>
      <c r="AI6" s="2">
        <f t="shared" si="8"/>
        <v>166.00179605760005</v>
      </c>
      <c r="AJ6" s="2">
        <f t="shared" si="8"/>
        <v>169.32183197875204</v>
      </c>
      <c r="AK6" s="2">
        <f>AJ6*1.01</f>
        <v>171.01505029853956</v>
      </c>
      <c r="AL6" s="2">
        <f t="shared" ref="AL6:AO6" si="9">AK6*1.01</f>
        <v>172.72520080152495</v>
      </c>
      <c r="AM6" s="2">
        <f t="shared" si="9"/>
        <v>174.4524528095402</v>
      </c>
      <c r="AN6" s="2">
        <f t="shared" si="9"/>
        <v>176.19697733763562</v>
      </c>
      <c r="AO6" s="2">
        <f t="shared" si="9"/>
        <v>177.95894711101198</v>
      </c>
    </row>
    <row r="7" spans="2:145" x14ac:dyDescent="0.3">
      <c r="B7" t="s">
        <v>31</v>
      </c>
      <c r="C7" s="2">
        <v>26.2</v>
      </c>
      <c r="D7" s="2">
        <v>21.7</v>
      </c>
      <c r="E7" s="2">
        <v>27.2</v>
      </c>
      <c r="F7" s="2">
        <v>30.3</v>
      </c>
      <c r="G7" s="2">
        <v>42.5</v>
      </c>
      <c r="H7" s="2">
        <v>35.299999999999997</v>
      </c>
      <c r="I7" s="2">
        <v>31.8</v>
      </c>
      <c r="J7" s="2">
        <v>38.1</v>
      </c>
      <c r="K7" s="2">
        <v>37</v>
      </c>
      <c r="L7" s="2">
        <v>31</v>
      </c>
      <c r="M7" s="2">
        <v>28.9</v>
      </c>
      <c r="N7" s="2">
        <v>29.7</v>
      </c>
      <c r="O7" s="2">
        <v>30.4</v>
      </c>
      <c r="P7" s="2">
        <v>23.5</v>
      </c>
      <c r="Q7" s="2">
        <v>26.5</v>
      </c>
      <c r="R7" s="2">
        <v>27.9</v>
      </c>
      <c r="S7" s="2">
        <f>S3*0.17</f>
        <v>19.55</v>
      </c>
      <c r="T7" s="2">
        <f t="shared" ref="T7" si="10">T3*0.17</f>
        <v>20.795249999999999</v>
      </c>
      <c r="U7" s="2">
        <f>U3*0.2</f>
        <v>20.49</v>
      </c>
      <c r="V7" s="2">
        <f>V3*0.2</f>
        <v>24.395</v>
      </c>
      <c r="X7" s="2">
        <v>54.7</v>
      </c>
      <c r="Y7" s="2">
        <v>63.6</v>
      </c>
      <c r="Z7" s="2">
        <v>81.900000000000006</v>
      </c>
      <c r="AA7" s="2">
        <f>SUM(C7:F7)</f>
        <v>105.39999999999999</v>
      </c>
      <c r="AB7" s="2">
        <f>SUM(G7:J7)</f>
        <v>147.69999999999999</v>
      </c>
      <c r="AC7" s="2">
        <f>SUM(K7:N7)</f>
        <v>126.60000000000001</v>
      </c>
      <c r="AD7" s="2">
        <f>SUM(O7:R7)</f>
        <v>108.30000000000001</v>
      </c>
      <c r="AE7" s="2">
        <f>SUM(S7:V7)</f>
        <v>85.230249999999998</v>
      </c>
      <c r="AF7" s="2">
        <f>AF3*0.17</f>
        <v>76.927549999999997</v>
      </c>
      <c r="AG7" s="2">
        <f>AG3*0.16</f>
        <v>79.64264</v>
      </c>
      <c r="AH7" s="2">
        <f t="shared" ref="AH7:AO7" si="11">AH3*0.15</f>
        <v>79.891523250000006</v>
      </c>
      <c r="AI7" s="2">
        <f t="shared" si="11"/>
        <v>83.886099412500002</v>
      </c>
      <c r="AJ7" s="2">
        <f t="shared" si="11"/>
        <v>87.241543389</v>
      </c>
      <c r="AK7" s="2">
        <f t="shared" si="11"/>
        <v>89.858789690670008</v>
      </c>
      <c r="AL7" s="2">
        <f t="shared" si="11"/>
        <v>92.554553381390107</v>
      </c>
      <c r="AM7" s="2">
        <f t="shared" si="11"/>
        <v>95.331189982831816</v>
      </c>
      <c r="AN7" s="2">
        <f t="shared" si="11"/>
        <v>98.19112568231678</v>
      </c>
      <c r="AO7" s="2">
        <f t="shared" si="11"/>
        <v>101.13685945278628</v>
      </c>
    </row>
    <row r="8" spans="2:145" x14ac:dyDescent="0.3">
      <c r="B8" t="s">
        <v>32</v>
      </c>
      <c r="C8" s="2">
        <v>37.9</v>
      </c>
      <c r="D8" s="2">
        <v>39.700000000000003</v>
      </c>
      <c r="E8" s="2">
        <v>34</v>
      </c>
      <c r="F8" s="2">
        <v>47.5</v>
      </c>
      <c r="G8" s="2">
        <v>46.9</v>
      </c>
      <c r="H8" s="2">
        <v>53.9</v>
      </c>
      <c r="I8" s="2">
        <v>53.7</v>
      </c>
      <c r="J8" s="2">
        <v>61.7</v>
      </c>
      <c r="K8" s="2">
        <v>59</v>
      </c>
      <c r="L8" s="2">
        <v>70.3</v>
      </c>
      <c r="M8" s="2">
        <v>57.1</v>
      </c>
      <c r="N8" s="2">
        <v>53.4</v>
      </c>
      <c r="O8" s="2">
        <v>55.5</v>
      </c>
      <c r="P8" s="2">
        <v>54</v>
      </c>
      <c r="Q8" s="2">
        <v>51.9</v>
      </c>
      <c r="R8" s="2">
        <v>56.3</v>
      </c>
      <c r="S8" s="2">
        <f>O8*1.02</f>
        <v>56.61</v>
      </c>
      <c r="T8" s="2">
        <f t="shared" ref="T8:V8" si="12">P8*1.02</f>
        <v>55.08</v>
      </c>
      <c r="U8" s="2">
        <f t="shared" si="12"/>
        <v>52.938000000000002</v>
      </c>
      <c r="V8" s="2">
        <f t="shared" si="12"/>
        <v>57.425999999999995</v>
      </c>
      <c r="X8" s="2">
        <v>77.7</v>
      </c>
      <c r="Y8" s="2">
        <v>97.5</v>
      </c>
      <c r="Z8" s="2">
        <v>129.30000000000001</v>
      </c>
      <c r="AA8" s="2">
        <f>SUM(C8:F8)</f>
        <v>159.1</v>
      </c>
      <c r="AB8" s="2">
        <f>SUM(G8:J8)</f>
        <v>216.2</v>
      </c>
      <c r="AC8" s="2">
        <f>SUM(K8:N8)</f>
        <v>239.8</v>
      </c>
      <c r="AD8" s="2">
        <f>SUM(O8:R8)</f>
        <v>217.7</v>
      </c>
      <c r="AE8" s="2">
        <f>SUM(S8:V8)</f>
        <v>222.05399999999997</v>
      </c>
      <c r="AF8" s="2">
        <f>AE8*1.02</f>
        <v>226.49507999999997</v>
      </c>
      <c r="AG8" s="2">
        <f t="shared" ref="AG8:AO8" si="13">AF8*1.02</f>
        <v>231.02498159999999</v>
      </c>
      <c r="AH8" s="2">
        <f t="shared" si="13"/>
        <v>235.64548123199998</v>
      </c>
      <c r="AI8" s="2">
        <f t="shared" si="13"/>
        <v>240.35839085663997</v>
      </c>
      <c r="AJ8" s="2">
        <f t="shared" si="13"/>
        <v>245.16555867377278</v>
      </c>
      <c r="AK8" s="2">
        <f t="shared" si="13"/>
        <v>250.06886984724824</v>
      </c>
      <c r="AL8" s="2">
        <f t="shared" si="13"/>
        <v>255.07024724419321</v>
      </c>
      <c r="AM8" s="2">
        <f t="shared" si="13"/>
        <v>260.17165218907707</v>
      </c>
      <c r="AN8" s="2">
        <f t="shared" si="13"/>
        <v>265.37508523285862</v>
      </c>
      <c r="AO8" s="2">
        <f t="shared" si="13"/>
        <v>270.68258693751579</v>
      </c>
    </row>
    <row r="9" spans="2:145" x14ac:dyDescent="0.3">
      <c r="B9" t="s">
        <v>33</v>
      </c>
      <c r="C9" s="2">
        <f t="shared" ref="C9:P9" si="14">SUM(C6:C8)</f>
        <v>110.19999999999999</v>
      </c>
      <c r="D9" s="2">
        <f t="shared" si="14"/>
        <v>103</v>
      </c>
      <c r="E9" s="2">
        <f t="shared" si="14"/>
        <v>104.5</v>
      </c>
      <c r="F9" s="2">
        <f t="shared" si="14"/>
        <v>125.6</v>
      </c>
      <c r="G9" s="2">
        <f t="shared" si="14"/>
        <v>141.80000000000001</v>
      </c>
      <c r="H9" s="2">
        <f t="shared" si="14"/>
        <v>141.69999999999999</v>
      </c>
      <c r="I9" s="2">
        <f t="shared" si="14"/>
        <v>130.9</v>
      </c>
      <c r="J9" s="2">
        <f t="shared" si="14"/>
        <v>146.10000000000002</v>
      </c>
      <c r="K9" s="2">
        <f t="shared" si="14"/>
        <v>142.9</v>
      </c>
      <c r="L9" s="2">
        <f t="shared" si="14"/>
        <v>154.19999999999999</v>
      </c>
      <c r="M9" s="2">
        <f t="shared" si="14"/>
        <v>132.19999999999999</v>
      </c>
      <c r="N9" s="2">
        <f t="shared" si="14"/>
        <v>128.80000000000001</v>
      </c>
      <c r="O9" s="2">
        <f t="shared" si="14"/>
        <v>130.30000000000001</v>
      </c>
      <c r="P9" s="2">
        <f t="shared" si="14"/>
        <v>121.2</v>
      </c>
      <c r="Q9" s="2">
        <f t="shared" ref="Q9:R9" si="15">SUM(Q6:Q8)</f>
        <v>119.69999999999999</v>
      </c>
      <c r="R9" s="2">
        <f t="shared" si="15"/>
        <v>125.2</v>
      </c>
      <c r="S9" s="2">
        <f t="shared" ref="S9:V9" si="16">SUM(S6:S8)</f>
        <v>116.12</v>
      </c>
      <c r="T9" s="2">
        <f t="shared" si="16"/>
        <v>115.20525000000001</v>
      </c>
      <c r="U9" s="2">
        <f t="shared" si="16"/>
        <v>110.598</v>
      </c>
      <c r="V9" s="2">
        <f t="shared" si="16"/>
        <v>118.721</v>
      </c>
      <c r="X9" s="2">
        <f t="shared" ref="X9:AD9" si="17">SUM(X6:X8)</f>
        <v>246.7</v>
      </c>
      <c r="Y9" s="2">
        <f t="shared" si="17"/>
        <v>300.89999999999998</v>
      </c>
      <c r="Z9" s="2">
        <f t="shared" si="17"/>
        <v>382.1</v>
      </c>
      <c r="AA9" s="2">
        <f t="shared" si="17"/>
        <v>443.29999999999995</v>
      </c>
      <c r="AB9" s="2">
        <f t="shared" si="17"/>
        <v>560.5</v>
      </c>
      <c r="AC9" s="2">
        <f t="shared" si="17"/>
        <v>558.1</v>
      </c>
      <c r="AD9" s="2">
        <f t="shared" si="17"/>
        <v>496.4</v>
      </c>
      <c r="AE9" s="2">
        <f t="shared" ref="AE9:AO9" si="18">SUM(AE6:AE8)</f>
        <v>460.64425</v>
      </c>
      <c r="AF9" s="2">
        <f t="shared" si="18"/>
        <v>459.84983</v>
      </c>
      <c r="AG9" s="2">
        <f t="shared" si="18"/>
        <v>470.22336560000002</v>
      </c>
      <c r="AH9" s="2">
        <f t="shared" si="18"/>
        <v>478.28386336200003</v>
      </c>
      <c r="AI9" s="2">
        <f t="shared" si="18"/>
        <v>490.24628632674001</v>
      </c>
      <c r="AJ9" s="2">
        <f t="shared" si="18"/>
        <v>501.72893404152478</v>
      </c>
      <c r="AK9" s="2">
        <f t="shared" si="18"/>
        <v>510.94270983645777</v>
      </c>
      <c r="AL9" s="2">
        <f t="shared" si="18"/>
        <v>520.35000142710828</v>
      </c>
      <c r="AM9" s="2">
        <f t="shared" si="18"/>
        <v>529.95529498144901</v>
      </c>
      <c r="AN9" s="2">
        <f t="shared" si="18"/>
        <v>539.76318825281101</v>
      </c>
      <c r="AO9" s="2">
        <f t="shared" si="18"/>
        <v>549.77839350131399</v>
      </c>
    </row>
    <row r="10" spans="2:145" s="1" customFormat="1" x14ac:dyDescent="0.3">
      <c r="B10" s="1" t="s">
        <v>34</v>
      </c>
      <c r="C10" s="8">
        <f t="shared" ref="C10:P10" si="19">C5-C9</f>
        <v>16.800000000000011</v>
      </c>
      <c r="D10" s="8">
        <f t="shared" si="19"/>
        <v>34.800000000000011</v>
      </c>
      <c r="E10" s="8">
        <f t="shared" si="19"/>
        <v>0.30000000000001137</v>
      </c>
      <c r="F10" s="8">
        <f t="shared" si="19"/>
        <v>26.200000000000017</v>
      </c>
      <c r="G10" s="8">
        <f t="shared" si="19"/>
        <v>5.2999999999999829</v>
      </c>
      <c r="H10" s="8">
        <f t="shared" si="19"/>
        <v>7.3000000000000114</v>
      </c>
      <c r="I10" s="8">
        <f t="shared" si="19"/>
        <v>-11.40000000000002</v>
      </c>
      <c r="J10" s="8">
        <f t="shared" si="19"/>
        <v>7.6999999999999602</v>
      </c>
      <c r="K10" s="8">
        <f t="shared" si="19"/>
        <v>-4.5000000000000284</v>
      </c>
      <c r="L10" s="8">
        <f t="shared" si="19"/>
        <v>-18.699999999999989</v>
      </c>
      <c r="M10" s="8">
        <f t="shared" si="19"/>
        <v>-57.899999999999977</v>
      </c>
      <c r="N10" s="8">
        <f t="shared" si="19"/>
        <v>13.399999999999977</v>
      </c>
      <c r="O10" s="8">
        <f t="shared" si="19"/>
        <v>-2.4000000000000057</v>
      </c>
      <c r="P10" s="8">
        <f t="shared" si="19"/>
        <v>-3.5000000000000142</v>
      </c>
      <c r="Q10" s="8">
        <f t="shared" ref="Q10:R10" si="20">Q5-Q9</f>
        <v>-26.5</v>
      </c>
      <c r="R10" s="8">
        <f t="shared" si="20"/>
        <v>-27.299999999999997</v>
      </c>
      <c r="S10" s="8">
        <f t="shared" ref="S10:V10" si="21">S5-S9</f>
        <v>-39.069999999999993</v>
      </c>
      <c r="T10" s="8">
        <f t="shared" si="21"/>
        <v>-32.024250000000009</v>
      </c>
      <c r="U10" s="8">
        <f t="shared" si="21"/>
        <v>-40.932000000000002</v>
      </c>
      <c r="V10" s="8">
        <f t="shared" si="21"/>
        <v>-35.778000000000006</v>
      </c>
      <c r="X10" s="8">
        <f t="shared" ref="X10:AD10" si="22">X5-X9</f>
        <v>-5.5999999999999659</v>
      </c>
      <c r="Y10" s="8">
        <f t="shared" si="22"/>
        <v>17.800000000000011</v>
      </c>
      <c r="Z10" s="8">
        <f t="shared" si="22"/>
        <v>56.799999999999955</v>
      </c>
      <c r="AA10" s="8">
        <f t="shared" si="22"/>
        <v>78.099999999999909</v>
      </c>
      <c r="AB10" s="8">
        <f t="shared" si="22"/>
        <v>8.8999999999999773</v>
      </c>
      <c r="AC10" s="8">
        <f t="shared" si="22"/>
        <v>-67.700000000000045</v>
      </c>
      <c r="AD10" s="8">
        <f t="shared" si="22"/>
        <v>-59.699999999999932</v>
      </c>
      <c r="AE10" s="8">
        <f t="shared" ref="AE10:AO10" si="23">AE5-AE9</f>
        <v>-147.80424999999997</v>
      </c>
      <c r="AF10" s="8">
        <f t="shared" si="23"/>
        <v>-147.61448000000001</v>
      </c>
      <c r="AG10" s="8">
        <f t="shared" si="23"/>
        <v>-121.78681560000001</v>
      </c>
      <c r="AH10" s="8">
        <f t="shared" si="23"/>
        <v>-105.45675486200003</v>
      </c>
      <c r="AI10" s="8">
        <f t="shared" si="23"/>
        <v>-98.777822401739968</v>
      </c>
      <c r="AJ10" s="8">
        <f t="shared" si="23"/>
        <v>-94.601731559524751</v>
      </c>
      <c r="AK10" s="8">
        <f t="shared" si="23"/>
        <v>-91.601691279997738</v>
      </c>
      <c r="AL10" s="8">
        <f t="shared" si="23"/>
        <v>-88.428752313954419</v>
      </c>
      <c r="AM10" s="8">
        <f t="shared" si="23"/>
        <v>-85.076408394900511</v>
      </c>
      <c r="AN10" s="8">
        <f t="shared" si="23"/>
        <v>-81.537935068666002</v>
      </c>
      <c r="AO10" s="8">
        <f t="shared" si="23"/>
        <v>-77.806382721644638</v>
      </c>
    </row>
    <row r="11" spans="2:145" x14ac:dyDescent="0.3">
      <c r="B11" t="s">
        <v>35</v>
      </c>
      <c r="C11" s="2">
        <v>1.9</v>
      </c>
      <c r="D11" s="2">
        <v>1.7</v>
      </c>
      <c r="E11" s="2">
        <v>1.6</v>
      </c>
      <c r="F11" s="2">
        <v>1.6</v>
      </c>
      <c r="G11" s="2">
        <v>1.6</v>
      </c>
      <c r="H11" s="2">
        <v>1.6</v>
      </c>
      <c r="I11" s="2">
        <v>1.5</v>
      </c>
      <c r="J11" s="2">
        <v>1.3</v>
      </c>
      <c r="K11" s="2">
        <v>1.3</v>
      </c>
      <c r="L11" s="2">
        <v>1.1000000000000001</v>
      </c>
      <c r="M11" s="2">
        <v>0.7</v>
      </c>
      <c r="N11" s="2">
        <v>0.7</v>
      </c>
      <c r="O11" s="2">
        <v>0.7</v>
      </c>
      <c r="P11" s="2">
        <v>0.7</v>
      </c>
      <c r="Q11" s="2">
        <v>0.7</v>
      </c>
      <c r="R11" s="2">
        <v>0.6</v>
      </c>
      <c r="S11" s="2">
        <v>1</v>
      </c>
      <c r="T11" s="2">
        <v>1</v>
      </c>
      <c r="U11" s="2">
        <v>1</v>
      </c>
      <c r="V11" s="2">
        <v>1</v>
      </c>
      <c r="X11" s="2">
        <v>11.2</v>
      </c>
      <c r="Y11" s="2">
        <v>44.9</v>
      </c>
      <c r="Z11" s="2">
        <v>66.3</v>
      </c>
      <c r="AA11" s="2">
        <f>SUM(C11:F11)</f>
        <v>6.7999999999999989</v>
      </c>
      <c r="AB11" s="2">
        <f>SUM(G11:J11)</f>
        <v>6</v>
      </c>
      <c r="AC11" s="2">
        <f>SUM(K11:N11)</f>
        <v>3.8000000000000007</v>
      </c>
      <c r="AD11" s="2">
        <f>SUM(O11:R11)</f>
        <v>2.6999999999999997</v>
      </c>
      <c r="AE11" s="2">
        <f>SUM(S11:V11)</f>
        <v>4</v>
      </c>
      <c r="AF11" s="2">
        <f t="shared" ref="AF11:AO11" si="24">AE11*1.03</f>
        <v>4.12</v>
      </c>
      <c r="AG11" s="2">
        <f t="shared" si="24"/>
        <v>4.2435999999999998</v>
      </c>
      <c r="AH11" s="2">
        <f t="shared" si="24"/>
        <v>4.370908</v>
      </c>
      <c r="AI11" s="2">
        <f t="shared" si="24"/>
        <v>4.5020352400000005</v>
      </c>
      <c r="AJ11" s="2">
        <f t="shared" si="24"/>
        <v>4.6370962972000003</v>
      </c>
      <c r="AK11" s="2">
        <f t="shared" si="24"/>
        <v>4.7762091861160005</v>
      </c>
      <c r="AL11" s="2">
        <f t="shared" si="24"/>
        <v>4.9194954616994808</v>
      </c>
      <c r="AM11" s="2">
        <f t="shared" si="24"/>
        <v>5.0670803255504655</v>
      </c>
      <c r="AN11" s="2">
        <f t="shared" si="24"/>
        <v>5.2190927353169796</v>
      </c>
      <c r="AO11" s="2">
        <f t="shared" si="24"/>
        <v>5.3756655173764889</v>
      </c>
    </row>
    <row r="12" spans="2:145" x14ac:dyDescent="0.3">
      <c r="B12" t="s">
        <v>36</v>
      </c>
      <c r="C12" s="2">
        <v>77.2</v>
      </c>
      <c r="D12" s="2">
        <v>-1.9</v>
      </c>
      <c r="E12" s="2">
        <v>-8.6999999999999993</v>
      </c>
      <c r="F12" s="2">
        <v>-1.1000000000000001</v>
      </c>
      <c r="G12" s="2">
        <v>-6.2</v>
      </c>
      <c r="H12" s="2">
        <v>-1.8</v>
      </c>
      <c r="I12" s="2">
        <v>-97.3</v>
      </c>
      <c r="J12" s="2">
        <v>4.2</v>
      </c>
      <c r="K12" s="2">
        <v>-12.1</v>
      </c>
      <c r="L12" s="2">
        <v>-64.099999999999994</v>
      </c>
      <c r="M12" s="2">
        <v>-40.5</v>
      </c>
      <c r="N12" s="2">
        <v>-5.0999999999999996</v>
      </c>
      <c r="O12" s="2">
        <v>-10.8</v>
      </c>
      <c r="P12" s="2">
        <v>-7.1</v>
      </c>
      <c r="Q12" s="2">
        <v>-7.6</v>
      </c>
      <c r="R12" s="2">
        <v>-25.8</v>
      </c>
      <c r="S12" s="2">
        <f>O12*1.02</f>
        <v>-11.016000000000002</v>
      </c>
      <c r="T12" s="2">
        <f t="shared" ref="T12:V12" si="25">P12*1.02</f>
        <v>-7.242</v>
      </c>
      <c r="U12" s="2">
        <f t="shared" si="25"/>
        <v>-7.7519999999999998</v>
      </c>
      <c r="V12" s="2">
        <f t="shared" si="25"/>
        <v>-26.316000000000003</v>
      </c>
      <c r="X12" s="2">
        <v>-4</v>
      </c>
      <c r="Y12" s="2">
        <v>-20.100000000000001</v>
      </c>
      <c r="Z12" s="2">
        <v>-8.6999999999999993</v>
      </c>
      <c r="AA12" s="2">
        <f>SUM(C12:F12)</f>
        <v>65.5</v>
      </c>
      <c r="AB12" s="2">
        <f>SUM(G12:J12)</f>
        <v>-101.1</v>
      </c>
      <c r="AC12" s="2">
        <f>SUM(K12:N12)</f>
        <v>-121.79999999999998</v>
      </c>
      <c r="AD12" s="2">
        <f>SUM(O12:R12)</f>
        <v>-51.3</v>
      </c>
      <c r="AE12" s="2">
        <f>SUM(S12:V12)</f>
        <v>-52.326000000000008</v>
      </c>
      <c r="AF12" s="2">
        <f t="shared" ref="AF12:AO12" si="26">AE12*1.03</f>
        <v>-53.895780000000009</v>
      </c>
      <c r="AG12" s="2">
        <f t="shared" si="26"/>
        <v>-55.512653400000012</v>
      </c>
      <c r="AH12" s="2">
        <f t="shared" si="26"/>
        <v>-57.178033002000014</v>
      </c>
      <c r="AI12" s="2">
        <f t="shared" si="26"/>
        <v>-58.893373992060013</v>
      </c>
      <c r="AJ12" s="2">
        <f t="shared" si="26"/>
        <v>-60.660175211821816</v>
      </c>
      <c r="AK12" s="2">
        <f t="shared" si="26"/>
        <v>-62.479980468176471</v>
      </c>
      <c r="AL12" s="2">
        <f t="shared" si="26"/>
        <v>-64.354379882221764</v>
      </c>
      <c r="AM12" s="2">
        <f t="shared" si="26"/>
        <v>-66.285011278688415</v>
      </c>
      <c r="AN12" s="2">
        <f t="shared" si="26"/>
        <v>-68.273561617049069</v>
      </c>
      <c r="AO12" s="2">
        <f t="shared" si="26"/>
        <v>-70.321768465560538</v>
      </c>
    </row>
    <row r="13" spans="2:145" s="1" customFormat="1" x14ac:dyDescent="0.3">
      <c r="B13" s="1" t="s">
        <v>37</v>
      </c>
      <c r="C13" s="8">
        <f t="shared" ref="C13:P13" si="27">C10-C11-C12</f>
        <v>-62.29999999999999</v>
      </c>
      <c r="D13" s="8">
        <f t="shared" si="27"/>
        <v>35.000000000000007</v>
      </c>
      <c r="E13" s="8">
        <f t="shared" si="27"/>
        <v>7.400000000000011</v>
      </c>
      <c r="F13" s="8">
        <f t="shared" si="27"/>
        <v>25.700000000000017</v>
      </c>
      <c r="G13" s="8">
        <f t="shared" si="27"/>
        <v>9.8999999999999826</v>
      </c>
      <c r="H13" s="8">
        <f t="shared" si="27"/>
        <v>7.5000000000000115</v>
      </c>
      <c r="I13" s="8">
        <f t="shared" si="27"/>
        <v>84.399999999999977</v>
      </c>
      <c r="J13" s="8">
        <f t="shared" si="27"/>
        <v>2.1999999999999602</v>
      </c>
      <c r="K13" s="8">
        <f t="shared" si="27"/>
        <v>6.2999999999999714</v>
      </c>
      <c r="L13" s="8">
        <f t="shared" si="27"/>
        <v>44.300000000000004</v>
      </c>
      <c r="M13" s="8">
        <f t="shared" si="27"/>
        <v>-18.09999999999998</v>
      </c>
      <c r="N13" s="8">
        <f t="shared" si="27"/>
        <v>17.799999999999976</v>
      </c>
      <c r="O13" s="8">
        <f t="shared" si="27"/>
        <v>7.6999999999999948</v>
      </c>
      <c r="P13" s="8">
        <f t="shared" si="27"/>
        <v>2.8999999999999853</v>
      </c>
      <c r="Q13" s="8">
        <f t="shared" ref="Q13:V13" si="28">Q10-Q11-Q12</f>
        <v>-19.600000000000001</v>
      </c>
      <c r="R13" s="8">
        <f t="shared" si="28"/>
        <v>-2.0999999999999979</v>
      </c>
      <c r="S13" s="8">
        <f t="shared" si="28"/>
        <v>-29.053999999999991</v>
      </c>
      <c r="T13" s="8">
        <f t="shared" si="28"/>
        <v>-25.782250000000008</v>
      </c>
      <c r="U13" s="8">
        <f t="shared" si="28"/>
        <v>-34.18</v>
      </c>
      <c r="V13" s="8">
        <f t="shared" si="28"/>
        <v>-10.462000000000003</v>
      </c>
      <c r="X13" s="8">
        <f t="shared" ref="X13:AD13" si="29">X10-X11-X12</f>
        <v>-12.799999999999965</v>
      </c>
      <c r="Y13" s="8">
        <f t="shared" si="29"/>
        <v>-6.9999999999999858</v>
      </c>
      <c r="Z13" s="8">
        <f t="shared" si="29"/>
        <v>-0.80000000000004334</v>
      </c>
      <c r="AA13" s="8">
        <f t="shared" si="29"/>
        <v>5.7999999999999119</v>
      </c>
      <c r="AB13" s="8">
        <f t="shared" si="29"/>
        <v>103.99999999999997</v>
      </c>
      <c r="AC13" s="8">
        <f t="shared" si="29"/>
        <v>50.29999999999994</v>
      </c>
      <c r="AD13" s="8">
        <f t="shared" si="29"/>
        <v>-11.099999999999937</v>
      </c>
      <c r="AE13" s="8">
        <f t="shared" ref="AE13:AO13" si="30">AE10-AE11-AE12</f>
        <v>-99.47824999999996</v>
      </c>
      <c r="AF13" s="8">
        <f t="shared" si="30"/>
        <v>-97.838700000000017</v>
      </c>
      <c r="AG13" s="8">
        <f t="shared" si="30"/>
        <v>-70.517762199999993</v>
      </c>
      <c r="AH13" s="8">
        <f t="shared" si="30"/>
        <v>-52.649629860000012</v>
      </c>
      <c r="AI13" s="8">
        <f t="shared" si="30"/>
        <v>-44.386483649679953</v>
      </c>
      <c r="AJ13" s="8">
        <f t="shared" si="30"/>
        <v>-38.578652644902938</v>
      </c>
      <c r="AK13" s="8">
        <f t="shared" si="30"/>
        <v>-33.897919997937272</v>
      </c>
      <c r="AL13" s="8">
        <f t="shared" si="30"/>
        <v>-28.993867893432139</v>
      </c>
      <c r="AM13" s="8">
        <f t="shared" si="30"/>
        <v>-23.85847744176256</v>
      </c>
      <c r="AN13" s="8">
        <f t="shared" si="30"/>
        <v>-18.48346618693391</v>
      </c>
      <c r="AO13" s="8">
        <f t="shared" si="30"/>
        <v>-12.86027977346059</v>
      </c>
    </row>
    <row r="14" spans="2:145" x14ac:dyDescent="0.3">
      <c r="B14" t="s">
        <v>38</v>
      </c>
      <c r="C14" s="2">
        <v>2.8</v>
      </c>
      <c r="D14" s="2">
        <v>2.2000000000000002</v>
      </c>
      <c r="E14" s="2">
        <v>0.7</v>
      </c>
      <c r="F14" s="2">
        <v>1.4</v>
      </c>
      <c r="G14" s="2">
        <v>4.2</v>
      </c>
      <c r="H14" s="2">
        <v>0.1</v>
      </c>
      <c r="I14" s="2">
        <v>-167.3</v>
      </c>
      <c r="J14" s="2">
        <v>0.3</v>
      </c>
      <c r="K14" s="2">
        <v>4.2</v>
      </c>
      <c r="L14" s="2">
        <v>19.7</v>
      </c>
      <c r="M14" s="2">
        <v>0.2</v>
      </c>
      <c r="N14" s="2">
        <v>8.1</v>
      </c>
      <c r="O14" s="2">
        <v>9.1</v>
      </c>
      <c r="P14" s="2">
        <f>138.3-129.9</f>
        <v>8.4000000000000057</v>
      </c>
      <c r="Q14" s="2">
        <v>-2.7</v>
      </c>
      <c r="R14" s="2">
        <v>4</v>
      </c>
      <c r="S14" s="2">
        <v>0</v>
      </c>
      <c r="T14" s="2">
        <v>0</v>
      </c>
      <c r="U14" s="2">
        <v>0</v>
      </c>
      <c r="V14" s="2">
        <v>0</v>
      </c>
      <c r="X14" s="2">
        <v>1.4</v>
      </c>
      <c r="Y14" s="2">
        <v>2.6</v>
      </c>
      <c r="Z14" s="2">
        <v>5.4</v>
      </c>
      <c r="AA14" s="2">
        <f>SUM(C14:F14)</f>
        <v>7.1</v>
      </c>
      <c r="AB14" s="2">
        <f>SUM(G14:J14)</f>
        <v>-162.69999999999999</v>
      </c>
      <c r="AC14" s="2">
        <f>SUM(K14:N14)</f>
        <v>32.199999999999996</v>
      </c>
      <c r="AD14" s="2">
        <f>SUM(O14:R14)</f>
        <v>18.800000000000008</v>
      </c>
      <c r="AE14" s="2">
        <f>SUM(S14:V14)</f>
        <v>0</v>
      </c>
      <c r="AF14" s="2">
        <f>AF13*0.15</f>
        <v>-14.675805000000002</v>
      </c>
      <c r="AG14" s="2">
        <f t="shared" ref="AG14:AO14" si="31">AG13*0.15</f>
        <v>-10.577664329999999</v>
      </c>
      <c r="AH14" s="2">
        <f t="shared" si="31"/>
        <v>-7.8974444790000016</v>
      </c>
      <c r="AI14" s="2">
        <f t="shared" si="31"/>
        <v>-6.6579725474519931</v>
      </c>
      <c r="AJ14" s="2">
        <f t="shared" si="31"/>
        <v>-5.7867978967354405</v>
      </c>
      <c r="AK14" s="2">
        <f t="shared" si="31"/>
        <v>-5.0846879996905905</v>
      </c>
      <c r="AL14" s="2">
        <f t="shared" si="31"/>
        <v>-4.349080184014821</v>
      </c>
      <c r="AM14" s="2">
        <f t="shared" si="31"/>
        <v>-3.5787716162643837</v>
      </c>
      <c r="AN14" s="2">
        <f t="shared" si="31"/>
        <v>-2.7725199280400865</v>
      </c>
      <c r="AO14" s="2">
        <f t="shared" si="31"/>
        <v>-1.9290419660190885</v>
      </c>
    </row>
    <row r="15" spans="2:145" s="1" customFormat="1" x14ac:dyDescent="0.3">
      <c r="B15" s="1" t="s">
        <v>39</v>
      </c>
      <c r="C15" s="8">
        <f t="shared" ref="C15:P15" si="32">C13-C14</f>
        <v>-65.099999999999994</v>
      </c>
      <c r="D15" s="8">
        <f t="shared" si="32"/>
        <v>32.800000000000004</v>
      </c>
      <c r="E15" s="8">
        <f t="shared" si="32"/>
        <v>6.7000000000000108</v>
      </c>
      <c r="F15" s="8">
        <f t="shared" si="32"/>
        <v>24.300000000000018</v>
      </c>
      <c r="G15" s="8">
        <f t="shared" si="32"/>
        <v>5.6999999999999824</v>
      </c>
      <c r="H15" s="8">
        <f t="shared" si="32"/>
        <v>7.4000000000000119</v>
      </c>
      <c r="I15" s="8">
        <f t="shared" si="32"/>
        <v>251.7</v>
      </c>
      <c r="J15" s="8">
        <f t="shared" si="32"/>
        <v>1.8999999999999602</v>
      </c>
      <c r="K15" s="8">
        <f t="shared" si="32"/>
        <v>2.0999999999999712</v>
      </c>
      <c r="L15" s="8">
        <f t="shared" si="32"/>
        <v>24.600000000000005</v>
      </c>
      <c r="M15" s="8">
        <f t="shared" si="32"/>
        <v>-18.299999999999979</v>
      </c>
      <c r="N15" s="8">
        <f t="shared" si="32"/>
        <v>9.6999999999999762</v>
      </c>
      <c r="O15" s="8">
        <f t="shared" si="32"/>
        <v>-1.4000000000000048</v>
      </c>
      <c r="P15" s="8">
        <f t="shared" si="32"/>
        <v>-5.5000000000000204</v>
      </c>
      <c r="Q15" s="8">
        <f t="shared" ref="Q15:R15" si="33">Q13-Q14</f>
        <v>-16.900000000000002</v>
      </c>
      <c r="R15" s="8">
        <f t="shared" si="33"/>
        <v>-6.0999999999999979</v>
      </c>
      <c r="S15" s="8">
        <f t="shared" ref="S15:V15" si="34">S13-S14</f>
        <v>-29.053999999999991</v>
      </c>
      <c r="T15" s="8">
        <f t="shared" si="34"/>
        <v>-25.782250000000008</v>
      </c>
      <c r="U15" s="8">
        <f t="shared" si="34"/>
        <v>-34.18</v>
      </c>
      <c r="V15" s="8">
        <f t="shared" si="34"/>
        <v>-10.462000000000003</v>
      </c>
      <c r="X15" s="8">
        <f t="shared" ref="X15:AD15" si="35">X13-X14</f>
        <v>-14.199999999999966</v>
      </c>
      <c r="Y15" s="8">
        <f t="shared" si="35"/>
        <v>-9.5999999999999854</v>
      </c>
      <c r="Z15" s="8">
        <f t="shared" si="35"/>
        <v>-6.2000000000000437</v>
      </c>
      <c r="AA15" s="8">
        <f t="shared" si="35"/>
        <v>-1.3000000000000878</v>
      </c>
      <c r="AB15" s="8">
        <f t="shared" si="35"/>
        <v>266.69999999999993</v>
      </c>
      <c r="AC15" s="8">
        <f t="shared" si="35"/>
        <v>18.099999999999945</v>
      </c>
      <c r="AD15" s="8">
        <f t="shared" si="35"/>
        <v>-29.899999999999945</v>
      </c>
      <c r="AE15" s="8">
        <f t="shared" ref="AE15:AO15" si="36">AE13-AE14</f>
        <v>-99.47824999999996</v>
      </c>
      <c r="AF15" s="8">
        <f t="shared" si="36"/>
        <v>-83.16289500000002</v>
      </c>
      <c r="AG15" s="8">
        <f t="shared" si="36"/>
        <v>-59.940097869999995</v>
      </c>
      <c r="AH15" s="8">
        <f t="shared" si="36"/>
        <v>-44.752185381000011</v>
      </c>
      <c r="AI15" s="8">
        <f t="shared" si="36"/>
        <v>-37.728511102227962</v>
      </c>
      <c r="AJ15" s="8">
        <f t="shared" si="36"/>
        <v>-32.791854748167495</v>
      </c>
      <c r="AK15" s="8">
        <f t="shared" si="36"/>
        <v>-28.813231998246682</v>
      </c>
      <c r="AL15" s="8">
        <f t="shared" si="36"/>
        <v>-24.644787709417319</v>
      </c>
      <c r="AM15" s="8">
        <f t="shared" si="36"/>
        <v>-20.279705825498176</v>
      </c>
      <c r="AN15" s="8">
        <f t="shared" si="36"/>
        <v>-15.710946258893824</v>
      </c>
      <c r="AO15" s="8">
        <f t="shared" si="36"/>
        <v>-10.931237807441502</v>
      </c>
      <c r="AP15" s="1">
        <f>AO15*(1+$AS$20)</f>
        <v>-10.821925429367086</v>
      </c>
      <c r="AQ15" s="1">
        <f t="shared" ref="AQ15:DB15" si="37">AP15*(1+$AS$20)</f>
        <v>-10.713706175073415</v>
      </c>
      <c r="AR15" s="1">
        <f t="shared" si="37"/>
        <v>-10.606569113322681</v>
      </c>
      <c r="AS15" s="1">
        <f t="shared" si="37"/>
        <v>-10.500503422189455</v>
      </c>
      <c r="AT15" s="1">
        <f t="shared" si="37"/>
        <v>-10.39549838796756</v>
      </c>
      <c r="AU15" s="1">
        <f t="shared" si="37"/>
        <v>-10.291543404087884</v>
      </c>
      <c r="AV15" s="1">
        <f t="shared" si="37"/>
        <v>-10.188627970047005</v>
      </c>
      <c r="AW15" s="1">
        <f t="shared" si="37"/>
        <v>-10.086741690346535</v>
      </c>
      <c r="AX15" s="1">
        <f t="shared" si="37"/>
        <v>-9.9858742734430699</v>
      </c>
      <c r="AY15" s="1">
        <f t="shared" si="37"/>
        <v>-9.8860155307086384</v>
      </c>
      <c r="AZ15" s="1">
        <f t="shared" si="37"/>
        <v>-9.7871553754015519</v>
      </c>
      <c r="BA15" s="1">
        <f t="shared" si="37"/>
        <v>-9.6892838216475354</v>
      </c>
      <c r="BB15" s="1">
        <f t="shared" si="37"/>
        <v>-9.5923909834310592</v>
      </c>
      <c r="BC15" s="1">
        <f t="shared" si="37"/>
        <v>-9.4964670735967491</v>
      </c>
      <c r="BD15" s="1">
        <f t="shared" si="37"/>
        <v>-9.4015024028607819</v>
      </c>
      <c r="BE15" s="1">
        <f t="shared" si="37"/>
        <v>-9.3074873788321746</v>
      </c>
      <c r="BF15" s="1">
        <f t="shared" si="37"/>
        <v>-9.2144125050438532</v>
      </c>
      <c r="BG15" s="1">
        <f t="shared" si="37"/>
        <v>-9.1222683799934146</v>
      </c>
      <c r="BH15" s="1">
        <f t="shared" si="37"/>
        <v>-9.0310456961934804</v>
      </c>
      <c r="BI15" s="1">
        <f t="shared" si="37"/>
        <v>-8.9407352392315449</v>
      </c>
      <c r="BJ15" s="1">
        <f t="shared" si="37"/>
        <v>-8.8513278868392291</v>
      </c>
      <c r="BK15" s="1">
        <f t="shared" si="37"/>
        <v>-8.7628146079708369</v>
      </c>
      <c r="BL15" s="1">
        <f t="shared" si="37"/>
        <v>-8.6751864618911281</v>
      </c>
      <c r="BM15" s="1">
        <f t="shared" si="37"/>
        <v>-8.5884345972722169</v>
      </c>
      <c r="BN15" s="1">
        <f t="shared" si="37"/>
        <v>-8.5025502512994944</v>
      </c>
      <c r="BO15" s="1">
        <f t="shared" si="37"/>
        <v>-8.4175247487864997</v>
      </c>
      <c r="BP15" s="1">
        <f t="shared" si="37"/>
        <v>-8.3333495012986347</v>
      </c>
      <c r="BQ15" s="1">
        <f t="shared" si="37"/>
        <v>-8.250016006285648</v>
      </c>
      <c r="BR15" s="1">
        <f t="shared" si="37"/>
        <v>-8.1675158462227913</v>
      </c>
      <c r="BS15" s="1">
        <f t="shared" si="37"/>
        <v>-8.0858406877605624</v>
      </c>
      <c r="BT15" s="1">
        <f t="shared" si="37"/>
        <v>-8.004982280882956</v>
      </c>
      <c r="BU15" s="1">
        <f t="shared" si="37"/>
        <v>-7.9249324580741263</v>
      </c>
      <c r="BV15" s="1">
        <f t="shared" si="37"/>
        <v>-7.8456831334933845</v>
      </c>
      <c r="BW15" s="1">
        <f t="shared" si="37"/>
        <v>-7.7672263021584502</v>
      </c>
      <c r="BX15" s="1">
        <f t="shared" si="37"/>
        <v>-7.6895540391368655</v>
      </c>
      <c r="BY15" s="1">
        <f t="shared" si="37"/>
        <v>-7.612658498745497</v>
      </c>
      <c r="BZ15" s="1">
        <f t="shared" si="37"/>
        <v>-7.5365319137580418</v>
      </c>
      <c r="CA15" s="1">
        <f t="shared" si="37"/>
        <v>-7.4611665946204617</v>
      </c>
      <c r="CB15" s="1">
        <f t="shared" si="37"/>
        <v>-7.3865549286742569</v>
      </c>
      <c r="CC15" s="1">
        <f t="shared" si="37"/>
        <v>-7.3126893793875141</v>
      </c>
      <c r="CD15" s="1">
        <f t="shared" si="37"/>
        <v>-7.2395624855936385</v>
      </c>
      <c r="CE15" s="1">
        <f t="shared" si="37"/>
        <v>-7.1671668607377024</v>
      </c>
      <c r="CF15" s="1">
        <f t="shared" si="37"/>
        <v>-7.0954951921303255</v>
      </c>
      <c r="CG15" s="1">
        <f t="shared" si="37"/>
        <v>-7.0245402402090225</v>
      </c>
      <c r="CH15" s="1">
        <f t="shared" si="37"/>
        <v>-6.9542948378069323</v>
      </c>
      <c r="CI15" s="1">
        <f t="shared" si="37"/>
        <v>-6.8847518894288626</v>
      </c>
      <c r="CJ15" s="1">
        <f t="shared" si="37"/>
        <v>-6.8159043705345743</v>
      </c>
      <c r="CK15" s="1">
        <f t="shared" si="37"/>
        <v>-6.7477453268292287</v>
      </c>
      <c r="CL15" s="1">
        <f t="shared" si="37"/>
        <v>-6.6802678735609362</v>
      </c>
      <c r="CM15" s="1">
        <f t="shared" si="37"/>
        <v>-6.6134651948253271</v>
      </c>
      <c r="CN15" s="1">
        <f t="shared" si="37"/>
        <v>-6.5473305428770736</v>
      </c>
      <c r="CO15" s="1">
        <f t="shared" si="37"/>
        <v>-6.4818572374483026</v>
      </c>
      <c r="CP15" s="1">
        <f t="shared" si="37"/>
        <v>-6.4170386650738198</v>
      </c>
      <c r="CQ15" s="1">
        <f t="shared" si="37"/>
        <v>-6.3528682784230819</v>
      </c>
      <c r="CR15" s="1">
        <f t="shared" si="37"/>
        <v>-6.2893395956388511</v>
      </c>
      <c r="CS15" s="1">
        <f t="shared" si="37"/>
        <v>-6.2264461996824627</v>
      </c>
      <c r="CT15" s="1">
        <f t="shared" si="37"/>
        <v>-6.164181737685638</v>
      </c>
      <c r="CU15" s="1">
        <f t="shared" si="37"/>
        <v>-6.1025399203087813</v>
      </c>
      <c r="CV15" s="1">
        <f t="shared" si="37"/>
        <v>-6.0415145211056931</v>
      </c>
      <c r="CW15" s="1">
        <f t="shared" si="37"/>
        <v>-5.9810993758946358</v>
      </c>
      <c r="CX15" s="1">
        <f t="shared" si="37"/>
        <v>-5.921288382135689</v>
      </c>
      <c r="CY15" s="1">
        <f t="shared" si="37"/>
        <v>-5.8620754983143319</v>
      </c>
      <c r="CZ15" s="1">
        <f t="shared" si="37"/>
        <v>-5.8034547433311889</v>
      </c>
      <c r="DA15" s="1">
        <f t="shared" si="37"/>
        <v>-5.7454201958978768</v>
      </c>
      <c r="DB15" s="1">
        <f t="shared" si="37"/>
        <v>-5.6879659939388976</v>
      </c>
      <c r="DC15" s="1">
        <f t="shared" ref="DC15:EO15" si="38">DB15*(1+$AS$20)</f>
        <v>-5.6310863339995088</v>
      </c>
      <c r="DD15" s="1">
        <f t="shared" si="38"/>
        <v>-5.5747754706595138</v>
      </c>
      <c r="DE15" s="1">
        <f t="shared" si="38"/>
        <v>-5.5190277159529186</v>
      </c>
      <c r="DF15" s="1">
        <f t="shared" si="38"/>
        <v>-5.463837438793389</v>
      </c>
      <c r="DG15" s="1">
        <f t="shared" si="38"/>
        <v>-5.4091990644054553</v>
      </c>
      <c r="DH15" s="1">
        <f t="shared" si="38"/>
        <v>-5.3551070737614008</v>
      </c>
      <c r="DI15" s="1">
        <f t="shared" si="38"/>
        <v>-5.3015560030237872</v>
      </c>
      <c r="DJ15" s="1">
        <f t="shared" si="38"/>
        <v>-5.2485404429935496</v>
      </c>
      <c r="DK15" s="1">
        <f t="shared" si="38"/>
        <v>-5.1960550385636139</v>
      </c>
      <c r="DL15" s="1">
        <f t="shared" si="38"/>
        <v>-5.144094488177978</v>
      </c>
      <c r="DM15" s="1">
        <f t="shared" si="38"/>
        <v>-5.0926535432961986</v>
      </c>
      <c r="DN15" s="1">
        <f t="shared" si="38"/>
        <v>-5.0417270078632361</v>
      </c>
      <c r="DO15" s="1">
        <f t="shared" si="38"/>
        <v>-4.9913097377846034</v>
      </c>
      <c r="DP15" s="1">
        <f t="shared" si="38"/>
        <v>-4.9413966404067571</v>
      </c>
      <c r="DQ15" s="1">
        <f t="shared" si="38"/>
        <v>-4.8919826740026897</v>
      </c>
      <c r="DR15" s="1">
        <f t="shared" si="38"/>
        <v>-4.8430628472626625</v>
      </c>
      <c r="DS15" s="1">
        <f t="shared" si="38"/>
        <v>-4.7946322187900359</v>
      </c>
      <c r="DT15" s="1">
        <f t="shared" si="38"/>
        <v>-4.7466858966021359</v>
      </c>
      <c r="DU15" s="1">
        <f t="shared" si="38"/>
        <v>-4.6992190376361149</v>
      </c>
      <c r="DV15" s="1">
        <f t="shared" si="38"/>
        <v>-4.6522268472597537</v>
      </c>
      <c r="DW15" s="1">
        <f t="shared" si="38"/>
        <v>-4.6057045787871562</v>
      </c>
      <c r="DX15" s="1">
        <f t="shared" si="38"/>
        <v>-4.5596475329992847</v>
      </c>
      <c r="DY15" s="1">
        <f t="shared" si="38"/>
        <v>-4.5140510576692918</v>
      </c>
      <c r="DZ15" s="1">
        <f t="shared" si="38"/>
        <v>-4.4689105470925989</v>
      </c>
      <c r="EA15" s="1">
        <f t="shared" si="38"/>
        <v>-4.4242214416216727</v>
      </c>
      <c r="EB15" s="1">
        <f t="shared" si="38"/>
        <v>-4.3799792272054558</v>
      </c>
      <c r="EC15" s="1">
        <f t="shared" si="38"/>
        <v>-4.3361794349334009</v>
      </c>
      <c r="ED15" s="1">
        <f t="shared" si="38"/>
        <v>-4.292817640584067</v>
      </c>
      <c r="EE15" s="1">
        <f t="shared" si="38"/>
        <v>-4.2498894641782261</v>
      </c>
      <c r="EF15" s="1">
        <f t="shared" si="38"/>
        <v>-4.207390569536444</v>
      </c>
      <c r="EG15" s="1">
        <f t="shared" si="38"/>
        <v>-4.1653166638410797</v>
      </c>
      <c r="EH15" s="1">
        <f t="shared" si="38"/>
        <v>-4.1236634972026689</v>
      </c>
      <c r="EI15" s="1">
        <f t="shared" si="38"/>
        <v>-4.0824268622306423</v>
      </c>
      <c r="EJ15" s="1">
        <f t="shared" si="38"/>
        <v>-4.041602593608336</v>
      </c>
      <c r="EK15" s="1">
        <f t="shared" si="38"/>
        <v>-4.0011865676722529</v>
      </c>
      <c r="EL15" s="1">
        <f t="shared" si="38"/>
        <v>-3.9611747019955303</v>
      </c>
      <c r="EM15" s="1">
        <f t="shared" si="38"/>
        <v>-3.9215629549755748</v>
      </c>
      <c r="EN15" s="1">
        <f t="shared" si="38"/>
        <v>-3.882347325425819</v>
      </c>
      <c r="EO15" s="1">
        <f t="shared" si="38"/>
        <v>-3.8435238521715607</v>
      </c>
    </row>
    <row r="16" spans="2:145" x14ac:dyDescent="0.3">
      <c r="B16" t="s">
        <v>2</v>
      </c>
      <c r="C16" s="2">
        <v>103.7</v>
      </c>
      <c r="D16" s="2">
        <v>103.7</v>
      </c>
      <c r="E16" s="2">
        <v>103.7</v>
      </c>
      <c r="F16" s="2">
        <v>103.7</v>
      </c>
      <c r="G16" s="2">
        <v>103.7</v>
      </c>
      <c r="H16" s="2">
        <v>103.7</v>
      </c>
      <c r="I16" s="2">
        <v>103.7</v>
      </c>
      <c r="J16" s="2">
        <v>103.7</v>
      </c>
      <c r="K16" s="2">
        <v>103.7</v>
      </c>
      <c r="L16" s="2">
        <v>103.7</v>
      </c>
      <c r="M16" s="2">
        <v>103.7</v>
      </c>
      <c r="N16" s="2">
        <v>103.7</v>
      </c>
      <c r="O16" s="2">
        <v>103.7</v>
      </c>
      <c r="P16" s="2">
        <v>103.7</v>
      </c>
      <c r="Q16" s="2">
        <v>104.3</v>
      </c>
      <c r="R16" s="2">
        <v>105.1</v>
      </c>
      <c r="S16" s="2">
        <v>105.1</v>
      </c>
      <c r="T16" s="2">
        <v>105.1</v>
      </c>
      <c r="U16" s="2">
        <v>105.1</v>
      </c>
      <c r="V16" s="2">
        <v>105.1</v>
      </c>
      <c r="X16" s="2">
        <v>103.7</v>
      </c>
      <c r="Y16" s="2">
        <v>103.7</v>
      </c>
      <c r="Z16" s="2">
        <v>103.7</v>
      </c>
      <c r="AA16" s="2">
        <v>103.7</v>
      </c>
      <c r="AB16" s="2">
        <v>103.7</v>
      </c>
      <c r="AC16" s="2">
        <v>103.7</v>
      </c>
      <c r="AD16" s="2">
        <v>105.1</v>
      </c>
      <c r="AE16" s="2">
        <v>105.1</v>
      </c>
      <c r="AF16" s="2">
        <v>105.1</v>
      </c>
      <c r="AG16" s="2">
        <v>105.1</v>
      </c>
      <c r="AH16" s="2">
        <v>105.1</v>
      </c>
      <c r="AI16" s="2">
        <v>105.1</v>
      </c>
      <c r="AJ16" s="2">
        <v>105.1</v>
      </c>
      <c r="AK16" s="2">
        <v>105.1</v>
      </c>
      <c r="AL16" s="2">
        <v>105.1</v>
      </c>
      <c r="AM16" s="2">
        <v>105.1</v>
      </c>
      <c r="AN16" s="2">
        <v>105.1</v>
      </c>
      <c r="AO16" s="2">
        <v>105.1</v>
      </c>
    </row>
    <row r="17" spans="2:45" x14ac:dyDescent="0.3">
      <c r="B17" t="s">
        <v>40</v>
      </c>
      <c r="C17" s="7">
        <f t="shared" ref="C17:P17" si="39">C15/C16</f>
        <v>-0.62777242044358716</v>
      </c>
      <c r="D17" s="7">
        <f t="shared" si="39"/>
        <v>0.31629701060752174</v>
      </c>
      <c r="E17" s="7">
        <f t="shared" si="39"/>
        <v>6.4609450337512156E-2</v>
      </c>
      <c r="F17" s="7">
        <f t="shared" si="39"/>
        <v>0.23432979749276778</v>
      </c>
      <c r="G17" s="7">
        <f t="shared" si="39"/>
        <v>5.4966248794599638E-2</v>
      </c>
      <c r="H17" s="7">
        <f t="shared" si="39"/>
        <v>7.1359691417550733E-2</v>
      </c>
      <c r="I17" s="7">
        <f t="shared" si="39"/>
        <v>2.4271938283510122</v>
      </c>
      <c r="J17" s="7">
        <f t="shared" si="39"/>
        <v>1.8322082931532886E-2</v>
      </c>
      <c r="K17" s="7">
        <f t="shared" si="39"/>
        <v>2.025072324011544E-2</v>
      </c>
      <c r="L17" s="7">
        <f t="shared" si="39"/>
        <v>0.23722275795564132</v>
      </c>
      <c r="M17" s="7">
        <f t="shared" si="39"/>
        <v>-0.17647058823529391</v>
      </c>
      <c r="N17" s="7">
        <f t="shared" si="39"/>
        <v>9.3539054966248564E-2</v>
      </c>
      <c r="O17" s="7">
        <f t="shared" si="39"/>
        <v>-1.3500482160077192E-2</v>
      </c>
      <c r="P17" s="7">
        <f t="shared" si="39"/>
        <v>-5.3037608486017553E-2</v>
      </c>
      <c r="Q17" s="7">
        <f t="shared" ref="Q17:R17" si="40">Q15/Q16</f>
        <v>-0.16203259827420904</v>
      </c>
      <c r="R17" s="7">
        <f t="shared" si="40"/>
        <v>-5.8039961941008543E-2</v>
      </c>
      <c r="S17" s="7">
        <f t="shared" ref="S17:V17" si="41">S15/S16</f>
        <v>-0.27644148430066595</v>
      </c>
      <c r="T17" s="7">
        <f t="shared" si="41"/>
        <v>-0.2453116079923883</v>
      </c>
      <c r="U17" s="7">
        <f t="shared" si="41"/>
        <v>-0.32521408182683159</v>
      </c>
      <c r="V17" s="7">
        <f t="shared" si="41"/>
        <v>-9.954329210275932E-2</v>
      </c>
      <c r="X17" s="7">
        <f t="shared" ref="X17:AD17" si="42">X15/X16</f>
        <v>-0.13693346190935357</v>
      </c>
      <c r="Y17" s="7">
        <f t="shared" si="42"/>
        <v>-9.2574734811957424E-2</v>
      </c>
      <c r="Z17" s="7">
        <f t="shared" si="42"/>
        <v>-5.9787849566056352E-2</v>
      </c>
      <c r="AA17" s="7">
        <f t="shared" si="42"/>
        <v>-1.2536162005786767E-2</v>
      </c>
      <c r="AB17" s="7">
        <f t="shared" si="42"/>
        <v>2.5718418514946957</v>
      </c>
      <c r="AC17" s="7">
        <f t="shared" si="42"/>
        <v>0.17454194792671113</v>
      </c>
      <c r="AD17" s="7">
        <f t="shared" si="42"/>
        <v>-0.28449096098953325</v>
      </c>
      <c r="AE17" s="7">
        <f t="shared" ref="AE17:AO17" si="43">AE15/AE16</f>
        <v>-0.94651046622264479</v>
      </c>
      <c r="AF17" s="7">
        <f t="shared" si="43"/>
        <v>-0.79127397716460535</v>
      </c>
      <c r="AG17" s="7">
        <f t="shared" si="43"/>
        <v>-0.57031491788772593</v>
      </c>
      <c r="AH17" s="7">
        <f t="shared" si="43"/>
        <v>-0.42580576004757387</v>
      </c>
      <c r="AI17" s="7">
        <f t="shared" si="43"/>
        <v>-0.35897727024003773</v>
      </c>
      <c r="AJ17" s="7">
        <f t="shared" si="43"/>
        <v>-0.312006229763725</v>
      </c>
      <c r="AK17" s="7">
        <f t="shared" si="43"/>
        <v>-0.27415063747142421</v>
      </c>
      <c r="AL17" s="7">
        <f t="shared" si="43"/>
        <v>-0.2344889410981667</v>
      </c>
      <c r="AM17" s="7">
        <f t="shared" si="43"/>
        <v>-0.19295628758799407</v>
      </c>
      <c r="AN17" s="7">
        <f t="shared" si="43"/>
        <v>-0.14948569228252925</v>
      </c>
      <c r="AO17" s="7">
        <f t="shared" si="43"/>
        <v>-0.10400797152656044</v>
      </c>
    </row>
    <row r="19" spans="2:45" s="1" customFormat="1" x14ac:dyDescent="0.3">
      <c r="B19" s="1" t="s">
        <v>42</v>
      </c>
      <c r="C19" s="10"/>
      <c r="D19" s="10"/>
      <c r="E19" s="10"/>
      <c r="F19" s="10"/>
      <c r="G19" s="10">
        <f t="shared" ref="G19:P19" si="44">G3/C3-1</f>
        <v>1.9153225806451513E-2</v>
      </c>
      <c r="H19" s="10">
        <f t="shared" si="44"/>
        <v>-1.9143576826196496E-2</v>
      </c>
      <c r="I19" s="10">
        <f t="shared" si="44"/>
        <v>-4.1884816753926746E-2</v>
      </c>
      <c r="J19" s="10">
        <f t="shared" si="44"/>
        <v>-1.1084337349397622E-2</v>
      </c>
      <c r="K19" s="10">
        <f t="shared" si="44"/>
        <v>-7.2205736894164207E-2</v>
      </c>
      <c r="L19" s="10">
        <f t="shared" si="44"/>
        <v>-6.0606060606060552E-2</v>
      </c>
      <c r="M19" s="10">
        <f t="shared" si="44"/>
        <v>-4.1287188828172283E-2</v>
      </c>
      <c r="N19" s="10">
        <f t="shared" si="44"/>
        <v>-8.3820662768031129E-2</v>
      </c>
      <c r="O19" s="10">
        <f t="shared" si="44"/>
        <v>-7.0362473347547971E-2</v>
      </c>
      <c r="P19" s="10">
        <f t="shared" si="44"/>
        <v>-0.10825587752870425</v>
      </c>
      <c r="Q19" s="10">
        <f t="shared" ref="Q19" si="45">Q3/M3-1</f>
        <v>-0.13489550348321733</v>
      </c>
      <c r="R19" s="10">
        <f t="shared" ref="R19" si="46">R3/N3-1</f>
        <v>-0.23670212765957444</v>
      </c>
      <c r="S19" s="10">
        <f t="shared" ref="S19" si="47">S3/O3-1</f>
        <v>-0.3405963302752294</v>
      </c>
      <c r="T19" s="10">
        <f t="shared" ref="T19" si="48">T3/P3-1</f>
        <v>-0.25</v>
      </c>
      <c r="U19" s="10">
        <f t="shared" ref="U19" si="49">U3/Q3-1</f>
        <v>-0.25</v>
      </c>
      <c r="V19" s="10">
        <f t="shared" ref="V19" si="50">V3/R3-1</f>
        <v>-0.15000000000000002</v>
      </c>
      <c r="X19" s="10"/>
      <c r="Y19" s="10">
        <f>Y3/X3-1</f>
        <v>0.27966365618187461</v>
      </c>
      <c r="Z19" s="10">
        <f t="shared" ref="Z19:AO19" si="51">Z3/Y3-1</f>
        <v>0.56802141640301773</v>
      </c>
      <c r="AA19" s="10">
        <f t="shared" si="51"/>
        <v>0.20487350613068456</v>
      </c>
      <c r="AB19" s="10">
        <f t="shared" si="51"/>
        <v>-1.223753703465158E-2</v>
      </c>
      <c r="AC19" s="10">
        <f t="shared" si="51"/>
        <v>-6.5727699530516381E-2</v>
      </c>
      <c r="AD19" s="10">
        <f t="shared" si="51"/>
        <v>-0.13791178112786151</v>
      </c>
      <c r="AE19" s="10">
        <f t="shared" si="51"/>
        <v>-0.2523477979274612</v>
      </c>
      <c r="AF19" s="10">
        <f t="shared" si="51"/>
        <v>-2.0000000000000018E-2</v>
      </c>
      <c r="AG19" s="10">
        <f t="shared" si="51"/>
        <v>0.10000000000000009</v>
      </c>
      <c r="AH19" s="10">
        <f t="shared" si="51"/>
        <v>7.0000000000000062E-2</v>
      </c>
      <c r="AI19" s="10">
        <f t="shared" si="51"/>
        <v>5.0000000000000044E-2</v>
      </c>
      <c r="AJ19" s="10">
        <f t="shared" si="51"/>
        <v>4.0000000000000036E-2</v>
      </c>
      <c r="AK19" s="10">
        <f t="shared" si="51"/>
        <v>3.0000000000000027E-2</v>
      </c>
      <c r="AL19" s="10">
        <f t="shared" si="51"/>
        <v>3.0000000000000027E-2</v>
      </c>
      <c r="AM19" s="10">
        <f t="shared" si="51"/>
        <v>3.0000000000000027E-2</v>
      </c>
      <c r="AN19" s="10">
        <f t="shared" si="51"/>
        <v>3.0000000000000027E-2</v>
      </c>
      <c r="AO19" s="10">
        <f t="shared" si="51"/>
        <v>3.0000000000000027E-2</v>
      </c>
    </row>
    <row r="20" spans="2:45" x14ac:dyDescent="0.3">
      <c r="B20" t="s">
        <v>43</v>
      </c>
      <c r="C20" s="9">
        <f t="shared" ref="C20:J20" si="52">C5/C3</f>
        <v>0.6401209677419355</v>
      </c>
      <c r="D20" s="9">
        <f t="shared" si="52"/>
        <v>0.69420654911838797</v>
      </c>
      <c r="E20" s="9">
        <f t="shared" si="52"/>
        <v>0.60965677719604427</v>
      </c>
      <c r="F20" s="9">
        <f t="shared" si="52"/>
        <v>0.73156626506024103</v>
      </c>
      <c r="G20" s="9">
        <f t="shared" si="52"/>
        <v>0.72749752720079131</v>
      </c>
      <c r="H20" s="9">
        <f t="shared" si="52"/>
        <v>0.76527991782229077</v>
      </c>
      <c r="I20" s="9">
        <f t="shared" si="52"/>
        <v>0.72556162720097139</v>
      </c>
      <c r="J20" s="9">
        <f t="shared" si="52"/>
        <v>0.74951267056530213</v>
      </c>
      <c r="K20" s="9">
        <f t="shared" ref="K20:P20" si="53">K5/K3</f>
        <v>0.73773987206823022</v>
      </c>
      <c r="L20" s="9">
        <f t="shared" si="53"/>
        <v>0.74084199015855656</v>
      </c>
      <c r="M20" s="9">
        <f t="shared" si="53"/>
        <v>0.4705509816339456</v>
      </c>
      <c r="N20" s="9">
        <f t="shared" si="53"/>
        <v>0.75638297872340421</v>
      </c>
      <c r="O20" s="9">
        <f t="shared" si="53"/>
        <v>0.73337155963302758</v>
      </c>
      <c r="P20" s="9">
        <f t="shared" si="53"/>
        <v>0.72164316370324955</v>
      </c>
      <c r="Q20" s="9">
        <f t="shared" ref="Q20:R20" si="54">Q5/Q3</f>
        <v>0.68228404099560758</v>
      </c>
      <c r="R20" s="9">
        <f t="shared" si="54"/>
        <v>0.68222996515679446</v>
      </c>
      <c r="S20" s="9">
        <f t="shared" ref="S20:V20" si="55">S5/S3</f>
        <v>0.67000000000000015</v>
      </c>
      <c r="T20" s="9">
        <f t="shared" si="55"/>
        <v>0.68</v>
      </c>
      <c r="U20" s="9">
        <f t="shared" si="55"/>
        <v>0.68</v>
      </c>
      <c r="V20" s="9">
        <f t="shared" si="55"/>
        <v>0.68</v>
      </c>
      <c r="X20" s="9">
        <f t="shared" ref="X20:AO20" si="56">X5/X3</f>
        <v>0.7508564310183744</v>
      </c>
      <c r="Y20" s="9">
        <f t="shared" si="56"/>
        <v>0.77561450474568028</v>
      </c>
      <c r="Z20" s="9">
        <f t="shared" si="56"/>
        <v>0.68120440788452585</v>
      </c>
      <c r="AA20" s="9">
        <f t="shared" si="56"/>
        <v>0.67164755893340189</v>
      </c>
      <c r="AB20" s="9">
        <f t="shared" si="56"/>
        <v>0.74256651017214403</v>
      </c>
      <c r="AC20" s="9">
        <f t="shared" si="56"/>
        <v>0.68453378001116694</v>
      </c>
      <c r="AD20" s="9">
        <f t="shared" si="56"/>
        <v>0.70709196891191717</v>
      </c>
      <c r="AE20" s="9">
        <f t="shared" si="56"/>
        <v>0.677509474824039</v>
      </c>
      <c r="AF20" s="9">
        <f t="shared" si="56"/>
        <v>0.69</v>
      </c>
      <c r="AG20" s="9">
        <f t="shared" si="56"/>
        <v>0.70000000000000007</v>
      </c>
      <c r="AH20" s="9">
        <f t="shared" si="56"/>
        <v>0.7</v>
      </c>
      <c r="AI20" s="9">
        <f t="shared" si="56"/>
        <v>0.7</v>
      </c>
      <c r="AJ20" s="9">
        <f t="shared" si="56"/>
        <v>0.7</v>
      </c>
      <c r="AK20" s="9">
        <f t="shared" si="56"/>
        <v>0.7</v>
      </c>
      <c r="AL20" s="9">
        <f t="shared" si="56"/>
        <v>0.7</v>
      </c>
      <c r="AM20" s="9">
        <f t="shared" si="56"/>
        <v>0.7</v>
      </c>
      <c r="AN20" s="9">
        <f t="shared" si="56"/>
        <v>0.7</v>
      </c>
      <c r="AO20" s="9">
        <f t="shared" si="56"/>
        <v>0.7</v>
      </c>
      <c r="AR20" t="s">
        <v>49</v>
      </c>
      <c r="AS20" s="9">
        <v>-0.01</v>
      </c>
    </row>
    <row r="21" spans="2:45" x14ac:dyDescent="0.3">
      <c r="B21" t="s">
        <v>44</v>
      </c>
      <c r="C21" s="9"/>
      <c r="D21" s="9"/>
      <c r="E21" s="9"/>
      <c r="F21" s="9"/>
      <c r="G21" s="9">
        <f t="shared" ref="G21" si="57">G6/C6-1</f>
        <v>0.1366594360086768</v>
      </c>
      <c r="H21" s="9">
        <f t="shared" ref="H21" si="58">H6/D6-1</f>
        <v>0.26201923076923062</v>
      </c>
      <c r="I21" s="9">
        <f t="shared" ref="I21" si="59">I6/E6-1</f>
        <v>4.8498845265589008E-2</v>
      </c>
      <c r="J21" s="9">
        <f t="shared" ref="J21" si="60">J6/F6-1</f>
        <v>-3.1380753138075312E-2</v>
      </c>
      <c r="K21" s="9">
        <f t="shared" ref="K21:P21" si="61">K6/G6-1</f>
        <v>-0.10496183206106868</v>
      </c>
      <c r="L21" s="9">
        <f t="shared" si="61"/>
        <v>7.6190476190476364E-3</v>
      </c>
      <c r="M21" s="9">
        <f t="shared" si="61"/>
        <v>1.7621145374449476E-2</v>
      </c>
      <c r="N21" s="9">
        <f t="shared" si="61"/>
        <v>-1.2958963282937219E-2</v>
      </c>
      <c r="O21" s="9">
        <f t="shared" si="61"/>
        <v>-5.3304904051172719E-2</v>
      </c>
      <c r="P21" s="9">
        <f t="shared" si="61"/>
        <v>-0.17391304347826075</v>
      </c>
      <c r="Q21" s="9">
        <f t="shared" ref="Q21" si="62">Q6/M6-1</f>
        <v>-0.10606060606060619</v>
      </c>
      <c r="R21" s="9">
        <f t="shared" ref="R21" si="63">R6/N6-1</f>
        <v>-0.10284463894967177</v>
      </c>
      <c r="S21" s="9">
        <f t="shared" ref="S21" si="64">S6/O6-1</f>
        <v>-9.9999999999999978E-2</v>
      </c>
      <c r="T21" s="9">
        <f t="shared" ref="T21" si="65">T6/P6-1</f>
        <v>-9.9999999999999978E-2</v>
      </c>
      <c r="U21" s="9">
        <f t="shared" ref="U21" si="66">U6/Q6-1</f>
        <v>-9.9999999999999867E-2</v>
      </c>
      <c r="V21" s="9">
        <f t="shared" ref="V21" si="67">V6/R6-1</f>
        <v>-0.10000000000000009</v>
      </c>
      <c r="X21" s="9"/>
      <c r="Y21" s="9">
        <f>Y6/X6-1</f>
        <v>0.22309711286089251</v>
      </c>
      <c r="Z21" s="9">
        <f t="shared" ref="Z21:AO21" si="68">Z6/Y6-1</f>
        <v>0.22246065808297555</v>
      </c>
      <c r="AA21" s="9">
        <f t="shared" si="68"/>
        <v>4.6225863077823393E-2</v>
      </c>
      <c r="AB21" s="9">
        <f t="shared" si="68"/>
        <v>9.9552572706935072E-2</v>
      </c>
      <c r="AC21" s="9">
        <f t="shared" si="68"/>
        <v>-2.4923702950152782E-2</v>
      </c>
      <c r="AD21" s="9">
        <f t="shared" si="68"/>
        <v>-0.11111111111111116</v>
      </c>
      <c r="AE21" s="9">
        <f t="shared" si="68"/>
        <v>-9.9999999999999756E-2</v>
      </c>
      <c r="AF21" s="9">
        <f t="shared" si="68"/>
        <v>2.0000000000000018E-2</v>
      </c>
      <c r="AG21" s="9">
        <f t="shared" si="68"/>
        <v>2.0000000000000018E-2</v>
      </c>
      <c r="AH21" s="9">
        <f t="shared" si="68"/>
        <v>2.0000000000000018E-2</v>
      </c>
      <c r="AI21" s="9">
        <f t="shared" si="68"/>
        <v>2.0000000000000018E-2</v>
      </c>
      <c r="AJ21" s="9">
        <f t="shared" si="68"/>
        <v>2.0000000000000018E-2</v>
      </c>
      <c r="AK21" s="9">
        <f t="shared" si="68"/>
        <v>1.0000000000000009E-2</v>
      </c>
      <c r="AL21" s="9">
        <f t="shared" si="68"/>
        <v>1.0000000000000009E-2</v>
      </c>
      <c r="AM21" s="9">
        <f t="shared" si="68"/>
        <v>1.0000000000000009E-2</v>
      </c>
      <c r="AN21" s="9">
        <f t="shared" si="68"/>
        <v>1.0000000000000009E-2</v>
      </c>
      <c r="AO21" s="9">
        <f t="shared" si="68"/>
        <v>1.0000000000000009E-2</v>
      </c>
      <c r="AR21" t="s">
        <v>50</v>
      </c>
      <c r="AS21" s="9">
        <v>0.12</v>
      </c>
    </row>
    <row r="22" spans="2:45" x14ac:dyDescent="0.3">
      <c r="B22" t="s">
        <v>45</v>
      </c>
      <c r="C22" s="9">
        <f t="shared" ref="C22:J22" si="69">C7/C3</f>
        <v>0.13205645161290322</v>
      </c>
      <c r="D22" s="9">
        <f t="shared" si="69"/>
        <v>0.1093198992443325</v>
      </c>
      <c r="E22" s="9">
        <f t="shared" si="69"/>
        <v>0.15823152995927864</v>
      </c>
      <c r="F22" s="9">
        <f t="shared" si="69"/>
        <v>0.14602409638554217</v>
      </c>
      <c r="G22" s="9">
        <f t="shared" si="69"/>
        <v>0.21018793273986153</v>
      </c>
      <c r="H22" s="9">
        <f t="shared" si="69"/>
        <v>0.18130457113507961</v>
      </c>
      <c r="I22" s="9">
        <f t="shared" si="69"/>
        <v>0.19307832422586524</v>
      </c>
      <c r="J22" s="9">
        <f t="shared" si="69"/>
        <v>0.18567251461988304</v>
      </c>
      <c r="K22" s="9">
        <f t="shared" ref="K22:P22" si="70">K7/K3</f>
        <v>0.19722814498933902</v>
      </c>
      <c r="L22" s="9">
        <f t="shared" si="70"/>
        <v>0.16949152542372881</v>
      </c>
      <c r="M22" s="9">
        <f t="shared" si="70"/>
        <v>0.1830272324255858</v>
      </c>
      <c r="N22" s="9">
        <f t="shared" si="70"/>
        <v>0.15797872340425531</v>
      </c>
      <c r="O22" s="9">
        <f t="shared" si="70"/>
        <v>0.17431192660550457</v>
      </c>
      <c r="P22" s="9">
        <f t="shared" si="70"/>
        <v>0.14408338442673208</v>
      </c>
      <c r="Q22" s="9">
        <f t="shared" ref="Q22:R22" si="71">Q7/Q3</f>
        <v>0.19399707174231334</v>
      </c>
      <c r="R22" s="9">
        <f t="shared" si="71"/>
        <v>0.19442508710801393</v>
      </c>
      <c r="S22" s="9">
        <f t="shared" ref="S22:V22" si="72">S7/S3</f>
        <v>0.17</v>
      </c>
      <c r="T22" s="9">
        <f t="shared" si="72"/>
        <v>0.17</v>
      </c>
      <c r="U22" s="9">
        <f t="shared" si="72"/>
        <v>0.2</v>
      </c>
      <c r="V22" s="9">
        <f t="shared" si="72"/>
        <v>0.2</v>
      </c>
      <c r="X22" s="9">
        <f t="shared" ref="X22:AO22" si="73">X7/X3</f>
        <v>0.17035191529118654</v>
      </c>
      <c r="Y22" s="9">
        <f t="shared" si="73"/>
        <v>0.15478218544658068</v>
      </c>
      <c r="Z22" s="9">
        <f t="shared" si="73"/>
        <v>0.12711469812199289</v>
      </c>
      <c r="AA22" s="9">
        <f t="shared" si="73"/>
        <v>0.13577225299497617</v>
      </c>
      <c r="AB22" s="9">
        <f t="shared" si="73"/>
        <v>0.1926186750130412</v>
      </c>
      <c r="AC22" s="9">
        <f t="shared" si="73"/>
        <v>0.17671691792294808</v>
      </c>
      <c r="AD22" s="9">
        <f t="shared" si="73"/>
        <v>0.17535621761658032</v>
      </c>
      <c r="AE22" s="9">
        <f t="shared" si="73"/>
        <v>0.18458094206821873</v>
      </c>
      <c r="AF22" s="9">
        <f t="shared" si="73"/>
        <v>0.16999999999999998</v>
      </c>
      <c r="AG22" s="9">
        <f t="shared" si="73"/>
        <v>0.16</v>
      </c>
      <c r="AH22" s="9">
        <f t="shared" si="73"/>
        <v>0.15</v>
      </c>
      <c r="AI22" s="9">
        <f t="shared" si="73"/>
        <v>0.15</v>
      </c>
      <c r="AJ22" s="9">
        <f t="shared" si="73"/>
        <v>0.15</v>
      </c>
      <c r="AK22" s="9">
        <f t="shared" si="73"/>
        <v>0.15</v>
      </c>
      <c r="AL22" s="9">
        <f t="shared" si="73"/>
        <v>0.15</v>
      </c>
      <c r="AM22" s="9">
        <f t="shared" si="73"/>
        <v>0.15</v>
      </c>
      <c r="AN22" s="9">
        <f t="shared" si="73"/>
        <v>0.15</v>
      </c>
      <c r="AO22" s="9">
        <f t="shared" si="73"/>
        <v>0.15</v>
      </c>
      <c r="AR22" t="s">
        <v>51</v>
      </c>
      <c r="AS22" s="2">
        <f>NPV(AS21,AE15:EO15)</f>
        <v>-326.67571140036154</v>
      </c>
    </row>
    <row r="23" spans="2:45" x14ac:dyDescent="0.3">
      <c r="B23" t="s">
        <v>46</v>
      </c>
      <c r="C23" s="9"/>
      <c r="D23" s="9"/>
      <c r="E23" s="9"/>
      <c r="F23" s="9"/>
      <c r="G23" s="9">
        <f t="shared" ref="G23" si="74">G8/C8-1</f>
        <v>0.23746701846965701</v>
      </c>
      <c r="H23" s="9">
        <f t="shared" ref="H23" si="75">H8/D8-1</f>
        <v>0.35768261964735504</v>
      </c>
      <c r="I23" s="9">
        <f t="shared" ref="I23" si="76">I8/E8-1</f>
        <v>0.57941176470588251</v>
      </c>
      <c r="J23" s="9">
        <f t="shared" ref="J23" si="77">J8/F8-1</f>
        <v>0.29894736842105263</v>
      </c>
      <c r="K23" s="9">
        <f t="shared" ref="K23:P23" si="78">K8/G8-1</f>
        <v>0.25799573560767586</v>
      </c>
      <c r="L23" s="9">
        <f t="shared" si="78"/>
        <v>0.30426716141001853</v>
      </c>
      <c r="M23" s="9">
        <f t="shared" si="78"/>
        <v>6.3314711359404141E-2</v>
      </c>
      <c r="N23" s="9">
        <f t="shared" si="78"/>
        <v>-0.1345218800648299</v>
      </c>
      <c r="O23" s="9">
        <f t="shared" si="78"/>
        <v>-5.9322033898305038E-2</v>
      </c>
      <c r="P23" s="9">
        <f t="shared" si="78"/>
        <v>-0.2318634423897582</v>
      </c>
      <c r="Q23" s="9">
        <f t="shared" ref="Q23" si="79">Q8/M8-1</f>
        <v>-9.1068301225919468E-2</v>
      </c>
      <c r="R23" s="9">
        <f t="shared" ref="R23" si="80">R8/N8-1</f>
        <v>5.4307116104868935E-2</v>
      </c>
      <c r="S23" s="9">
        <f t="shared" ref="S23" si="81">S8/O8-1</f>
        <v>2.0000000000000018E-2</v>
      </c>
      <c r="T23" s="9">
        <f t="shared" ref="T23" si="82">T8/P8-1</f>
        <v>2.0000000000000018E-2</v>
      </c>
      <c r="U23" s="9">
        <f t="shared" ref="U23" si="83">U8/Q8-1</f>
        <v>2.0000000000000018E-2</v>
      </c>
      <c r="V23" s="9">
        <f t="shared" ref="V23" si="84">V8/R8-1</f>
        <v>2.0000000000000018E-2</v>
      </c>
      <c r="X23" s="9"/>
      <c r="Y23" s="9">
        <f>Y8/X8-1</f>
        <v>0.25482625482625476</v>
      </c>
      <c r="Z23" s="9">
        <f t="shared" ref="Z23:AO23" si="85">Z8/Y8-1</f>
        <v>0.32615384615384624</v>
      </c>
      <c r="AA23" s="9">
        <f t="shared" si="85"/>
        <v>0.23047177107501926</v>
      </c>
      <c r="AB23" s="9">
        <f t="shared" si="85"/>
        <v>0.35889377749842866</v>
      </c>
      <c r="AC23" s="9">
        <f t="shared" si="85"/>
        <v>0.10915818686401502</v>
      </c>
      <c r="AD23" s="9">
        <f t="shared" si="85"/>
        <v>-9.2160133444537218E-2</v>
      </c>
      <c r="AE23" s="9">
        <f t="shared" si="85"/>
        <v>2.0000000000000018E-2</v>
      </c>
      <c r="AF23" s="9">
        <f t="shared" si="85"/>
        <v>2.0000000000000018E-2</v>
      </c>
      <c r="AG23" s="9">
        <f t="shared" si="85"/>
        <v>2.0000000000000018E-2</v>
      </c>
      <c r="AH23" s="9">
        <f t="shared" si="85"/>
        <v>2.0000000000000018E-2</v>
      </c>
      <c r="AI23" s="9">
        <f t="shared" si="85"/>
        <v>2.0000000000000018E-2</v>
      </c>
      <c r="AJ23" s="9">
        <f t="shared" si="85"/>
        <v>2.0000000000000018E-2</v>
      </c>
      <c r="AK23" s="9">
        <f t="shared" si="85"/>
        <v>2.0000000000000018E-2</v>
      </c>
      <c r="AL23" s="9">
        <f t="shared" si="85"/>
        <v>2.0000000000000018E-2</v>
      </c>
      <c r="AM23" s="9">
        <f t="shared" si="85"/>
        <v>2.0000000000000018E-2</v>
      </c>
      <c r="AN23" s="9">
        <f t="shared" si="85"/>
        <v>2.0000000000000018E-2</v>
      </c>
      <c r="AO23" s="9">
        <f t="shared" si="85"/>
        <v>2.0000000000000018E-2</v>
      </c>
      <c r="AR23" t="s">
        <v>52</v>
      </c>
      <c r="AS23" s="2">
        <f>Main!D8</f>
        <v>401.09999999999997</v>
      </c>
    </row>
    <row r="24" spans="2:45" x14ac:dyDescent="0.3">
      <c r="B24" t="s">
        <v>47</v>
      </c>
      <c r="C24" s="9">
        <f t="shared" ref="C24:J24" si="86">C10/C3</f>
        <v>8.4677419354838759E-2</v>
      </c>
      <c r="D24" s="9">
        <f t="shared" si="86"/>
        <v>0.17531486146095723</v>
      </c>
      <c r="E24" s="9">
        <f t="shared" si="86"/>
        <v>1.7452006980803454E-3</v>
      </c>
      <c r="F24" s="9">
        <f t="shared" si="86"/>
        <v>0.12626506024096393</v>
      </c>
      <c r="G24" s="9">
        <f t="shared" si="86"/>
        <v>2.6211671612265001E-2</v>
      </c>
      <c r="H24" s="9">
        <f t="shared" si="86"/>
        <v>3.7493579866461284E-2</v>
      </c>
      <c r="I24" s="9">
        <f t="shared" si="86"/>
        <v>-6.9216757741348028E-2</v>
      </c>
      <c r="J24" s="9">
        <f t="shared" si="86"/>
        <v>3.7524366471734703E-2</v>
      </c>
      <c r="K24" s="9">
        <f t="shared" ref="K24:P24" si="87">K10/K3</f>
        <v>-2.3987206823027872E-2</v>
      </c>
      <c r="L24" s="9">
        <f t="shared" si="87"/>
        <v>-0.1022416621104428</v>
      </c>
      <c r="M24" s="9">
        <f t="shared" si="87"/>
        <v>-0.36668777707409739</v>
      </c>
      <c r="N24" s="9">
        <f t="shared" si="87"/>
        <v>7.1276595744680732E-2</v>
      </c>
      <c r="O24" s="9">
        <f t="shared" si="87"/>
        <v>-1.3761467889908289E-2</v>
      </c>
      <c r="P24" s="9">
        <f t="shared" si="87"/>
        <v>-2.1459227467811245E-2</v>
      </c>
      <c r="Q24" s="9">
        <f t="shared" ref="Q24:R24" si="88">Q10/Q3</f>
        <v>-0.19399707174231334</v>
      </c>
      <c r="R24" s="9">
        <f t="shared" si="88"/>
        <v>-0.19024390243902436</v>
      </c>
      <c r="S24" s="9">
        <f t="shared" ref="S24:V24" si="89">S10/S3</f>
        <v>-0.33973913043478254</v>
      </c>
      <c r="T24" s="9">
        <f t="shared" si="89"/>
        <v>-0.26179644389944828</v>
      </c>
      <c r="U24" s="9">
        <f t="shared" si="89"/>
        <v>-0.39953147877013184</v>
      </c>
      <c r="V24" s="9">
        <f t="shared" si="89"/>
        <v>-0.29332240213158439</v>
      </c>
      <c r="X24" s="9">
        <f t="shared" ref="X24:AO24" si="90">X10/X3</f>
        <v>-1.7440049828713691E-2</v>
      </c>
      <c r="Y24" s="9">
        <f t="shared" si="90"/>
        <v>4.3319542467753741E-2</v>
      </c>
      <c r="Z24" s="9">
        <f t="shared" si="90"/>
        <v>8.8157690516839915E-2</v>
      </c>
      <c r="AA24" s="9">
        <f t="shared" si="90"/>
        <v>0.10060543604276687</v>
      </c>
      <c r="AB24" s="9">
        <f t="shared" si="90"/>
        <v>1.1606677099634817E-2</v>
      </c>
      <c r="AC24" s="9">
        <f t="shared" si="90"/>
        <v>-9.4500279173646076E-2</v>
      </c>
      <c r="AD24" s="9">
        <f t="shared" si="90"/>
        <v>-9.6664507772020611E-2</v>
      </c>
      <c r="AE24" s="9">
        <f t="shared" si="90"/>
        <v>-0.32009583107742279</v>
      </c>
      <c r="AF24" s="9">
        <f t="shared" si="90"/>
        <v>-0.32620903174480409</v>
      </c>
      <c r="AG24" s="9">
        <f t="shared" si="90"/>
        <v>-0.24466655670881832</v>
      </c>
      <c r="AH24" s="9">
        <f t="shared" si="90"/>
        <v>-0.19799989518036887</v>
      </c>
      <c r="AI24" s="9">
        <f t="shared" si="90"/>
        <v>-0.17662846960378678</v>
      </c>
      <c r="AJ24" s="9">
        <f t="shared" si="90"/>
        <v>-0.16265484518832934</v>
      </c>
      <c r="AK24" s="9">
        <f t="shared" si="90"/>
        <v>-0.15290940084213381</v>
      </c>
      <c r="AL24" s="9">
        <f t="shared" si="90"/>
        <v>-0.143313455281177</v>
      </c>
      <c r="AM24" s="9">
        <f t="shared" si="90"/>
        <v>-0.13386449137510278</v>
      </c>
      <c r="AN24" s="9">
        <f t="shared" si="90"/>
        <v>-0.12456003712464335</v>
      </c>
      <c r="AO24" s="9">
        <f t="shared" si="90"/>
        <v>-0.11539766482164741</v>
      </c>
      <c r="AR24" t="s">
        <v>53</v>
      </c>
      <c r="AS24" s="2">
        <f>AS22+AS23</f>
        <v>74.42428859963843</v>
      </c>
    </row>
    <row r="25" spans="2:45" x14ac:dyDescent="0.3">
      <c r="B25" t="s">
        <v>38</v>
      </c>
      <c r="C25" s="9">
        <f t="shared" ref="C25:J25" si="91">C14/C13</f>
        <v>-4.4943820224719107E-2</v>
      </c>
      <c r="D25" s="9">
        <f t="shared" si="91"/>
        <v>6.2857142857142848E-2</v>
      </c>
      <c r="E25" s="9">
        <f t="shared" si="91"/>
        <v>9.4594594594594447E-2</v>
      </c>
      <c r="F25" s="9">
        <f t="shared" si="91"/>
        <v>5.4474708171206185E-2</v>
      </c>
      <c r="G25" s="9">
        <f t="shared" si="91"/>
        <v>0.42424242424242503</v>
      </c>
      <c r="H25" s="9">
        <f t="shared" si="91"/>
        <v>1.3333333333333313E-2</v>
      </c>
      <c r="I25" s="9">
        <f t="shared" si="91"/>
        <v>-1.9822274881516595</v>
      </c>
      <c r="J25" s="9">
        <f t="shared" si="91"/>
        <v>0.13636363636363882</v>
      </c>
      <c r="K25" s="9">
        <f t="shared" ref="K25:P25" si="92">K14/K13</f>
        <v>0.66666666666666974</v>
      </c>
      <c r="L25" s="9">
        <f t="shared" si="92"/>
        <v>0.44469525959367939</v>
      </c>
      <c r="M25" s="9">
        <f t="shared" si="92"/>
        <v>-1.1049723756906091E-2</v>
      </c>
      <c r="N25" s="9">
        <f t="shared" si="92"/>
        <v>0.45505617977528151</v>
      </c>
      <c r="O25" s="9">
        <f t="shared" si="92"/>
        <v>1.1818181818181825</v>
      </c>
      <c r="P25" s="9">
        <f t="shared" si="92"/>
        <v>2.8965517241379479</v>
      </c>
      <c r="Q25" s="9">
        <f t="shared" ref="Q25:R25" si="93">Q14/Q13</f>
        <v>0.13775510204081631</v>
      </c>
      <c r="R25" s="9">
        <f t="shared" si="93"/>
        <v>-1.9047619047619067</v>
      </c>
      <c r="S25" s="9">
        <f t="shared" ref="S25:V25" si="94">S14/S13</f>
        <v>0</v>
      </c>
      <c r="T25" s="9">
        <f t="shared" si="94"/>
        <v>0</v>
      </c>
      <c r="U25" s="9">
        <f t="shared" si="94"/>
        <v>0</v>
      </c>
      <c r="V25" s="9">
        <f t="shared" si="94"/>
        <v>0</v>
      </c>
      <c r="X25" s="9">
        <f t="shared" ref="X25:AO25" si="95">X14/X13</f>
        <v>-0.10937500000000029</v>
      </c>
      <c r="Y25" s="9">
        <f t="shared" si="95"/>
        <v>-0.37142857142857222</v>
      </c>
      <c r="Z25" s="9">
        <f t="shared" si="95"/>
        <v>-6.749999999999635</v>
      </c>
      <c r="AA25" s="9">
        <f t="shared" si="95"/>
        <v>1.2241379310345013</v>
      </c>
      <c r="AB25" s="9">
        <f t="shared" si="95"/>
        <v>-1.5644230769230771</v>
      </c>
      <c r="AC25" s="9">
        <f t="shared" si="95"/>
        <v>0.64015904572564675</v>
      </c>
      <c r="AD25" s="9">
        <f t="shared" si="95"/>
        <v>-1.6936936936937039</v>
      </c>
      <c r="AE25" s="9">
        <f t="shared" si="95"/>
        <v>0</v>
      </c>
      <c r="AF25" s="9">
        <f t="shared" si="95"/>
        <v>0.15</v>
      </c>
      <c r="AG25" s="9">
        <f t="shared" si="95"/>
        <v>0.15</v>
      </c>
      <c r="AH25" s="9">
        <f t="shared" si="95"/>
        <v>0.15</v>
      </c>
      <c r="AI25" s="9">
        <f t="shared" si="95"/>
        <v>0.15</v>
      </c>
      <c r="AJ25" s="9">
        <f t="shared" si="95"/>
        <v>0.15</v>
      </c>
      <c r="AK25" s="9">
        <f t="shared" si="95"/>
        <v>0.15</v>
      </c>
      <c r="AL25" s="9">
        <f t="shared" si="95"/>
        <v>0.15</v>
      </c>
      <c r="AM25" s="9">
        <f t="shared" si="95"/>
        <v>0.15</v>
      </c>
      <c r="AN25" s="9">
        <f t="shared" si="95"/>
        <v>0.15</v>
      </c>
      <c r="AO25" s="9">
        <f t="shared" si="95"/>
        <v>0.15</v>
      </c>
      <c r="AR25" t="s">
        <v>54</v>
      </c>
      <c r="AS25" s="3">
        <f>AS24/AO16</f>
        <v>0.70812834062453311</v>
      </c>
    </row>
    <row r="26" spans="2:45" x14ac:dyDescent="0.3">
      <c r="B26" t="s">
        <v>48</v>
      </c>
      <c r="C26" s="9">
        <f t="shared" ref="C26:J26" si="96">C15/C3</f>
        <v>-0.32812499999999994</v>
      </c>
      <c r="D26" s="9">
        <f t="shared" si="96"/>
        <v>0.16523929471032747</v>
      </c>
      <c r="E26" s="9">
        <f t="shared" si="96"/>
        <v>3.8976148923792968E-2</v>
      </c>
      <c r="F26" s="9">
        <f t="shared" si="96"/>
        <v>0.11710843373493984</v>
      </c>
      <c r="G26" s="9">
        <f t="shared" si="96"/>
        <v>2.8189910979228402E-2</v>
      </c>
      <c r="H26" s="9">
        <f t="shared" si="96"/>
        <v>3.8007190549563495E-2</v>
      </c>
      <c r="I26" s="9">
        <f t="shared" si="96"/>
        <v>1.5282331511839709</v>
      </c>
      <c r="J26" s="9">
        <f t="shared" si="96"/>
        <v>9.2592592592590662E-3</v>
      </c>
      <c r="K26" s="9">
        <f t="shared" ref="K26:P26" si="97">K15/K3</f>
        <v>1.1194029850746115E-2</v>
      </c>
      <c r="L26" s="9">
        <f t="shared" si="97"/>
        <v>0.13449972662657192</v>
      </c>
      <c r="M26" s="9">
        <f t="shared" si="97"/>
        <v>-0.11589613679544002</v>
      </c>
      <c r="N26" s="9">
        <f t="shared" si="97"/>
        <v>5.1595744680850937E-2</v>
      </c>
      <c r="O26" s="9">
        <f t="shared" si="97"/>
        <v>-8.027522935779843E-3</v>
      </c>
      <c r="P26" s="9">
        <f t="shared" si="97"/>
        <v>-3.3721643163703373E-2</v>
      </c>
      <c r="Q26" s="9">
        <f t="shared" ref="Q26:R26" si="98">Q15/Q3</f>
        <v>-0.12371888726207908</v>
      </c>
      <c r="R26" s="9">
        <f t="shared" si="98"/>
        <v>-4.2508710801393713E-2</v>
      </c>
      <c r="S26" s="9">
        <f t="shared" ref="S26:V26" si="99">S15/S3</f>
        <v>-0.25264347826086947</v>
      </c>
      <c r="T26" s="9">
        <f t="shared" si="99"/>
        <v>-0.21076844471694267</v>
      </c>
      <c r="U26" s="9">
        <f t="shared" si="99"/>
        <v>-0.333626159102001</v>
      </c>
      <c r="V26" s="9">
        <f t="shared" si="99"/>
        <v>-8.5771674523467956E-2</v>
      </c>
      <c r="X26" s="9">
        <f t="shared" ref="X26:AO26" si="100">X15/X3</f>
        <v>-4.4222983494238442E-2</v>
      </c>
      <c r="Y26" s="9">
        <f t="shared" si="100"/>
        <v>-2.3363348746653651E-2</v>
      </c>
      <c r="Z26" s="9">
        <f t="shared" si="100"/>
        <v>-9.6228465000776729E-3</v>
      </c>
      <c r="AA26" s="9">
        <f t="shared" si="100"/>
        <v>-1.674610331057694E-3</v>
      </c>
      <c r="AB26" s="9">
        <f t="shared" si="100"/>
        <v>0.34780907668231603</v>
      </c>
      <c r="AC26" s="9">
        <f t="shared" si="100"/>
        <v>2.5265214963707351E-2</v>
      </c>
      <c r="AD26" s="9">
        <f t="shared" si="100"/>
        <v>-4.8413212435233069E-2</v>
      </c>
      <c r="AE26" s="9">
        <f t="shared" si="100"/>
        <v>-0.21543746616134263</v>
      </c>
      <c r="AF26" s="9">
        <f t="shared" si="100"/>
        <v>-0.18377931118305477</v>
      </c>
      <c r="AG26" s="9">
        <f t="shared" si="100"/>
        <v>-0.12041810340792318</v>
      </c>
      <c r="AH26" s="9">
        <f t="shared" si="100"/>
        <v>-8.4024281101061624E-2</v>
      </c>
      <c r="AI26" s="9">
        <f t="shared" si="100"/>
        <v>-6.7463819452438331E-2</v>
      </c>
      <c r="AJ26" s="9">
        <f t="shared" si="100"/>
        <v>-5.6381146196518531E-2</v>
      </c>
      <c r="AK26" s="9">
        <f t="shared" si="100"/>
        <v>-4.8097518502252336E-2</v>
      </c>
      <c r="AL26" s="9">
        <f t="shared" si="100"/>
        <v>-3.994096477543907E-2</v>
      </c>
      <c r="AM26" s="9">
        <f t="shared" si="100"/>
        <v>-3.1909345455275989E-2</v>
      </c>
      <c r="AN26" s="9">
        <f t="shared" si="100"/>
        <v>-2.4000559342385465E-2</v>
      </c>
      <c r="AO26" s="9">
        <f t="shared" si="100"/>
        <v>-1.6212542884838931E-2</v>
      </c>
      <c r="AR26" t="s">
        <v>55</v>
      </c>
      <c r="AS26" s="3">
        <f>Main!D3</f>
        <v>0.56620000000000004</v>
      </c>
    </row>
    <row r="27" spans="2:45" x14ac:dyDescent="0.3">
      <c r="AR27" s="1" t="s">
        <v>56</v>
      </c>
      <c r="AS27" s="10">
        <f>AS25/AS26-1</f>
        <v>0.25066821021641306</v>
      </c>
    </row>
    <row r="28" spans="2:45" x14ac:dyDescent="0.3">
      <c r="AR28" t="s">
        <v>57</v>
      </c>
      <c r="AS28" s="6" t="s">
        <v>91</v>
      </c>
    </row>
    <row r="29" spans="2:45" s="1" customFormat="1" x14ac:dyDescent="0.3">
      <c r="B29" s="1" t="s">
        <v>62</v>
      </c>
      <c r="AB29" s="8">
        <f>AB15</f>
        <v>266.69999999999993</v>
      </c>
      <c r="AC29" s="8">
        <f>AC15</f>
        <v>18.099999999999945</v>
      </c>
      <c r="AD29" s="8">
        <v>-837.1</v>
      </c>
      <c r="AE29" s="8">
        <f>AE15</f>
        <v>-99.47824999999996</v>
      </c>
      <c r="AF29" s="8">
        <f t="shared" ref="AF29:AO29" si="101">AF15</f>
        <v>-83.16289500000002</v>
      </c>
      <c r="AG29" s="8">
        <f t="shared" si="101"/>
        <v>-59.940097869999995</v>
      </c>
      <c r="AH29" s="8">
        <f t="shared" si="101"/>
        <v>-44.752185381000011</v>
      </c>
      <c r="AI29" s="8">
        <f t="shared" si="101"/>
        <v>-37.728511102227962</v>
      </c>
      <c r="AJ29" s="8">
        <f t="shared" si="101"/>
        <v>-32.791854748167495</v>
      </c>
      <c r="AK29" s="8">
        <f t="shared" si="101"/>
        <v>-28.813231998246682</v>
      </c>
      <c r="AL29" s="8">
        <f t="shared" si="101"/>
        <v>-24.644787709417319</v>
      </c>
      <c r="AM29" s="8">
        <f t="shared" si="101"/>
        <v>-20.279705825498176</v>
      </c>
      <c r="AN29" s="8">
        <f t="shared" si="101"/>
        <v>-15.710946258893824</v>
      </c>
      <c r="AO29" s="8">
        <f t="shared" si="101"/>
        <v>-10.931237807441502</v>
      </c>
    </row>
    <row r="30" spans="2:45" x14ac:dyDescent="0.3">
      <c r="B30" t="s">
        <v>63</v>
      </c>
      <c r="AB30" s="2">
        <v>133.5</v>
      </c>
      <c r="AC30" s="2">
        <v>133.5</v>
      </c>
      <c r="AD30" s="2">
        <v>84.6</v>
      </c>
      <c r="AE30" s="2">
        <v>60</v>
      </c>
      <c r="AF30" s="2">
        <f>AE30*0.8</f>
        <v>48</v>
      </c>
      <c r="AG30" s="2">
        <f t="shared" ref="AG30:AO30" si="102">AF30*0.8</f>
        <v>38.400000000000006</v>
      </c>
      <c r="AH30" s="2">
        <f t="shared" si="102"/>
        <v>30.720000000000006</v>
      </c>
      <c r="AI30" s="2">
        <f t="shared" si="102"/>
        <v>24.576000000000008</v>
      </c>
      <c r="AJ30" s="2">
        <f t="shared" si="102"/>
        <v>19.660800000000009</v>
      </c>
      <c r="AK30" s="2">
        <f t="shared" si="102"/>
        <v>15.728640000000008</v>
      </c>
      <c r="AL30" s="2">
        <f t="shared" si="102"/>
        <v>12.582912000000007</v>
      </c>
      <c r="AM30" s="2">
        <f t="shared" si="102"/>
        <v>10.066329600000007</v>
      </c>
      <c r="AN30" s="2">
        <f t="shared" si="102"/>
        <v>8.0530636800000064</v>
      </c>
      <c r="AO30" s="2">
        <f t="shared" si="102"/>
        <v>6.4424509440000053</v>
      </c>
    </row>
    <row r="31" spans="2:45" x14ac:dyDescent="0.3">
      <c r="B31" t="s">
        <v>64</v>
      </c>
      <c r="AB31" s="2">
        <v>90</v>
      </c>
      <c r="AC31" s="2">
        <v>129.69999999999999</v>
      </c>
      <c r="AD31" s="2">
        <v>78.3</v>
      </c>
      <c r="AE31" s="2">
        <v>60</v>
      </c>
      <c r="AF31" s="2">
        <f>AE31*0.97</f>
        <v>58.199999999999996</v>
      </c>
      <c r="AG31" s="2">
        <f t="shared" ref="AG31:AO31" si="103">AF31*0.97</f>
        <v>56.453999999999994</v>
      </c>
      <c r="AH31" s="2">
        <f t="shared" si="103"/>
        <v>54.760379999999991</v>
      </c>
      <c r="AI31" s="2">
        <f t="shared" si="103"/>
        <v>53.117568599999991</v>
      </c>
      <c r="AJ31" s="2">
        <f t="shared" si="103"/>
        <v>51.524041541999992</v>
      </c>
      <c r="AK31" s="2">
        <f t="shared" si="103"/>
        <v>49.978320295739991</v>
      </c>
      <c r="AL31" s="2">
        <f t="shared" si="103"/>
        <v>48.47897068686779</v>
      </c>
      <c r="AM31" s="2">
        <f t="shared" si="103"/>
        <v>47.024601566261758</v>
      </c>
      <c r="AN31" s="2">
        <f t="shared" si="103"/>
        <v>45.613863519273906</v>
      </c>
      <c r="AO31" s="2">
        <f t="shared" si="103"/>
        <v>44.245447613695688</v>
      </c>
    </row>
    <row r="32" spans="2:45" x14ac:dyDescent="0.3">
      <c r="B32" t="s">
        <v>65</v>
      </c>
      <c r="AB32" s="2">
        <v>-168.9</v>
      </c>
      <c r="AC32" s="2">
        <v>26.6</v>
      </c>
      <c r="AD32" s="2">
        <v>143.30000000000001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</row>
    <row r="33" spans="2:41" x14ac:dyDescent="0.3">
      <c r="B33" t="s">
        <v>66</v>
      </c>
      <c r="AB33" s="2">
        <v>-93.5</v>
      </c>
      <c r="AC33" s="2">
        <v>-85.9</v>
      </c>
      <c r="AD33" s="2">
        <v>-19.5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</row>
    <row r="34" spans="2:41" x14ac:dyDescent="0.3">
      <c r="B34" t="s">
        <v>67</v>
      </c>
      <c r="AB34" s="2">
        <v>0</v>
      </c>
      <c r="AC34" s="2">
        <v>7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</row>
    <row r="35" spans="2:41" x14ac:dyDescent="0.3">
      <c r="B35" t="s">
        <v>68</v>
      </c>
      <c r="AB35" s="2">
        <v>0</v>
      </c>
      <c r="AC35" s="2">
        <v>3.6</v>
      </c>
      <c r="AD35" s="2">
        <v>677.2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</row>
    <row r="36" spans="2:41" x14ac:dyDescent="0.3">
      <c r="B36" t="s">
        <v>69</v>
      </c>
      <c r="AB36" s="2">
        <v>3.5</v>
      </c>
      <c r="AC36" s="2">
        <v>4.0999999999999996</v>
      </c>
      <c r="AD36" s="2">
        <v>5.8</v>
      </c>
      <c r="AE36" s="2">
        <v>5.8</v>
      </c>
      <c r="AF36" s="2">
        <v>5.8</v>
      </c>
      <c r="AG36" s="2">
        <v>5.8</v>
      </c>
      <c r="AH36" s="2">
        <v>5.8</v>
      </c>
      <c r="AI36" s="2">
        <v>5.8</v>
      </c>
      <c r="AJ36" s="2">
        <v>5.8</v>
      </c>
      <c r="AK36" s="2">
        <v>5.8</v>
      </c>
      <c r="AL36" s="2">
        <v>5.8</v>
      </c>
      <c r="AM36" s="2">
        <v>5.8</v>
      </c>
      <c r="AN36" s="2">
        <v>5.8</v>
      </c>
      <c r="AO36" s="2">
        <v>5.8</v>
      </c>
    </row>
    <row r="37" spans="2:41" x14ac:dyDescent="0.3">
      <c r="B37" t="s">
        <v>70</v>
      </c>
      <c r="AB37" s="2">
        <v>5.2</v>
      </c>
      <c r="AC37" s="2">
        <v>3.2</v>
      </c>
      <c r="AD37" s="2">
        <v>2.1</v>
      </c>
      <c r="AE37" s="2">
        <v>2.1</v>
      </c>
      <c r="AF37" s="2">
        <v>2.1</v>
      </c>
      <c r="AG37" s="2">
        <v>2.1</v>
      </c>
      <c r="AH37" s="2">
        <v>2.1</v>
      </c>
      <c r="AI37" s="2">
        <v>2.1</v>
      </c>
      <c r="AJ37" s="2">
        <v>2.1</v>
      </c>
      <c r="AK37" s="2">
        <v>2.1</v>
      </c>
      <c r="AL37" s="2">
        <v>2.1</v>
      </c>
      <c r="AM37" s="2">
        <v>2.1</v>
      </c>
      <c r="AN37" s="2">
        <v>2.1</v>
      </c>
      <c r="AO37" s="2">
        <v>2.1</v>
      </c>
    </row>
    <row r="38" spans="2:41" x14ac:dyDescent="0.3">
      <c r="B38" t="s">
        <v>71</v>
      </c>
      <c r="AB38" s="2">
        <v>6.3</v>
      </c>
      <c r="AC38" s="2">
        <v>6.1</v>
      </c>
      <c r="AD38" s="2">
        <v>5.9</v>
      </c>
      <c r="AE38" s="2">
        <v>5.9</v>
      </c>
      <c r="AF38" s="2">
        <v>5.9</v>
      </c>
      <c r="AG38" s="2">
        <v>5.9</v>
      </c>
      <c r="AH38" s="2">
        <v>5.9</v>
      </c>
      <c r="AI38" s="2">
        <v>5.9</v>
      </c>
      <c r="AJ38" s="2">
        <v>5.9</v>
      </c>
      <c r="AK38" s="2">
        <v>5.9</v>
      </c>
      <c r="AL38" s="2">
        <v>5.9</v>
      </c>
      <c r="AM38" s="2">
        <v>5.9</v>
      </c>
      <c r="AN38" s="2">
        <v>5.9</v>
      </c>
      <c r="AO38" s="2">
        <v>5.9</v>
      </c>
    </row>
    <row r="39" spans="2:41" x14ac:dyDescent="0.3">
      <c r="B39" t="s">
        <v>72</v>
      </c>
      <c r="AB39" s="2">
        <v>9.6999999999999993</v>
      </c>
      <c r="AC39" s="2">
        <v>2.1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</row>
    <row r="40" spans="2:41" x14ac:dyDescent="0.3">
      <c r="B40" t="s">
        <v>73</v>
      </c>
      <c r="AB40" s="2">
        <v>-5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</row>
    <row r="41" spans="2:41" x14ac:dyDescent="0.3">
      <c r="B41" t="s">
        <v>74</v>
      </c>
      <c r="AB41" s="2">
        <v>1.6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</row>
    <row r="42" spans="2:41" x14ac:dyDescent="0.3">
      <c r="B42" t="s">
        <v>75</v>
      </c>
      <c r="AB42" s="2">
        <v>-4.5999999999999996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</row>
    <row r="43" spans="2:41" x14ac:dyDescent="0.3">
      <c r="B43" t="s">
        <v>68</v>
      </c>
      <c r="AB43" s="2">
        <v>5.2</v>
      </c>
      <c r="AC43" s="2">
        <v>0</v>
      </c>
      <c r="AD43" s="2">
        <v>5.6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</row>
    <row r="44" spans="2:41" x14ac:dyDescent="0.3">
      <c r="B44" t="s">
        <v>76</v>
      </c>
      <c r="AB44" s="2">
        <v>0.4</v>
      </c>
      <c r="AC44" s="2">
        <v>-1.2</v>
      </c>
      <c r="AD44" s="2">
        <v>0.7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</row>
    <row r="45" spans="2:41" x14ac:dyDescent="0.3">
      <c r="B45" t="s">
        <v>77</v>
      </c>
      <c r="AB45" s="2">
        <v>-3.8</v>
      </c>
      <c r="AC45" s="2">
        <v>-7.8</v>
      </c>
      <c r="AD45" s="2">
        <v>7.8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</row>
    <row r="46" spans="2:41" x14ac:dyDescent="0.3">
      <c r="B46" t="s">
        <v>78</v>
      </c>
      <c r="AB46" s="2">
        <v>17.2</v>
      </c>
      <c r="AC46" s="2">
        <v>3.5</v>
      </c>
      <c r="AD46" s="2">
        <v>-41.7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</row>
    <row r="47" spans="2:41" x14ac:dyDescent="0.3">
      <c r="B47" t="s">
        <v>79</v>
      </c>
      <c r="AB47" s="2">
        <v>14.6</v>
      </c>
      <c r="AC47" s="2">
        <v>10.8</v>
      </c>
      <c r="AD47" s="2">
        <v>1.1000000000000001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</row>
    <row r="48" spans="2:41" x14ac:dyDescent="0.3">
      <c r="B48" t="s">
        <v>80</v>
      </c>
      <c r="AB48" s="2">
        <v>-4.0999999999999996</v>
      </c>
      <c r="AC48" s="2">
        <v>13.1</v>
      </c>
      <c r="AD48" s="2">
        <v>-12.4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</row>
    <row r="49" spans="2:150" x14ac:dyDescent="0.3">
      <c r="B49" t="s">
        <v>81</v>
      </c>
      <c r="AB49" s="2">
        <v>7.5</v>
      </c>
      <c r="AC49" s="2">
        <v>-1.6</v>
      </c>
      <c r="AD49" s="2">
        <v>-15.9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</row>
    <row r="50" spans="2:150" x14ac:dyDescent="0.3">
      <c r="B50" t="s">
        <v>82</v>
      </c>
      <c r="AB50" s="2">
        <v>-20.100000000000001</v>
      </c>
      <c r="AC50" s="2">
        <v>-7.3</v>
      </c>
      <c r="AD50" s="2">
        <v>47.1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</row>
    <row r="51" spans="2:150" x14ac:dyDescent="0.3">
      <c r="B51" t="s">
        <v>83</v>
      </c>
      <c r="AB51" s="2">
        <v>-5.8</v>
      </c>
      <c r="AC51" s="2">
        <v>-11.3</v>
      </c>
      <c r="AD51" s="2">
        <v>-7.8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</row>
    <row r="52" spans="2:150" s="1" customFormat="1" x14ac:dyDescent="0.3">
      <c r="B52" s="1" t="s">
        <v>84</v>
      </c>
      <c r="AB52" s="8">
        <f>AB29+SUM(AB30:AB51)</f>
        <v>255.59999999999991</v>
      </c>
      <c r="AC52" s="8">
        <f>AC29+SUM(AC30:AC51)</f>
        <v>246.2999999999999</v>
      </c>
      <c r="AD52" s="8">
        <f>AD29+SUM(AD30:AD51)</f>
        <v>125.10000000000014</v>
      </c>
      <c r="AE52" s="8">
        <f>AE29+SUM(AE30:AE51)</f>
        <v>34.321750000000023</v>
      </c>
      <c r="AF52" s="8">
        <f t="shared" ref="AF52:AO52" si="104">AF29+SUM(AF30:AF51)</f>
        <v>36.837104999999966</v>
      </c>
      <c r="AG52" s="8">
        <f t="shared" si="104"/>
        <v>48.713902130000001</v>
      </c>
      <c r="AH52" s="8">
        <f t="shared" si="104"/>
        <v>54.528194618999983</v>
      </c>
      <c r="AI52" s="8">
        <f t="shared" si="104"/>
        <v>53.765057497772027</v>
      </c>
      <c r="AJ52" s="8">
        <f t="shared" si="104"/>
        <v>52.192986793832503</v>
      </c>
      <c r="AK52" s="8">
        <f t="shared" si="104"/>
        <v>50.693728297493323</v>
      </c>
      <c r="AL52" s="8">
        <f t="shared" si="104"/>
        <v>50.217094977450486</v>
      </c>
      <c r="AM52" s="8">
        <f t="shared" si="104"/>
        <v>50.611225340763589</v>
      </c>
      <c r="AN52" s="8">
        <f t="shared" si="104"/>
        <v>51.755980940380084</v>
      </c>
      <c r="AO52" s="8">
        <f t="shared" si="104"/>
        <v>53.556660750254196</v>
      </c>
    </row>
    <row r="53" spans="2:150" x14ac:dyDescent="0.3">
      <c r="B53" t="s">
        <v>69</v>
      </c>
      <c r="AB53" s="2">
        <v>103.1</v>
      </c>
      <c r="AC53" s="2">
        <v>83.1</v>
      </c>
      <c r="AD53" s="2">
        <v>75</v>
      </c>
      <c r="AE53" s="2">
        <v>65</v>
      </c>
      <c r="AF53" s="2">
        <f>AE53*0.99</f>
        <v>64.349999999999994</v>
      </c>
      <c r="AG53" s="2">
        <f t="shared" ref="AG53:AO53" si="105">AF53*0.99</f>
        <v>63.706499999999991</v>
      </c>
      <c r="AH53" s="2">
        <f t="shared" si="105"/>
        <v>63.069434999999991</v>
      </c>
      <c r="AI53" s="2">
        <f t="shared" si="105"/>
        <v>62.438740649999993</v>
      </c>
      <c r="AJ53" s="2">
        <f t="shared" si="105"/>
        <v>61.814353243499994</v>
      </c>
      <c r="AK53" s="2">
        <f t="shared" si="105"/>
        <v>61.196209711064995</v>
      </c>
      <c r="AL53" s="2">
        <f t="shared" si="105"/>
        <v>60.584247613954346</v>
      </c>
      <c r="AM53" s="2">
        <f t="shared" si="105"/>
        <v>59.978405137814804</v>
      </c>
      <c r="AN53" s="2">
        <f t="shared" si="105"/>
        <v>59.378621086436652</v>
      </c>
      <c r="AO53" s="2">
        <f t="shared" si="105"/>
        <v>58.784834875572287</v>
      </c>
    </row>
    <row r="54" spans="2:150" s="1" customFormat="1" x14ac:dyDescent="0.3">
      <c r="B54" s="1" t="s">
        <v>85</v>
      </c>
      <c r="AB54" s="8">
        <f>AB52-AB53</f>
        <v>152.49999999999991</v>
      </c>
      <c r="AC54" s="8">
        <f>AC52-AC53</f>
        <v>163.1999999999999</v>
      </c>
      <c r="AD54" s="8">
        <f>AD52-AD53</f>
        <v>50.100000000000136</v>
      </c>
      <c r="AE54" s="8">
        <f>AE52-AE53</f>
        <v>-30.678249999999977</v>
      </c>
      <c r="AF54" s="8">
        <f t="shared" ref="AF54:AO54" si="106">AF52-AF53</f>
        <v>-27.512895000000029</v>
      </c>
      <c r="AG54" s="8">
        <f t="shared" si="106"/>
        <v>-14.99259786999999</v>
      </c>
      <c r="AH54" s="8">
        <f t="shared" si="106"/>
        <v>-8.5412403810000086</v>
      </c>
      <c r="AI54" s="8">
        <f t="shared" si="106"/>
        <v>-8.6736831522279658</v>
      </c>
      <c r="AJ54" s="8">
        <f t="shared" si="106"/>
        <v>-9.6213664496674909</v>
      </c>
      <c r="AK54" s="8">
        <f t="shared" si="106"/>
        <v>-10.502481413571672</v>
      </c>
      <c r="AL54" s="8">
        <f t="shared" si="106"/>
        <v>-10.36715263650386</v>
      </c>
      <c r="AM54" s="8">
        <f t="shared" si="106"/>
        <v>-9.3671797970512145</v>
      </c>
      <c r="AN54" s="8">
        <f t="shared" si="106"/>
        <v>-7.6226401460565683</v>
      </c>
      <c r="AO54" s="8">
        <f t="shared" si="106"/>
        <v>-5.2281741253180911</v>
      </c>
      <c r="AP54" s="1">
        <f>AO54*(1+$AS$20)</f>
        <v>-5.1758923840649098</v>
      </c>
      <c r="AQ54" s="1">
        <f t="shared" ref="AQ54:DB54" si="107">AP54*(1+$AS$20)</f>
        <v>-5.124133460224261</v>
      </c>
      <c r="AR54" s="1">
        <f t="shared" si="107"/>
        <v>-5.0728921256220181</v>
      </c>
      <c r="AS54" s="1">
        <f t="shared" si="107"/>
        <v>-5.022163204365798</v>
      </c>
      <c r="AT54" s="1">
        <f t="shared" si="107"/>
        <v>-4.9719415723221401</v>
      </c>
      <c r="AU54" s="1">
        <f t="shared" si="107"/>
        <v>-4.9222221565989184</v>
      </c>
      <c r="AV54" s="1">
        <f t="shared" si="107"/>
        <v>-4.8729999350329294</v>
      </c>
      <c r="AW54" s="1">
        <f t="shared" si="107"/>
        <v>-4.8242699356826</v>
      </c>
      <c r="AX54" s="1">
        <f t="shared" si="107"/>
        <v>-4.7760272363257741</v>
      </c>
      <c r="AY54" s="1">
        <f t="shared" si="107"/>
        <v>-4.7282669639625166</v>
      </c>
      <c r="AZ54" s="1">
        <f t="shared" si="107"/>
        <v>-4.680984294322891</v>
      </c>
      <c r="BA54" s="1">
        <f t="shared" si="107"/>
        <v>-4.6341744513796623</v>
      </c>
      <c r="BB54" s="1">
        <f t="shared" si="107"/>
        <v>-4.587832706865866</v>
      </c>
      <c r="BC54" s="1">
        <f t="shared" si="107"/>
        <v>-4.5419543797972075</v>
      </c>
      <c r="BD54" s="1">
        <f t="shared" si="107"/>
        <v>-4.4965348359992356</v>
      </c>
      <c r="BE54" s="1">
        <f t="shared" si="107"/>
        <v>-4.4515694876392429</v>
      </c>
      <c r="BF54" s="1">
        <f t="shared" si="107"/>
        <v>-4.4070537927628504</v>
      </c>
      <c r="BG54" s="1">
        <f t="shared" si="107"/>
        <v>-4.3629832548352221</v>
      </c>
      <c r="BH54" s="1">
        <f t="shared" si="107"/>
        <v>-4.3193534222868699</v>
      </c>
      <c r="BI54" s="1">
        <f t="shared" si="107"/>
        <v>-4.2761598880640008</v>
      </c>
      <c r="BJ54" s="1">
        <f t="shared" si="107"/>
        <v>-4.233398289183361</v>
      </c>
      <c r="BK54" s="1">
        <f t="shared" si="107"/>
        <v>-4.1910643062915272</v>
      </c>
      <c r="BL54" s="1">
        <f t="shared" si="107"/>
        <v>-4.1491536632286117</v>
      </c>
      <c r="BM54" s="1">
        <f t="shared" si="107"/>
        <v>-4.1076621265963258</v>
      </c>
      <c r="BN54" s="1">
        <f t="shared" si="107"/>
        <v>-4.0665855053303623</v>
      </c>
      <c r="BO54" s="1">
        <f t="shared" si="107"/>
        <v>-4.0259196502770589</v>
      </c>
      <c r="BP54" s="1">
        <f t="shared" si="107"/>
        <v>-3.9856604537742881</v>
      </c>
      <c r="BQ54" s="1">
        <f t="shared" si="107"/>
        <v>-3.9458038492365453</v>
      </c>
      <c r="BR54" s="1">
        <f t="shared" si="107"/>
        <v>-3.9063458107441797</v>
      </c>
      <c r="BS54" s="1">
        <f t="shared" si="107"/>
        <v>-3.8672823526367379</v>
      </c>
      <c r="BT54" s="1">
        <f t="shared" si="107"/>
        <v>-3.8286095291103703</v>
      </c>
      <c r="BU54" s="1">
        <f t="shared" si="107"/>
        <v>-3.7903234338192666</v>
      </c>
      <c r="BV54" s="1">
        <f t="shared" si="107"/>
        <v>-3.7524201994810737</v>
      </c>
      <c r="BW54" s="1">
        <f t="shared" si="107"/>
        <v>-3.7148959974862628</v>
      </c>
      <c r="BX54" s="1">
        <f t="shared" si="107"/>
        <v>-3.6777470375114003</v>
      </c>
      <c r="BY54" s="1">
        <f t="shared" si="107"/>
        <v>-3.6409695671362861</v>
      </c>
      <c r="BZ54" s="1">
        <f t="shared" si="107"/>
        <v>-3.604559871464923</v>
      </c>
      <c r="CA54" s="1">
        <f t="shared" si="107"/>
        <v>-3.5685142727502739</v>
      </c>
      <c r="CB54" s="1">
        <f t="shared" si="107"/>
        <v>-3.5328291300227712</v>
      </c>
      <c r="CC54" s="1">
        <f t="shared" si="107"/>
        <v>-3.4975008387225435</v>
      </c>
      <c r="CD54" s="1">
        <f t="shared" si="107"/>
        <v>-3.4625258303353181</v>
      </c>
      <c r="CE54" s="1">
        <f t="shared" si="107"/>
        <v>-3.4279005720319651</v>
      </c>
      <c r="CF54" s="1">
        <f t="shared" si="107"/>
        <v>-3.3936215663116456</v>
      </c>
      <c r="CG54" s="1">
        <f t="shared" si="107"/>
        <v>-3.3596853506485291</v>
      </c>
      <c r="CH54" s="1">
        <f t="shared" si="107"/>
        <v>-3.3260884971420439</v>
      </c>
      <c r="CI54" s="1">
        <f t="shared" si="107"/>
        <v>-3.2928276121706235</v>
      </c>
      <c r="CJ54" s="1">
        <f t="shared" si="107"/>
        <v>-3.259899336048917</v>
      </c>
      <c r="CK54" s="1">
        <f t="shared" si="107"/>
        <v>-3.2273003426884279</v>
      </c>
      <c r="CL54" s="1">
        <f t="shared" si="107"/>
        <v>-3.1950273392615438</v>
      </c>
      <c r="CM54" s="1">
        <f t="shared" si="107"/>
        <v>-3.1630770658689285</v>
      </c>
      <c r="CN54" s="1">
        <f t="shared" si="107"/>
        <v>-3.1314462952102393</v>
      </c>
      <c r="CO54" s="1">
        <f t="shared" si="107"/>
        <v>-3.1001318322581368</v>
      </c>
      <c r="CP54" s="1">
        <f t="shared" si="107"/>
        <v>-3.0691305139355554</v>
      </c>
      <c r="CQ54" s="1">
        <f t="shared" si="107"/>
        <v>-3.0384392087961998</v>
      </c>
      <c r="CR54" s="1">
        <f t="shared" si="107"/>
        <v>-3.0080548167082379</v>
      </c>
      <c r="CS54" s="1">
        <f t="shared" si="107"/>
        <v>-2.9779742685411557</v>
      </c>
      <c r="CT54" s="1">
        <f t="shared" si="107"/>
        <v>-2.9481945258557443</v>
      </c>
      <c r="CU54" s="1">
        <f t="shared" si="107"/>
        <v>-2.918712580597187</v>
      </c>
      <c r="CV54" s="1">
        <f t="shared" si="107"/>
        <v>-2.8895254547912153</v>
      </c>
      <c r="CW54" s="1">
        <f t="shared" si="107"/>
        <v>-2.8606302002433033</v>
      </c>
      <c r="CX54" s="1">
        <f t="shared" si="107"/>
        <v>-2.8320238982408701</v>
      </c>
      <c r="CY54" s="1">
        <f t="shared" si="107"/>
        <v>-2.8037036592584612</v>
      </c>
      <c r="CZ54" s="1">
        <f t="shared" si="107"/>
        <v>-2.7756666226658764</v>
      </c>
      <c r="DA54" s="1">
        <f t="shared" si="107"/>
        <v>-2.7479099564392175</v>
      </c>
      <c r="DB54" s="1">
        <f t="shared" si="107"/>
        <v>-2.7204308568748252</v>
      </c>
      <c r="DC54" s="1">
        <f t="shared" ref="DC54:ET54" si="108">DB54*(1+$AS$20)</f>
        <v>-2.6932265483060771</v>
      </c>
      <c r="DD54" s="1">
        <f t="shared" si="108"/>
        <v>-2.6662942828230163</v>
      </c>
      <c r="DE54" s="1">
        <f t="shared" si="108"/>
        <v>-2.6396313399947862</v>
      </c>
      <c r="DF54" s="1">
        <f t="shared" si="108"/>
        <v>-2.6132350265948383</v>
      </c>
      <c r="DG54" s="1">
        <f t="shared" si="108"/>
        <v>-2.58710267632889</v>
      </c>
      <c r="DH54" s="1">
        <f t="shared" si="108"/>
        <v>-2.5612316495656011</v>
      </c>
      <c r="DI54" s="1">
        <f t="shared" si="108"/>
        <v>-2.535619333069945</v>
      </c>
      <c r="DJ54" s="1">
        <f t="shared" si="108"/>
        <v>-2.5102631397392456</v>
      </c>
      <c r="DK54" s="1">
        <f t="shared" si="108"/>
        <v>-2.4851605083418531</v>
      </c>
      <c r="DL54" s="1">
        <f t="shared" si="108"/>
        <v>-2.4603089032584347</v>
      </c>
      <c r="DM54" s="1">
        <f t="shared" si="108"/>
        <v>-2.4357058142258503</v>
      </c>
      <c r="DN54" s="1">
        <f t="shared" si="108"/>
        <v>-2.411348756083592</v>
      </c>
      <c r="DO54" s="1">
        <f t="shared" si="108"/>
        <v>-2.387235268522756</v>
      </c>
      <c r="DP54" s="1">
        <f t="shared" si="108"/>
        <v>-2.3633629158375284</v>
      </c>
      <c r="DQ54" s="1">
        <f t="shared" si="108"/>
        <v>-2.339729286679153</v>
      </c>
      <c r="DR54" s="1">
        <f t="shared" si="108"/>
        <v>-2.3163319938123617</v>
      </c>
      <c r="DS54" s="1">
        <f t="shared" si="108"/>
        <v>-2.2931686738742378</v>
      </c>
      <c r="DT54" s="1">
        <f t="shared" si="108"/>
        <v>-2.2702369871354953</v>
      </c>
      <c r="DU54" s="1">
        <f t="shared" si="108"/>
        <v>-2.2475346172641402</v>
      </c>
      <c r="DV54" s="1">
        <f t="shared" si="108"/>
        <v>-2.2250592710914989</v>
      </c>
      <c r="DW54" s="1">
        <f t="shared" si="108"/>
        <v>-2.2028086783805838</v>
      </c>
      <c r="DX54" s="1">
        <f t="shared" si="108"/>
        <v>-2.1807805915967777</v>
      </c>
      <c r="DY54" s="1">
        <f t="shared" si="108"/>
        <v>-2.1589727856808101</v>
      </c>
      <c r="DZ54" s="1">
        <f t="shared" si="108"/>
        <v>-2.1373830578240018</v>
      </c>
      <c r="EA54" s="1">
        <f t="shared" si="108"/>
        <v>-2.1160092272457618</v>
      </c>
      <c r="EB54" s="1">
        <f t="shared" si="108"/>
        <v>-2.0948491349733041</v>
      </c>
      <c r="EC54" s="1">
        <f t="shared" si="108"/>
        <v>-2.073900643623571</v>
      </c>
      <c r="ED54" s="1">
        <f t="shared" si="108"/>
        <v>-2.0531616371873351</v>
      </c>
      <c r="EE54" s="1">
        <f t="shared" si="108"/>
        <v>-2.032630020815462</v>
      </c>
      <c r="EF54" s="1">
        <f t="shared" si="108"/>
        <v>-2.0123037206073073</v>
      </c>
      <c r="EG54" s="1">
        <f t="shared" si="108"/>
        <v>-1.9921806834012343</v>
      </c>
      <c r="EH54" s="1">
        <f t="shared" si="108"/>
        <v>-1.972258876567222</v>
      </c>
      <c r="EI54" s="1">
        <f t="shared" si="108"/>
        <v>-1.9525362878015498</v>
      </c>
      <c r="EJ54" s="1">
        <f t="shared" si="108"/>
        <v>-1.9330109249235343</v>
      </c>
      <c r="EK54" s="1">
        <f t="shared" si="108"/>
        <v>-1.913680815674299</v>
      </c>
      <c r="EL54" s="1">
        <f t="shared" si="108"/>
        <v>-1.8945440075175561</v>
      </c>
      <c r="EM54" s="1">
        <f t="shared" si="108"/>
        <v>-1.8755985674423805</v>
      </c>
      <c r="EN54" s="1">
        <f t="shared" si="108"/>
        <v>-1.8568425817679568</v>
      </c>
      <c r="EO54" s="1">
        <f t="shared" si="108"/>
        <v>-1.8382741559502773</v>
      </c>
      <c r="EP54" s="1">
        <f t="shared" si="108"/>
        <v>-1.8198914143907745</v>
      </c>
      <c r="EQ54" s="1">
        <f t="shared" si="108"/>
        <v>-1.8016925002468667</v>
      </c>
      <c r="ER54" s="1">
        <f t="shared" si="108"/>
        <v>-1.783675575244398</v>
      </c>
      <c r="ES54" s="1">
        <f t="shared" si="108"/>
        <v>-1.7658388194919541</v>
      </c>
      <c r="ET54" s="1">
        <f t="shared" si="108"/>
        <v>-1.7481804312970346</v>
      </c>
    </row>
    <row r="58" spans="2:150" x14ac:dyDescent="0.3">
      <c r="AR58" t="s">
        <v>86</v>
      </c>
      <c r="AS58" s="2">
        <f>NPV(AS21,AE54:ET54)</f>
        <v>-102.93890386082246</v>
      </c>
    </row>
    <row r="59" spans="2:150" x14ac:dyDescent="0.3">
      <c r="AR59" t="s">
        <v>52</v>
      </c>
      <c r="AS59" s="2">
        <f>Main!D8</f>
        <v>401.09999999999997</v>
      </c>
    </row>
    <row r="60" spans="2:150" x14ac:dyDescent="0.3">
      <c r="AR60" t="s">
        <v>53</v>
      </c>
      <c r="AS60" s="2">
        <f>AS58+AS59</f>
        <v>298.16109613917752</v>
      </c>
    </row>
    <row r="61" spans="2:150" x14ac:dyDescent="0.3">
      <c r="AR61" t="s">
        <v>54</v>
      </c>
      <c r="AS61" s="3">
        <f>AS60/Model!AO16</f>
        <v>2.8369276511815178</v>
      </c>
    </row>
    <row r="62" spans="2:150" x14ac:dyDescent="0.3">
      <c r="AR62" t="s">
        <v>55</v>
      </c>
      <c r="AS62" s="3">
        <f>Main!D3</f>
        <v>0.56620000000000004</v>
      </c>
    </row>
    <row r="63" spans="2:150" x14ac:dyDescent="0.3">
      <c r="AR63" s="1" t="s">
        <v>56</v>
      </c>
      <c r="AS63" s="10">
        <f>AS61/AS62-1</f>
        <v>4.0104691825883387</v>
      </c>
    </row>
  </sheetData>
  <phoneticPr fontId="3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Mniszek</dc:creator>
  <cp:lastModifiedBy>Anton Mniszek</cp:lastModifiedBy>
  <dcterms:created xsi:type="dcterms:W3CDTF">2024-11-07T10:50:32Z</dcterms:created>
  <dcterms:modified xsi:type="dcterms:W3CDTF">2025-04-04T09:42:06Z</dcterms:modified>
</cp:coreProperties>
</file>