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8656899-371F-4EB4-8C3B-0A61D9DE356A}" xr6:coauthVersionLast="47" xr6:coauthVersionMax="47" xr10:uidLastSave="{00000000-0000-0000-0000-000000000000}"/>
  <bookViews>
    <workbookView xWindow="-108" yWindow="-108" windowWidth="23256" windowHeight="12576" activeTab="1" xr2:uid="{4D7A57D7-C14A-49BE-A452-ABD5A8BEC02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2" l="1"/>
  <c r="AL5" i="2"/>
  <c r="AK5" i="2"/>
  <c r="AJ5" i="2"/>
  <c r="AJ7" i="2" s="1"/>
  <c r="AI18" i="2"/>
  <c r="AI16" i="2"/>
  <c r="AI15" i="2"/>
  <c r="AI14" i="2"/>
  <c r="AI12" i="2"/>
  <c r="AI11" i="2"/>
  <c r="AI10" i="2"/>
  <c r="AI9" i="2"/>
  <c r="AI8" i="2"/>
  <c r="AI6" i="2"/>
  <c r="AI5" i="2"/>
  <c r="Z30" i="2"/>
  <c r="Y30" i="2"/>
  <c r="X30" i="2"/>
  <c r="W30" i="2"/>
  <c r="Z29" i="2"/>
  <c r="Y29" i="2"/>
  <c r="X29" i="2"/>
  <c r="W29" i="2"/>
  <c r="Z28" i="2"/>
  <c r="Y28" i="2"/>
  <c r="X28" i="2"/>
  <c r="W28" i="2"/>
  <c r="Z27" i="2"/>
  <c r="Y27" i="2"/>
  <c r="X27" i="2"/>
  <c r="W27" i="2"/>
  <c r="Z26" i="2"/>
  <c r="Y26" i="2"/>
  <c r="X26" i="2"/>
  <c r="W26" i="2"/>
  <c r="Z25" i="2"/>
  <c r="Y25" i="2"/>
  <c r="X25" i="2"/>
  <c r="W25" i="2"/>
  <c r="Z24" i="2"/>
  <c r="Y24" i="2"/>
  <c r="X24" i="2"/>
  <c r="W24" i="2"/>
  <c r="Z23" i="2"/>
  <c r="Y23" i="2"/>
  <c r="X23" i="2"/>
  <c r="W23" i="2"/>
  <c r="Z20" i="2"/>
  <c r="Y20" i="2"/>
  <c r="X20" i="2"/>
  <c r="W20" i="2"/>
  <c r="Z19" i="2"/>
  <c r="Z21" i="2" s="1"/>
  <c r="Y19" i="2"/>
  <c r="Y21" i="2" s="1"/>
  <c r="X19" i="2"/>
  <c r="X21" i="2" s="1"/>
  <c r="W19" i="2"/>
  <c r="W21" i="2" s="1"/>
  <c r="Z18" i="2"/>
  <c r="Y18" i="2"/>
  <c r="X18" i="2"/>
  <c r="W18" i="2"/>
  <c r="Z17" i="2"/>
  <c r="Y17" i="2"/>
  <c r="X17" i="2"/>
  <c r="W17" i="2"/>
  <c r="Z13" i="2"/>
  <c r="Y13" i="2"/>
  <c r="X13" i="2"/>
  <c r="W13" i="2"/>
  <c r="Z10" i="2"/>
  <c r="Y10" i="2"/>
  <c r="X10" i="2"/>
  <c r="W10" i="2"/>
  <c r="Z9" i="2"/>
  <c r="Y9" i="2"/>
  <c r="X9" i="2"/>
  <c r="W9" i="2"/>
  <c r="Z8" i="2"/>
  <c r="Y8" i="2"/>
  <c r="X8" i="2"/>
  <c r="W8" i="2"/>
  <c r="Z7" i="2"/>
  <c r="Z6" i="2" s="1"/>
  <c r="Y7" i="2"/>
  <c r="Y6" i="2" s="1"/>
  <c r="X7" i="2"/>
  <c r="W7" i="2"/>
  <c r="X6" i="2"/>
  <c r="W6" i="2"/>
  <c r="Z5" i="2"/>
  <c r="Y5" i="2"/>
  <c r="X5" i="2"/>
  <c r="W5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V20" i="2"/>
  <c r="V12" i="2"/>
  <c r="V7" i="2"/>
  <c r="D7" i="1"/>
  <c r="D6" i="1"/>
  <c r="D4" i="1"/>
  <c r="V27" i="2"/>
  <c r="V28" i="2"/>
  <c r="U20" i="2"/>
  <c r="U7" i="2"/>
  <c r="AH16" i="2"/>
  <c r="AH15" i="2"/>
  <c r="AH14" i="2"/>
  <c r="AH11" i="2"/>
  <c r="AH5" i="2"/>
  <c r="U28" i="2"/>
  <c r="U27" i="2"/>
  <c r="V26" i="2"/>
  <c r="V24" i="2"/>
  <c r="AG18" i="2"/>
  <c r="AG16" i="2"/>
  <c r="AG15" i="2"/>
  <c r="AG14" i="2"/>
  <c r="AG12" i="2"/>
  <c r="AG10" i="2"/>
  <c r="AG9" i="2"/>
  <c r="AG8" i="2"/>
  <c r="AG6" i="2"/>
  <c r="AG5" i="2"/>
  <c r="AF18" i="2"/>
  <c r="AF16" i="2"/>
  <c r="AF15" i="2"/>
  <c r="AF14" i="2"/>
  <c r="AF12" i="2"/>
  <c r="AF10" i="2"/>
  <c r="AF9" i="2"/>
  <c r="AF8" i="2"/>
  <c r="AF6" i="2"/>
  <c r="AF5" i="2"/>
  <c r="T28" i="2"/>
  <c r="S28" i="2"/>
  <c r="R28" i="2"/>
  <c r="Q28" i="2"/>
  <c r="P28" i="2"/>
  <c r="O28" i="2"/>
  <c r="N28" i="2"/>
  <c r="M28" i="2"/>
  <c r="L28" i="2"/>
  <c r="K28" i="2"/>
  <c r="T27" i="2"/>
  <c r="S27" i="2"/>
  <c r="R27" i="2"/>
  <c r="Q27" i="2"/>
  <c r="P27" i="2"/>
  <c r="O27" i="2"/>
  <c r="N27" i="2"/>
  <c r="M27" i="2"/>
  <c r="L27" i="2"/>
  <c r="K27" i="2"/>
  <c r="U26" i="2"/>
  <c r="T26" i="2"/>
  <c r="S26" i="2"/>
  <c r="R26" i="2"/>
  <c r="Q26" i="2"/>
  <c r="P26" i="2"/>
  <c r="O26" i="2"/>
  <c r="N26" i="2"/>
  <c r="M26" i="2"/>
  <c r="L26" i="2"/>
  <c r="K26" i="2"/>
  <c r="V23" i="2"/>
  <c r="U23" i="2"/>
  <c r="T23" i="2"/>
  <c r="S23" i="2"/>
  <c r="R23" i="2"/>
  <c r="Q23" i="2"/>
  <c r="P23" i="2"/>
  <c r="O23" i="2"/>
  <c r="N23" i="2"/>
  <c r="M23" i="2"/>
  <c r="L23" i="2"/>
  <c r="K23" i="2"/>
  <c r="H7" i="2"/>
  <c r="H13" i="2" s="1"/>
  <c r="H17" i="2" s="1"/>
  <c r="H19" i="2" s="1"/>
  <c r="H20" i="2"/>
  <c r="I20" i="2"/>
  <c r="I7" i="2"/>
  <c r="I13" i="2" s="1"/>
  <c r="I17" i="2" s="1"/>
  <c r="I19" i="2" s="1"/>
  <c r="I21" i="2" s="1"/>
  <c r="J20" i="2"/>
  <c r="J7" i="2"/>
  <c r="J13" i="2" s="1"/>
  <c r="J17" i="2" s="1"/>
  <c r="J19" i="2" s="1"/>
  <c r="K20" i="2"/>
  <c r="K7" i="2"/>
  <c r="K13" i="2" s="1"/>
  <c r="K17" i="2" s="1"/>
  <c r="K19" i="2" s="1"/>
  <c r="K30" i="2" s="1"/>
  <c r="L20" i="2"/>
  <c r="L7" i="2"/>
  <c r="L13" i="2" s="1"/>
  <c r="L17" i="2" s="1"/>
  <c r="L19" i="2" s="1"/>
  <c r="L30" i="2" s="1"/>
  <c r="M11" i="2"/>
  <c r="M20" i="2"/>
  <c r="M7" i="2"/>
  <c r="M13" i="2" s="1"/>
  <c r="M17" i="2" s="1"/>
  <c r="M19" i="2" s="1"/>
  <c r="Q11" i="2"/>
  <c r="Q20" i="2"/>
  <c r="Q7" i="2"/>
  <c r="Q24" i="2" s="1"/>
  <c r="N11" i="2"/>
  <c r="N20" i="2"/>
  <c r="N7" i="2"/>
  <c r="N24" i="2" s="1"/>
  <c r="R20" i="2"/>
  <c r="R7" i="2"/>
  <c r="R13" i="2" s="1"/>
  <c r="R17" i="2" s="1"/>
  <c r="R19" i="2" s="1"/>
  <c r="R21" i="2" s="1"/>
  <c r="O11" i="2"/>
  <c r="O20" i="2"/>
  <c r="O7" i="2"/>
  <c r="O24" i="2" s="1"/>
  <c r="S12" i="2"/>
  <c r="S20" i="2"/>
  <c r="S7" i="2"/>
  <c r="P11" i="2"/>
  <c r="P20" i="2"/>
  <c r="P7" i="2"/>
  <c r="P24" i="2" s="1"/>
  <c r="T20" i="2"/>
  <c r="T12" i="2"/>
  <c r="T7" i="2"/>
  <c r="J28" i="2"/>
  <c r="I28" i="2"/>
  <c r="H28" i="2"/>
  <c r="J26" i="2"/>
  <c r="I26" i="2"/>
  <c r="H26" i="2"/>
  <c r="F27" i="2"/>
  <c r="E27" i="2"/>
  <c r="D27" i="2"/>
  <c r="F7" i="2"/>
  <c r="F13" i="2" s="1"/>
  <c r="F17" i="2" s="1"/>
  <c r="E7" i="2"/>
  <c r="E24" i="2" s="1"/>
  <c r="D7" i="2"/>
  <c r="D24" i="2" s="1"/>
  <c r="J23" i="2"/>
  <c r="I23" i="2"/>
  <c r="H23" i="2"/>
  <c r="AJ15" i="2" l="1"/>
  <c r="AK15" i="2" s="1"/>
  <c r="AL15" i="2" s="1"/>
  <c r="AM15" i="2" s="1"/>
  <c r="AN15" i="2" s="1"/>
  <c r="AO15" i="2" s="1"/>
  <c r="AP15" i="2" s="1"/>
  <c r="AQ15" i="2" s="1"/>
  <c r="AR15" i="2" s="1"/>
  <c r="AS15" i="2" s="1"/>
  <c r="AJ14" i="2"/>
  <c r="AK14" i="2" s="1"/>
  <c r="AL14" i="2" s="1"/>
  <c r="AM14" i="2" s="1"/>
  <c r="AN14" i="2" s="1"/>
  <c r="AO14" i="2" s="1"/>
  <c r="AP14" i="2" s="1"/>
  <c r="AQ14" i="2" s="1"/>
  <c r="AR14" i="2" s="1"/>
  <c r="AS14" i="2" s="1"/>
  <c r="R24" i="2"/>
  <c r="H21" i="2"/>
  <c r="AG11" i="2"/>
  <c r="J21" i="2"/>
  <c r="T13" i="2"/>
  <c r="T17" i="2" s="1"/>
  <c r="T29" i="2" s="1"/>
  <c r="AH12" i="2"/>
  <c r="AH10" i="2"/>
  <c r="AJ10" i="2" s="1"/>
  <c r="AK10" i="2" s="1"/>
  <c r="AG7" i="2"/>
  <c r="M25" i="2"/>
  <c r="L29" i="2"/>
  <c r="AF7" i="2"/>
  <c r="S13" i="2"/>
  <c r="S17" i="2" s="1"/>
  <c r="S19" i="2" s="1"/>
  <c r="AF11" i="2"/>
  <c r="K24" i="2"/>
  <c r="M24" i="2"/>
  <c r="K25" i="2"/>
  <c r="R29" i="2"/>
  <c r="AH8" i="2"/>
  <c r="K21" i="2"/>
  <c r="L25" i="2"/>
  <c r="T25" i="2"/>
  <c r="K29" i="2"/>
  <c r="R30" i="2"/>
  <c r="M29" i="2"/>
  <c r="M21" i="2"/>
  <c r="M30" i="2"/>
  <c r="S24" i="2"/>
  <c r="L21" i="2"/>
  <c r="L24" i="2"/>
  <c r="T24" i="2"/>
  <c r="R25" i="2"/>
  <c r="AH9" i="2"/>
  <c r="V13" i="2"/>
  <c r="U13" i="2"/>
  <c r="AH6" i="2"/>
  <c r="AH7" i="2" s="1"/>
  <c r="U24" i="2"/>
  <c r="Q13" i="2"/>
  <c r="N13" i="2"/>
  <c r="O13" i="2"/>
  <c r="P13" i="2"/>
  <c r="F25" i="2"/>
  <c r="F24" i="2"/>
  <c r="D13" i="2"/>
  <c r="D17" i="2" s="1"/>
  <c r="E13" i="2"/>
  <c r="E17" i="2" s="1"/>
  <c r="G28" i="2"/>
  <c r="G26" i="2"/>
  <c r="G23" i="2"/>
  <c r="G27" i="2"/>
  <c r="G7" i="2"/>
  <c r="G24" i="2" s="1"/>
  <c r="C7" i="2"/>
  <c r="D8" i="1"/>
  <c r="AV28" i="2" s="1"/>
  <c r="D5" i="1"/>
  <c r="C27" i="2"/>
  <c r="AV31" i="2"/>
  <c r="J27" i="2"/>
  <c r="I27" i="2"/>
  <c r="AE16" i="2"/>
  <c r="AE12" i="2"/>
  <c r="AE11" i="2"/>
  <c r="AE10" i="2"/>
  <c r="AE8" i="2"/>
  <c r="AE26" i="2" s="1"/>
  <c r="H24" i="2"/>
  <c r="AC27" i="2"/>
  <c r="AD28" i="2"/>
  <c r="AD27" i="2"/>
  <c r="AD26" i="2"/>
  <c r="AD23" i="2"/>
  <c r="AC7" i="2"/>
  <c r="AC13" i="2" s="1"/>
  <c r="AC17" i="2" s="1"/>
  <c r="AD7" i="2"/>
  <c r="AD13" i="2" s="1"/>
  <c r="AD17" i="2" s="1"/>
  <c r="F3" i="1"/>
  <c r="T19" i="2" l="1"/>
  <c r="T30" i="2" s="1"/>
  <c r="S25" i="2"/>
  <c r="S29" i="2"/>
  <c r="S21" i="2"/>
  <c r="S30" i="2"/>
  <c r="P17" i="2"/>
  <c r="P25" i="2"/>
  <c r="O17" i="2"/>
  <c r="O25" i="2"/>
  <c r="N17" i="2"/>
  <c r="N25" i="2"/>
  <c r="Q17" i="2"/>
  <c r="Q25" i="2"/>
  <c r="V25" i="2"/>
  <c r="V17" i="2"/>
  <c r="U25" i="2"/>
  <c r="U17" i="2"/>
  <c r="T21" i="2"/>
  <c r="AD19" i="2"/>
  <c r="AC19" i="2"/>
  <c r="E25" i="2"/>
  <c r="D25" i="2"/>
  <c r="AE28" i="2"/>
  <c r="AL10" i="2"/>
  <c r="AM10" i="2" s="1"/>
  <c r="AN10" i="2" s="1"/>
  <c r="AO10" i="2" s="1"/>
  <c r="AP10" i="2" s="1"/>
  <c r="F19" i="2"/>
  <c r="F29" i="2"/>
  <c r="G13" i="2"/>
  <c r="G17" i="2" s="1"/>
  <c r="C13" i="2"/>
  <c r="C17" i="2" s="1"/>
  <c r="D9" i="1"/>
  <c r="C24" i="2"/>
  <c r="AC29" i="2"/>
  <c r="AD25" i="2"/>
  <c r="AD24" i="2"/>
  <c r="AE5" i="2"/>
  <c r="AD29" i="2"/>
  <c r="AC24" i="2"/>
  <c r="AC25" i="2"/>
  <c r="J24" i="2"/>
  <c r="I24" i="2"/>
  <c r="Q19" i="2" l="1"/>
  <c r="Q29" i="2"/>
  <c r="P19" i="2"/>
  <c r="P29" i="2"/>
  <c r="N19" i="2"/>
  <c r="N29" i="2"/>
  <c r="O19" i="2"/>
  <c r="O29" i="2"/>
  <c r="V19" i="2"/>
  <c r="V29" i="2"/>
  <c r="U19" i="2"/>
  <c r="AH18" i="2"/>
  <c r="U29" i="2"/>
  <c r="I25" i="2"/>
  <c r="J25" i="2"/>
  <c r="H25" i="2"/>
  <c r="AC21" i="2"/>
  <c r="AC30" i="2"/>
  <c r="AD21" i="2"/>
  <c r="AD30" i="2"/>
  <c r="C25" i="2"/>
  <c r="AP28" i="2"/>
  <c r="AQ10" i="2"/>
  <c r="F21" i="2"/>
  <c r="F30" i="2"/>
  <c r="AH26" i="2"/>
  <c r="D29" i="2"/>
  <c r="D19" i="2"/>
  <c r="E19" i="2"/>
  <c r="E29" i="2"/>
  <c r="AE23" i="2"/>
  <c r="G25" i="2"/>
  <c r="AE6" i="2"/>
  <c r="AE7" i="2" s="1"/>
  <c r="AE24" i="2" s="1"/>
  <c r="C29" i="2"/>
  <c r="H27" i="2"/>
  <c r="AF26" i="2"/>
  <c r="AE9" i="2"/>
  <c r="AE27" i="2" s="1"/>
  <c r="AF28" i="2"/>
  <c r="AH28" i="2"/>
  <c r="AG28" i="2"/>
  <c r="AI28" i="2"/>
  <c r="Q21" i="2" l="1"/>
  <c r="Q30" i="2"/>
  <c r="N21" i="2"/>
  <c r="N30" i="2"/>
  <c r="O21" i="2"/>
  <c r="O30" i="2"/>
  <c r="P21" i="2"/>
  <c r="P30" i="2"/>
  <c r="V30" i="2"/>
  <c r="V21" i="2"/>
  <c r="U21" i="2"/>
  <c r="U30" i="2"/>
  <c r="AG26" i="2"/>
  <c r="AR10" i="2"/>
  <c r="AQ28" i="2"/>
  <c r="E21" i="2"/>
  <c r="E30" i="2"/>
  <c r="D21" i="2"/>
  <c r="D30" i="2"/>
  <c r="AF23" i="2"/>
  <c r="AF27" i="2"/>
  <c r="J29" i="2"/>
  <c r="G19" i="2"/>
  <c r="G29" i="2"/>
  <c r="H29" i="2"/>
  <c r="C19" i="2"/>
  <c r="AE13" i="2"/>
  <c r="AE17" i="2" s="1"/>
  <c r="I29" i="2"/>
  <c r="AJ28" i="2"/>
  <c r="AR28" i="2" l="1"/>
  <c r="AS10" i="2"/>
  <c r="AS28" i="2" s="1"/>
  <c r="G21" i="2"/>
  <c r="G30" i="2"/>
  <c r="AJ8" i="2"/>
  <c r="AI26" i="2"/>
  <c r="AG23" i="2"/>
  <c r="AG27" i="2"/>
  <c r="C21" i="2"/>
  <c r="C30" i="2"/>
  <c r="AF13" i="2"/>
  <c r="AF25" i="2" s="1"/>
  <c r="AF24" i="2"/>
  <c r="AE25" i="2"/>
  <c r="AE18" i="2"/>
  <c r="AE29" i="2" s="1"/>
  <c r="AK28" i="2"/>
  <c r="AK8" i="2" l="1"/>
  <c r="AJ26" i="2"/>
  <c r="AH23" i="2"/>
  <c r="AG13" i="2"/>
  <c r="AG25" i="2" s="1"/>
  <c r="AH27" i="2"/>
  <c r="AG24" i="2"/>
  <c r="J30" i="2"/>
  <c r="I30" i="2"/>
  <c r="AE19" i="2"/>
  <c r="AE30" i="2" s="1"/>
  <c r="H30" i="2"/>
  <c r="AL28" i="2"/>
  <c r="AI27" i="2" l="1"/>
  <c r="AI23" i="2"/>
  <c r="AL8" i="2"/>
  <c r="AK26" i="2"/>
  <c r="AJ9" i="2"/>
  <c r="AH24" i="2"/>
  <c r="AH13" i="2"/>
  <c r="AH25" i="2" s="1"/>
  <c r="AF17" i="2"/>
  <c r="AE21" i="2"/>
  <c r="AM28" i="2"/>
  <c r="AJ27" i="2" l="1"/>
  <c r="AJ6" i="2"/>
  <c r="AM8" i="2"/>
  <c r="AL26" i="2"/>
  <c r="AF29" i="2"/>
  <c r="AJ23" i="2"/>
  <c r="AN28" i="2"/>
  <c r="AO28" i="2"/>
  <c r="AK9" i="2" l="1"/>
  <c r="AK7" i="2"/>
  <c r="AK6" i="2" s="1"/>
  <c r="AK27" i="2"/>
  <c r="AN8" i="2"/>
  <c r="AM26" i="2"/>
  <c r="AF19" i="2"/>
  <c r="AF30" i="2" s="1"/>
  <c r="AK23" i="2"/>
  <c r="AJ24" i="2"/>
  <c r="AJ13" i="2"/>
  <c r="AJ25" i="2" s="1"/>
  <c r="AL9" i="2" l="1"/>
  <c r="AL7" i="2"/>
  <c r="AO8" i="2"/>
  <c r="AN26" i="2"/>
  <c r="AG17" i="2"/>
  <c r="AF21" i="2"/>
  <c r="AK24" i="2"/>
  <c r="AK13" i="2"/>
  <c r="AK25" i="2" s="1"/>
  <c r="AL27" i="2"/>
  <c r="AL23" i="2"/>
  <c r="AM7" i="2" l="1"/>
  <c r="AM9" i="2"/>
  <c r="AM27" i="2" s="1"/>
  <c r="AO26" i="2"/>
  <c r="AP8" i="2"/>
  <c r="AN5" i="2"/>
  <c r="AM23" i="2"/>
  <c r="AL13" i="2"/>
  <c r="AL25" i="2" s="1"/>
  <c r="AL24" i="2"/>
  <c r="AL6" i="2"/>
  <c r="AN7" i="2" l="1"/>
  <c r="AN9" i="2"/>
  <c r="AN27" i="2"/>
  <c r="AP26" i="2"/>
  <c r="AQ8" i="2"/>
  <c r="AG29" i="2"/>
  <c r="AM24" i="2"/>
  <c r="AM13" i="2"/>
  <c r="AM25" i="2" s="1"/>
  <c r="AM6" i="2"/>
  <c r="AO5" i="2"/>
  <c r="AN23" i="2"/>
  <c r="AO7" i="2" l="1"/>
  <c r="AO9" i="2"/>
  <c r="AG19" i="2"/>
  <c r="AG30" i="2" s="1"/>
  <c r="AO27" i="2"/>
  <c r="AP5" i="2"/>
  <c r="AR8" i="2"/>
  <c r="AQ26" i="2"/>
  <c r="AO23" i="2"/>
  <c r="AN24" i="2"/>
  <c r="AN6" i="2"/>
  <c r="AN13" i="2"/>
  <c r="AN25" i="2" s="1"/>
  <c r="AP9" i="2" l="1"/>
  <c r="AP7" i="2"/>
  <c r="AQ5" i="2"/>
  <c r="AS8" i="2"/>
  <c r="AS26" i="2" s="1"/>
  <c r="AR26" i="2"/>
  <c r="AP23" i="2"/>
  <c r="AP27" i="2"/>
  <c r="AG21" i="2"/>
  <c r="AO13" i="2"/>
  <c r="AO25" i="2" s="1"/>
  <c r="AO24" i="2"/>
  <c r="AO6" i="2"/>
  <c r="AR5" i="2" l="1"/>
  <c r="AQ9" i="2"/>
  <c r="AQ7" i="2"/>
  <c r="AQ6" i="2" s="1"/>
  <c r="AH17" i="2"/>
  <c r="AQ23" i="2"/>
  <c r="AQ27" i="2"/>
  <c r="AP6" i="2"/>
  <c r="AP24" i="2"/>
  <c r="AP13" i="2"/>
  <c r="AP25" i="2" s="1"/>
  <c r="AS5" i="2" l="1"/>
  <c r="AR9" i="2"/>
  <c r="AR7" i="2"/>
  <c r="AR6" i="2" s="1"/>
  <c r="AH29" i="2"/>
  <c r="AH19" i="2"/>
  <c r="AR23" i="2"/>
  <c r="AR27" i="2"/>
  <c r="AQ24" i="2"/>
  <c r="AQ13" i="2"/>
  <c r="AQ25" i="2" s="1"/>
  <c r="AS9" i="2" l="1"/>
  <c r="AS27" i="2" s="1"/>
  <c r="AS7" i="2"/>
  <c r="AH30" i="2"/>
  <c r="AH21" i="2"/>
  <c r="AS23" i="2"/>
  <c r="AS6" i="2"/>
  <c r="AR13" i="2"/>
  <c r="AR25" i="2" s="1"/>
  <c r="AR24" i="2"/>
  <c r="AS13" i="2" l="1"/>
  <c r="AS25" i="2" s="1"/>
  <c r="AS24" i="2"/>
  <c r="AI13" i="2" l="1"/>
  <c r="AI25" i="2" s="1"/>
  <c r="AI7" i="2"/>
  <c r="AI24" i="2"/>
  <c r="AI17" i="2" l="1"/>
  <c r="AI29" i="2" l="1"/>
  <c r="AI19" i="2" l="1"/>
  <c r="AI21" i="2" l="1"/>
  <c r="AI30" i="2"/>
  <c r="AJ16" i="2"/>
  <c r="AJ17" i="2" s="1"/>
  <c r="AJ18" i="2" l="1"/>
  <c r="AJ29" i="2" s="1"/>
  <c r="AJ19" i="2"/>
  <c r="AJ30" i="2" l="1"/>
  <c r="AK16" i="2"/>
  <c r="AK17" i="2" s="1"/>
  <c r="AJ21" i="2"/>
  <c r="AK18" i="2" l="1"/>
  <c r="AK29" i="2" s="1"/>
  <c r="AK19" i="2" l="1"/>
  <c r="AK30" i="2" s="1"/>
  <c r="AK21" i="2" l="1"/>
  <c r="AL16" i="2"/>
  <c r="AL17" i="2" s="1"/>
  <c r="AL18" i="2" s="1"/>
  <c r="AL29" i="2" s="1"/>
  <c r="AL19" i="2" l="1"/>
  <c r="AM16" i="2" l="1"/>
  <c r="AM17" i="2" s="1"/>
  <c r="AL30" i="2"/>
  <c r="AL21" i="2"/>
  <c r="AM18" i="2" l="1"/>
  <c r="AM29" i="2" s="1"/>
  <c r="AM19" i="2" l="1"/>
  <c r="AM30" i="2" s="1"/>
  <c r="AM21" i="2" l="1"/>
  <c r="AN16" i="2"/>
  <c r="AN17" i="2" s="1"/>
  <c r="AN18" i="2" s="1"/>
  <c r="AN29" i="2" s="1"/>
  <c r="AN19" i="2" l="1"/>
  <c r="AN30" i="2" s="1"/>
  <c r="AO16" i="2" l="1"/>
  <c r="AO17" i="2" s="1"/>
  <c r="AO18" i="2" s="1"/>
  <c r="AO29" i="2" s="1"/>
  <c r="AN21" i="2"/>
  <c r="AO19" i="2" l="1"/>
  <c r="AO30" i="2" l="1"/>
  <c r="AO21" i="2"/>
  <c r="AP16" i="2"/>
  <c r="AP17" i="2" s="1"/>
  <c r="AP18" i="2" l="1"/>
  <c r="AP29" i="2" s="1"/>
  <c r="AP19" i="2" l="1"/>
  <c r="AP30" i="2" l="1"/>
  <c r="AP21" i="2"/>
  <c r="AQ16" i="2"/>
  <c r="AQ17" i="2" s="1"/>
  <c r="AQ18" i="2" l="1"/>
  <c r="AQ29" i="2" s="1"/>
  <c r="AQ19" i="2" l="1"/>
  <c r="AQ21" i="2" s="1"/>
  <c r="AQ30" i="2" l="1"/>
  <c r="AR16" i="2"/>
  <c r="AR17" i="2" s="1"/>
  <c r="AR18" i="2" s="1"/>
  <c r="AR29" i="2" l="1"/>
  <c r="AR19" i="2"/>
  <c r="AR21" i="2"/>
  <c r="AS16" i="2"/>
  <c r="AS17" i="2" s="1"/>
  <c r="AR30" i="2"/>
  <c r="AS18" i="2" l="1"/>
  <c r="AS29" i="2" s="1"/>
  <c r="AS19" i="2" l="1"/>
  <c r="AS30" i="2" l="1"/>
  <c r="AS21" i="2"/>
  <c r="AT19" i="2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AV27" i="2" s="1"/>
  <c r="AV29" i="2" s="1"/>
  <c r="AV30" i="2" s="1"/>
  <c r="AV32" i="2" s="1"/>
</calcChain>
</file>

<file path=xl/sharedStrings.xml><?xml version="1.0" encoding="utf-8"?>
<sst xmlns="http://schemas.openxmlformats.org/spreadsheetml/2006/main" count="74" uniqueCount="69">
  <si>
    <t>COIN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</si>
  <si>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</si>
  <si>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</si>
  <si>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</si>
  <si>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</si>
  <si>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</si>
  <si>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</si>
  <si>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</si>
  <si>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</si>
  <si>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</si>
  <si>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</si>
  <si>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Q121</t>
  </si>
  <si>
    <t>Q420</t>
  </si>
  <si>
    <t>Revenue</t>
  </si>
  <si>
    <t>Q221</t>
  </si>
  <si>
    <t>Q321</t>
  </si>
  <si>
    <t>Q421</t>
  </si>
  <si>
    <t>Cost of sales</t>
  </si>
  <si>
    <t>Gross profit</t>
  </si>
  <si>
    <t>R&amp;D</t>
  </si>
  <si>
    <t>S&amp;M</t>
  </si>
  <si>
    <t>G&amp;A</t>
  </si>
  <si>
    <t>Restructuring</t>
  </si>
  <si>
    <t>Other operating expense</t>
  </si>
  <si>
    <t>Operating profit</t>
  </si>
  <si>
    <t>Other income</t>
  </si>
  <si>
    <t>Pretax profit</t>
  </si>
  <si>
    <t>Taxes</t>
  </si>
  <si>
    <t>Net profit</t>
  </si>
  <si>
    <t>EPS</t>
  </si>
  <si>
    <t>Gross Margin</t>
  </si>
  <si>
    <t>Operating Margin</t>
  </si>
  <si>
    <t>Revenue y/y</t>
  </si>
  <si>
    <t>R&amp;D y/y</t>
  </si>
  <si>
    <t>G&amp;A y/y</t>
  </si>
  <si>
    <t>S&amp;M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</si>
  <si>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</si>
  <si>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</si>
  <si>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</si>
  <si>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</si>
  <si>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</si>
  <si>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</si>
  <si>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</si>
  <si>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</si>
  <si>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</si>
  <si>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Q120</t>
  </si>
  <si>
    <t>Q220</t>
  </si>
  <si>
    <t>Q320</t>
  </si>
  <si>
    <t>Net Margin</t>
  </si>
  <si>
    <t>Q224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</si>
  <si>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</si>
  <si>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</si>
  <si>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</si>
  <si>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</si>
  <si>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</si>
  <si>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</si>
  <si>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</si>
  <si>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</si>
  <si>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</si>
  <si>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</si>
  <si>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</si>
  <si>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Net investment income</t>
  </si>
  <si>
    <t>Interest expense</t>
  </si>
  <si>
    <t>BTC/USD</t>
  </si>
  <si>
    <t>Q125</t>
  </si>
  <si>
    <t>Q225</t>
  </si>
  <si>
    <t>Q325</t>
  </si>
  <si>
    <t>Q425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</si>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</sst>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4" fontId="1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</xdr:colOff>
      <xdr:row>0</xdr:row>
      <xdr:rowOff>0</xdr:rowOff>
    </xdr:from>
    <xdr:to>
      <xdr:col>22</xdr:col>
      <xdr:colOff>22860</xdr:colOff>
      <xdr:row>38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5274D5B-9DD8-4881-8A03-E92FBE4C321D}"/>
            </a:ext>
          </a:extLst>
        </xdr:cNvPr>
        <xdr:cNvCxnSpPr/>
      </xdr:nvCxnSpPr>
      <xdr:spPr>
        <a:xfrm>
          <a:off x="14287500" y="0"/>
          <a:ext cx="0" cy="7040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22860</xdr:colOff>
      <xdr:row>0</xdr:row>
      <xdr:rowOff>0</xdr:rowOff>
    </xdr:from>
    <xdr:to>
      <xdr:col>34</xdr:col>
      <xdr:colOff>22860</xdr:colOff>
      <xdr:row>37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BB9FD12-4AFE-4028-A9E6-F489FC9F2C10}"/>
            </a:ext>
          </a:extLst>
        </xdr:cNvPr>
        <xdr:cNvCxnSpPr/>
      </xdr:nvCxnSpPr>
      <xdr:spPr>
        <a:xfrm>
          <a:off x="21602700" y="0"/>
          <a:ext cx="0" cy="685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71C3-CF0B-4399-8965-62D5D383DE80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5">
        <v>170.76</v>
      </c>
      <c r="E3" s="3">
        <v>45751</v>
      </c>
      <c r="F3" s="3">
        <f ca="1">TODAY()</f>
        <v>45751</v>
      </c>
      <c r="G3" s="3">
        <v>45784</v>
      </c>
    </row>
    <row r="4" spans="2:7" x14ac:dyDescent="0.3">
      <c r="C4" t="s">
        <v>2</v>
      </c>
      <c r="D4" s="4">
        <f>210.2+43.7</f>
        <v>253.89999999999998</v>
      </c>
      <c r="E4" s="2" t="s">
        <v>60</v>
      </c>
    </row>
    <row r="5" spans="2:7" x14ac:dyDescent="0.3">
      <c r="C5" t="s">
        <v>3</v>
      </c>
      <c r="D5" s="4">
        <f>D3*D4</f>
        <v>43355.963999999993</v>
      </c>
    </row>
    <row r="6" spans="2:7" x14ac:dyDescent="0.3">
      <c r="C6" t="s">
        <v>4</v>
      </c>
      <c r="D6" s="4">
        <f>8543.9</f>
        <v>8543.9</v>
      </c>
      <c r="E6" s="2" t="s">
        <v>60</v>
      </c>
    </row>
    <row r="7" spans="2:7" x14ac:dyDescent="0.3">
      <c r="C7" t="s">
        <v>5</v>
      </c>
      <c r="D7" s="4">
        <f>4234.1</f>
        <v>4234.1000000000004</v>
      </c>
      <c r="E7" s="2" t="s">
        <v>60</v>
      </c>
    </row>
    <row r="8" spans="2:7" x14ac:dyDescent="0.3">
      <c r="C8" t="s">
        <v>6</v>
      </c>
      <c r="D8" s="4">
        <f>D6-D7</f>
        <v>4309.7999999999993</v>
      </c>
    </row>
    <row r="9" spans="2:7" x14ac:dyDescent="0.3">
      <c r="C9" t="s">
        <v>7</v>
      </c>
      <c r="D9" s="4">
        <f>D5-D8</f>
        <v>39046.16399999999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A2F9-121C-4824-AAEB-0646CE9E29D9}">
  <dimension ref="B2:FF33"/>
  <sheetViews>
    <sheetView tabSelected="1" workbookViewId="0">
      <pane xSplit="2" ySplit="2" topLeftCell="AF8" activePane="bottomRight" state="frozen"/>
      <selection pane="topRight" activeCell="C1" sqref="C1"/>
      <selection pane="bottomLeft" activeCell="A3" sqref="A3"/>
      <selection pane="bottomRight" activeCell="AV33" sqref="AV33"/>
    </sheetView>
  </sheetViews>
  <sheetFormatPr defaultRowHeight="14.4" x14ac:dyDescent="0.3"/>
  <cols>
    <col min="2" max="2" width="21.33203125" bestFit="1" customWidth="1"/>
    <col min="3" max="6" width="8.88671875" customWidth="1"/>
    <col min="43" max="44" width="8.88671875" customWidth="1"/>
    <col min="47" max="47" width="12" bestFit="1" customWidth="1"/>
    <col min="48" max="48" width="17.33203125" bestFit="1" customWidth="1"/>
  </cols>
  <sheetData>
    <row r="2" spans="2:45" x14ac:dyDescent="0.3">
      <c r="C2" s="6" t="s">
        <v>45</v>
      </c>
      <c r="D2" s="6" t="s">
        <v>46</v>
      </c>
      <c r="E2" s="6" t="s">
        <v>47</v>
      </c>
      <c r="F2" s="6" t="s">
        <v>12</v>
      </c>
      <c r="G2" s="6" t="s">
        <v>11</v>
      </c>
      <c r="H2" s="6" t="s">
        <v>14</v>
      </c>
      <c r="I2" s="6" t="s">
        <v>15</v>
      </c>
      <c r="J2" s="6" t="s">
        <v>16</v>
      </c>
      <c r="K2" s="6" t="s">
        <v>50</v>
      </c>
      <c r="L2" s="6" t="s">
        <v>51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  <c r="S2" s="6" t="s">
        <v>58</v>
      </c>
      <c r="T2" s="6" t="s">
        <v>49</v>
      </c>
      <c r="U2" s="6" t="s">
        <v>59</v>
      </c>
      <c r="V2" s="6" t="s">
        <v>60</v>
      </c>
      <c r="W2" s="6" t="s">
        <v>64</v>
      </c>
      <c r="X2" s="6" t="s">
        <v>65</v>
      </c>
      <c r="Y2" s="6" t="s">
        <v>66</v>
      </c>
      <c r="Z2" s="6" t="s">
        <v>67</v>
      </c>
      <c r="AA2" s="6"/>
      <c r="AC2">
        <v>2019</v>
      </c>
      <c r="AD2">
        <v>2020</v>
      </c>
      <c r="AE2">
        <v>2021</v>
      </c>
      <c r="AF2">
        <v>2022</v>
      </c>
      <c r="AG2">
        <v>2023</v>
      </c>
      <c r="AH2">
        <v>2024</v>
      </c>
      <c r="AI2">
        <v>2025</v>
      </c>
      <c r="AJ2">
        <v>2026</v>
      </c>
      <c r="AK2">
        <v>2027</v>
      </c>
      <c r="AL2">
        <v>2028</v>
      </c>
      <c r="AM2">
        <v>2029</v>
      </c>
      <c r="AN2">
        <v>2030</v>
      </c>
      <c r="AO2">
        <v>2031</v>
      </c>
      <c r="AP2">
        <v>2032</v>
      </c>
      <c r="AQ2">
        <v>2033</v>
      </c>
      <c r="AR2">
        <v>2034</v>
      </c>
      <c r="AS2">
        <v>2035</v>
      </c>
    </row>
    <row r="3" spans="2:45" x14ac:dyDescent="0.3">
      <c r="B3" t="s">
        <v>63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45" x14ac:dyDescent="0.3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2:45" s="1" customFormat="1" x14ac:dyDescent="0.3">
      <c r="B5" s="1" t="s">
        <v>13</v>
      </c>
      <c r="C5" s="9">
        <v>190.6</v>
      </c>
      <c r="D5" s="9">
        <v>186.4</v>
      </c>
      <c r="E5" s="9">
        <v>315.36</v>
      </c>
      <c r="F5" s="9">
        <v>585.11</v>
      </c>
      <c r="G5" s="9">
        <v>1801.1</v>
      </c>
      <c r="H5" s="9">
        <v>2228</v>
      </c>
      <c r="I5" s="9">
        <v>1311.9</v>
      </c>
      <c r="J5" s="9">
        <v>2498.5</v>
      </c>
      <c r="K5" s="9">
        <v>1166.4000000000001</v>
      </c>
      <c r="L5" s="9">
        <v>808.3</v>
      </c>
      <c r="M5" s="9">
        <v>590.29999999999995</v>
      </c>
      <c r="N5" s="9">
        <v>629.1</v>
      </c>
      <c r="O5" s="9">
        <v>772.5</v>
      </c>
      <c r="P5" s="9">
        <v>707.9</v>
      </c>
      <c r="Q5" s="9">
        <v>674.1</v>
      </c>
      <c r="R5" s="9">
        <v>953.8</v>
      </c>
      <c r="S5" s="9">
        <v>1637.6</v>
      </c>
      <c r="T5" s="9">
        <v>1449.6</v>
      </c>
      <c r="U5" s="9">
        <v>1205.2</v>
      </c>
      <c r="V5" s="9">
        <v>2271.6</v>
      </c>
      <c r="W5" s="9">
        <f>S5*1.05</f>
        <v>1719.48</v>
      </c>
      <c r="X5" s="9">
        <f>T5*0.9</f>
        <v>1304.6399999999999</v>
      </c>
      <c r="Y5" s="9">
        <f>U5*0.85</f>
        <v>1024.42</v>
      </c>
      <c r="Z5" s="9">
        <f>V5*0.9</f>
        <v>2044.44</v>
      </c>
      <c r="AA5" s="9"/>
      <c r="AC5" s="9">
        <v>533.70000000000005</v>
      </c>
      <c r="AD5" s="9">
        <v>1277.5</v>
      </c>
      <c r="AE5" s="9">
        <f>SUM(G5:J5)</f>
        <v>7839.5</v>
      </c>
      <c r="AF5" s="9">
        <f>SUM(K5:N5)</f>
        <v>3194.1</v>
      </c>
      <c r="AG5" s="9">
        <f>SUM(O5:R5)</f>
        <v>3108.3</v>
      </c>
      <c r="AH5" s="9">
        <f>SUM(S5:V5)</f>
        <v>6564</v>
      </c>
      <c r="AI5" s="9">
        <f>SUM(W5:Z5)</f>
        <v>6092.98</v>
      </c>
      <c r="AJ5" s="9">
        <f>AI5*1.25</f>
        <v>7616.2249999999995</v>
      </c>
      <c r="AK5" s="9">
        <f>AJ5*1.14</f>
        <v>8682.4964999999993</v>
      </c>
      <c r="AL5" s="9">
        <f>AK5*1.08</f>
        <v>9377.0962199999994</v>
      </c>
      <c r="AM5" s="9">
        <f>AL5*1.06</f>
        <v>9939.7219932000007</v>
      </c>
      <c r="AN5" s="9">
        <f>AM5*1.04</f>
        <v>10337.310872928001</v>
      </c>
      <c r="AO5" s="9">
        <f>AN5*1.03</f>
        <v>10647.430199115841</v>
      </c>
      <c r="AP5" s="9">
        <f t="shared" ref="AP5" si="0">AO5*1.03</f>
        <v>10966.853105089316</v>
      </c>
      <c r="AQ5" s="9">
        <f>AP5*1.02</f>
        <v>11186.190167191102</v>
      </c>
      <c r="AR5" s="9">
        <f t="shared" ref="AR5:AS5" si="1">AQ5*1.02</f>
        <v>11409.913970534924</v>
      </c>
      <c r="AS5" s="9">
        <f t="shared" si="1"/>
        <v>11638.112249945623</v>
      </c>
    </row>
    <row r="6" spans="2:45" x14ac:dyDescent="0.3">
      <c r="B6" t="s">
        <v>17</v>
      </c>
      <c r="C6" s="4">
        <v>25.4</v>
      </c>
      <c r="D6" s="4">
        <v>23.4</v>
      </c>
      <c r="E6" s="4">
        <v>36.799999999999997</v>
      </c>
      <c r="F6" s="4">
        <v>50</v>
      </c>
      <c r="G6" s="4">
        <v>234.1</v>
      </c>
      <c r="H6" s="4">
        <v>335.4</v>
      </c>
      <c r="I6" s="4">
        <v>197.3</v>
      </c>
      <c r="J6" s="4">
        <v>501.2</v>
      </c>
      <c r="K6" s="4">
        <v>277.8</v>
      </c>
      <c r="L6" s="4">
        <v>167.2</v>
      </c>
      <c r="M6" s="4">
        <v>101.9</v>
      </c>
      <c r="N6" s="4">
        <v>83</v>
      </c>
      <c r="O6" s="4">
        <v>96.4</v>
      </c>
      <c r="P6" s="4">
        <v>108.2</v>
      </c>
      <c r="Q6" s="4">
        <v>90.6</v>
      </c>
      <c r="R6" s="4">
        <v>125.6</v>
      </c>
      <c r="S6" s="4">
        <v>217.4</v>
      </c>
      <c r="T6" s="4">
        <v>191.5</v>
      </c>
      <c r="U6" s="4">
        <v>171.8</v>
      </c>
      <c r="V6" s="4">
        <v>317</v>
      </c>
      <c r="W6" s="4">
        <f>W5-W7</f>
        <v>240.72720000000004</v>
      </c>
      <c r="X6" s="4">
        <f t="shared" ref="X6:Z6" si="2">X5-X7</f>
        <v>182.64959999999996</v>
      </c>
      <c r="Y6" s="4">
        <f t="shared" si="2"/>
        <v>143.41880000000003</v>
      </c>
      <c r="Z6" s="4">
        <f t="shared" si="2"/>
        <v>286.22160000000008</v>
      </c>
      <c r="AA6" s="4"/>
      <c r="AC6" s="4">
        <v>82.1</v>
      </c>
      <c r="AD6" s="4">
        <v>135.5</v>
      </c>
      <c r="AE6" s="4">
        <f>SUM(G6:J6)</f>
        <v>1268</v>
      </c>
      <c r="AF6" s="4">
        <f>SUM(K6:N6)</f>
        <v>629.9</v>
      </c>
      <c r="AG6" s="4">
        <f>SUM(O6:R6)</f>
        <v>420.80000000000007</v>
      </c>
      <c r="AH6" s="4">
        <f>SUM(S6:V6)</f>
        <v>897.7</v>
      </c>
      <c r="AI6" s="4">
        <f>SUM(W6:Z6)</f>
        <v>853.01720000000012</v>
      </c>
      <c r="AJ6" s="4">
        <f t="shared" ref="AJ6:AO6" si="3">AJ5-AJ7</f>
        <v>1066.2714999999998</v>
      </c>
      <c r="AK6" s="4">
        <f t="shared" si="3"/>
        <v>1215.5495099999998</v>
      </c>
      <c r="AL6" s="4">
        <f t="shared" si="3"/>
        <v>1312.7934708000003</v>
      </c>
      <c r="AM6" s="4">
        <f t="shared" si="3"/>
        <v>1391.5610790480005</v>
      </c>
      <c r="AN6" s="4">
        <f t="shared" si="3"/>
        <v>1447.2235222099207</v>
      </c>
      <c r="AO6" s="4">
        <f t="shared" si="3"/>
        <v>1490.640227876218</v>
      </c>
      <c r="AP6" s="4">
        <f t="shared" ref="AP6:AS6" si="4">AP5-AP7</f>
        <v>1535.3594347125036</v>
      </c>
      <c r="AQ6" s="4">
        <f t="shared" si="4"/>
        <v>1566.0666234067539</v>
      </c>
      <c r="AR6" s="4">
        <f t="shared" si="4"/>
        <v>1597.3879558748904</v>
      </c>
      <c r="AS6" s="4">
        <f t="shared" si="4"/>
        <v>1629.3357149923868</v>
      </c>
    </row>
    <row r="7" spans="2:45" s="1" customFormat="1" x14ac:dyDescent="0.3">
      <c r="B7" s="1" t="s">
        <v>18</v>
      </c>
      <c r="C7" s="9">
        <f>C5-C6</f>
        <v>165.2</v>
      </c>
      <c r="D7" s="9">
        <f t="shared" ref="D7:F7" si="5">D5-D6</f>
        <v>163</v>
      </c>
      <c r="E7" s="9">
        <f t="shared" si="5"/>
        <v>278.56</v>
      </c>
      <c r="F7" s="9">
        <f t="shared" si="5"/>
        <v>535.11</v>
      </c>
      <c r="G7" s="9">
        <f t="shared" ref="G7:V7" si="6">G5-G6</f>
        <v>1567</v>
      </c>
      <c r="H7" s="9">
        <f t="shared" si="6"/>
        <v>1892.6</v>
      </c>
      <c r="I7" s="9">
        <f t="shared" si="6"/>
        <v>1114.6000000000001</v>
      </c>
      <c r="J7" s="9">
        <f t="shared" si="6"/>
        <v>1997.3</v>
      </c>
      <c r="K7" s="9">
        <f t="shared" si="6"/>
        <v>888.60000000000014</v>
      </c>
      <c r="L7" s="9">
        <f t="shared" si="6"/>
        <v>641.09999999999991</v>
      </c>
      <c r="M7" s="9">
        <f t="shared" si="6"/>
        <v>488.4</v>
      </c>
      <c r="N7" s="9">
        <f t="shared" si="6"/>
        <v>546.1</v>
      </c>
      <c r="O7" s="9">
        <f t="shared" si="6"/>
        <v>676.1</v>
      </c>
      <c r="P7" s="9">
        <f t="shared" si="6"/>
        <v>599.69999999999993</v>
      </c>
      <c r="Q7" s="9">
        <f t="shared" si="6"/>
        <v>583.5</v>
      </c>
      <c r="R7" s="9">
        <f t="shared" si="6"/>
        <v>828.19999999999993</v>
      </c>
      <c r="S7" s="9">
        <f t="shared" si="6"/>
        <v>1420.1999999999998</v>
      </c>
      <c r="T7" s="9">
        <f t="shared" si="6"/>
        <v>1258.0999999999999</v>
      </c>
      <c r="U7" s="9">
        <f t="shared" si="6"/>
        <v>1033.4000000000001</v>
      </c>
      <c r="V7" s="9">
        <f t="shared" si="6"/>
        <v>1954.6</v>
      </c>
      <c r="W7" s="9">
        <f>W5*0.86</f>
        <v>1478.7528</v>
      </c>
      <c r="X7" s="9">
        <f t="shared" ref="X7:Z7" si="7">X5*0.86</f>
        <v>1121.9903999999999</v>
      </c>
      <c r="Y7" s="9">
        <f t="shared" si="7"/>
        <v>881.00120000000004</v>
      </c>
      <c r="Z7" s="9">
        <f t="shared" si="7"/>
        <v>1758.2184</v>
      </c>
      <c r="AA7" s="9"/>
      <c r="AC7" s="9">
        <f>AC5-AC6</f>
        <v>451.6</v>
      </c>
      <c r="AD7" s="9">
        <f>AD5-AD6</f>
        <v>1142</v>
      </c>
      <c r="AE7" s="9">
        <f>AE5-AE6</f>
        <v>6571.5</v>
      </c>
      <c r="AF7" s="9">
        <f t="shared" ref="AF7:AI7" si="8">AF5-AF6</f>
        <v>2564.1999999999998</v>
      </c>
      <c r="AG7" s="9">
        <f t="shared" si="8"/>
        <v>2687.5</v>
      </c>
      <c r="AH7" s="9">
        <f t="shared" si="8"/>
        <v>5666.3</v>
      </c>
      <c r="AI7" s="9">
        <f t="shared" si="8"/>
        <v>5239.9627999999993</v>
      </c>
      <c r="AJ7" s="9">
        <f>AJ5*0.86</f>
        <v>6549.9534999999996</v>
      </c>
      <c r="AK7" s="9">
        <f t="shared" ref="AK7:AS7" si="9">AK5*0.86</f>
        <v>7466.9469899999995</v>
      </c>
      <c r="AL7" s="9">
        <f t="shared" si="9"/>
        <v>8064.3027491999992</v>
      </c>
      <c r="AM7" s="9">
        <f t="shared" si="9"/>
        <v>8548.1609141520003</v>
      </c>
      <c r="AN7" s="9">
        <f t="shared" si="9"/>
        <v>8890.0873507180804</v>
      </c>
      <c r="AO7" s="9">
        <f t="shared" si="9"/>
        <v>9156.7899712396229</v>
      </c>
      <c r="AP7" s="9">
        <f t="shared" si="9"/>
        <v>9431.4936703768126</v>
      </c>
      <c r="AQ7" s="9">
        <f t="shared" si="9"/>
        <v>9620.1235437843479</v>
      </c>
      <c r="AR7" s="9">
        <f t="shared" si="9"/>
        <v>9812.526014660034</v>
      </c>
      <c r="AS7" s="9">
        <f t="shared" si="9"/>
        <v>10008.776534953236</v>
      </c>
    </row>
    <row r="8" spans="2:45" x14ac:dyDescent="0.3">
      <c r="B8" t="s">
        <v>19</v>
      </c>
      <c r="C8" s="4">
        <v>47.1</v>
      </c>
      <c r="D8" s="11">
        <v>50</v>
      </c>
      <c r="E8" s="11">
        <v>63</v>
      </c>
      <c r="F8" s="11">
        <v>76</v>
      </c>
      <c r="G8" s="4">
        <v>184.2</v>
      </c>
      <c r="H8" s="4">
        <v>291.5</v>
      </c>
      <c r="I8" s="4">
        <v>356.3</v>
      </c>
      <c r="J8" s="4">
        <v>459.6</v>
      </c>
      <c r="K8" s="4">
        <v>570.70000000000005</v>
      </c>
      <c r="L8" s="4">
        <v>609.20000000000005</v>
      </c>
      <c r="M8" s="4">
        <v>556.29999999999995</v>
      </c>
      <c r="N8" s="4">
        <v>590.1</v>
      </c>
      <c r="O8" s="4">
        <v>358</v>
      </c>
      <c r="P8" s="4">
        <v>320.7</v>
      </c>
      <c r="Q8" s="4">
        <v>322.8</v>
      </c>
      <c r="R8" s="4">
        <v>323.10000000000002</v>
      </c>
      <c r="S8" s="4">
        <v>357.9</v>
      </c>
      <c r="T8" s="4">
        <v>364.3</v>
      </c>
      <c r="U8" s="4">
        <v>377.4</v>
      </c>
      <c r="V8" s="4">
        <v>368.7</v>
      </c>
      <c r="W8" s="4">
        <f>S8*1.1</f>
        <v>393.69</v>
      </c>
      <c r="X8" s="4">
        <f>T8*1.1</f>
        <v>400.73</v>
      </c>
      <c r="Y8" s="4">
        <f>U8*1.07</f>
        <v>403.81799999999998</v>
      </c>
      <c r="Z8" s="4">
        <f>V8*1.12</f>
        <v>412.94400000000002</v>
      </c>
      <c r="AA8" s="4"/>
      <c r="AC8" s="4">
        <v>185</v>
      </c>
      <c r="AD8" s="4">
        <v>271.7</v>
      </c>
      <c r="AE8" s="4">
        <f>SUM(G8:J8)</f>
        <v>1291.5999999999999</v>
      </c>
      <c r="AF8" s="4">
        <f>SUM(K8:N8)</f>
        <v>2326.3000000000002</v>
      </c>
      <c r="AG8" s="4">
        <f>SUM(O8:R8)</f>
        <v>1324.6</v>
      </c>
      <c r="AH8" s="4">
        <f>SUM(S8:V8)</f>
        <v>1468.3</v>
      </c>
      <c r="AI8" s="4">
        <f>SUM(W8:Z8)</f>
        <v>1611.182</v>
      </c>
      <c r="AJ8" s="4">
        <f>AI8*1.05</f>
        <v>1691.7411000000002</v>
      </c>
      <c r="AK8" s="4">
        <f>AJ8*1.04</f>
        <v>1759.4107440000002</v>
      </c>
      <c r="AL8" s="4">
        <f>AK8*1.03</f>
        <v>1812.1930663200003</v>
      </c>
      <c r="AM8" s="4">
        <f t="shared" ref="AM8:AO8" si="10">AL8*1.03</f>
        <v>1866.5588583096003</v>
      </c>
      <c r="AN8" s="4">
        <f t="shared" si="10"/>
        <v>1922.5556240588883</v>
      </c>
      <c r="AO8" s="4">
        <f t="shared" si="10"/>
        <v>1980.2322927806549</v>
      </c>
      <c r="AP8" s="4">
        <f t="shared" ref="AP8" si="11">AO8*1.03</f>
        <v>2039.6392615640746</v>
      </c>
      <c r="AQ8" s="4">
        <f t="shared" ref="AQ8" si="12">AP8*1.03</f>
        <v>2100.8284394109969</v>
      </c>
      <c r="AR8" s="4">
        <f t="shared" ref="AR8" si="13">AQ8*1.03</f>
        <v>2163.8532925933268</v>
      </c>
      <c r="AS8" s="4">
        <f t="shared" ref="AS8" si="14">AR8*1.03</f>
        <v>2228.7688913711268</v>
      </c>
    </row>
    <row r="9" spans="2:45" x14ac:dyDescent="0.3">
      <c r="B9" t="s">
        <v>20</v>
      </c>
      <c r="C9" s="4">
        <v>9.9</v>
      </c>
      <c r="D9" s="11">
        <v>11</v>
      </c>
      <c r="E9" s="11">
        <v>20</v>
      </c>
      <c r="F9" s="11">
        <v>40</v>
      </c>
      <c r="G9" s="4">
        <v>118</v>
      </c>
      <c r="H9" s="4">
        <v>195.7</v>
      </c>
      <c r="I9" s="4">
        <v>105.4</v>
      </c>
      <c r="J9" s="4">
        <v>244.6</v>
      </c>
      <c r="K9" s="4">
        <v>200.2</v>
      </c>
      <c r="L9" s="4">
        <v>140.9</v>
      </c>
      <c r="M9" s="4">
        <v>75.900000000000006</v>
      </c>
      <c r="N9" s="4">
        <v>93.1</v>
      </c>
      <c r="O9" s="4">
        <v>64</v>
      </c>
      <c r="P9" s="4">
        <v>83.9</v>
      </c>
      <c r="Q9" s="4">
        <v>78.2</v>
      </c>
      <c r="R9" s="4">
        <v>106.3</v>
      </c>
      <c r="S9" s="4">
        <v>98.9</v>
      </c>
      <c r="T9" s="4">
        <v>165.3</v>
      </c>
      <c r="U9" s="4">
        <v>164.8</v>
      </c>
      <c r="V9" s="4">
        <v>225.8</v>
      </c>
      <c r="W9" s="4">
        <f>W5*0.06</f>
        <v>103.16879999999999</v>
      </c>
      <c r="X9" s="4">
        <f>X5*0.12</f>
        <v>156.55679999999998</v>
      </c>
      <c r="Y9" s="4">
        <f>Y5*0.13</f>
        <v>133.17460000000003</v>
      </c>
      <c r="Z9" s="4">
        <f>Z5*0.11</f>
        <v>224.88840000000002</v>
      </c>
      <c r="AA9" s="4"/>
      <c r="AC9" s="4">
        <v>24.2</v>
      </c>
      <c r="AD9" s="4">
        <v>56.8</v>
      </c>
      <c r="AE9" s="4">
        <f>SUM(G9:J9)</f>
        <v>663.7</v>
      </c>
      <c r="AF9" s="4">
        <f>SUM(K9:N9)</f>
        <v>510.1</v>
      </c>
      <c r="AG9" s="4">
        <f>SUM(O9:R9)</f>
        <v>332.40000000000003</v>
      </c>
      <c r="AH9" s="4">
        <f>SUM(S9:V9)</f>
        <v>654.80000000000007</v>
      </c>
      <c r="AI9" s="4">
        <f>SUM(W9:Z9)</f>
        <v>617.78860000000009</v>
      </c>
      <c r="AJ9" s="4">
        <f>AJ5*0.09</f>
        <v>685.46024999999997</v>
      </c>
      <c r="AK9" s="4">
        <f>AK5*0.09</f>
        <v>781.42468499999995</v>
      </c>
      <c r="AL9" s="4">
        <f t="shared" ref="AL9:AS9" si="15">AL5*0.09</f>
        <v>843.93865979999987</v>
      </c>
      <c r="AM9" s="4">
        <f t="shared" si="15"/>
        <v>894.57497938800009</v>
      </c>
      <c r="AN9" s="4">
        <f t="shared" si="15"/>
        <v>930.35797856352008</v>
      </c>
      <c r="AO9" s="4">
        <f t="shared" si="15"/>
        <v>958.26871792042562</v>
      </c>
      <c r="AP9" s="4">
        <f t="shared" si="15"/>
        <v>987.0167794580384</v>
      </c>
      <c r="AQ9" s="4">
        <f t="shared" si="15"/>
        <v>1006.7571150471991</v>
      </c>
      <c r="AR9" s="4">
        <f t="shared" si="15"/>
        <v>1026.8922573481432</v>
      </c>
      <c r="AS9" s="4">
        <f t="shared" si="15"/>
        <v>1047.430102495106</v>
      </c>
    </row>
    <row r="10" spans="2:45" x14ac:dyDescent="0.3">
      <c r="B10" t="s">
        <v>21</v>
      </c>
      <c r="C10" s="4">
        <v>59</v>
      </c>
      <c r="D10" s="11">
        <v>63</v>
      </c>
      <c r="E10" s="11">
        <v>70</v>
      </c>
      <c r="F10" s="11">
        <v>95</v>
      </c>
      <c r="G10" s="4">
        <v>121.2</v>
      </c>
      <c r="H10" s="4">
        <v>248.2</v>
      </c>
      <c r="I10" s="4">
        <v>242.6</v>
      </c>
      <c r="J10" s="4">
        <v>297.3</v>
      </c>
      <c r="K10" s="4">
        <v>413.6</v>
      </c>
      <c r="L10" s="4">
        <v>470.2</v>
      </c>
      <c r="M10" s="4">
        <v>339.2</v>
      </c>
      <c r="N10" s="4">
        <v>377.7</v>
      </c>
      <c r="O10" s="4">
        <v>248.8</v>
      </c>
      <c r="P10" s="4">
        <v>259</v>
      </c>
      <c r="Q10" s="4">
        <v>252.6</v>
      </c>
      <c r="R10" s="4">
        <v>280.89999999999998</v>
      </c>
      <c r="S10" s="4">
        <v>287.2</v>
      </c>
      <c r="T10" s="4">
        <v>320.10000000000002</v>
      </c>
      <c r="U10" s="4">
        <v>330.4</v>
      </c>
      <c r="V10" s="4">
        <v>362.5</v>
      </c>
      <c r="W10" s="4">
        <f>S10*1.2</f>
        <v>344.64</v>
      </c>
      <c r="X10" s="4">
        <f>T10*1.12</f>
        <v>358.51200000000006</v>
      </c>
      <c r="Y10" s="4">
        <f>U10*1.12</f>
        <v>370.048</v>
      </c>
      <c r="Z10" s="4">
        <f>V10*1.1</f>
        <v>398.75000000000006</v>
      </c>
      <c r="AA10" s="4"/>
      <c r="AC10" s="4">
        <v>231.9</v>
      </c>
      <c r="AD10" s="4">
        <v>279.89999999999998</v>
      </c>
      <c r="AE10" s="4">
        <f>SUM(G10:J10)</f>
        <v>909.3</v>
      </c>
      <c r="AF10" s="4">
        <f>SUM(K10:N10)</f>
        <v>1600.7</v>
      </c>
      <c r="AG10" s="4">
        <f>SUM(O10:R10)</f>
        <v>1041.3</v>
      </c>
      <c r="AH10" s="4">
        <f>SUM(S10:V10)</f>
        <v>1300.1999999999998</v>
      </c>
      <c r="AI10" s="4">
        <f>SUM(W10:Z10)</f>
        <v>1471.95</v>
      </c>
      <c r="AJ10" s="4">
        <f>AI10*1.06</f>
        <v>1560.2670000000001</v>
      </c>
      <c r="AK10" s="4">
        <f>AJ10*1.04</f>
        <v>1622.67768</v>
      </c>
      <c r="AL10" s="4">
        <f>AK10*1.03</f>
        <v>1671.3580104</v>
      </c>
      <c r="AM10" s="4">
        <f>AL10*1.02</f>
        <v>1704.785170608</v>
      </c>
      <c r="AN10" s="4">
        <f t="shared" ref="AN10:AO10" si="16">AM10*1.02</f>
        <v>1738.88087402016</v>
      </c>
      <c r="AO10" s="4">
        <f t="shared" si="16"/>
        <v>1773.6584915005633</v>
      </c>
      <c r="AP10" s="4">
        <f t="shared" ref="AP10" si="17">AO10*1.02</f>
        <v>1809.1316613305746</v>
      </c>
      <c r="AQ10" s="4">
        <f t="shared" ref="AQ10" si="18">AP10*1.02</f>
        <v>1845.314294557186</v>
      </c>
      <c r="AR10" s="4">
        <f t="shared" ref="AR10" si="19">AQ10*1.02</f>
        <v>1882.2205804483299</v>
      </c>
      <c r="AS10" s="4">
        <f t="shared" ref="AS10" si="20">AR10*1.02</f>
        <v>1919.8649920572966</v>
      </c>
    </row>
    <row r="11" spans="2:45" x14ac:dyDescent="0.3">
      <c r="B11" t="s">
        <v>22</v>
      </c>
      <c r="C11" s="4">
        <v>0</v>
      </c>
      <c r="D11" s="11">
        <v>0</v>
      </c>
      <c r="E11" s="11">
        <v>0</v>
      </c>
      <c r="F11" s="11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42.5</v>
      </c>
      <c r="M11" s="4">
        <f>-1.2+12.2</f>
        <v>11</v>
      </c>
      <c r="N11" s="4">
        <f>67.2-0.5</f>
        <v>66.7</v>
      </c>
      <c r="O11" s="4">
        <f>18+144.5</f>
        <v>162.5</v>
      </c>
      <c r="P11" s="4">
        <f>-8.1-1</f>
        <v>-9.1</v>
      </c>
      <c r="Q11" s="4">
        <f>-0.9+7.2</f>
        <v>6.3</v>
      </c>
      <c r="R11" s="4">
        <v>-51.8</v>
      </c>
      <c r="S11" s="4">
        <v>0</v>
      </c>
      <c r="T11" s="4">
        <v>0</v>
      </c>
      <c r="U11" s="4">
        <v>-0.1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/>
      <c r="AC11" s="4">
        <v>10.1</v>
      </c>
      <c r="AD11" s="4">
        <v>0</v>
      </c>
      <c r="AE11" s="4">
        <f>SUM(G11:J11)</f>
        <v>0</v>
      </c>
      <c r="AF11" s="4">
        <f>SUM(K11:N11)</f>
        <v>120.2</v>
      </c>
      <c r="AG11" s="4">
        <f>SUM(O11:R11)</f>
        <v>107.90000000000002</v>
      </c>
      <c r="AH11" s="4">
        <f>SUM(S11:V11)</f>
        <v>-0.1</v>
      </c>
      <c r="AI11" s="4">
        <f>SUM(W11:Z11)</f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</row>
    <row r="12" spans="2:45" x14ac:dyDescent="0.3">
      <c r="B12" t="s">
        <v>23</v>
      </c>
      <c r="C12" s="4">
        <v>10.4</v>
      </c>
      <c r="D12" s="4">
        <v>-3.3</v>
      </c>
      <c r="E12" s="4">
        <v>20.399999999999999</v>
      </c>
      <c r="F12" s="4">
        <v>97.1</v>
      </c>
      <c r="G12" s="4">
        <v>155.9</v>
      </c>
      <c r="H12" s="4">
        <v>282.39999999999998</v>
      </c>
      <c r="I12" s="4">
        <v>118.5</v>
      </c>
      <c r="J12" s="4">
        <v>73.5</v>
      </c>
      <c r="K12" s="4">
        <v>256.7</v>
      </c>
      <c r="L12" s="4">
        <v>422.8</v>
      </c>
      <c r="M12" s="4">
        <v>62.6</v>
      </c>
      <c r="N12" s="4">
        <v>-26.6</v>
      </c>
      <c r="O12" s="4">
        <v>-33.200000000000003</v>
      </c>
      <c r="P12" s="4">
        <v>18.899999999999999</v>
      </c>
      <c r="Q12" s="4">
        <v>3.5</v>
      </c>
      <c r="R12" s="4">
        <v>54.1</v>
      </c>
      <c r="S12" s="4">
        <f>-86.4+2.4</f>
        <v>-84</v>
      </c>
      <c r="T12" s="4">
        <f>31+34.4</f>
        <v>65.400000000000006</v>
      </c>
      <c r="U12" s="4">
        <v>-8.6</v>
      </c>
      <c r="V12" s="4">
        <f>-16.2-20.3</f>
        <v>-36.5</v>
      </c>
      <c r="W12" s="4">
        <v>0</v>
      </c>
      <c r="X12" s="4">
        <v>0</v>
      </c>
      <c r="Y12" s="4">
        <v>0</v>
      </c>
      <c r="Z12" s="4">
        <v>0</v>
      </c>
      <c r="AA12" s="4"/>
      <c r="AC12" s="4">
        <v>46.2</v>
      </c>
      <c r="AD12" s="4">
        <v>124.6</v>
      </c>
      <c r="AE12" s="4">
        <f>SUM(G12:J12)</f>
        <v>630.29999999999995</v>
      </c>
      <c r="AF12" s="4">
        <f>SUM(K12:N12)</f>
        <v>715.5</v>
      </c>
      <c r="AG12" s="4">
        <f>SUM(O12:R12)</f>
        <v>43.3</v>
      </c>
      <c r="AH12" s="4">
        <f>SUM(S12:V12)</f>
        <v>-63.699999999999996</v>
      </c>
      <c r="AI12" s="4">
        <f>SUM(W12:Z12)</f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</row>
    <row r="13" spans="2:45" s="1" customFormat="1" x14ac:dyDescent="0.3">
      <c r="B13" s="1" t="s">
        <v>24</v>
      </c>
      <c r="C13" s="9">
        <f>C7-C8-C9-C10-C11-C12</f>
        <v>38.79999999999999</v>
      </c>
      <c r="D13" s="9">
        <f t="shared" ref="D13:F13" si="21">D7-D8-D9-D10-D11-D12</f>
        <v>42.3</v>
      </c>
      <c r="E13" s="9">
        <f t="shared" si="21"/>
        <v>105.16</v>
      </c>
      <c r="F13" s="9">
        <f t="shared" si="21"/>
        <v>227.01000000000002</v>
      </c>
      <c r="G13" s="9">
        <f t="shared" ref="G13:T13" si="22">G7-G8-G9-G10-G11-G12</f>
        <v>987.69999999999993</v>
      </c>
      <c r="H13" s="9">
        <f t="shared" si="22"/>
        <v>874.79999999999984</v>
      </c>
      <c r="I13" s="9">
        <f t="shared" si="22"/>
        <v>291.80000000000018</v>
      </c>
      <c r="J13" s="9">
        <f t="shared" si="22"/>
        <v>922.3</v>
      </c>
      <c r="K13" s="9">
        <f t="shared" si="22"/>
        <v>-552.59999999999991</v>
      </c>
      <c r="L13" s="9">
        <f t="shared" si="22"/>
        <v>-1044.5000000000002</v>
      </c>
      <c r="M13" s="9">
        <f t="shared" si="22"/>
        <v>-556.6</v>
      </c>
      <c r="N13" s="9">
        <f t="shared" si="22"/>
        <v>-554.9</v>
      </c>
      <c r="O13" s="9">
        <f t="shared" si="22"/>
        <v>-123.99999999999999</v>
      </c>
      <c r="P13" s="9">
        <f t="shared" si="22"/>
        <v>-73.70000000000006</v>
      </c>
      <c r="Q13" s="9">
        <f t="shared" si="22"/>
        <v>-79.899999999999991</v>
      </c>
      <c r="R13" s="9">
        <f t="shared" si="22"/>
        <v>115.59999999999994</v>
      </c>
      <c r="S13" s="9">
        <f t="shared" si="22"/>
        <v>760.19999999999982</v>
      </c>
      <c r="T13" s="9">
        <f t="shared" si="22"/>
        <v>343</v>
      </c>
      <c r="U13" s="9">
        <f t="shared" ref="U13:Z13" si="23">U7-U8-U9-U10-U11-U12</f>
        <v>169.50000000000011</v>
      </c>
      <c r="V13" s="9">
        <f t="shared" si="23"/>
        <v>1034.0999999999999</v>
      </c>
      <c r="W13" s="9">
        <f t="shared" si="23"/>
        <v>637.25399999999991</v>
      </c>
      <c r="X13" s="9">
        <f t="shared" si="23"/>
        <v>206.19159999999988</v>
      </c>
      <c r="Y13" s="9">
        <f t="shared" si="23"/>
        <v>-26.039400000000001</v>
      </c>
      <c r="Z13" s="9">
        <f t="shared" si="23"/>
        <v>721.63599999999997</v>
      </c>
      <c r="AA13" s="9"/>
      <c r="AC13" s="9">
        <f>AC7-AC8-AC9-AC10-AC11-AC12</f>
        <v>-45.799999999999976</v>
      </c>
      <c r="AD13" s="9">
        <f>AD7-AD8-AD9-AD10-AD11-AD12</f>
        <v>409</v>
      </c>
      <c r="AE13" s="9">
        <f>AE7-AE8-AE9-AE10-AE11-AE12</f>
        <v>3076.5999999999995</v>
      </c>
      <c r="AF13" s="9">
        <f>AF7-AF8-AF9-AF10-AF11-AF12</f>
        <v>-2708.6000000000004</v>
      </c>
      <c r="AG13" s="9">
        <f t="shared" ref="AG13:AO13" si="24">AG7-AG8-AG9-AG10-AG11-AG12</f>
        <v>-161.99999999999997</v>
      </c>
      <c r="AH13" s="9">
        <f t="shared" si="24"/>
        <v>2306.7999999999997</v>
      </c>
      <c r="AI13" s="9">
        <f t="shared" si="24"/>
        <v>1539.0421999999996</v>
      </c>
      <c r="AJ13" s="9">
        <f t="shared" si="24"/>
        <v>2612.4851499999995</v>
      </c>
      <c r="AK13" s="9">
        <f t="shared" si="24"/>
        <v>3303.4338809999999</v>
      </c>
      <c r="AL13" s="9">
        <f t="shared" si="24"/>
        <v>3736.8130126799988</v>
      </c>
      <c r="AM13" s="9">
        <f t="shared" si="24"/>
        <v>4082.2419058463993</v>
      </c>
      <c r="AN13" s="9">
        <f t="shared" si="24"/>
        <v>4298.2928740755115</v>
      </c>
      <c r="AO13" s="9">
        <f t="shared" si="24"/>
        <v>4444.6304690379793</v>
      </c>
      <c r="AP13" s="9">
        <f t="shared" ref="AP13:AS13" si="25">AP7-AP8-AP9-AP10-AP11-AP12</f>
        <v>4595.7059680241255</v>
      </c>
      <c r="AQ13" s="9">
        <f t="shared" si="25"/>
        <v>4667.2236947689653</v>
      </c>
      <c r="AR13" s="9">
        <f t="shared" si="25"/>
        <v>4739.5598842702339</v>
      </c>
      <c r="AS13" s="9">
        <f t="shared" si="25"/>
        <v>4812.7125490297076</v>
      </c>
    </row>
    <row r="14" spans="2:45" s="1" customFormat="1" x14ac:dyDescent="0.3">
      <c r="B14" t="s">
        <v>62</v>
      </c>
      <c r="C14" s="9"/>
      <c r="D14" s="9"/>
      <c r="E14" s="9"/>
      <c r="F14" s="9"/>
      <c r="G14" s="9"/>
      <c r="H14" s="4">
        <v>0.7</v>
      </c>
      <c r="I14" s="4">
        <v>0</v>
      </c>
      <c r="J14" s="4">
        <v>0</v>
      </c>
      <c r="K14" s="4">
        <v>22.1</v>
      </c>
      <c r="L14" s="4">
        <v>23.7</v>
      </c>
      <c r="M14" s="4">
        <v>21.5</v>
      </c>
      <c r="N14" s="4">
        <v>21.6</v>
      </c>
      <c r="O14" s="4">
        <v>21.5</v>
      </c>
      <c r="P14" s="4">
        <v>21.7</v>
      </c>
      <c r="Q14" s="4">
        <v>20.8</v>
      </c>
      <c r="R14" s="4">
        <v>18.7</v>
      </c>
      <c r="S14" s="4">
        <v>19.100000000000001</v>
      </c>
      <c r="T14" s="4">
        <v>20.5</v>
      </c>
      <c r="U14" s="4">
        <v>20.5</v>
      </c>
      <c r="V14" s="4">
        <v>20.5</v>
      </c>
      <c r="W14" s="4">
        <v>21</v>
      </c>
      <c r="X14" s="4">
        <v>21</v>
      </c>
      <c r="Y14" s="4">
        <v>21</v>
      </c>
      <c r="Z14" s="4">
        <v>21</v>
      </c>
      <c r="AA14" s="9"/>
      <c r="AC14" s="9"/>
      <c r="AD14" s="9"/>
      <c r="AE14" s="9"/>
      <c r="AF14" s="4">
        <f>SUM(K14:N14)</f>
        <v>88.9</v>
      </c>
      <c r="AG14" s="4">
        <f>SUM(O14:R14)</f>
        <v>82.7</v>
      </c>
      <c r="AH14" s="4">
        <f>SUM(S14:V14)</f>
        <v>80.599999999999994</v>
      </c>
      <c r="AI14" s="4">
        <f>SUM(W14:Z14)</f>
        <v>84</v>
      </c>
      <c r="AJ14" s="4">
        <f t="shared" ref="AJ14:AS14" si="26">AI14*1.03</f>
        <v>86.52</v>
      </c>
      <c r="AK14" s="4">
        <f t="shared" si="26"/>
        <v>89.115600000000001</v>
      </c>
      <c r="AL14" s="4">
        <f t="shared" si="26"/>
        <v>91.789068</v>
      </c>
      <c r="AM14" s="4">
        <f t="shared" si="26"/>
        <v>94.542740039999998</v>
      </c>
      <c r="AN14" s="4">
        <f t="shared" si="26"/>
        <v>97.379022241200005</v>
      </c>
      <c r="AO14" s="4">
        <f t="shared" si="26"/>
        <v>100.30039290843601</v>
      </c>
      <c r="AP14" s="4">
        <f t="shared" si="26"/>
        <v>103.3094046956891</v>
      </c>
      <c r="AQ14" s="4">
        <f t="shared" si="26"/>
        <v>106.40868683655977</v>
      </c>
      <c r="AR14" s="4">
        <f t="shared" si="26"/>
        <v>109.60094744165656</v>
      </c>
      <c r="AS14" s="4">
        <f t="shared" si="26"/>
        <v>112.88897586490626</v>
      </c>
    </row>
    <row r="15" spans="2:45" s="1" customFormat="1" x14ac:dyDescent="0.3">
      <c r="B15" t="s">
        <v>61</v>
      </c>
      <c r="C15" s="9"/>
      <c r="D15" s="9"/>
      <c r="E15" s="9"/>
      <c r="F15" s="9"/>
      <c r="G15" s="9"/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-650.4</v>
      </c>
      <c r="T15" s="4">
        <v>319</v>
      </c>
      <c r="U15" s="4">
        <v>120.5</v>
      </c>
      <c r="V15" s="4">
        <v>-476.2</v>
      </c>
      <c r="W15" s="4">
        <v>0</v>
      </c>
      <c r="X15" s="4">
        <v>0</v>
      </c>
      <c r="Y15" s="4">
        <v>0</v>
      </c>
      <c r="Z15" s="4">
        <v>0</v>
      </c>
      <c r="AA15" s="9"/>
      <c r="AC15" s="9"/>
      <c r="AD15" s="9"/>
      <c r="AE15" s="9"/>
      <c r="AF15" s="4">
        <f>SUM(K15:N15)</f>
        <v>0</v>
      </c>
      <c r="AG15" s="4">
        <f>SUM(O15:R15)</f>
        <v>0</v>
      </c>
      <c r="AH15" s="4">
        <f>SUM(S15:V15)</f>
        <v>-687.09999999999991</v>
      </c>
      <c r="AI15" s="4">
        <f>SUM(W15:Z15)</f>
        <v>0</v>
      </c>
      <c r="AJ15" s="4">
        <f t="shared" ref="AJ15:AS15" si="27">AI15*1.03</f>
        <v>0</v>
      </c>
      <c r="AK15" s="4">
        <f t="shared" si="27"/>
        <v>0</v>
      </c>
      <c r="AL15" s="4">
        <f t="shared" si="27"/>
        <v>0</v>
      </c>
      <c r="AM15" s="4">
        <f t="shared" si="27"/>
        <v>0</v>
      </c>
      <c r="AN15" s="4">
        <f t="shared" si="27"/>
        <v>0</v>
      </c>
      <c r="AO15" s="4">
        <f t="shared" si="27"/>
        <v>0</v>
      </c>
      <c r="AP15" s="4">
        <f t="shared" si="27"/>
        <v>0</v>
      </c>
      <c r="AQ15" s="4">
        <f t="shared" si="27"/>
        <v>0</v>
      </c>
      <c r="AR15" s="4">
        <f t="shared" si="27"/>
        <v>0</v>
      </c>
      <c r="AS15" s="4">
        <f t="shared" si="27"/>
        <v>0</v>
      </c>
    </row>
    <row r="16" spans="2:45" x14ac:dyDescent="0.3">
      <c r="B16" t="s">
        <v>25</v>
      </c>
      <c r="C16" s="4">
        <v>3.9</v>
      </c>
      <c r="D16" s="4">
        <v>4</v>
      </c>
      <c r="E16" s="4">
        <v>-1.2</v>
      </c>
      <c r="F16" s="4">
        <v>-6.2</v>
      </c>
      <c r="G16" s="4">
        <v>-9</v>
      </c>
      <c r="H16" s="4">
        <v>5.0999999999999996</v>
      </c>
      <c r="I16" s="4">
        <v>20.9</v>
      </c>
      <c r="J16" s="4">
        <v>31.8</v>
      </c>
      <c r="K16" s="4">
        <v>32.799999999999997</v>
      </c>
      <c r="L16" s="4">
        <v>172.5</v>
      </c>
      <c r="M16" s="4">
        <v>65.7</v>
      </c>
      <c r="N16" s="4">
        <v>-5.6</v>
      </c>
      <c r="O16" s="4">
        <v>20.3</v>
      </c>
      <c r="P16" s="4">
        <v>-16.600000000000001</v>
      </c>
      <c r="Q16" s="4">
        <v>-135.30000000000001</v>
      </c>
      <c r="R16" s="4">
        <v>-36</v>
      </c>
      <c r="S16" s="4">
        <v>-45.6</v>
      </c>
      <c r="T16" s="4">
        <v>63.8</v>
      </c>
      <c r="U16" s="4">
        <v>-40.1</v>
      </c>
      <c r="V16" s="4">
        <v>-7.2</v>
      </c>
      <c r="W16" s="4">
        <v>0</v>
      </c>
      <c r="X16" s="4">
        <v>0</v>
      </c>
      <c r="Y16" s="4">
        <v>0</v>
      </c>
      <c r="Z16" s="4">
        <v>0</v>
      </c>
      <c r="AA16" s="4"/>
      <c r="AC16" s="4">
        <v>-0.4</v>
      </c>
      <c r="AD16" s="4">
        <v>-0.2</v>
      </c>
      <c r="AE16" s="4">
        <f>SUM(G16:J16)</f>
        <v>48.8</v>
      </c>
      <c r="AF16" s="4">
        <f>SUM(K16:N16)</f>
        <v>265.39999999999998</v>
      </c>
      <c r="AG16" s="4">
        <f>SUM(O16:R16)</f>
        <v>-167.60000000000002</v>
      </c>
      <c r="AH16" s="4">
        <f>SUM(S16:V16)</f>
        <v>-29.100000000000005</v>
      </c>
      <c r="AI16" s="4">
        <f>SUM(W16:Z16)</f>
        <v>0</v>
      </c>
      <c r="AJ16" s="4">
        <f t="shared" ref="AJ16:AO16" si="28">-AI19*0.01</f>
        <v>-12.367858699999998</v>
      </c>
      <c r="AK16" s="4">
        <f t="shared" si="28"/>
        <v>-20.306664069599996</v>
      </c>
      <c r="AL16" s="4">
        <f t="shared" si="28"/>
        <v>-25.876999560556801</v>
      </c>
      <c r="AM16" s="4">
        <f t="shared" si="28"/>
        <v>-29.367207553924445</v>
      </c>
      <c r="AN16" s="4">
        <f t="shared" si="28"/>
        <v>-32.13653098688259</v>
      </c>
      <c r="AO16" s="4">
        <f t="shared" si="28"/>
        <v>-33.864403062569558</v>
      </c>
      <c r="AP16" s="4">
        <f t="shared" ref="AP16" si="29">-AO19*0.01</f>
        <v>-35.025555833536899</v>
      </c>
      <c r="AQ16" s="4">
        <f t="shared" ref="AQ16" si="30">-AP19*0.01</f>
        <v>-36.219376953295786</v>
      </c>
      <c r="AR16" s="4">
        <f t="shared" ref="AR16" si="31">-AQ19*0.01</f>
        <v>-36.776275079085615</v>
      </c>
      <c r="AS16" s="4">
        <f t="shared" ref="AS16" si="32">-AR19*0.01</f>
        <v>-37.333881695261297</v>
      </c>
    </row>
    <row r="17" spans="2:162" s="1" customFormat="1" x14ac:dyDescent="0.3">
      <c r="B17" s="1" t="s">
        <v>26</v>
      </c>
      <c r="C17" s="9">
        <f t="shared" ref="C17:G17" si="33">C13-C14-C15-C16</f>
        <v>34.899999999999991</v>
      </c>
      <c r="D17" s="9">
        <f t="shared" si="33"/>
        <v>38.299999999999997</v>
      </c>
      <c r="E17" s="9">
        <f t="shared" si="33"/>
        <v>106.36</v>
      </c>
      <c r="F17" s="9">
        <f t="shared" si="33"/>
        <v>233.21</v>
      </c>
      <c r="G17" s="9">
        <f t="shared" si="33"/>
        <v>996.69999999999993</v>
      </c>
      <c r="H17" s="9">
        <f t="shared" ref="H17:T17" si="34">H13-H14-H15-H16</f>
        <v>868.99999999999977</v>
      </c>
      <c r="I17" s="9">
        <f t="shared" si="34"/>
        <v>270.9000000000002</v>
      </c>
      <c r="J17" s="9">
        <f t="shared" si="34"/>
        <v>890.5</v>
      </c>
      <c r="K17" s="9">
        <f t="shared" si="34"/>
        <v>-607.49999999999989</v>
      </c>
      <c r="L17" s="9">
        <f t="shared" si="34"/>
        <v>-1240.7000000000003</v>
      </c>
      <c r="M17" s="9">
        <f t="shared" si="34"/>
        <v>-643.80000000000007</v>
      </c>
      <c r="N17" s="9">
        <f t="shared" si="34"/>
        <v>-570.9</v>
      </c>
      <c r="O17" s="9">
        <f t="shared" si="34"/>
        <v>-165.8</v>
      </c>
      <c r="P17" s="9">
        <f t="shared" si="34"/>
        <v>-78.800000000000068</v>
      </c>
      <c r="Q17" s="9">
        <f t="shared" si="34"/>
        <v>34.600000000000023</v>
      </c>
      <c r="R17" s="9">
        <f t="shared" si="34"/>
        <v>132.89999999999992</v>
      </c>
      <c r="S17" s="9">
        <f t="shared" si="34"/>
        <v>1437.0999999999997</v>
      </c>
      <c r="T17" s="9">
        <f t="shared" si="34"/>
        <v>-60.3</v>
      </c>
      <c r="U17" s="9">
        <f t="shared" ref="U17:Z17" si="35">U13-U14-U15-U16</f>
        <v>68.600000000000108</v>
      </c>
      <c r="V17" s="9">
        <f t="shared" si="35"/>
        <v>1497</v>
      </c>
      <c r="W17" s="9">
        <f t="shared" si="35"/>
        <v>616.25399999999991</v>
      </c>
      <c r="X17" s="9">
        <f t="shared" si="35"/>
        <v>185.19159999999988</v>
      </c>
      <c r="Y17" s="9">
        <f t="shared" si="35"/>
        <v>-47.039400000000001</v>
      </c>
      <c r="Z17" s="9">
        <f t="shared" si="35"/>
        <v>700.63599999999997</v>
      </c>
      <c r="AA17" s="9"/>
      <c r="AC17" s="9">
        <f t="shared" ref="AC17:AS17" si="36">AC13-AC14-AC15-AC16</f>
        <v>-45.399999999999977</v>
      </c>
      <c r="AD17" s="9">
        <f t="shared" si="36"/>
        <v>409.2</v>
      </c>
      <c r="AE17" s="9">
        <f t="shared" si="36"/>
        <v>3027.7999999999993</v>
      </c>
      <c r="AF17" s="9">
        <f t="shared" si="36"/>
        <v>-3062.9000000000005</v>
      </c>
      <c r="AG17" s="9">
        <f t="shared" si="36"/>
        <v>-77.099999999999966</v>
      </c>
      <c r="AH17" s="9">
        <f t="shared" si="36"/>
        <v>2942.3999999999996</v>
      </c>
      <c r="AI17" s="9">
        <f t="shared" si="36"/>
        <v>1455.0421999999996</v>
      </c>
      <c r="AJ17" s="9">
        <f t="shared" si="36"/>
        <v>2538.3330086999995</v>
      </c>
      <c r="AK17" s="9">
        <f t="shared" si="36"/>
        <v>3234.6249450696</v>
      </c>
      <c r="AL17" s="9">
        <f t="shared" si="36"/>
        <v>3670.9009442405554</v>
      </c>
      <c r="AM17" s="9">
        <f t="shared" si="36"/>
        <v>4017.0663733603237</v>
      </c>
      <c r="AN17" s="9">
        <f t="shared" si="36"/>
        <v>4233.050382821194</v>
      </c>
      <c r="AO17" s="9">
        <f t="shared" si="36"/>
        <v>4378.1944791921123</v>
      </c>
      <c r="AP17" s="9">
        <f t="shared" si="36"/>
        <v>4527.4221191619727</v>
      </c>
      <c r="AQ17" s="9">
        <f t="shared" si="36"/>
        <v>4597.0343848857019</v>
      </c>
      <c r="AR17" s="9">
        <f t="shared" si="36"/>
        <v>4666.7352119076622</v>
      </c>
      <c r="AS17" s="9">
        <f t="shared" si="36"/>
        <v>4737.157454860062</v>
      </c>
    </row>
    <row r="18" spans="2:162" x14ac:dyDescent="0.3">
      <c r="B18" t="s">
        <v>27</v>
      </c>
      <c r="C18" s="4">
        <v>2.9</v>
      </c>
      <c r="D18" s="4">
        <v>6.6</v>
      </c>
      <c r="E18" s="4">
        <v>21.4</v>
      </c>
      <c r="F18" s="4">
        <v>56</v>
      </c>
      <c r="G18" s="4">
        <v>225.2</v>
      </c>
      <c r="H18" s="4">
        <v>-737.5</v>
      </c>
      <c r="I18" s="4">
        <v>-135.19999999999999</v>
      </c>
      <c r="J18" s="4">
        <v>50.3</v>
      </c>
      <c r="K18" s="4">
        <v>-179.8</v>
      </c>
      <c r="L18" s="4">
        <v>-146.9</v>
      </c>
      <c r="M18" s="4">
        <v>-99.1</v>
      </c>
      <c r="N18" s="4">
        <v>-13.9</v>
      </c>
      <c r="O18" s="4">
        <v>-86.8</v>
      </c>
      <c r="P18" s="4">
        <v>18.7</v>
      </c>
      <c r="Q18" s="4">
        <v>36.9</v>
      </c>
      <c r="R18" s="4">
        <v>-140.6</v>
      </c>
      <c r="S18" s="4">
        <v>261.2</v>
      </c>
      <c r="T18" s="4">
        <v>-96.4</v>
      </c>
      <c r="U18" s="4">
        <v>-6.9</v>
      </c>
      <c r="V18" s="4">
        <v>205.7</v>
      </c>
      <c r="W18" s="4">
        <f>W17*0.15</f>
        <v>92.438099999999977</v>
      </c>
      <c r="X18" s="4">
        <f t="shared" ref="X18:Z18" si="37">X17*0.15</f>
        <v>27.778739999999981</v>
      </c>
      <c r="Y18" s="4">
        <f t="shared" si="37"/>
        <v>-7.0559099999999999</v>
      </c>
      <c r="Z18" s="4">
        <f t="shared" si="37"/>
        <v>105.0954</v>
      </c>
      <c r="AA18" s="4"/>
      <c r="AC18" s="4">
        <v>-15</v>
      </c>
      <c r="AD18" s="4">
        <v>86.9</v>
      </c>
      <c r="AE18" s="4">
        <f>SUM(G18:J18)</f>
        <v>-597.20000000000005</v>
      </c>
      <c r="AF18" s="4">
        <f>SUM(K18:N18)</f>
        <v>-439.70000000000005</v>
      </c>
      <c r="AG18" s="4">
        <f>SUM(O18:R18)</f>
        <v>-171.79999999999998</v>
      </c>
      <c r="AH18" s="4">
        <f>SUM(S18:V18)</f>
        <v>363.59999999999997</v>
      </c>
      <c r="AI18" s="4">
        <f>SUM(W18:Z18)</f>
        <v>218.25632999999996</v>
      </c>
      <c r="AJ18" s="4">
        <f t="shared" ref="AJ18:AS18" si="38">AJ17*0.2</f>
        <v>507.66660173999992</v>
      </c>
      <c r="AK18" s="4">
        <f t="shared" si="38"/>
        <v>646.92498901392003</v>
      </c>
      <c r="AL18" s="4">
        <f t="shared" si="38"/>
        <v>734.18018884811113</v>
      </c>
      <c r="AM18" s="4">
        <f t="shared" si="38"/>
        <v>803.41327467206474</v>
      </c>
      <c r="AN18" s="4">
        <f t="shared" si="38"/>
        <v>846.61007656423885</v>
      </c>
      <c r="AO18" s="4">
        <f t="shared" si="38"/>
        <v>875.63889583842251</v>
      </c>
      <c r="AP18" s="4">
        <f t="shared" si="38"/>
        <v>905.48442383239455</v>
      </c>
      <c r="AQ18" s="4">
        <f t="shared" si="38"/>
        <v>919.40687697714043</v>
      </c>
      <c r="AR18" s="4">
        <f t="shared" si="38"/>
        <v>933.34704238153245</v>
      </c>
      <c r="AS18" s="4">
        <f t="shared" si="38"/>
        <v>947.4314909720124</v>
      </c>
    </row>
    <row r="19" spans="2:162" s="1" customFormat="1" x14ac:dyDescent="0.3">
      <c r="B19" s="1" t="s">
        <v>28</v>
      </c>
      <c r="C19" s="9">
        <f>C17-C18</f>
        <v>31.999999999999993</v>
      </c>
      <c r="D19" s="9">
        <f t="shared" ref="D19:F19" si="39">D17-D18</f>
        <v>31.699999999999996</v>
      </c>
      <c r="E19" s="9">
        <f t="shared" si="39"/>
        <v>84.960000000000008</v>
      </c>
      <c r="F19" s="9">
        <f t="shared" si="39"/>
        <v>177.21</v>
      </c>
      <c r="G19" s="9">
        <f t="shared" ref="G19:T19" si="40">G17-G18</f>
        <v>771.5</v>
      </c>
      <c r="H19" s="9">
        <f t="shared" si="40"/>
        <v>1606.4999999999998</v>
      </c>
      <c r="I19" s="9">
        <f t="shared" si="40"/>
        <v>406.10000000000019</v>
      </c>
      <c r="J19" s="9">
        <f t="shared" si="40"/>
        <v>840.2</v>
      </c>
      <c r="K19" s="9">
        <f t="shared" si="40"/>
        <v>-427.69999999999987</v>
      </c>
      <c r="L19" s="9">
        <f t="shared" si="40"/>
        <v>-1093.8000000000002</v>
      </c>
      <c r="M19" s="9">
        <f t="shared" si="40"/>
        <v>-544.70000000000005</v>
      </c>
      <c r="N19" s="9">
        <f t="shared" si="40"/>
        <v>-557</v>
      </c>
      <c r="O19" s="9">
        <f t="shared" si="40"/>
        <v>-79.000000000000014</v>
      </c>
      <c r="P19" s="9">
        <f t="shared" si="40"/>
        <v>-97.500000000000071</v>
      </c>
      <c r="Q19" s="9">
        <f t="shared" si="40"/>
        <v>-2.2999999999999758</v>
      </c>
      <c r="R19" s="9">
        <f t="shared" si="40"/>
        <v>273.49999999999989</v>
      </c>
      <c r="S19" s="9">
        <f t="shared" si="40"/>
        <v>1175.8999999999996</v>
      </c>
      <c r="T19" s="9">
        <f t="shared" si="40"/>
        <v>36.100000000000009</v>
      </c>
      <c r="U19" s="9">
        <f t="shared" ref="U19:V19" si="41">U17-U18</f>
        <v>75.500000000000114</v>
      </c>
      <c r="V19" s="9">
        <f t="shared" si="41"/>
        <v>1291.3</v>
      </c>
      <c r="W19" s="9">
        <f t="shared" ref="W19:Z19" si="42">W17-W18</f>
        <v>523.81589999999994</v>
      </c>
      <c r="X19" s="9">
        <f t="shared" si="42"/>
        <v>157.41285999999991</v>
      </c>
      <c r="Y19" s="9">
        <f t="shared" si="42"/>
        <v>-39.983490000000003</v>
      </c>
      <c r="Z19" s="9">
        <f t="shared" si="42"/>
        <v>595.54059999999993</v>
      </c>
      <c r="AA19" s="9"/>
      <c r="AC19" s="9">
        <f>AC17-AC18</f>
        <v>-30.399999999999977</v>
      </c>
      <c r="AD19" s="9">
        <f>AD17-AD18</f>
        <v>322.29999999999995</v>
      </c>
      <c r="AE19" s="9">
        <f>AE17-AE18</f>
        <v>3624.9999999999991</v>
      </c>
      <c r="AF19" s="9">
        <f>AF17-AF18</f>
        <v>-2623.2000000000007</v>
      </c>
      <c r="AG19" s="9">
        <f t="shared" ref="AG19:AO19" si="43">AG17-AG18</f>
        <v>94.700000000000017</v>
      </c>
      <c r="AH19" s="9">
        <f t="shared" si="43"/>
        <v>2578.7999999999997</v>
      </c>
      <c r="AI19" s="9">
        <f t="shared" si="43"/>
        <v>1236.7858699999997</v>
      </c>
      <c r="AJ19" s="9">
        <f t="shared" si="43"/>
        <v>2030.6664069599997</v>
      </c>
      <c r="AK19" s="9">
        <f t="shared" si="43"/>
        <v>2587.6999560556801</v>
      </c>
      <c r="AL19" s="9">
        <f t="shared" si="43"/>
        <v>2936.7207553924445</v>
      </c>
      <c r="AM19" s="9">
        <f t="shared" si="43"/>
        <v>3213.653098688259</v>
      </c>
      <c r="AN19" s="9">
        <f t="shared" si="43"/>
        <v>3386.4403062569554</v>
      </c>
      <c r="AO19" s="9">
        <f t="shared" si="43"/>
        <v>3502.5555833536901</v>
      </c>
      <c r="AP19" s="9">
        <f t="shared" ref="AP19:AS19" si="44">AP17-AP18</f>
        <v>3621.9376953295782</v>
      </c>
      <c r="AQ19" s="9">
        <f t="shared" si="44"/>
        <v>3677.6275079085617</v>
      </c>
      <c r="AR19" s="9">
        <f t="shared" si="44"/>
        <v>3733.3881695261298</v>
      </c>
      <c r="AS19" s="9">
        <f t="shared" si="44"/>
        <v>3789.7259638880496</v>
      </c>
      <c r="AT19" s="1">
        <f t="shared" ref="AT19:BY19" si="45">AS19*(1+$AV$25)</f>
        <v>3751.8287042491693</v>
      </c>
      <c r="AU19" s="1">
        <f t="shared" si="45"/>
        <v>3714.3104172066774</v>
      </c>
      <c r="AV19" s="1">
        <f t="shared" si="45"/>
        <v>3677.1673130346107</v>
      </c>
      <c r="AW19" s="1">
        <f t="shared" si="45"/>
        <v>3640.3956399042645</v>
      </c>
      <c r="AX19" s="1">
        <f t="shared" si="45"/>
        <v>3603.9916835052218</v>
      </c>
      <c r="AY19" s="1">
        <f t="shared" si="45"/>
        <v>3567.9517666701695</v>
      </c>
      <c r="AZ19" s="1">
        <f t="shared" si="45"/>
        <v>3532.2722490034676</v>
      </c>
      <c r="BA19" s="1">
        <f t="shared" si="45"/>
        <v>3496.9495265134328</v>
      </c>
      <c r="BB19" s="1">
        <f t="shared" si="45"/>
        <v>3461.9800312482985</v>
      </c>
      <c r="BC19" s="1">
        <f t="shared" si="45"/>
        <v>3427.3602309358153</v>
      </c>
      <c r="BD19" s="1">
        <f t="shared" si="45"/>
        <v>3393.0866286264572</v>
      </c>
      <c r="BE19" s="1">
        <f t="shared" si="45"/>
        <v>3359.1557623401927</v>
      </c>
      <c r="BF19" s="1">
        <f t="shared" si="45"/>
        <v>3325.5642047167908</v>
      </c>
      <c r="BG19" s="1">
        <f t="shared" si="45"/>
        <v>3292.3085626696229</v>
      </c>
      <c r="BH19" s="1">
        <f t="shared" si="45"/>
        <v>3259.3854770429266</v>
      </c>
      <c r="BI19" s="1">
        <f t="shared" si="45"/>
        <v>3226.7916222724971</v>
      </c>
      <c r="BJ19" s="1">
        <f t="shared" si="45"/>
        <v>3194.523706049772</v>
      </c>
      <c r="BK19" s="1">
        <f t="shared" si="45"/>
        <v>3162.5784689892744</v>
      </c>
      <c r="BL19" s="1">
        <f t="shared" si="45"/>
        <v>3130.9526842993814</v>
      </c>
      <c r="BM19" s="1">
        <f t="shared" si="45"/>
        <v>3099.6431574563876</v>
      </c>
      <c r="BN19" s="1">
        <f t="shared" si="45"/>
        <v>3068.6467258818238</v>
      </c>
      <c r="BO19" s="1">
        <f t="shared" si="45"/>
        <v>3037.9602586230058</v>
      </c>
      <c r="BP19" s="1">
        <f t="shared" si="45"/>
        <v>3007.5806560367755</v>
      </c>
      <c r="BQ19" s="1">
        <f t="shared" si="45"/>
        <v>2977.5048494764078</v>
      </c>
      <c r="BR19" s="1">
        <f t="shared" si="45"/>
        <v>2947.7298009816436</v>
      </c>
      <c r="BS19" s="1">
        <f t="shared" si="45"/>
        <v>2918.2525029718272</v>
      </c>
      <c r="BT19" s="1">
        <f t="shared" si="45"/>
        <v>2889.0699779421088</v>
      </c>
      <c r="BU19" s="1">
        <f t="shared" si="45"/>
        <v>2860.1792781626878</v>
      </c>
      <c r="BV19" s="1">
        <f t="shared" si="45"/>
        <v>2831.5774853810608</v>
      </c>
      <c r="BW19" s="1">
        <f t="shared" si="45"/>
        <v>2803.2617105272502</v>
      </c>
      <c r="BX19" s="1">
        <f t="shared" si="45"/>
        <v>2775.2290934219777</v>
      </c>
      <c r="BY19" s="1">
        <f t="shared" si="45"/>
        <v>2747.4768024877581</v>
      </c>
      <c r="BZ19" s="1">
        <f t="shared" ref="BZ19:DE19" si="46">BY19*(1+$AV$25)</f>
        <v>2720.0020344628806</v>
      </c>
      <c r="CA19" s="1">
        <f t="shared" si="46"/>
        <v>2692.8020141182519</v>
      </c>
      <c r="CB19" s="1">
        <f t="shared" si="46"/>
        <v>2665.8739939770694</v>
      </c>
      <c r="CC19" s="1">
        <f t="shared" si="46"/>
        <v>2639.2152540372986</v>
      </c>
      <c r="CD19" s="1">
        <f t="shared" si="46"/>
        <v>2612.8231014969256</v>
      </c>
      <c r="CE19" s="1">
        <f t="shared" si="46"/>
        <v>2586.6948704819565</v>
      </c>
      <c r="CF19" s="1">
        <f t="shared" si="46"/>
        <v>2560.8279217771369</v>
      </c>
      <c r="CG19" s="1">
        <f t="shared" si="46"/>
        <v>2535.2196425593656</v>
      </c>
      <c r="CH19" s="1">
        <f t="shared" si="46"/>
        <v>2509.8674461337719</v>
      </c>
      <c r="CI19" s="1">
        <f t="shared" si="46"/>
        <v>2484.768771672434</v>
      </c>
      <c r="CJ19" s="1">
        <f t="shared" si="46"/>
        <v>2459.9210839557095</v>
      </c>
      <c r="CK19" s="1">
        <f t="shared" si="46"/>
        <v>2435.3218731161523</v>
      </c>
      <c r="CL19" s="1">
        <f t="shared" si="46"/>
        <v>2410.9686543849907</v>
      </c>
      <c r="CM19" s="1">
        <f t="shared" si="46"/>
        <v>2386.8589678411408</v>
      </c>
      <c r="CN19" s="1">
        <f t="shared" si="46"/>
        <v>2362.9903781627295</v>
      </c>
      <c r="CO19" s="1">
        <f t="shared" si="46"/>
        <v>2339.360474381102</v>
      </c>
      <c r="CP19" s="1">
        <f t="shared" si="46"/>
        <v>2315.966869637291</v>
      </c>
      <c r="CQ19" s="1">
        <f t="shared" si="46"/>
        <v>2292.8072009409179</v>
      </c>
      <c r="CR19" s="1">
        <f t="shared" si="46"/>
        <v>2269.8791289315086</v>
      </c>
      <c r="CS19" s="1">
        <f t="shared" si="46"/>
        <v>2247.1803376421935</v>
      </c>
      <c r="CT19" s="1">
        <f t="shared" si="46"/>
        <v>2224.7085342657715</v>
      </c>
      <c r="CU19" s="1">
        <f t="shared" si="46"/>
        <v>2202.4614489231139</v>
      </c>
      <c r="CV19" s="1">
        <f t="shared" si="46"/>
        <v>2180.4368344338827</v>
      </c>
      <c r="CW19" s="1">
        <f t="shared" si="46"/>
        <v>2158.6324660895439</v>
      </c>
      <c r="CX19" s="1">
        <f t="shared" si="46"/>
        <v>2137.0461414286483</v>
      </c>
      <c r="CY19" s="1">
        <f t="shared" si="46"/>
        <v>2115.6756800143617</v>
      </c>
      <c r="CZ19" s="1">
        <f t="shared" si="46"/>
        <v>2094.5189232142179</v>
      </c>
      <c r="DA19" s="1">
        <f t="shared" si="46"/>
        <v>2073.5737339820757</v>
      </c>
      <c r="DB19" s="1">
        <f t="shared" si="46"/>
        <v>2052.8379966422549</v>
      </c>
      <c r="DC19" s="1">
        <f t="shared" si="46"/>
        <v>2032.3096166758323</v>
      </c>
      <c r="DD19" s="1">
        <f t="shared" si="46"/>
        <v>2011.9865205090739</v>
      </c>
      <c r="DE19" s="1">
        <f t="shared" si="46"/>
        <v>1991.8666553039832</v>
      </c>
      <c r="DF19" s="1">
        <f t="shared" ref="DF19:EK19" si="47">DE19*(1+$AV$25)</f>
        <v>1971.9479887509433</v>
      </c>
      <c r="DG19" s="1">
        <f t="shared" si="47"/>
        <v>1952.2285088634339</v>
      </c>
      <c r="DH19" s="1">
        <f t="shared" si="47"/>
        <v>1932.7062237747996</v>
      </c>
      <c r="DI19" s="1">
        <f t="shared" si="47"/>
        <v>1913.3791615370515</v>
      </c>
      <c r="DJ19" s="1">
        <f t="shared" si="47"/>
        <v>1894.245369921681</v>
      </c>
      <c r="DK19" s="1">
        <f t="shared" si="47"/>
        <v>1875.3029162224641</v>
      </c>
      <c r="DL19" s="1">
        <f t="shared" si="47"/>
        <v>1856.5498870602394</v>
      </c>
      <c r="DM19" s="1">
        <f t="shared" si="47"/>
        <v>1837.984388189637</v>
      </c>
      <c r="DN19" s="1">
        <f t="shared" si="47"/>
        <v>1819.6045443077405</v>
      </c>
      <c r="DO19" s="1">
        <f t="shared" si="47"/>
        <v>1801.4084988646632</v>
      </c>
      <c r="DP19" s="1">
        <f t="shared" si="47"/>
        <v>1783.3944138760166</v>
      </c>
      <c r="DQ19" s="1">
        <f t="shared" si="47"/>
        <v>1765.5604697372564</v>
      </c>
      <c r="DR19" s="1">
        <f t="shared" si="47"/>
        <v>1747.9048650398838</v>
      </c>
      <c r="DS19" s="1">
        <f t="shared" si="47"/>
        <v>1730.4258163894849</v>
      </c>
      <c r="DT19" s="1">
        <f t="shared" si="47"/>
        <v>1713.12155822559</v>
      </c>
      <c r="DU19" s="1">
        <f t="shared" si="47"/>
        <v>1695.9903426433341</v>
      </c>
      <c r="DV19" s="1">
        <f t="shared" si="47"/>
        <v>1679.0304392169007</v>
      </c>
      <c r="DW19" s="1">
        <f t="shared" si="47"/>
        <v>1662.2401348247317</v>
      </c>
      <c r="DX19" s="1">
        <f t="shared" si="47"/>
        <v>1645.6177334764843</v>
      </c>
      <c r="DY19" s="1">
        <f t="shared" si="47"/>
        <v>1629.1615561417195</v>
      </c>
      <c r="DZ19" s="1">
        <f t="shared" si="47"/>
        <v>1612.8699405803022</v>
      </c>
      <c r="EA19" s="1">
        <f t="shared" si="47"/>
        <v>1596.7412411744992</v>
      </c>
      <c r="EB19" s="1">
        <f t="shared" si="47"/>
        <v>1580.7738287627542</v>
      </c>
      <c r="EC19" s="1">
        <f t="shared" si="47"/>
        <v>1564.9660904751267</v>
      </c>
      <c r="ED19" s="1">
        <f t="shared" si="47"/>
        <v>1549.3164295703755</v>
      </c>
      <c r="EE19" s="1">
        <f t="shared" si="47"/>
        <v>1533.8232652746717</v>
      </c>
      <c r="EF19" s="1">
        <f t="shared" si="47"/>
        <v>1518.485032621925</v>
      </c>
      <c r="EG19" s="1">
        <f t="shared" si="47"/>
        <v>1503.3001822957058</v>
      </c>
      <c r="EH19" s="1">
        <f t="shared" si="47"/>
        <v>1488.2671804727488</v>
      </c>
      <c r="EI19" s="1">
        <f t="shared" si="47"/>
        <v>1473.3845086680212</v>
      </c>
      <c r="EJ19" s="1">
        <f t="shared" si="47"/>
        <v>1458.650663581341</v>
      </c>
      <c r="EK19" s="1">
        <f t="shared" si="47"/>
        <v>1444.0641569455274</v>
      </c>
      <c r="EL19" s="1">
        <f t="shared" ref="EL19:FF19" si="48">EK19*(1+$AV$25)</f>
        <v>1429.6235153760722</v>
      </c>
      <c r="EM19" s="1">
        <f t="shared" si="48"/>
        <v>1415.3272802223114</v>
      </c>
      <c r="EN19" s="1">
        <f t="shared" si="48"/>
        <v>1401.1740074200882</v>
      </c>
      <c r="EO19" s="1">
        <f t="shared" si="48"/>
        <v>1387.1622673458874</v>
      </c>
      <c r="EP19" s="1">
        <f t="shared" si="48"/>
        <v>1373.2906446724285</v>
      </c>
      <c r="EQ19" s="1">
        <f t="shared" si="48"/>
        <v>1359.5577382257043</v>
      </c>
      <c r="ER19" s="1">
        <f t="shared" si="48"/>
        <v>1345.9621608434472</v>
      </c>
      <c r="ES19" s="1">
        <f t="shared" si="48"/>
        <v>1332.5025392350128</v>
      </c>
      <c r="ET19" s="1">
        <f t="shared" si="48"/>
        <v>1319.1775138426626</v>
      </c>
      <c r="EU19" s="1">
        <f t="shared" si="48"/>
        <v>1305.9857387042359</v>
      </c>
      <c r="EV19" s="1">
        <f t="shared" si="48"/>
        <v>1292.9258813171934</v>
      </c>
      <c r="EW19" s="1">
        <f t="shared" si="48"/>
        <v>1279.9966225040214</v>
      </c>
      <c r="EX19" s="1">
        <f t="shared" si="48"/>
        <v>1267.1966562789812</v>
      </c>
      <c r="EY19" s="1">
        <f t="shared" si="48"/>
        <v>1254.5246897161915</v>
      </c>
      <c r="EZ19" s="1">
        <f t="shared" si="48"/>
        <v>1241.9794428190296</v>
      </c>
      <c r="FA19" s="1">
        <f t="shared" si="48"/>
        <v>1229.5596483908394</v>
      </c>
      <c r="FB19" s="1">
        <f t="shared" si="48"/>
        <v>1217.2640519069309</v>
      </c>
      <c r="FC19" s="1">
        <f t="shared" si="48"/>
        <v>1205.0914113878616</v>
      </c>
      <c r="FD19" s="1">
        <f t="shared" si="48"/>
        <v>1193.040497273983</v>
      </c>
      <c r="FE19" s="1">
        <f t="shared" si="48"/>
        <v>1181.1100923012432</v>
      </c>
      <c r="FF19" s="1">
        <f t="shared" si="48"/>
        <v>1169.2989913782308</v>
      </c>
    </row>
    <row r="20" spans="2:162" x14ac:dyDescent="0.3">
      <c r="B20" t="s">
        <v>2</v>
      </c>
      <c r="C20" s="4">
        <v>185.9</v>
      </c>
      <c r="D20" s="4">
        <v>185.9</v>
      </c>
      <c r="E20" s="4">
        <v>185.9</v>
      </c>
      <c r="F20" s="4">
        <v>185.9</v>
      </c>
      <c r="G20" s="4">
        <v>185.9</v>
      </c>
      <c r="H20" s="4">
        <f t="shared" ref="H20:T20" si="49">203+45.5</f>
        <v>248.5</v>
      </c>
      <c r="I20" s="4">
        <f t="shared" si="49"/>
        <v>248.5</v>
      </c>
      <c r="J20" s="4">
        <f t="shared" si="49"/>
        <v>248.5</v>
      </c>
      <c r="K20" s="4">
        <f t="shared" si="49"/>
        <v>248.5</v>
      </c>
      <c r="L20" s="4">
        <f t="shared" si="49"/>
        <v>248.5</v>
      </c>
      <c r="M20" s="4">
        <f t="shared" si="49"/>
        <v>248.5</v>
      </c>
      <c r="N20" s="4">
        <f t="shared" si="49"/>
        <v>248.5</v>
      </c>
      <c r="O20" s="4">
        <f t="shared" si="49"/>
        <v>248.5</v>
      </c>
      <c r="P20" s="4">
        <f t="shared" si="49"/>
        <v>248.5</v>
      </c>
      <c r="Q20" s="4">
        <f t="shared" si="49"/>
        <v>248.5</v>
      </c>
      <c r="R20" s="4">
        <f t="shared" si="49"/>
        <v>248.5</v>
      </c>
      <c r="S20" s="4">
        <f t="shared" si="49"/>
        <v>248.5</v>
      </c>
      <c r="T20" s="4">
        <f t="shared" si="49"/>
        <v>248.5</v>
      </c>
      <c r="U20" s="4">
        <f>204.9+45.4</f>
        <v>250.3</v>
      </c>
      <c r="V20" s="4">
        <f>210.2+43.7</f>
        <v>253.89999999999998</v>
      </c>
      <c r="W20" s="4">
        <f t="shared" ref="W20:Z20" si="50">210.2+43.7</f>
        <v>253.89999999999998</v>
      </c>
      <c r="X20" s="4">
        <f t="shared" si="50"/>
        <v>253.89999999999998</v>
      </c>
      <c r="Y20" s="4">
        <f t="shared" si="50"/>
        <v>253.89999999999998</v>
      </c>
      <c r="Z20" s="4">
        <f t="shared" si="50"/>
        <v>253.89999999999998</v>
      </c>
      <c r="AA20" s="4"/>
      <c r="AC20" s="4">
        <v>185.9</v>
      </c>
      <c r="AD20" s="4">
        <v>185.9</v>
      </c>
      <c r="AE20" s="4">
        <v>185.9</v>
      </c>
      <c r="AF20" s="4">
        <v>185.9</v>
      </c>
      <c r="AG20" s="4">
        <v>185.9</v>
      </c>
      <c r="AH20" s="4">
        <f t="shared" ref="AH20:AS20" si="51">210.2+43.7</f>
        <v>253.89999999999998</v>
      </c>
      <c r="AI20" s="4">
        <f t="shared" si="51"/>
        <v>253.89999999999998</v>
      </c>
      <c r="AJ20" s="4">
        <f t="shared" si="51"/>
        <v>253.89999999999998</v>
      </c>
      <c r="AK20" s="4">
        <f t="shared" si="51"/>
        <v>253.89999999999998</v>
      </c>
      <c r="AL20" s="4">
        <f t="shared" si="51"/>
        <v>253.89999999999998</v>
      </c>
      <c r="AM20" s="4">
        <f t="shared" si="51"/>
        <v>253.89999999999998</v>
      </c>
      <c r="AN20" s="4">
        <f t="shared" si="51"/>
        <v>253.89999999999998</v>
      </c>
      <c r="AO20" s="4">
        <f t="shared" si="51"/>
        <v>253.89999999999998</v>
      </c>
      <c r="AP20" s="4">
        <f t="shared" si="51"/>
        <v>253.89999999999998</v>
      </c>
      <c r="AQ20" s="4">
        <f t="shared" si="51"/>
        <v>253.89999999999998</v>
      </c>
      <c r="AR20" s="4">
        <f t="shared" si="51"/>
        <v>253.89999999999998</v>
      </c>
      <c r="AS20" s="4">
        <f t="shared" si="51"/>
        <v>253.89999999999998</v>
      </c>
    </row>
    <row r="21" spans="2:162" s="1" customFormat="1" x14ac:dyDescent="0.3">
      <c r="B21" s="1" t="s">
        <v>29</v>
      </c>
      <c r="C21" s="8">
        <f>C19/C20</f>
        <v>0.17213555675094133</v>
      </c>
      <c r="D21" s="8">
        <f t="shared" ref="D21:F21" si="52">D19/D20</f>
        <v>0.17052178590640127</v>
      </c>
      <c r="E21" s="8">
        <f t="shared" si="52"/>
        <v>0.45701990317374935</v>
      </c>
      <c r="F21" s="8">
        <f t="shared" si="52"/>
        <v>0.95325443786982245</v>
      </c>
      <c r="G21" s="8">
        <f t="shared" ref="G21:T21" si="53">G19/G20</f>
        <v>4.1500806885422268</v>
      </c>
      <c r="H21" s="8">
        <f t="shared" si="53"/>
        <v>6.4647887323943651</v>
      </c>
      <c r="I21" s="8">
        <f t="shared" si="53"/>
        <v>1.6342052313883308</v>
      </c>
      <c r="J21" s="8">
        <f t="shared" si="53"/>
        <v>3.3810865191146884</v>
      </c>
      <c r="K21" s="8">
        <f t="shared" si="53"/>
        <v>-1.7211267605633798</v>
      </c>
      <c r="L21" s="8">
        <f t="shared" si="53"/>
        <v>-4.4016096579476871</v>
      </c>
      <c r="M21" s="8">
        <f t="shared" si="53"/>
        <v>-2.1919517102615695</v>
      </c>
      <c r="N21" s="8">
        <f t="shared" si="53"/>
        <v>-2.2414486921529173</v>
      </c>
      <c r="O21" s="8">
        <f t="shared" si="53"/>
        <v>-0.31790744466800813</v>
      </c>
      <c r="P21" s="8">
        <f t="shared" si="53"/>
        <v>-0.39235412474849124</v>
      </c>
      <c r="Q21" s="8">
        <f t="shared" si="53"/>
        <v>-9.2555331991950734E-3</v>
      </c>
      <c r="R21" s="8">
        <f t="shared" si="53"/>
        <v>1.1006036217303818</v>
      </c>
      <c r="S21" s="8">
        <f t="shared" si="53"/>
        <v>4.7319919517102598</v>
      </c>
      <c r="T21" s="8">
        <f t="shared" si="53"/>
        <v>0.14527162977867206</v>
      </c>
      <c r="U21" s="8">
        <f t="shared" ref="U21:V21" si="54">U19/U20</f>
        <v>0.3016380343587699</v>
      </c>
      <c r="V21" s="8">
        <f t="shared" si="54"/>
        <v>5.0858605750295398</v>
      </c>
      <c r="W21" s="8">
        <f t="shared" ref="W21:Z21" si="55">W19/W20</f>
        <v>2.0630795588814492</v>
      </c>
      <c r="X21" s="8">
        <f t="shared" si="55"/>
        <v>0.61997975580937348</v>
      </c>
      <c r="Y21" s="8">
        <f t="shared" si="55"/>
        <v>-0.15747731390311148</v>
      </c>
      <c r="Z21" s="8">
        <f t="shared" si="55"/>
        <v>2.3455714848365496</v>
      </c>
      <c r="AA21" s="8"/>
      <c r="AC21" s="8">
        <f>AC19/AC20</f>
        <v>-0.16352877891339418</v>
      </c>
      <c r="AD21" s="8">
        <f>AD19/AD20</f>
        <v>1.7337278106508873</v>
      </c>
      <c r="AE21" s="8">
        <f>AE19/AE20</f>
        <v>19.499731038192571</v>
      </c>
      <c r="AF21" s="8">
        <f>AF19/AF20</f>
        <v>-14.110812264658422</v>
      </c>
      <c r="AG21" s="8">
        <f t="shared" ref="AG21:AO21" si="56">AG19/AG20</f>
        <v>0.50941366325981718</v>
      </c>
      <c r="AH21" s="8">
        <f t="shared" si="56"/>
        <v>10.156754627806222</v>
      </c>
      <c r="AI21" s="8">
        <f t="shared" si="56"/>
        <v>4.8711534856242604</v>
      </c>
      <c r="AJ21" s="8">
        <f t="shared" si="56"/>
        <v>7.9978984126033863</v>
      </c>
      <c r="AK21" s="8">
        <f t="shared" si="56"/>
        <v>10.191807625268533</v>
      </c>
      <c r="AL21" s="8">
        <f t="shared" si="56"/>
        <v>11.566446456843028</v>
      </c>
      <c r="AM21" s="8">
        <f t="shared" si="56"/>
        <v>12.657160688019927</v>
      </c>
      <c r="AN21" s="8">
        <f t="shared" si="56"/>
        <v>13.337693210937202</v>
      </c>
      <c r="AO21" s="8">
        <f t="shared" si="56"/>
        <v>13.795020021085822</v>
      </c>
      <c r="AP21" s="8">
        <f t="shared" ref="AP21:AS21" si="57">AP19/AP20</f>
        <v>14.265213451475299</v>
      </c>
      <c r="AQ21" s="8">
        <f t="shared" si="57"/>
        <v>14.484551035480749</v>
      </c>
      <c r="AR21" s="8">
        <f t="shared" si="57"/>
        <v>14.704167662568453</v>
      </c>
      <c r="AS21" s="8">
        <f t="shared" si="57"/>
        <v>14.926057360724892</v>
      </c>
    </row>
    <row r="23" spans="2:162" x14ac:dyDescent="0.3">
      <c r="B23" s="1" t="s">
        <v>32</v>
      </c>
      <c r="C23" s="7"/>
      <c r="D23" s="1"/>
      <c r="E23" s="1"/>
      <c r="F23" s="1"/>
      <c r="G23" s="7">
        <f>G5/C5-1</f>
        <v>8.4496327387198313</v>
      </c>
      <c r="H23" s="7">
        <f t="shared" ref="H23:J23" si="58">H5/D5-1</f>
        <v>10.952789699570815</v>
      </c>
      <c r="I23" s="7">
        <f t="shared" si="58"/>
        <v>3.1600076103500765</v>
      </c>
      <c r="J23" s="7">
        <f t="shared" si="58"/>
        <v>3.2701372391516124</v>
      </c>
      <c r="K23" s="7">
        <f t="shared" ref="K23" si="59">K5/G5-1</f>
        <v>-0.35239575814779844</v>
      </c>
      <c r="L23" s="7">
        <f t="shared" ref="L23" si="60">L5/H5-1</f>
        <v>-0.63720825852782759</v>
      </c>
      <c r="M23" s="7">
        <f t="shared" ref="M23" si="61">M5/I5-1</f>
        <v>-0.55004192392712858</v>
      </c>
      <c r="N23" s="7">
        <f t="shared" ref="N23" si="62">N5/J5-1</f>
        <v>-0.74820892535521311</v>
      </c>
      <c r="O23" s="7">
        <f t="shared" ref="O23" si="63">O5/K5-1</f>
        <v>-0.33770576131687247</v>
      </c>
      <c r="P23" s="7">
        <f t="shared" ref="P23" si="64">P5/L5-1</f>
        <v>-0.12421130768279098</v>
      </c>
      <c r="Q23" s="7">
        <f t="shared" ref="Q23" si="65">Q5/M5-1</f>
        <v>0.14196171438251759</v>
      </c>
      <c r="R23" s="7">
        <f t="shared" ref="R23" si="66">R5/N5-1</f>
        <v>0.51613415991098388</v>
      </c>
      <c r="S23" s="7">
        <f t="shared" ref="S23" si="67">S5/O5-1</f>
        <v>1.1198705501618123</v>
      </c>
      <c r="T23" s="7">
        <f t="shared" ref="T23" si="68">T5/P5-1</f>
        <v>1.0477468569006922</v>
      </c>
      <c r="U23" s="7">
        <f t="shared" ref="U23" si="69">U5/Q5-1</f>
        <v>0.7878653018839934</v>
      </c>
      <c r="V23" s="7">
        <f t="shared" ref="V23" si="70">V5/R5-1</f>
        <v>1.3816313692598028</v>
      </c>
      <c r="W23" s="7">
        <f t="shared" ref="W23" si="71">W5/S5-1</f>
        <v>5.0000000000000044E-2</v>
      </c>
      <c r="X23" s="7">
        <f t="shared" ref="X23" si="72">X5/T5-1</f>
        <v>-9.9999999999999978E-2</v>
      </c>
      <c r="Y23" s="7">
        <f t="shared" ref="Y23" si="73">Y5/U5-1</f>
        <v>-0.15000000000000002</v>
      </c>
      <c r="Z23" s="7">
        <f t="shared" ref="Z23" si="74">Z5/V5-1</f>
        <v>-9.9999999999999978E-2</v>
      </c>
      <c r="AA23" s="7"/>
      <c r="AC23" s="7"/>
      <c r="AD23" s="7">
        <f>AD5/AC5-1</f>
        <v>1.393666854037849</v>
      </c>
      <c r="AE23" s="7">
        <f t="shared" ref="AE23:AO23" si="75">AE5/AD5-1</f>
        <v>5.1365949119373777</v>
      </c>
      <c r="AF23" s="7">
        <f t="shared" si="75"/>
        <v>-0.59256330123094592</v>
      </c>
      <c r="AG23" s="7">
        <f t="shared" si="75"/>
        <v>-2.6862026862026767E-2</v>
      </c>
      <c r="AH23" s="7">
        <f t="shared" si="75"/>
        <v>1.111765273622237</v>
      </c>
      <c r="AI23" s="7">
        <f t="shared" si="75"/>
        <v>-7.175807434491166E-2</v>
      </c>
      <c r="AJ23" s="7">
        <f t="shared" si="75"/>
        <v>0.25</v>
      </c>
      <c r="AK23" s="7">
        <f t="shared" si="75"/>
        <v>0.1399999999999999</v>
      </c>
      <c r="AL23" s="7">
        <f t="shared" si="75"/>
        <v>8.0000000000000071E-2</v>
      </c>
      <c r="AM23" s="7">
        <f t="shared" si="75"/>
        <v>6.0000000000000053E-2</v>
      </c>
      <c r="AN23" s="7">
        <f t="shared" si="75"/>
        <v>4.0000000000000036E-2</v>
      </c>
      <c r="AO23" s="7">
        <f t="shared" si="75"/>
        <v>3.0000000000000027E-2</v>
      </c>
      <c r="AP23" s="7">
        <f t="shared" ref="AP23" si="76">AP5/AO5-1</f>
        <v>3.0000000000000027E-2</v>
      </c>
      <c r="AQ23" s="7">
        <f t="shared" ref="AQ23" si="77">AQ5/AP5-1</f>
        <v>2.0000000000000018E-2</v>
      </c>
      <c r="AR23" s="7">
        <f t="shared" ref="AR23" si="78">AR5/AQ5-1</f>
        <v>2.0000000000000018E-2</v>
      </c>
      <c r="AS23" s="7">
        <f t="shared" ref="AS23" si="79">AS5/AR5-1</f>
        <v>2.0000000000000018E-2</v>
      </c>
    </row>
    <row r="24" spans="2:162" x14ac:dyDescent="0.3">
      <c r="B24" s="1" t="s">
        <v>30</v>
      </c>
      <c r="C24" s="7">
        <f t="shared" ref="C24:F24" si="80">C7/C5</f>
        <v>0.86673662119622241</v>
      </c>
      <c r="D24" s="7">
        <f t="shared" si="80"/>
        <v>0.87446351931330468</v>
      </c>
      <c r="E24" s="7">
        <f t="shared" si="80"/>
        <v>0.88330796549974633</v>
      </c>
      <c r="F24" s="7">
        <f t="shared" si="80"/>
        <v>0.91454598280665178</v>
      </c>
      <c r="G24" s="7">
        <f t="shared" ref="G24" si="81">G7/G5</f>
        <v>0.87002387429903949</v>
      </c>
      <c r="H24" s="7">
        <f t="shared" ref="H24:J24" si="82">H7/H5</f>
        <v>0.84946140035906637</v>
      </c>
      <c r="I24" s="7">
        <f t="shared" si="82"/>
        <v>0.84960743959143237</v>
      </c>
      <c r="J24" s="7">
        <f t="shared" si="82"/>
        <v>0.7993996397838703</v>
      </c>
      <c r="K24" s="7">
        <f t="shared" ref="K24:V24" si="83">K7/K5</f>
        <v>0.76183127572016462</v>
      </c>
      <c r="L24" s="7">
        <f t="shared" si="83"/>
        <v>0.79314610911790173</v>
      </c>
      <c r="M24" s="7">
        <f t="shared" si="83"/>
        <v>0.82737591055395565</v>
      </c>
      <c r="N24" s="7">
        <f t="shared" si="83"/>
        <v>0.868065490383087</v>
      </c>
      <c r="O24" s="7">
        <f t="shared" si="83"/>
        <v>0.8752103559870551</v>
      </c>
      <c r="P24" s="7">
        <f t="shared" si="83"/>
        <v>0.84715355276168947</v>
      </c>
      <c r="Q24" s="7">
        <f t="shared" si="83"/>
        <v>0.86559857587894973</v>
      </c>
      <c r="R24" s="7">
        <f t="shared" si="83"/>
        <v>0.86831620884881522</v>
      </c>
      <c r="S24" s="7">
        <f t="shared" si="83"/>
        <v>0.86724474841231058</v>
      </c>
      <c r="T24" s="7">
        <f t="shared" si="83"/>
        <v>0.86789459161147897</v>
      </c>
      <c r="U24" s="7">
        <f t="shared" si="83"/>
        <v>0.85745104546963169</v>
      </c>
      <c r="V24" s="7">
        <f t="shared" si="83"/>
        <v>0.86045078358866001</v>
      </c>
      <c r="W24" s="7">
        <f t="shared" ref="W24:Z24" si="84">W7/W5</f>
        <v>0.86</v>
      </c>
      <c r="X24" s="7">
        <f t="shared" si="84"/>
        <v>0.86</v>
      </c>
      <c r="Y24" s="7">
        <f t="shared" si="84"/>
        <v>0.86</v>
      </c>
      <c r="Z24" s="7">
        <f t="shared" si="84"/>
        <v>0.86</v>
      </c>
      <c r="AA24" s="7"/>
      <c r="AC24" s="7">
        <f>AC7/AC5</f>
        <v>0.84616825932171624</v>
      </c>
      <c r="AD24" s="7">
        <f>AD7/AD5</f>
        <v>0.89393346379647753</v>
      </c>
      <c r="AE24" s="7">
        <f t="shared" ref="AE24:AO24" si="85">AE7/AE5</f>
        <v>0.83825499075196119</v>
      </c>
      <c r="AF24" s="7">
        <f t="shared" si="85"/>
        <v>0.80279264894649505</v>
      </c>
      <c r="AG24" s="7">
        <f t="shared" si="85"/>
        <v>0.86462053212366885</v>
      </c>
      <c r="AH24" s="7">
        <f t="shared" si="85"/>
        <v>0.86323887873248017</v>
      </c>
      <c r="AI24" s="7">
        <f t="shared" si="85"/>
        <v>0.86</v>
      </c>
      <c r="AJ24" s="7">
        <f t="shared" si="85"/>
        <v>0.86</v>
      </c>
      <c r="AK24" s="7">
        <f t="shared" si="85"/>
        <v>0.86</v>
      </c>
      <c r="AL24" s="7">
        <f t="shared" si="85"/>
        <v>0.86</v>
      </c>
      <c r="AM24" s="7">
        <f t="shared" si="85"/>
        <v>0.86</v>
      </c>
      <c r="AN24" s="7">
        <f t="shared" si="85"/>
        <v>0.86</v>
      </c>
      <c r="AO24" s="7">
        <f t="shared" si="85"/>
        <v>0.86</v>
      </c>
      <c r="AP24" s="7">
        <f t="shared" ref="AP24:AS24" si="86">AP7/AP5</f>
        <v>0.8600000000000001</v>
      </c>
      <c r="AQ24" s="7">
        <f t="shared" si="86"/>
        <v>0.86</v>
      </c>
      <c r="AR24" s="7">
        <f t="shared" si="86"/>
        <v>0.85999999999999988</v>
      </c>
      <c r="AS24" s="7">
        <f t="shared" si="86"/>
        <v>0.86</v>
      </c>
    </row>
    <row r="25" spans="2:162" x14ac:dyDescent="0.3">
      <c r="B25" t="s">
        <v>31</v>
      </c>
      <c r="C25" s="7">
        <f t="shared" ref="C25:F25" si="87">C13/C5</f>
        <v>0.20356768100734518</v>
      </c>
      <c r="D25" s="7">
        <f t="shared" si="87"/>
        <v>0.22693133047210298</v>
      </c>
      <c r="E25" s="7">
        <f t="shared" si="87"/>
        <v>0.33346017250126836</v>
      </c>
      <c r="F25" s="7">
        <f t="shared" si="87"/>
        <v>0.38797832886123979</v>
      </c>
      <c r="G25" s="7">
        <f t="shared" ref="G25" si="88">G13/G5</f>
        <v>0.54838709677419351</v>
      </c>
      <c r="H25" s="7">
        <f t="shared" ref="H25:J25" si="89">H13/H5</f>
        <v>0.39263913824057445</v>
      </c>
      <c r="I25" s="7">
        <f t="shared" si="89"/>
        <v>0.2224254897476943</v>
      </c>
      <c r="J25" s="7">
        <f t="shared" si="89"/>
        <v>0.36914148489093457</v>
      </c>
      <c r="K25" s="7">
        <f t="shared" ref="K25:V25" si="90">K13/K5</f>
        <v>-0.47376543209876532</v>
      </c>
      <c r="L25" s="7">
        <f t="shared" si="90"/>
        <v>-1.2922182358035386</v>
      </c>
      <c r="M25" s="7">
        <f t="shared" si="90"/>
        <v>-0.9429103845502288</v>
      </c>
      <c r="N25" s="7">
        <f t="shared" si="90"/>
        <v>-0.88205372754728972</v>
      </c>
      <c r="O25" s="7">
        <f t="shared" si="90"/>
        <v>-0.16051779935275079</v>
      </c>
      <c r="P25" s="7">
        <f t="shared" si="90"/>
        <v>-0.10411075010594725</v>
      </c>
      <c r="Q25" s="7">
        <f t="shared" si="90"/>
        <v>-0.1185284082480344</v>
      </c>
      <c r="R25" s="7">
        <f t="shared" si="90"/>
        <v>0.12119941287481646</v>
      </c>
      <c r="S25" s="7">
        <f t="shared" si="90"/>
        <v>0.4642159257449926</v>
      </c>
      <c r="T25" s="7">
        <f t="shared" si="90"/>
        <v>0.23661699779249448</v>
      </c>
      <c r="U25" s="7">
        <f t="shared" si="90"/>
        <v>0.14064055758380362</v>
      </c>
      <c r="V25" s="7">
        <f t="shared" si="90"/>
        <v>0.45522979397781299</v>
      </c>
      <c r="W25" s="7">
        <f t="shared" ref="W25:Z25" si="91">W13/W5</f>
        <v>0.37060855607509241</v>
      </c>
      <c r="X25" s="7">
        <f t="shared" si="91"/>
        <v>0.15804482462595038</v>
      </c>
      <c r="Y25" s="7">
        <f t="shared" si="91"/>
        <v>-2.5418675933699068E-2</v>
      </c>
      <c r="Z25" s="7">
        <f t="shared" si="91"/>
        <v>0.35297489777151686</v>
      </c>
      <c r="AA25" s="7"/>
      <c r="AC25" s="7">
        <f>AC13/AC5</f>
        <v>-8.581600149896941E-2</v>
      </c>
      <c r="AD25" s="7">
        <f>AD13/AD5</f>
        <v>0.32015655577299412</v>
      </c>
      <c r="AE25" s="7">
        <f t="shared" ref="AE25:AO25" si="92">AE13/AE5</f>
        <v>0.39244849799094322</v>
      </c>
      <c r="AF25" s="7">
        <f t="shared" si="92"/>
        <v>-0.84800100184715588</v>
      </c>
      <c r="AG25" s="7">
        <f t="shared" si="92"/>
        <v>-5.2118521378245332E-2</v>
      </c>
      <c r="AH25" s="7">
        <f t="shared" si="92"/>
        <v>0.35143205362583785</v>
      </c>
      <c r="AI25" s="7">
        <f t="shared" si="92"/>
        <v>0.25259268863511775</v>
      </c>
      <c r="AJ25" s="7">
        <f t="shared" si="92"/>
        <v>0.34301575255457917</v>
      </c>
      <c r="AK25" s="7">
        <f t="shared" si="92"/>
        <v>0.38047051110242314</v>
      </c>
      <c r="AL25" s="7">
        <f t="shared" si="92"/>
        <v>0.3985042837365701</v>
      </c>
      <c r="AM25" s="7">
        <f t="shared" si="92"/>
        <v>0.41069980716152399</v>
      </c>
      <c r="AN25" s="7">
        <f t="shared" si="92"/>
        <v>0.41580377400975244</v>
      </c>
      <c r="AO25" s="7">
        <f t="shared" si="92"/>
        <v>0.4174369200755183</v>
      </c>
      <c r="AP25" s="7">
        <f t="shared" ref="AP25:AS25" si="93">AP13/AP5</f>
        <v>0.4190542103542379</v>
      </c>
      <c r="AQ25" s="7">
        <f t="shared" si="93"/>
        <v>0.41723085563643014</v>
      </c>
      <c r="AR25" s="7">
        <f t="shared" si="93"/>
        <v>0.41538962489197734</v>
      </c>
      <c r="AS25" s="7">
        <f t="shared" si="93"/>
        <v>0.41353034286571638</v>
      </c>
      <c r="AU25" t="s">
        <v>36</v>
      </c>
      <c r="AV25" s="7">
        <v>-0.01</v>
      </c>
    </row>
    <row r="26" spans="2:162" x14ac:dyDescent="0.3">
      <c r="B26" t="s">
        <v>33</v>
      </c>
      <c r="C26" s="7"/>
      <c r="D26" s="7"/>
      <c r="E26" s="7"/>
      <c r="F26" s="7"/>
      <c r="G26" s="7">
        <f>G8/C8-1</f>
        <v>2.9108280254777066</v>
      </c>
      <c r="H26" s="7">
        <f t="shared" ref="H26:J26" si="94">H8/D8-1</f>
        <v>4.83</v>
      </c>
      <c r="I26" s="7">
        <f t="shared" si="94"/>
        <v>4.6555555555555559</v>
      </c>
      <c r="J26" s="7">
        <f t="shared" si="94"/>
        <v>5.0473684210526315</v>
      </c>
      <c r="K26" s="7">
        <f t="shared" ref="K26" si="95">K8/G8-1</f>
        <v>2.0982627578718787</v>
      </c>
      <c r="L26" s="7">
        <f t="shared" ref="L26" si="96">L8/H8-1</f>
        <v>1.0898799313893655</v>
      </c>
      <c r="M26" s="7">
        <f t="shared" ref="M26" si="97">M8/I8-1</f>
        <v>0.56132472635419584</v>
      </c>
      <c r="N26" s="7">
        <f t="shared" ref="N26" si="98">N8/J8-1</f>
        <v>0.28394255874673635</v>
      </c>
      <c r="O26" s="7">
        <f t="shared" ref="O26" si="99">O8/K8-1</f>
        <v>-0.37270019274575084</v>
      </c>
      <c r="P26" s="7">
        <f t="shared" ref="P26" si="100">P8/L8-1</f>
        <v>-0.47357189757058438</v>
      </c>
      <c r="Q26" s="7">
        <f t="shared" ref="Q26" si="101">Q8/M8-1</f>
        <v>-0.41973755168074778</v>
      </c>
      <c r="R26" s="7">
        <f t="shared" ref="R26" si="102">R8/N8-1</f>
        <v>-0.4524656837824097</v>
      </c>
      <c r="S26" s="7">
        <f t="shared" ref="S26" si="103">S8/O8-1</f>
        <v>-2.7932960893861658E-4</v>
      </c>
      <c r="T26" s="7">
        <f t="shared" ref="T26" si="104">T8/P8-1</f>
        <v>0.13595260367945117</v>
      </c>
      <c r="U26" s="7">
        <f t="shared" ref="U26" si="105">U8/Q8-1</f>
        <v>0.16914498141263934</v>
      </c>
      <c r="V26" s="7">
        <f t="shared" ref="V26" si="106">V8/R8-1</f>
        <v>0.14113277623026921</v>
      </c>
      <c r="W26" s="7">
        <f t="shared" ref="W26" si="107">W8/S8-1</f>
        <v>0.10000000000000009</v>
      </c>
      <c r="X26" s="7">
        <f t="shared" ref="X26" si="108">X8/T8-1</f>
        <v>0.10000000000000009</v>
      </c>
      <c r="Y26" s="7">
        <f t="shared" ref="Y26" si="109">Y8/U8-1</f>
        <v>7.0000000000000062E-2</v>
      </c>
      <c r="Z26" s="7">
        <f t="shared" ref="Z26" si="110">Z8/V8-1</f>
        <v>0.12000000000000011</v>
      </c>
      <c r="AA26" s="7"/>
      <c r="AC26" s="7"/>
      <c r="AD26" s="7">
        <f>AD8/AC8-1</f>
        <v>0.46864864864864852</v>
      </c>
      <c r="AE26" s="7">
        <f t="shared" ref="AE26:AO26" si="111">AE8/AD8-1</f>
        <v>3.7537725432462272</v>
      </c>
      <c r="AF26" s="7">
        <f t="shared" si="111"/>
        <v>0.80109941158253362</v>
      </c>
      <c r="AG26" s="7">
        <f t="shared" si="111"/>
        <v>-0.43059794523492245</v>
      </c>
      <c r="AH26" s="7">
        <f t="shared" si="111"/>
        <v>0.1084855805526197</v>
      </c>
      <c r="AI26" s="7">
        <f t="shared" si="111"/>
        <v>9.7311176190151949E-2</v>
      </c>
      <c r="AJ26" s="7">
        <f t="shared" si="111"/>
        <v>5.0000000000000044E-2</v>
      </c>
      <c r="AK26" s="7">
        <f t="shared" si="111"/>
        <v>4.0000000000000036E-2</v>
      </c>
      <c r="AL26" s="7">
        <f t="shared" si="111"/>
        <v>3.0000000000000027E-2</v>
      </c>
      <c r="AM26" s="7">
        <f t="shared" si="111"/>
        <v>3.0000000000000027E-2</v>
      </c>
      <c r="AN26" s="7">
        <f t="shared" si="111"/>
        <v>3.0000000000000027E-2</v>
      </c>
      <c r="AO26" s="7">
        <f t="shared" si="111"/>
        <v>3.0000000000000027E-2</v>
      </c>
      <c r="AP26" s="7">
        <f t="shared" ref="AP26" si="112">AP8/AO8-1</f>
        <v>3.0000000000000027E-2</v>
      </c>
      <c r="AQ26" s="7">
        <f t="shared" ref="AQ26" si="113">AQ8/AP8-1</f>
        <v>3.0000000000000027E-2</v>
      </c>
      <c r="AR26" s="7">
        <f t="shared" ref="AR26" si="114">AR8/AQ8-1</f>
        <v>3.0000000000000027E-2</v>
      </c>
      <c r="AS26" s="7">
        <f t="shared" ref="AS26" si="115">AS8/AR8-1</f>
        <v>3.0000000000000027E-2</v>
      </c>
      <c r="AU26" t="s">
        <v>37</v>
      </c>
      <c r="AV26" s="7">
        <v>0.08</v>
      </c>
    </row>
    <row r="27" spans="2:162" x14ac:dyDescent="0.3">
      <c r="B27" t="s">
        <v>35</v>
      </c>
      <c r="C27" s="7">
        <f t="shared" ref="C27:F27" si="116">C9/C5</f>
        <v>5.1941238195173142E-2</v>
      </c>
      <c r="D27" s="7">
        <f t="shared" si="116"/>
        <v>5.9012875536480686E-2</v>
      </c>
      <c r="E27" s="7">
        <f t="shared" si="116"/>
        <v>6.3419583967529169E-2</v>
      </c>
      <c r="F27" s="7">
        <f t="shared" si="116"/>
        <v>6.8363213754678603E-2</v>
      </c>
      <c r="G27" s="7">
        <f t="shared" ref="G27" si="117">G9/G5</f>
        <v>6.5515518294375658E-2</v>
      </c>
      <c r="H27" s="7">
        <f t="shared" ref="H27:J27" si="118">H9/H5</f>
        <v>8.7836624775583474E-2</v>
      </c>
      <c r="I27" s="7">
        <f t="shared" si="118"/>
        <v>8.0341489442792888E-2</v>
      </c>
      <c r="J27" s="7">
        <f t="shared" si="118"/>
        <v>9.7898739243546126E-2</v>
      </c>
      <c r="K27" s="7">
        <f t="shared" ref="K27:V27" si="119">K9/K5</f>
        <v>0.17163923182441698</v>
      </c>
      <c r="L27" s="7">
        <f t="shared" si="119"/>
        <v>0.17431646665841893</v>
      </c>
      <c r="M27" s="7">
        <f t="shared" si="119"/>
        <v>0.12857868880230394</v>
      </c>
      <c r="N27" s="7">
        <f t="shared" si="119"/>
        <v>0.14798919090764584</v>
      </c>
      <c r="O27" s="7">
        <f t="shared" si="119"/>
        <v>8.2847896440129451E-2</v>
      </c>
      <c r="P27" s="7">
        <f t="shared" si="119"/>
        <v>0.11851956491029808</v>
      </c>
      <c r="Q27" s="7">
        <f t="shared" si="119"/>
        <v>0.1160065272214805</v>
      </c>
      <c r="R27" s="7">
        <f t="shared" si="119"/>
        <v>0.11144894107779409</v>
      </c>
      <c r="S27" s="7">
        <f t="shared" si="119"/>
        <v>6.0393258426966301E-2</v>
      </c>
      <c r="T27" s="7">
        <f t="shared" si="119"/>
        <v>0.1140314569536424</v>
      </c>
      <c r="U27" s="7">
        <f t="shared" si="119"/>
        <v>0.13674078991038832</v>
      </c>
      <c r="V27" s="7">
        <f t="shared" si="119"/>
        <v>9.9401303046310979E-2</v>
      </c>
      <c r="W27" s="7">
        <f t="shared" ref="W27:Z27" si="120">W9/W5</f>
        <v>5.9999999999999991E-2</v>
      </c>
      <c r="X27" s="7">
        <f t="shared" si="120"/>
        <v>0.12</v>
      </c>
      <c r="Y27" s="7">
        <f t="shared" si="120"/>
        <v>0.13</v>
      </c>
      <c r="Z27" s="7">
        <f t="shared" si="120"/>
        <v>0.11</v>
      </c>
      <c r="AA27" s="7"/>
      <c r="AC27" s="7">
        <f>AC9/AC5</f>
        <v>4.534382611954281E-2</v>
      </c>
      <c r="AD27" s="7">
        <f>AD9/AD5</f>
        <v>4.4461839530332677E-2</v>
      </c>
      <c r="AE27" s="7">
        <f t="shared" ref="AE27:AO27" si="121">AE9/AE5</f>
        <v>8.466101154410359E-2</v>
      </c>
      <c r="AF27" s="7">
        <f t="shared" si="121"/>
        <v>0.15970069816223664</v>
      </c>
      <c r="AG27" s="7">
        <f t="shared" si="121"/>
        <v>0.10693948460573305</v>
      </c>
      <c r="AH27" s="7">
        <f t="shared" si="121"/>
        <v>9.9756246191346751E-2</v>
      </c>
      <c r="AI27" s="7">
        <f t="shared" si="121"/>
        <v>0.10139350531267133</v>
      </c>
      <c r="AJ27" s="7">
        <f t="shared" si="121"/>
        <v>0.09</v>
      </c>
      <c r="AK27" s="7">
        <f t="shared" si="121"/>
        <v>0.09</v>
      </c>
      <c r="AL27" s="7">
        <f t="shared" si="121"/>
        <v>0.09</v>
      </c>
      <c r="AM27" s="7">
        <f t="shared" si="121"/>
        <v>0.09</v>
      </c>
      <c r="AN27" s="7">
        <f t="shared" si="121"/>
        <v>0.09</v>
      </c>
      <c r="AO27" s="7">
        <f t="shared" si="121"/>
        <v>0.09</v>
      </c>
      <c r="AP27" s="7">
        <f t="shared" ref="AP27:AS27" si="122">AP9/AP5</f>
        <v>0.09</v>
      </c>
      <c r="AQ27" s="7">
        <f t="shared" si="122"/>
        <v>0.09</v>
      </c>
      <c r="AR27" s="7">
        <f t="shared" si="122"/>
        <v>0.09</v>
      </c>
      <c r="AS27" s="7">
        <f t="shared" si="122"/>
        <v>0.09</v>
      </c>
      <c r="AU27" t="s">
        <v>38</v>
      </c>
      <c r="AV27" s="4">
        <f>NPV(AV26,AH19:FF19)</f>
        <v>38029.584265022502</v>
      </c>
    </row>
    <row r="28" spans="2:162" x14ac:dyDescent="0.3">
      <c r="B28" t="s">
        <v>34</v>
      </c>
      <c r="C28" s="7"/>
      <c r="D28" s="7"/>
      <c r="E28" s="7"/>
      <c r="F28" s="7"/>
      <c r="G28" s="7">
        <f>G10/C10-1</f>
        <v>1.0542372881355933</v>
      </c>
      <c r="H28" s="7">
        <f t="shared" ref="H28:J28" si="123">H10/D10-1</f>
        <v>2.9396825396825395</v>
      </c>
      <c r="I28" s="7">
        <f t="shared" si="123"/>
        <v>2.4657142857142857</v>
      </c>
      <c r="J28" s="7">
        <f t="shared" si="123"/>
        <v>2.1294736842105264</v>
      </c>
      <c r="K28" s="7">
        <f t="shared" ref="K28" si="124">K10/G10-1</f>
        <v>2.4125412541254128</v>
      </c>
      <c r="L28" s="7">
        <f t="shared" ref="L28" si="125">L10/H10-1</f>
        <v>0.89443996776792911</v>
      </c>
      <c r="M28" s="7">
        <f t="shared" ref="M28" si="126">M10/I10-1</f>
        <v>0.39818631492168177</v>
      </c>
      <c r="N28" s="7">
        <f t="shared" ref="N28" si="127">N10/J10-1</f>
        <v>0.27043390514631671</v>
      </c>
      <c r="O28" s="7">
        <f t="shared" ref="O28" si="128">O10/K10-1</f>
        <v>-0.39845261121856868</v>
      </c>
      <c r="P28" s="7">
        <f t="shared" ref="P28" si="129">P10/L10-1</f>
        <v>-0.44917056571671632</v>
      </c>
      <c r="Q28" s="7">
        <f t="shared" ref="Q28" si="130">Q10/M10-1</f>
        <v>-0.25530660377358494</v>
      </c>
      <c r="R28" s="7">
        <f t="shared" ref="R28" si="131">R10/N10-1</f>
        <v>-0.25628805930632781</v>
      </c>
      <c r="S28" s="7">
        <f t="shared" ref="S28" si="132">S10/O10-1</f>
        <v>0.15434083601286175</v>
      </c>
      <c r="T28" s="7">
        <f t="shared" ref="T28" si="133">T10/P10-1</f>
        <v>0.23590733590733604</v>
      </c>
      <c r="U28" s="7">
        <f t="shared" ref="U28" si="134">U10/Q10-1</f>
        <v>0.3079968329374505</v>
      </c>
      <c r="V28" s="7">
        <f t="shared" ref="V28" si="135">V10/R10-1</f>
        <v>0.29049483802064802</v>
      </c>
      <c r="W28" s="7">
        <f t="shared" ref="W28" si="136">W10/S10-1</f>
        <v>0.19999999999999996</v>
      </c>
      <c r="X28" s="7">
        <f t="shared" ref="X28" si="137">X10/T10-1</f>
        <v>0.12000000000000011</v>
      </c>
      <c r="Y28" s="7">
        <f t="shared" ref="Y28" si="138">Y10/U10-1</f>
        <v>0.12000000000000011</v>
      </c>
      <c r="Z28" s="7">
        <f t="shared" ref="Z28" si="139">Z10/V10-1</f>
        <v>0.10000000000000009</v>
      </c>
      <c r="AA28" s="7"/>
      <c r="AC28" s="7"/>
      <c r="AD28" s="7">
        <f>AD10/AC10-1</f>
        <v>0.20698576972833105</v>
      </c>
      <c r="AE28" s="7">
        <f t="shared" ref="AE28:AO28" si="140">AE10/AD10-1</f>
        <v>2.2486602357984995</v>
      </c>
      <c r="AF28" s="7">
        <f t="shared" si="140"/>
        <v>0.76036511602331469</v>
      </c>
      <c r="AG28" s="7">
        <f t="shared" si="140"/>
        <v>-0.34947210595364531</v>
      </c>
      <c r="AH28" s="7">
        <f t="shared" si="140"/>
        <v>0.24863151829443941</v>
      </c>
      <c r="AI28" s="7">
        <f t="shared" si="140"/>
        <v>0.13209506229810808</v>
      </c>
      <c r="AJ28" s="7">
        <f t="shared" si="140"/>
        <v>6.0000000000000053E-2</v>
      </c>
      <c r="AK28" s="7">
        <f t="shared" si="140"/>
        <v>4.0000000000000036E-2</v>
      </c>
      <c r="AL28" s="7">
        <f t="shared" si="140"/>
        <v>3.0000000000000027E-2</v>
      </c>
      <c r="AM28" s="7">
        <f t="shared" si="140"/>
        <v>2.0000000000000018E-2</v>
      </c>
      <c r="AN28" s="7">
        <f t="shared" si="140"/>
        <v>2.0000000000000018E-2</v>
      </c>
      <c r="AO28" s="7">
        <f t="shared" si="140"/>
        <v>2.0000000000000018E-2</v>
      </c>
      <c r="AP28" s="7">
        <f t="shared" ref="AP28" si="141">AP10/AO10-1</f>
        <v>2.0000000000000018E-2</v>
      </c>
      <c r="AQ28" s="7">
        <f t="shared" ref="AQ28" si="142">AQ10/AP10-1</f>
        <v>2.0000000000000018E-2</v>
      </c>
      <c r="AR28" s="7">
        <f t="shared" ref="AR28" si="143">AR10/AQ10-1</f>
        <v>2.0000000000000018E-2</v>
      </c>
      <c r="AS28" s="7">
        <f t="shared" ref="AS28" si="144">AS10/AR10-1</f>
        <v>2.0000000000000018E-2</v>
      </c>
      <c r="AU28" t="s">
        <v>39</v>
      </c>
      <c r="AV28" s="4">
        <f>Main!D8</f>
        <v>4309.7999999999993</v>
      </c>
    </row>
    <row r="29" spans="2:162" x14ac:dyDescent="0.3">
      <c r="B29" t="s">
        <v>27</v>
      </c>
      <c r="C29" s="7">
        <f t="shared" ref="C29:F29" si="145">C18/C17</f>
        <v>8.3094555873925516E-2</v>
      </c>
      <c r="D29" s="7">
        <f t="shared" si="145"/>
        <v>0.17232375979112272</v>
      </c>
      <c r="E29" s="7">
        <f t="shared" si="145"/>
        <v>0.20120345994734862</v>
      </c>
      <c r="F29" s="7">
        <f t="shared" si="145"/>
        <v>0.24012692423137943</v>
      </c>
      <c r="G29" s="7">
        <f t="shared" ref="G29" si="146">G18/G17</f>
        <v>0.22594562054780776</v>
      </c>
      <c r="H29" s="7">
        <f t="shared" ref="H29:J29" si="147">H18/H17</f>
        <v>-0.8486766398158806</v>
      </c>
      <c r="I29" s="7">
        <f t="shared" si="147"/>
        <v>-0.49907715023994054</v>
      </c>
      <c r="J29" s="7">
        <f t="shared" si="147"/>
        <v>5.6485120718697358E-2</v>
      </c>
      <c r="K29" s="7">
        <f t="shared" ref="K29:V29" si="148">K18/K17</f>
        <v>0.29596707818930046</v>
      </c>
      <c r="L29" s="7">
        <f t="shared" si="148"/>
        <v>0.11840090271620857</v>
      </c>
      <c r="M29" s="7">
        <f t="shared" si="148"/>
        <v>0.15392979186082631</v>
      </c>
      <c r="N29" s="7">
        <f t="shared" si="148"/>
        <v>2.4347521457348049E-2</v>
      </c>
      <c r="O29" s="7">
        <f t="shared" si="148"/>
        <v>0.52352231604342581</v>
      </c>
      <c r="P29" s="7">
        <f t="shared" si="148"/>
        <v>-0.23730964467005056</v>
      </c>
      <c r="Q29" s="7">
        <f t="shared" si="148"/>
        <v>1.0664739884393055</v>
      </c>
      <c r="R29" s="7">
        <f t="shared" si="148"/>
        <v>-1.0579382994732889</v>
      </c>
      <c r="S29" s="7">
        <f t="shared" si="148"/>
        <v>0.18175492310903907</v>
      </c>
      <c r="T29" s="7">
        <f t="shared" si="148"/>
        <v>1.5986733001658378</v>
      </c>
      <c r="U29" s="7">
        <f t="shared" si="148"/>
        <v>-0.10058309037900859</v>
      </c>
      <c r="V29" s="7">
        <f t="shared" si="148"/>
        <v>0.13740814963259854</v>
      </c>
      <c r="W29" s="7">
        <f t="shared" ref="W29:Z29" si="149">W18/W17</f>
        <v>0.15</v>
      </c>
      <c r="X29" s="7">
        <f t="shared" si="149"/>
        <v>0.15</v>
      </c>
      <c r="Y29" s="7">
        <f t="shared" si="149"/>
        <v>0.15</v>
      </c>
      <c r="Z29" s="7">
        <f t="shared" si="149"/>
        <v>0.15</v>
      </c>
      <c r="AA29" s="7"/>
      <c r="AC29" s="7">
        <f>AC18/AC17</f>
        <v>0.33039647577092529</v>
      </c>
      <c r="AD29" s="7">
        <f>AD18/AD17</f>
        <v>0.2123655913978495</v>
      </c>
      <c r="AE29" s="7">
        <f t="shared" ref="AE29:AO29" si="150">AE18/AE17</f>
        <v>-0.197238919347381</v>
      </c>
      <c r="AF29" s="7">
        <f t="shared" si="150"/>
        <v>0.14355675993339645</v>
      </c>
      <c r="AG29" s="7">
        <f t="shared" si="150"/>
        <v>2.2282749675745794</v>
      </c>
      <c r="AH29" s="7">
        <f t="shared" si="150"/>
        <v>0.12357259380097879</v>
      </c>
      <c r="AI29" s="7">
        <f t="shared" si="150"/>
        <v>0.15000000000000002</v>
      </c>
      <c r="AJ29" s="7">
        <f t="shared" si="150"/>
        <v>0.2</v>
      </c>
      <c r="AK29" s="7">
        <f t="shared" si="150"/>
        <v>0.2</v>
      </c>
      <c r="AL29" s="7">
        <f t="shared" si="150"/>
        <v>0.2</v>
      </c>
      <c r="AM29" s="7">
        <f t="shared" si="150"/>
        <v>0.2</v>
      </c>
      <c r="AN29" s="7">
        <f t="shared" si="150"/>
        <v>0.2</v>
      </c>
      <c r="AO29" s="7">
        <f t="shared" si="150"/>
        <v>0.2</v>
      </c>
      <c r="AP29" s="7">
        <f t="shared" ref="AP29:AS29" si="151">AP18/AP17</f>
        <v>0.2</v>
      </c>
      <c r="AQ29" s="7">
        <f t="shared" si="151"/>
        <v>0.2</v>
      </c>
      <c r="AR29" s="7">
        <f t="shared" si="151"/>
        <v>0.2</v>
      </c>
      <c r="AS29" s="7">
        <f t="shared" si="151"/>
        <v>0.2</v>
      </c>
      <c r="AU29" t="s">
        <v>40</v>
      </c>
      <c r="AV29" s="4">
        <f>AV27+AV28</f>
        <v>42339.384265022498</v>
      </c>
    </row>
    <row r="30" spans="2:162" x14ac:dyDescent="0.3">
      <c r="B30" t="s">
        <v>48</v>
      </c>
      <c r="C30" s="7">
        <f>C19/C5</f>
        <v>0.16789087093389293</v>
      </c>
      <c r="D30" s="7">
        <f t="shared" ref="D30:F30" si="152">D19/D5</f>
        <v>0.1700643776824034</v>
      </c>
      <c r="E30" s="7">
        <f t="shared" si="152"/>
        <v>0.26940639269406397</v>
      </c>
      <c r="F30" s="7">
        <f t="shared" si="152"/>
        <v>0.30286612773666488</v>
      </c>
      <c r="G30" s="7">
        <f t="shared" ref="G30:J30" si="153">G19/G5</f>
        <v>0.42834934206873582</v>
      </c>
      <c r="H30" s="7">
        <f t="shared" si="153"/>
        <v>0.72105026929982041</v>
      </c>
      <c r="I30" s="7">
        <f t="shared" si="153"/>
        <v>0.30955103285311392</v>
      </c>
      <c r="J30" s="7">
        <f t="shared" si="153"/>
        <v>0.33628176906143686</v>
      </c>
      <c r="K30" s="7">
        <f t="shared" ref="K30:V30" si="154">K19/K5</f>
        <v>-0.36668381344307255</v>
      </c>
      <c r="L30" s="7">
        <f t="shared" si="154"/>
        <v>-1.353210441667698</v>
      </c>
      <c r="M30" s="7">
        <f t="shared" si="154"/>
        <v>-0.922751143486363</v>
      </c>
      <c r="N30" s="7">
        <f t="shared" si="154"/>
        <v>-0.88539182959783813</v>
      </c>
      <c r="O30" s="7">
        <f t="shared" si="154"/>
        <v>-0.10226537216828481</v>
      </c>
      <c r="P30" s="7">
        <f t="shared" si="154"/>
        <v>-0.13773131798276603</v>
      </c>
      <c r="Q30" s="7">
        <f t="shared" si="154"/>
        <v>-3.4119566829846843E-3</v>
      </c>
      <c r="R30" s="7">
        <f t="shared" si="154"/>
        <v>0.28674774585867047</v>
      </c>
      <c r="S30" s="7">
        <f t="shared" si="154"/>
        <v>0.71806301905227143</v>
      </c>
      <c r="T30" s="7">
        <f t="shared" si="154"/>
        <v>2.490342163355409E-2</v>
      </c>
      <c r="U30" s="7">
        <f t="shared" si="154"/>
        <v>6.2645204115499592E-2</v>
      </c>
      <c r="V30" s="7">
        <f t="shared" si="154"/>
        <v>0.56845395316076774</v>
      </c>
      <c r="W30" s="7">
        <f t="shared" ref="W30:Z30" si="155">W19/W5</f>
        <v>0.30463622723148853</v>
      </c>
      <c r="X30" s="7">
        <f t="shared" si="155"/>
        <v>0.12065616568555304</v>
      </c>
      <c r="Y30" s="7">
        <f t="shared" si="155"/>
        <v>-3.9030368403584467E-2</v>
      </c>
      <c r="Z30" s="7">
        <f t="shared" si="155"/>
        <v>0.29129766586449096</v>
      </c>
      <c r="AA30" s="7"/>
      <c r="AC30" s="7">
        <f t="shared" ref="AC30:AO30" si="156">AC19/AC5</f>
        <v>-5.696083942289671E-2</v>
      </c>
      <c r="AD30" s="7">
        <f t="shared" si="156"/>
        <v>0.25228962818003908</v>
      </c>
      <c r="AE30" s="7">
        <f t="shared" si="156"/>
        <v>0.46240193889916437</v>
      </c>
      <c r="AF30" s="7">
        <f t="shared" si="156"/>
        <v>-0.8212642058795907</v>
      </c>
      <c r="AG30" s="7">
        <f t="shared" si="156"/>
        <v>3.0466814657529845E-2</v>
      </c>
      <c r="AH30" s="7">
        <f t="shared" si="156"/>
        <v>0.39287020109689208</v>
      </c>
      <c r="AI30" s="7">
        <f t="shared" si="156"/>
        <v>0.20298538153744142</v>
      </c>
      <c r="AJ30" s="7">
        <f t="shared" si="156"/>
        <v>0.26662374167779967</v>
      </c>
      <c r="AK30" s="7">
        <f t="shared" si="156"/>
        <v>0.29803639495341927</v>
      </c>
      <c r="AL30" s="7">
        <f t="shared" si="156"/>
        <v>0.31318018782070733</v>
      </c>
      <c r="AM30" s="7">
        <f t="shared" si="156"/>
        <v>0.3233141833229134</v>
      </c>
      <c r="AN30" s="7">
        <f t="shared" si="156"/>
        <v>0.32759393113789176</v>
      </c>
      <c r="AO30" s="7">
        <f t="shared" si="156"/>
        <v>0.32895783469372181</v>
      </c>
      <c r="AP30" s="7">
        <f t="shared" ref="AP30:AS30" si="157">AP19/AP5</f>
        <v>0.33026226034237383</v>
      </c>
      <c r="AQ30" s="7">
        <f t="shared" si="157"/>
        <v>0.32876497296595031</v>
      </c>
      <c r="AR30" s="7">
        <f t="shared" si="157"/>
        <v>0.32720563705977701</v>
      </c>
      <c r="AS30" s="7">
        <f t="shared" si="157"/>
        <v>0.32563064202321612</v>
      </c>
      <c r="AU30" t="s">
        <v>41</v>
      </c>
      <c r="AV30" s="5">
        <f>AV29/AO20</f>
        <v>166.75614125648877</v>
      </c>
    </row>
    <row r="31" spans="2:162" x14ac:dyDescent="0.3">
      <c r="AU31" t="s">
        <v>42</v>
      </c>
      <c r="AV31" s="5">
        <f>Main!D3</f>
        <v>170.76</v>
      </c>
    </row>
    <row r="32" spans="2:162" x14ac:dyDescent="0.3">
      <c r="AU32" s="1" t="s">
        <v>43</v>
      </c>
      <c r="AV32" s="10">
        <f>AV30/AV31-1</f>
        <v>-2.3447287090133662E-2</v>
      </c>
    </row>
    <row r="33" spans="47:48" x14ac:dyDescent="0.3">
      <c r="AU33" t="s">
        <v>44</v>
      </c>
      <c r="AV33" s="6" t="s">
        <v>68</v>
      </c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2021-04-15T14:27:37Z</dcterms:created>
  <dcterms:modified xsi:type="dcterms:W3CDTF">2025-04-04T09:07:42Z</dcterms:modified>
</cp:coreProperties>
</file>