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EEE76D48-2E8B-4AE6-8C6E-0D0E81DCFECA}" xr6:coauthVersionLast="47" xr6:coauthVersionMax="47" xr10:uidLastSave="{00000000-0000-0000-0000-000000000000}"/>
  <bookViews>
    <workbookView xWindow="-108" yWindow="-108" windowWidth="23256" windowHeight="12576" activeTab="1" xr2:uid="{D4154116-B837-4443-B5D0-8DB112D6F8D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9" i="2" l="1"/>
  <c r="AO9" i="2" s="1"/>
  <c r="AP9" i="2" s="1"/>
  <c r="AQ9" i="2" s="1"/>
  <c r="AR9" i="2" s="1"/>
  <c r="AS9" i="2" s="1"/>
  <c r="AT9" i="2" s="1"/>
  <c r="AU9" i="2" s="1"/>
  <c r="AV9" i="2" s="1"/>
  <c r="AM9" i="2"/>
  <c r="AM40" i="2"/>
  <c r="AN40" i="2" s="1"/>
  <c r="AO40" i="2" s="1"/>
  <c r="AP40" i="2" s="1"/>
  <c r="AQ40" i="2" s="1"/>
  <c r="AR40" i="2" s="1"/>
  <c r="AS40" i="2" s="1"/>
  <c r="AT40" i="2" s="1"/>
  <c r="AU40" i="2" s="1"/>
  <c r="AV40" i="2" s="1"/>
  <c r="AL40" i="2"/>
  <c r="AO30" i="2" l="1"/>
  <c r="AP30" i="2" s="1"/>
  <c r="AQ30" i="2" s="1"/>
  <c r="AR30" i="2" s="1"/>
  <c r="AS30" i="2" s="1"/>
  <c r="AT30" i="2" s="1"/>
  <c r="AU30" i="2" s="1"/>
  <c r="AV30" i="2" s="1"/>
  <c r="AN30" i="2"/>
  <c r="AM30" i="2"/>
  <c r="AY48" i="2"/>
  <c r="AA5" i="2"/>
  <c r="AM5" i="2"/>
  <c r="AN5" i="2"/>
  <c r="AY45" i="2"/>
  <c r="AM29" i="2"/>
  <c r="AN29" i="2" s="1"/>
  <c r="AO29" i="2" s="1"/>
  <c r="AP29" i="2" s="1"/>
  <c r="AQ29" i="2" s="1"/>
  <c r="AR29" i="2" s="1"/>
  <c r="AS29" i="2" s="1"/>
  <c r="AT29" i="2" s="1"/>
  <c r="AU29" i="2" s="1"/>
  <c r="AV29" i="2" s="1"/>
  <c r="AM28" i="2"/>
  <c r="AN28" i="2" s="1"/>
  <c r="AO28" i="2" s="1"/>
  <c r="AG31" i="2"/>
  <c r="AG39" i="2"/>
  <c r="AG41" i="2" s="1"/>
  <c r="AG26" i="2"/>
  <c r="AH31" i="2"/>
  <c r="AH39" i="2"/>
  <c r="AH41" i="2" s="1"/>
  <c r="AH26" i="2"/>
  <c r="AI39" i="2"/>
  <c r="AI41" i="2" s="1"/>
  <c r="AI26" i="2"/>
  <c r="X39" i="2"/>
  <c r="X41" i="2" s="1"/>
  <c r="AK39" i="2"/>
  <c r="AJ39" i="2"/>
  <c r="AJ26" i="2"/>
  <c r="AK26" i="2"/>
  <c r="X27" i="2"/>
  <c r="X26" i="2"/>
  <c r="AP28" i="2" l="1"/>
  <c r="AK41" i="2"/>
  <c r="AJ41" i="2"/>
  <c r="AA3" i="2"/>
  <c r="Z3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B15" i="2"/>
  <c r="AA15" i="2"/>
  <c r="Z15" i="2"/>
  <c r="Y15" i="2"/>
  <c r="X15" i="2"/>
  <c r="D4" i="1"/>
  <c r="AB24" i="2"/>
  <c r="Z24" i="2"/>
  <c r="Y24" i="2"/>
  <c r="AB23" i="2"/>
  <c r="Z23" i="2"/>
  <c r="Y23" i="2"/>
  <c r="AB22" i="2"/>
  <c r="AA22" i="2"/>
  <c r="Z22" i="2"/>
  <c r="Y22" i="2"/>
  <c r="AB21" i="2"/>
  <c r="AA21" i="2"/>
  <c r="Z21" i="2"/>
  <c r="Y21" i="2"/>
  <c r="AB20" i="2"/>
  <c r="Z20" i="2"/>
  <c r="Y20" i="2"/>
  <c r="AB19" i="2"/>
  <c r="AA19" i="2"/>
  <c r="Z19" i="2"/>
  <c r="Y19" i="2"/>
  <c r="AB18" i="2"/>
  <c r="AA18" i="2"/>
  <c r="Z18" i="2"/>
  <c r="Y18" i="2"/>
  <c r="AN6" i="2"/>
  <c r="AM6" i="2"/>
  <c r="AL10" i="2"/>
  <c r="AL9" i="2"/>
  <c r="AL7" i="2"/>
  <c r="AL6" i="2"/>
  <c r="AL3" i="2"/>
  <c r="AM3" i="2" s="1"/>
  <c r="AN3" i="2" s="1"/>
  <c r="AB14" i="2"/>
  <c r="AB16" i="2" s="1"/>
  <c r="Z14" i="2"/>
  <c r="Z16" i="2" s="1"/>
  <c r="Y14" i="2"/>
  <c r="AB12" i="2"/>
  <c r="Z12" i="2"/>
  <c r="Y12" i="2"/>
  <c r="AB11" i="2"/>
  <c r="Z11" i="2"/>
  <c r="Y11" i="2"/>
  <c r="AB9" i="2"/>
  <c r="AA9" i="2"/>
  <c r="Z9" i="2"/>
  <c r="Y9" i="2"/>
  <c r="AB8" i="2"/>
  <c r="AA8" i="2"/>
  <c r="AA11" i="2" s="1"/>
  <c r="Z8" i="2"/>
  <c r="Y8" i="2"/>
  <c r="AB7" i="2"/>
  <c r="AA7" i="2"/>
  <c r="Z7" i="2"/>
  <c r="Y7" i="2"/>
  <c r="AA6" i="2"/>
  <c r="Z6" i="2"/>
  <c r="AB6" i="2"/>
  <c r="Y6" i="2"/>
  <c r="AB5" i="2"/>
  <c r="AB4" i="2"/>
  <c r="AA4" i="2"/>
  <c r="AL4" i="2" s="1"/>
  <c r="Z5" i="2"/>
  <c r="Z4" i="2"/>
  <c r="Y5" i="2"/>
  <c r="Y4" i="2" s="1"/>
  <c r="AB3" i="2"/>
  <c r="Y3" i="2"/>
  <c r="X5" i="2"/>
  <c r="D7" i="1"/>
  <c r="D6" i="1"/>
  <c r="X21" i="2"/>
  <c r="AK4" i="2"/>
  <c r="AK9" i="2"/>
  <c r="AK7" i="2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J12" i="2"/>
  <c r="AJ9" i="2"/>
  <c r="AJ7" i="2"/>
  <c r="AJ6" i="2"/>
  <c r="AJ4" i="2"/>
  <c r="AJ3" i="2"/>
  <c r="AJ5" i="2" s="1"/>
  <c r="AI12" i="2"/>
  <c r="AI9" i="2"/>
  <c r="AI7" i="2"/>
  <c r="AI6" i="2"/>
  <c r="AI4" i="2"/>
  <c r="AI3" i="2"/>
  <c r="X22" i="2"/>
  <c r="W22" i="2"/>
  <c r="V22" i="2"/>
  <c r="U22" i="2"/>
  <c r="T22" i="2"/>
  <c r="S22" i="2"/>
  <c r="R22" i="2"/>
  <c r="Q22" i="2"/>
  <c r="P22" i="2"/>
  <c r="O22" i="2"/>
  <c r="N22" i="2"/>
  <c r="M22" i="2"/>
  <c r="W21" i="2"/>
  <c r="V21" i="2"/>
  <c r="U21" i="2"/>
  <c r="T21" i="2"/>
  <c r="S21" i="2"/>
  <c r="R21" i="2"/>
  <c r="Q21" i="2"/>
  <c r="P21" i="2"/>
  <c r="O21" i="2"/>
  <c r="N21" i="2"/>
  <c r="M21" i="2"/>
  <c r="O19" i="2"/>
  <c r="X18" i="2"/>
  <c r="W18" i="2"/>
  <c r="V18" i="2"/>
  <c r="U18" i="2"/>
  <c r="T18" i="2"/>
  <c r="S18" i="2"/>
  <c r="R18" i="2"/>
  <c r="Q18" i="2"/>
  <c r="P18" i="2"/>
  <c r="O18" i="2"/>
  <c r="N18" i="2"/>
  <c r="M18" i="2"/>
  <c r="L5" i="2"/>
  <c r="L8" i="2" s="1"/>
  <c r="L11" i="2" s="1"/>
  <c r="L14" i="2" s="1"/>
  <c r="L16" i="2" s="1"/>
  <c r="M13" i="2"/>
  <c r="M5" i="2"/>
  <c r="M8" i="2" s="1"/>
  <c r="M11" i="2" s="1"/>
  <c r="M23" i="2" s="1"/>
  <c r="J5" i="2"/>
  <c r="J8" i="2" s="1"/>
  <c r="J11" i="2" s="1"/>
  <c r="J14" i="2" s="1"/>
  <c r="J16" i="2" s="1"/>
  <c r="N13" i="2"/>
  <c r="N5" i="2"/>
  <c r="N8" i="2" s="1"/>
  <c r="N11" i="2" s="1"/>
  <c r="N23" i="2" s="1"/>
  <c r="K5" i="2"/>
  <c r="K8" i="2" s="1"/>
  <c r="K11" i="2" s="1"/>
  <c r="K14" i="2" s="1"/>
  <c r="K16" i="2" s="1"/>
  <c r="O13" i="2"/>
  <c r="O5" i="2"/>
  <c r="O8" i="2" s="1"/>
  <c r="O11" i="2" s="1"/>
  <c r="P13" i="2"/>
  <c r="P10" i="2"/>
  <c r="AI10" i="2" s="1"/>
  <c r="P5" i="2"/>
  <c r="P8" i="2" s="1"/>
  <c r="P20" i="2" s="1"/>
  <c r="T13" i="2"/>
  <c r="T10" i="2"/>
  <c r="T5" i="2"/>
  <c r="T8" i="2" s="1"/>
  <c r="T20" i="2" s="1"/>
  <c r="Q13" i="2"/>
  <c r="Q10" i="2"/>
  <c r="Q5" i="2"/>
  <c r="Q8" i="2" s="1"/>
  <c r="U13" i="2"/>
  <c r="AK13" i="2" s="1"/>
  <c r="U10" i="2"/>
  <c r="AK10" i="2" s="1"/>
  <c r="U5" i="2"/>
  <c r="U8" i="2" s="1"/>
  <c r="U20" i="2" s="1"/>
  <c r="R13" i="2"/>
  <c r="R10" i="2"/>
  <c r="V13" i="2"/>
  <c r="V10" i="2"/>
  <c r="V5" i="2"/>
  <c r="V8" i="2" s="1"/>
  <c r="V20" i="2" s="1"/>
  <c r="R5" i="2"/>
  <c r="R8" i="2" s="1"/>
  <c r="R20" i="2" s="1"/>
  <c r="S10" i="2"/>
  <c r="S5" i="2"/>
  <c r="S8" i="2" s="1"/>
  <c r="S20" i="2" s="1"/>
  <c r="W13" i="2"/>
  <c r="W10" i="2"/>
  <c r="W5" i="2"/>
  <c r="W8" i="2" s="1"/>
  <c r="W20" i="2" s="1"/>
  <c r="AQ28" i="2" l="1"/>
  <c r="AA20" i="2"/>
  <c r="AA12" i="2"/>
  <c r="AA14" i="2"/>
  <c r="AL5" i="2"/>
  <c r="Y16" i="2"/>
  <c r="AO3" i="2"/>
  <c r="AP3" i="2" s="1"/>
  <c r="AQ3" i="2" s="1"/>
  <c r="AR3" i="2" s="1"/>
  <c r="AS3" i="2" s="1"/>
  <c r="AT3" i="2" s="1"/>
  <c r="AU3" i="2" s="1"/>
  <c r="AV3" i="2" s="1"/>
  <c r="Q11" i="2"/>
  <c r="Q23" i="2" s="1"/>
  <c r="AI13" i="2"/>
  <c r="AJ13" i="2"/>
  <c r="N19" i="2"/>
  <c r="R19" i="2"/>
  <c r="Q19" i="2"/>
  <c r="N20" i="2"/>
  <c r="O20" i="2"/>
  <c r="AJ10" i="2"/>
  <c r="AI5" i="2"/>
  <c r="V19" i="2"/>
  <c r="O14" i="2"/>
  <c r="P19" i="2"/>
  <c r="M20" i="2"/>
  <c r="S19" i="2"/>
  <c r="T19" i="2"/>
  <c r="Q20" i="2"/>
  <c r="M19" i="2"/>
  <c r="U19" i="2"/>
  <c r="O23" i="2"/>
  <c r="X8" i="2"/>
  <c r="W19" i="2"/>
  <c r="AK6" i="2"/>
  <c r="AO6" i="2" s="1"/>
  <c r="AP6" i="2" s="1"/>
  <c r="AQ6" i="2" s="1"/>
  <c r="AR6" i="2" s="1"/>
  <c r="AS6" i="2" s="1"/>
  <c r="AT6" i="2" s="1"/>
  <c r="AU6" i="2" s="1"/>
  <c r="AV6" i="2" s="1"/>
  <c r="X19" i="2"/>
  <c r="AK3" i="2"/>
  <c r="AK5" i="2" s="1"/>
  <c r="M14" i="2"/>
  <c r="N14" i="2"/>
  <c r="P11" i="2"/>
  <c r="T11" i="2"/>
  <c r="Q14" i="2"/>
  <c r="U11" i="2"/>
  <c r="V11" i="2"/>
  <c r="R11" i="2"/>
  <c r="S11" i="2"/>
  <c r="W11" i="2"/>
  <c r="W23" i="2" s="1"/>
  <c r="L21" i="2"/>
  <c r="K21" i="2"/>
  <c r="L18" i="2"/>
  <c r="I22" i="2"/>
  <c r="I21" i="2"/>
  <c r="I18" i="2"/>
  <c r="E5" i="2"/>
  <c r="E8" i="2" s="1"/>
  <c r="E11" i="2" s="1"/>
  <c r="E14" i="2" s="1"/>
  <c r="E16" i="2" s="1"/>
  <c r="I5" i="2"/>
  <c r="AY26" i="2"/>
  <c r="AH10" i="2"/>
  <c r="AH9" i="2"/>
  <c r="K18" i="2"/>
  <c r="L22" i="2"/>
  <c r="K22" i="2"/>
  <c r="AG22" i="2"/>
  <c r="AF22" i="2"/>
  <c r="AG21" i="2"/>
  <c r="AF21" i="2"/>
  <c r="AG18" i="2"/>
  <c r="AF18" i="2"/>
  <c r="G22" i="2"/>
  <c r="G21" i="2"/>
  <c r="G18" i="2"/>
  <c r="H22" i="2"/>
  <c r="H21" i="2"/>
  <c r="H18" i="2"/>
  <c r="AG5" i="2"/>
  <c r="AG8" i="2" s="1"/>
  <c r="AG11" i="2" s="1"/>
  <c r="AG14" i="2" s="1"/>
  <c r="AG16" i="2" s="1"/>
  <c r="AF5" i="2"/>
  <c r="AF8" i="2" s="1"/>
  <c r="AF11" i="2" s="1"/>
  <c r="AF14" i="2" s="1"/>
  <c r="AF16" i="2" s="1"/>
  <c r="AE5" i="2"/>
  <c r="AE8" i="2" s="1"/>
  <c r="AE11" i="2" s="1"/>
  <c r="AE14" i="2" s="1"/>
  <c r="AE16" i="2" s="1"/>
  <c r="C5" i="2"/>
  <c r="C8" i="2" s="1"/>
  <c r="C11" i="2" s="1"/>
  <c r="C14" i="2" s="1"/>
  <c r="C16" i="2" s="1"/>
  <c r="G5" i="2"/>
  <c r="G8" i="2" s="1"/>
  <c r="G11" i="2" s="1"/>
  <c r="G14" i="2" s="1"/>
  <c r="G16" i="2" s="1"/>
  <c r="D5" i="2"/>
  <c r="D8" i="2" s="1"/>
  <c r="D11" i="2" s="1"/>
  <c r="D14" i="2" s="1"/>
  <c r="D16" i="2" s="1"/>
  <c r="H5" i="2"/>
  <c r="H8" i="2" s="1"/>
  <c r="D8" i="1"/>
  <c r="AY23" i="2" s="1"/>
  <c r="D5" i="1"/>
  <c r="F3" i="1"/>
  <c r="AR28" i="2" l="1"/>
  <c r="AA16" i="2"/>
  <c r="AA24" i="2"/>
  <c r="AA23" i="2"/>
  <c r="AL12" i="2"/>
  <c r="P14" i="2"/>
  <c r="P23" i="2"/>
  <c r="U14" i="2"/>
  <c r="U23" i="2"/>
  <c r="T23" i="2"/>
  <c r="T14" i="2"/>
  <c r="T24" i="2" s="1"/>
  <c r="N16" i="2"/>
  <c r="N24" i="2"/>
  <c r="X20" i="2"/>
  <c r="X11" i="2"/>
  <c r="Q16" i="2"/>
  <c r="Q24" i="2"/>
  <c r="S14" i="2"/>
  <c r="S23" i="2"/>
  <c r="M16" i="2"/>
  <c r="M24" i="2"/>
  <c r="R14" i="2"/>
  <c r="R23" i="2"/>
  <c r="O16" i="2"/>
  <c r="O24" i="2"/>
  <c r="V14" i="2"/>
  <c r="V23" i="2"/>
  <c r="W14" i="2"/>
  <c r="D20" i="2"/>
  <c r="D19" i="2"/>
  <c r="AH7" i="2"/>
  <c r="E19" i="2"/>
  <c r="AG19" i="2"/>
  <c r="AH4" i="2"/>
  <c r="E20" i="2"/>
  <c r="G24" i="2"/>
  <c r="H19" i="2"/>
  <c r="AG23" i="2"/>
  <c r="AE24" i="2"/>
  <c r="E23" i="2"/>
  <c r="AF24" i="2"/>
  <c r="AG20" i="2"/>
  <c r="C24" i="2"/>
  <c r="AG24" i="2"/>
  <c r="D24" i="2"/>
  <c r="E24" i="2"/>
  <c r="AH6" i="2"/>
  <c r="AH3" i="2"/>
  <c r="J19" i="2"/>
  <c r="H20" i="2"/>
  <c r="H11" i="2"/>
  <c r="C23" i="2"/>
  <c r="G23" i="2"/>
  <c r="AF19" i="2"/>
  <c r="G19" i="2"/>
  <c r="C19" i="2"/>
  <c r="K19" i="2"/>
  <c r="D23" i="2"/>
  <c r="G20" i="2"/>
  <c r="C20" i="2"/>
  <c r="AE19" i="2"/>
  <c r="I19" i="2"/>
  <c r="I8" i="2"/>
  <c r="D9" i="1"/>
  <c r="AE20" i="2"/>
  <c r="AE23" i="2"/>
  <c r="AF23" i="2"/>
  <c r="AF20" i="2"/>
  <c r="AS28" i="2" l="1"/>
  <c r="W16" i="2"/>
  <c r="W24" i="2"/>
  <c r="V16" i="2"/>
  <c r="V24" i="2"/>
  <c r="S16" i="2"/>
  <c r="S24" i="2"/>
  <c r="T16" i="2"/>
  <c r="U16" i="2"/>
  <c r="U24" i="2"/>
  <c r="R16" i="2"/>
  <c r="R24" i="2"/>
  <c r="P16" i="2"/>
  <c r="P24" i="2"/>
  <c r="AH5" i="2"/>
  <c r="AH19" i="2" s="1"/>
  <c r="L20" i="2"/>
  <c r="L19" i="2"/>
  <c r="AH22" i="2"/>
  <c r="AJ22" i="2"/>
  <c r="AH18" i="2"/>
  <c r="AI18" i="2"/>
  <c r="AH21" i="2"/>
  <c r="J20" i="2"/>
  <c r="H14" i="2"/>
  <c r="H23" i="2"/>
  <c r="K20" i="2"/>
  <c r="I20" i="2"/>
  <c r="I11" i="2"/>
  <c r="AT28" i="2" l="1"/>
  <c r="AK12" i="2"/>
  <c r="X23" i="2"/>
  <c r="X14" i="2"/>
  <c r="AS21" i="2"/>
  <c r="L23" i="2"/>
  <c r="AI22" i="2"/>
  <c r="AH8" i="2"/>
  <c r="AH11" i="2" s="1"/>
  <c r="H16" i="2"/>
  <c r="H24" i="2"/>
  <c r="AI21" i="2"/>
  <c r="AJ21" i="2"/>
  <c r="J23" i="2"/>
  <c r="K23" i="2"/>
  <c r="AK21" i="2"/>
  <c r="AI19" i="2"/>
  <c r="AI8" i="2"/>
  <c r="AJ18" i="2"/>
  <c r="AL21" i="2"/>
  <c r="AU28" i="2" l="1"/>
  <c r="X16" i="2"/>
  <c r="X24" i="2"/>
  <c r="AS22" i="2"/>
  <c r="AT21" i="2"/>
  <c r="AH20" i="2"/>
  <c r="AL22" i="2"/>
  <c r="AK22" i="2"/>
  <c r="K24" i="2"/>
  <c r="AJ8" i="2"/>
  <c r="AJ19" i="2"/>
  <c r="AH12" i="2"/>
  <c r="I23" i="2"/>
  <c r="I14" i="2"/>
  <c r="AK18" i="2"/>
  <c r="AI11" i="2"/>
  <c r="AI20" i="2"/>
  <c r="AM22" i="2"/>
  <c r="AM21" i="2"/>
  <c r="AV28" i="2" l="1"/>
  <c r="AT22" i="2"/>
  <c r="AU21" i="2"/>
  <c r="AV21" i="2"/>
  <c r="AI23" i="2"/>
  <c r="AI14" i="2"/>
  <c r="I16" i="2"/>
  <c r="I24" i="2"/>
  <c r="L24" i="2"/>
  <c r="J24" i="2"/>
  <c r="AL18" i="2"/>
  <c r="AK8" i="2"/>
  <c r="AK19" i="2"/>
  <c r="AH23" i="2"/>
  <c r="AH14" i="2"/>
  <c r="AH24" i="2" s="1"/>
  <c r="AJ11" i="2"/>
  <c r="AJ20" i="2"/>
  <c r="AN22" i="2"/>
  <c r="AN21" i="2"/>
  <c r="AV22" i="2" l="1"/>
  <c r="AU22" i="2"/>
  <c r="AJ14" i="2"/>
  <c r="AM4" i="2"/>
  <c r="AH16" i="2"/>
  <c r="AK20" i="2"/>
  <c r="AK11" i="2"/>
  <c r="AM18" i="2"/>
  <c r="AL8" i="2"/>
  <c r="AL19" i="2"/>
  <c r="AO22" i="2"/>
  <c r="AO21" i="2"/>
  <c r="AJ23" i="2" l="1"/>
  <c r="AK14" i="2"/>
  <c r="AI16" i="2"/>
  <c r="AI24" i="2"/>
  <c r="AL20" i="2"/>
  <c r="AL11" i="2"/>
  <c r="AN18" i="2"/>
  <c r="AO5" i="2"/>
  <c r="AM8" i="2"/>
  <c r="AM19" i="2"/>
  <c r="AP22" i="2"/>
  <c r="AP21" i="2"/>
  <c r="AK23" i="2" l="1"/>
  <c r="AL14" i="2"/>
  <c r="AL26" i="2" s="1"/>
  <c r="AL27" i="2" s="1"/>
  <c r="AL39" i="2" s="1"/>
  <c r="AL41" i="2" s="1"/>
  <c r="AJ16" i="2"/>
  <c r="AJ24" i="2"/>
  <c r="AN8" i="2"/>
  <c r="AN19" i="2"/>
  <c r="AP5" i="2"/>
  <c r="AO18" i="2"/>
  <c r="AO4" i="2"/>
  <c r="AK24" i="2"/>
  <c r="AM20" i="2"/>
  <c r="AM11" i="2"/>
  <c r="AN4" i="2"/>
  <c r="AR22" i="2"/>
  <c r="AQ22" i="2"/>
  <c r="AQ21" i="2"/>
  <c r="AR21" i="2"/>
  <c r="AL23" i="2" l="1"/>
  <c r="AM12" i="2"/>
  <c r="AM14" i="2" s="1"/>
  <c r="AM26" i="2" s="1"/>
  <c r="AN20" i="2"/>
  <c r="AN11" i="2"/>
  <c r="AK16" i="2"/>
  <c r="AO8" i="2"/>
  <c r="AO19" i="2"/>
  <c r="AP18" i="2"/>
  <c r="AP4" i="2"/>
  <c r="AQ5" i="2"/>
  <c r="AM27" i="2" l="1"/>
  <c r="AM39" i="2" s="1"/>
  <c r="AM41" i="2" s="1"/>
  <c r="AM23" i="2"/>
  <c r="AN12" i="2"/>
  <c r="AN14" i="2" s="1"/>
  <c r="AN26" i="2" s="1"/>
  <c r="AL16" i="2"/>
  <c r="AL24" i="2"/>
  <c r="AO20" i="2"/>
  <c r="AO11" i="2"/>
  <c r="AQ18" i="2"/>
  <c r="AR5" i="2"/>
  <c r="AP8" i="2"/>
  <c r="AP19" i="2"/>
  <c r="AN27" i="2" l="1"/>
  <c r="AN39" i="2" s="1"/>
  <c r="AN41" i="2" s="1"/>
  <c r="AN23" i="2"/>
  <c r="AS5" i="2"/>
  <c r="AO12" i="2"/>
  <c r="AO14" i="2" s="1"/>
  <c r="AO26" i="2" s="1"/>
  <c r="AM16" i="2"/>
  <c r="AM24" i="2"/>
  <c r="AP20" i="2"/>
  <c r="AP11" i="2"/>
  <c r="AR4" i="2"/>
  <c r="AR18" i="2"/>
  <c r="AQ8" i="2"/>
  <c r="AQ19" i="2"/>
  <c r="AQ4" i="2"/>
  <c r="AO27" i="2" l="1"/>
  <c r="AO39" i="2"/>
  <c r="AO41" i="2" s="1"/>
  <c r="AO23" i="2"/>
  <c r="AP12" i="2"/>
  <c r="AP23" i="2" s="1"/>
  <c r="AS18" i="2"/>
  <c r="AS4" i="2"/>
  <c r="AT5" i="2"/>
  <c r="AN16" i="2"/>
  <c r="AN24" i="2"/>
  <c r="AQ20" i="2"/>
  <c r="AQ11" i="2"/>
  <c r="AR19" i="2"/>
  <c r="AR8" i="2"/>
  <c r="AO24" i="2"/>
  <c r="AP14" i="2" l="1"/>
  <c r="AP26" i="2" s="1"/>
  <c r="AT18" i="2"/>
  <c r="AU5" i="2"/>
  <c r="AS19" i="2"/>
  <c r="AS8" i="2"/>
  <c r="AQ12" i="2"/>
  <c r="AQ23" i="2" s="1"/>
  <c r="AO16" i="2"/>
  <c r="AR20" i="2"/>
  <c r="AR11" i="2"/>
  <c r="AP27" i="2" l="1"/>
  <c r="AP39" i="2"/>
  <c r="AP41" i="2" s="1"/>
  <c r="AQ14" i="2"/>
  <c r="AQ26" i="2" s="1"/>
  <c r="AS20" i="2"/>
  <c r="AS11" i="2"/>
  <c r="AT4" i="2"/>
  <c r="AT8" i="2"/>
  <c r="AT19" i="2"/>
  <c r="AR12" i="2"/>
  <c r="AR23" i="2" s="1"/>
  <c r="AV5" i="2"/>
  <c r="AU4" i="2"/>
  <c r="AU18" i="2"/>
  <c r="AP16" i="2"/>
  <c r="AP24" i="2"/>
  <c r="AQ27" i="2" l="1"/>
  <c r="AQ39" i="2" s="1"/>
  <c r="AQ41" i="2" s="1"/>
  <c r="AR14" i="2"/>
  <c r="AV18" i="2"/>
  <c r="AT11" i="2"/>
  <c r="AT20" i="2"/>
  <c r="AS12" i="2"/>
  <c r="AS23" i="2" s="1"/>
  <c r="AU19" i="2"/>
  <c r="AU8" i="2"/>
  <c r="AQ16" i="2"/>
  <c r="AQ24" i="2"/>
  <c r="AR24" i="2" l="1"/>
  <c r="AR26" i="2"/>
  <c r="AT12" i="2"/>
  <c r="AT23" i="2" s="1"/>
  <c r="AS14" i="2"/>
  <c r="AS26" i="2" s="1"/>
  <c r="AV19" i="2"/>
  <c r="AV8" i="2"/>
  <c r="AU20" i="2"/>
  <c r="AU11" i="2"/>
  <c r="AV4" i="2"/>
  <c r="AR16" i="2"/>
  <c r="AS27" i="2" l="1"/>
  <c r="AS39" i="2"/>
  <c r="AS41" i="2" s="1"/>
  <c r="AR27" i="2"/>
  <c r="AR39" i="2" s="1"/>
  <c r="AR41" i="2" s="1"/>
  <c r="AV20" i="2"/>
  <c r="AV11" i="2"/>
  <c r="AU12" i="2"/>
  <c r="AU23" i="2" s="1"/>
  <c r="AS24" i="2"/>
  <c r="AS16" i="2"/>
  <c r="AT14" i="2"/>
  <c r="AT26" i="2" s="1"/>
  <c r="AT27" i="2" l="1"/>
  <c r="AT39" i="2" s="1"/>
  <c r="AT41" i="2" s="1"/>
  <c r="AT24" i="2"/>
  <c r="AT16" i="2"/>
  <c r="AV12" i="2"/>
  <c r="AV23" i="2" s="1"/>
  <c r="AU14" i="2"/>
  <c r="AU26" i="2" s="1"/>
  <c r="AU27" i="2" l="1"/>
  <c r="AU39" i="2" s="1"/>
  <c r="AU41" i="2" s="1"/>
  <c r="AU16" i="2"/>
  <c r="AU24" i="2"/>
  <c r="AV14" i="2"/>
  <c r="AV26" i="2" s="1"/>
  <c r="AV27" i="2" l="1"/>
  <c r="AV39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BJ41" i="2" s="1"/>
  <c r="BK41" i="2" s="1"/>
  <c r="BL41" i="2" s="1"/>
  <c r="BM41" i="2" s="1"/>
  <c r="BN41" i="2" s="1"/>
  <c r="BO41" i="2" s="1"/>
  <c r="BP41" i="2" s="1"/>
  <c r="BQ41" i="2" s="1"/>
  <c r="BR41" i="2" s="1"/>
  <c r="BS41" i="2" s="1"/>
  <c r="BT41" i="2" s="1"/>
  <c r="BU41" i="2" s="1"/>
  <c r="BV41" i="2" s="1"/>
  <c r="BW41" i="2" s="1"/>
  <c r="BX41" i="2" s="1"/>
  <c r="BY41" i="2" s="1"/>
  <c r="BZ41" i="2" s="1"/>
  <c r="CA41" i="2" s="1"/>
  <c r="CB41" i="2" s="1"/>
  <c r="CC41" i="2" s="1"/>
  <c r="CD41" i="2" s="1"/>
  <c r="CE41" i="2" s="1"/>
  <c r="CF41" i="2" s="1"/>
  <c r="CG41" i="2" s="1"/>
  <c r="CH41" i="2" s="1"/>
  <c r="CI41" i="2" s="1"/>
  <c r="CJ41" i="2" s="1"/>
  <c r="CK41" i="2" s="1"/>
  <c r="CL41" i="2" s="1"/>
  <c r="CM41" i="2" s="1"/>
  <c r="CN41" i="2" s="1"/>
  <c r="CO41" i="2" s="1"/>
  <c r="CP41" i="2" s="1"/>
  <c r="CQ41" i="2" s="1"/>
  <c r="CR41" i="2" s="1"/>
  <c r="CS41" i="2" s="1"/>
  <c r="CT41" i="2" s="1"/>
  <c r="CU41" i="2" s="1"/>
  <c r="CV41" i="2" s="1"/>
  <c r="CW41" i="2" s="1"/>
  <c r="CX41" i="2" s="1"/>
  <c r="CY41" i="2" s="1"/>
  <c r="CZ41" i="2" s="1"/>
  <c r="DA41" i="2" s="1"/>
  <c r="DB41" i="2" s="1"/>
  <c r="DC41" i="2" s="1"/>
  <c r="DD41" i="2" s="1"/>
  <c r="DE41" i="2" s="1"/>
  <c r="DF41" i="2" s="1"/>
  <c r="DG41" i="2" s="1"/>
  <c r="DH41" i="2" s="1"/>
  <c r="DI41" i="2" s="1"/>
  <c r="DJ41" i="2" s="1"/>
  <c r="DK41" i="2" s="1"/>
  <c r="DL41" i="2" s="1"/>
  <c r="DM41" i="2" s="1"/>
  <c r="DN41" i="2" s="1"/>
  <c r="DO41" i="2" s="1"/>
  <c r="DP41" i="2" s="1"/>
  <c r="DQ41" i="2" s="1"/>
  <c r="DR41" i="2" s="1"/>
  <c r="DS41" i="2" s="1"/>
  <c r="DT41" i="2" s="1"/>
  <c r="DU41" i="2" s="1"/>
  <c r="DV41" i="2" s="1"/>
  <c r="DW41" i="2" s="1"/>
  <c r="DX41" i="2" s="1"/>
  <c r="DY41" i="2" s="1"/>
  <c r="DZ41" i="2" s="1"/>
  <c r="EA41" i="2" s="1"/>
  <c r="EB41" i="2" s="1"/>
  <c r="EC41" i="2" s="1"/>
  <c r="ED41" i="2" s="1"/>
  <c r="EE41" i="2" s="1"/>
  <c r="EF41" i="2" s="1"/>
  <c r="EG41" i="2" s="1"/>
  <c r="EH41" i="2" s="1"/>
  <c r="EI41" i="2" s="1"/>
  <c r="EJ41" i="2" s="1"/>
  <c r="EK41" i="2" s="1"/>
  <c r="EL41" i="2" s="1"/>
  <c r="EM41" i="2" s="1"/>
  <c r="AY44" i="2" s="1"/>
  <c r="AY46" i="2" s="1"/>
  <c r="AY47" i="2" s="1"/>
  <c r="AY49" i="2" s="1"/>
  <c r="AW14" i="2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EP14" i="2" s="1"/>
  <c r="EQ14" i="2" s="1"/>
  <c r="ER14" i="2" s="1"/>
  <c r="ES14" i="2" s="1"/>
  <c r="ET14" i="2" s="1"/>
  <c r="EU14" i="2" s="1"/>
  <c r="EV14" i="2" s="1"/>
  <c r="EW14" i="2" s="1"/>
  <c r="EX14" i="2" s="1"/>
  <c r="EY14" i="2" s="1"/>
  <c r="EZ14" i="2" s="1"/>
  <c r="FA14" i="2" s="1"/>
  <c r="FB14" i="2" s="1"/>
  <c r="AY22" i="2" s="1"/>
  <c r="AV16" i="2"/>
  <c r="AV24" i="2"/>
  <c r="AY24" i="2" l="1"/>
  <c r="AY25" i="2" s="1"/>
  <c r="AY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 Mniszek</author>
  </authors>
  <commentList>
    <comment ref="AL3" authorId="0" shapeId="0" xr:uid="{660F90A3-4B49-4A4F-863A-113B2F196B39}">
      <text>
        <r>
          <rPr>
            <b/>
            <sz val="9"/>
            <color indexed="81"/>
            <rFont val="Tahoma"/>
            <family val="2"/>
          </rPr>
          <t>Anton Mniszek:</t>
        </r>
        <r>
          <rPr>
            <sz val="9"/>
            <color indexed="81"/>
            <rFont val="Tahoma"/>
            <family val="2"/>
          </rPr>
          <t xml:space="preserve">
guidance 1.4-1.6b</t>
        </r>
      </text>
    </comment>
  </commentList>
</comments>
</file>

<file path=xl/sharedStrings.xml><?xml version="1.0" encoding="utf-8"?>
<sst xmlns="http://schemas.openxmlformats.org/spreadsheetml/2006/main" count="94" uniqueCount="84">
  <si>
    <t>CRSR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</si>
  <si>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</si>
  <si>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</si>
  <si>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</si>
  <si>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</si>
  <si>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</si>
  <si>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</si>
  <si>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</si>
  <si>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</si>
  <si>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</si>
  <si>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</si>
  <si>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Q420</t>
  </si>
  <si>
    <t>Revenue</t>
  </si>
  <si>
    <t>Q319</t>
  </si>
  <si>
    <t>Q419</t>
  </si>
  <si>
    <t>Q120</t>
  </si>
  <si>
    <t>Q220</t>
  </si>
  <si>
    <t>Q320</t>
  </si>
  <si>
    <t>Q121</t>
  </si>
  <si>
    <t>Q221</t>
  </si>
  <si>
    <t>Q321</t>
  </si>
  <si>
    <t>Q421</t>
  </si>
  <si>
    <t>Cost of sales</t>
  </si>
  <si>
    <t>Gross profit</t>
  </si>
  <si>
    <t>SG&amp;A</t>
  </si>
  <si>
    <t>R&amp;D</t>
  </si>
  <si>
    <t>Operating profit</t>
  </si>
  <si>
    <t>Interest expense</t>
  </si>
  <si>
    <t>Other expense</t>
  </si>
  <si>
    <t>Pretax profit</t>
  </si>
  <si>
    <t>Taxes</t>
  </si>
  <si>
    <t>Net profit</t>
  </si>
  <si>
    <t>EPS</t>
  </si>
  <si>
    <t>Revenue y/y</t>
  </si>
  <si>
    <t>Gross Margin</t>
  </si>
  <si>
    <t>Operating Margin</t>
  </si>
  <si>
    <t>SG&amp;A y/y</t>
  </si>
  <si>
    <t>R&amp;D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</si>
  <si>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</si>
  <si>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</si>
  <si>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</si>
  <si>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</si>
  <si>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</si>
  <si>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</si>
  <si>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</si>
  <si>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</si>
  <si>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</si>
  <si>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Net Margin</t>
  </si>
  <si>
    <t>Q324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</si>
  <si>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</si>
  <si>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</si>
  <si>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</si>
  <si>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</si>
  <si>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</si>
  <si>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</si>
  <si>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</si>
  <si>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</si>
  <si>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</si>
  <si>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</si>
  <si>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</si>
  <si>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MI</t>
  </si>
  <si>
    <t>analyse the two revenue streams</t>
  </si>
  <si>
    <t>Q125</t>
  </si>
  <si>
    <t>Q225</t>
  </si>
  <si>
    <t>Q325</t>
  </si>
  <si>
    <t>Q425</t>
  </si>
  <si>
    <t>Heavily overvalued</t>
  </si>
  <si>
    <t>Model net profit</t>
  </si>
  <si>
    <t>CF net profit</t>
  </si>
  <si>
    <t>SBC</t>
  </si>
  <si>
    <t>Depreciation</t>
  </si>
  <si>
    <t>Amortisation</t>
  </si>
  <si>
    <t>D/T</t>
  </si>
  <si>
    <t>Other</t>
  </si>
  <si>
    <t>A/R</t>
  </si>
  <si>
    <t>Inventories</t>
  </si>
  <si>
    <t>Prepaids</t>
  </si>
  <si>
    <t>A/P</t>
  </si>
  <si>
    <t>Other liabilities</t>
  </si>
  <si>
    <t>CFFO</t>
  </si>
  <si>
    <t>PP&amp;E</t>
  </si>
  <si>
    <t>FCF</t>
  </si>
  <si>
    <t>Financial income</t>
  </si>
  <si>
    <t>NPV (FCF)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</si>
</sst>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4" fontId="1" fillId="0" borderId="0" xfId="0" applyNumberFormat="1" applyFon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22860</xdr:colOff>
      <xdr:row>0</xdr:row>
      <xdr:rowOff>0</xdr:rowOff>
    </xdr:from>
    <xdr:to>
      <xdr:col>24</xdr:col>
      <xdr:colOff>22860</xdr:colOff>
      <xdr:row>51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BE282C1-4948-4D38-B37D-132887D630A3}"/>
            </a:ext>
          </a:extLst>
        </xdr:cNvPr>
        <xdr:cNvCxnSpPr/>
      </xdr:nvCxnSpPr>
      <xdr:spPr>
        <a:xfrm>
          <a:off x="15179040" y="0"/>
          <a:ext cx="0" cy="94030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22860</xdr:colOff>
      <xdr:row>0</xdr:row>
      <xdr:rowOff>0</xdr:rowOff>
    </xdr:from>
    <xdr:to>
      <xdr:col>37</xdr:col>
      <xdr:colOff>22860</xdr:colOff>
      <xdr:row>52</xdr:row>
      <xdr:rowOff>106680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85D6FB8-A0D3-45C4-8064-24431130B33B}"/>
            </a:ext>
          </a:extLst>
        </xdr:cNvPr>
        <xdr:cNvCxnSpPr/>
      </xdr:nvCxnSpPr>
      <xdr:spPr>
        <a:xfrm>
          <a:off x="23103840" y="0"/>
          <a:ext cx="0" cy="96164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08DD-4FE4-4609-96E5-79E6D3869EE2}">
  <dimension ref="B2:J12"/>
  <sheetViews>
    <sheetView workbookViewId="0">
      <selection activeCell="D4" sqref="D4"/>
    </sheetView>
  </sheetViews>
  <sheetFormatPr defaultRowHeight="14.4" x14ac:dyDescent="0.3"/>
  <cols>
    <col min="5" max="7" width="15.77734375" style="2" customWidth="1"/>
  </cols>
  <sheetData>
    <row r="2" spans="2:10" x14ac:dyDescent="0.3">
      <c r="E2" s="2" t="s">
        <v>8</v>
      </c>
      <c r="F2" s="2" t="s">
        <v>9</v>
      </c>
      <c r="G2" s="2" t="s">
        <v>10</v>
      </c>
    </row>
    <row r="3" spans="2:10" x14ac:dyDescent="0.3">
      <c r="B3" s="1" t="s">
        <v>0</v>
      </c>
      <c r="C3" t="s">
        <v>1</v>
      </c>
      <c r="D3" s="5">
        <v>7.37</v>
      </c>
      <c r="E3" s="3">
        <v>45751</v>
      </c>
      <c r="F3" s="3">
        <f ca="1">TODAY()</f>
        <v>45751</v>
      </c>
      <c r="G3" s="3">
        <v>45777</v>
      </c>
    </row>
    <row r="4" spans="2:10" x14ac:dyDescent="0.3">
      <c r="C4" t="s">
        <v>2</v>
      </c>
      <c r="D4" s="4">
        <f>104.9</f>
        <v>104.9</v>
      </c>
      <c r="E4" s="2" t="s">
        <v>59</v>
      </c>
    </row>
    <row r="5" spans="2:10" x14ac:dyDescent="0.3">
      <c r="C5" t="s">
        <v>3</v>
      </c>
      <c r="D5" s="4">
        <f>D3*D4</f>
        <v>773.11300000000006</v>
      </c>
    </row>
    <row r="6" spans="2:10" x14ac:dyDescent="0.3">
      <c r="C6" t="s">
        <v>4</v>
      </c>
      <c r="D6" s="4">
        <f>109.4</f>
        <v>109.4</v>
      </c>
      <c r="E6" s="2" t="s">
        <v>59</v>
      </c>
    </row>
    <row r="7" spans="2:10" x14ac:dyDescent="0.3">
      <c r="C7" t="s">
        <v>5</v>
      </c>
      <c r="D7" s="4">
        <f>12.2+161.3</f>
        <v>173.5</v>
      </c>
      <c r="E7" s="2" t="s">
        <v>59</v>
      </c>
    </row>
    <row r="8" spans="2:10" x14ac:dyDescent="0.3">
      <c r="C8" t="s">
        <v>6</v>
      </c>
      <c r="D8" s="4">
        <f>D6-D7</f>
        <v>-64.099999999999994</v>
      </c>
    </row>
    <row r="9" spans="2:10" x14ac:dyDescent="0.3">
      <c r="C9" t="s">
        <v>7</v>
      </c>
      <c r="D9" s="4">
        <f>D5-D8</f>
        <v>837.21300000000008</v>
      </c>
    </row>
    <row r="12" spans="2:10" x14ac:dyDescent="0.3">
      <c r="J12" t="s">
        <v>61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03470-03C6-4965-A90A-C28BA0FB6465}">
  <dimension ref="B2:FB49"/>
  <sheetViews>
    <sheetView tabSelected="1" workbookViewId="0">
      <pane xSplit="2" ySplit="2" topLeftCell="AI26" activePane="bottomRight" state="frozen"/>
      <selection pane="topRight" activeCell="C1" sqref="C1"/>
      <selection pane="bottomLeft" activeCell="A3" sqref="A3"/>
      <selection pane="bottomRight" activeCell="AX49" sqref="AX49"/>
    </sheetView>
  </sheetViews>
  <sheetFormatPr defaultRowHeight="14.4" x14ac:dyDescent="0.3"/>
  <cols>
    <col min="2" max="2" width="16.5546875" bestFit="1" customWidth="1"/>
    <col min="50" max="50" width="12" bestFit="1" customWidth="1"/>
    <col min="51" max="51" width="17.33203125" bestFit="1" customWidth="1"/>
  </cols>
  <sheetData>
    <row r="2" spans="2:158" x14ac:dyDescent="0.3"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11</v>
      </c>
      <c r="I2" s="6" t="s">
        <v>18</v>
      </c>
      <c r="J2" s="6" t="s">
        <v>19</v>
      </c>
      <c r="K2" s="6" t="s">
        <v>20</v>
      </c>
      <c r="L2" s="6" t="s">
        <v>21</v>
      </c>
      <c r="M2" s="6" t="s">
        <v>49</v>
      </c>
      <c r="N2" s="6" t="s">
        <v>50</v>
      </c>
      <c r="O2" s="6" t="s">
        <v>51</v>
      </c>
      <c r="P2" s="6" t="s">
        <v>52</v>
      </c>
      <c r="Q2" s="6" t="s">
        <v>53</v>
      </c>
      <c r="R2" s="6" t="s">
        <v>54</v>
      </c>
      <c r="S2" s="6" t="s">
        <v>55</v>
      </c>
      <c r="T2" s="6" t="s">
        <v>56</v>
      </c>
      <c r="U2" s="6" t="s">
        <v>57</v>
      </c>
      <c r="V2" s="6" t="s">
        <v>58</v>
      </c>
      <c r="W2" s="6" t="s">
        <v>48</v>
      </c>
      <c r="X2" s="6" t="s">
        <v>59</v>
      </c>
      <c r="Y2" s="6" t="s">
        <v>62</v>
      </c>
      <c r="Z2" s="6" t="s">
        <v>63</v>
      </c>
      <c r="AA2" s="6" t="s">
        <v>64</v>
      </c>
      <c r="AB2" s="6" t="s">
        <v>65</v>
      </c>
      <c r="AC2" s="6"/>
      <c r="AE2">
        <v>2018</v>
      </c>
      <c r="AF2">
        <v>2019</v>
      </c>
      <c r="AG2">
        <v>2020</v>
      </c>
      <c r="AH2">
        <v>2021</v>
      </c>
      <c r="AI2">
        <v>2022</v>
      </c>
      <c r="AJ2">
        <v>2023</v>
      </c>
      <c r="AK2">
        <v>2024</v>
      </c>
      <c r="AL2">
        <v>2025</v>
      </c>
      <c r="AM2">
        <v>2026</v>
      </c>
      <c r="AN2">
        <v>2027</v>
      </c>
      <c r="AO2">
        <v>2028</v>
      </c>
      <c r="AP2">
        <v>2029</v>
      </c>
      <c r="AQ2">
        <v>2030</v>
      </c>
      <c r="AR2">
        <v>2031</v>
      </c>
      <c r="AS2">
        <v>2032</v>
      </c>
      <c r="AT2">
        <v>2033</v>
      </c>
      <c r="AU2">
        <v>2034</v>
      </c>
      <c r="AV2">
        <v>2035</v>
      </c>
    </row>
    <row r="3" spans="2:158" s="1" customFormat="1" x14ac:dyDescent="0.3">
      <c r="B3" s="1" t="s">
        <v>12</v>
      </c>
      <c r="C3" s="8">
        <v>284.39999999999998</v>
      </c>
      <c r="D3" s="8">
        <v>326.60000000000002</v>
      </c>
      <c r="E3" s="8">
        <v>308.5</v>
      </c>
      <c r="G3" s="8">
        <v>457.1</v>
      </c>
      <c r="H3" s="8">
        <v>556.29999999999995</v>
      </c>
      <c r="I3" s="8">
        <v>529.4</v>
      </c>
      <c r="J3" s="8">
        <v>472.9</v>
      </c>
      <c r="K3" s="8">
        <v>391.1</v>
      </c>
      <c r="L3" s="8">
        <v>510.6</v>
      </c>
      <c r="M3" s="8">
        <v>380.7</v>
      </c>
      <c r="N3" s="8">
        <v>283.89999999999998</v>
      </c>
      <c r="O3" s="8">
        <v>311.8</v>
      </c>
      <c r="P3" s="8">
        <v>398.7</v>
      </c>
      <c r="Q3" s="8">
        <v>354</v>
      </c>
      <c r="R3" s="8">
        <v>325.39999999999998</v>
      </c>
      <c r="S3" s="8">
        <v>363.2</v>
      </c>
      <c r="T3" s="8">
        <v>417.3</v>
      </c>
      <c r="U3" s="8">
        <v>337.3</v>
      </c>
      <c r="V3" s="8">
        <v>261.3</v>
      </c>
      <c r="W3" s="8">
        <v>304.2</v>
      </c>
      <c r="X3" s="8">
        <v>413.6</v>
      </c>
      <c r="Y3" s="8">
        <f>U3*1.05</f>
        <v>354.16500000000002</v>
      </c>
      <c r="Z3" s="8">
        <f>V3*1.15</f>
        <v>300.495</v>
      </c>
      <c r="AA3" s="8">
        <f>W3*1.2</f>
        <v>365.03999999999996</v>
      </c>
      <c r="AB3" s="8">
        <f t="shared" ref="AB3" si="0">X3*1.05</f>
        <v>434.28000000000003</v>
      </c>
      <c r="AC3" s="8"/>
      <c r="AE3" s="8">
        <v>937.6</v>
      </c>
      <c r="AF3" s="8">
        <v>1097.2</v>
      </c>
      <c r="AG3" s="8">
        <v>1702.4</v>
      </c>
      <c r="AH3" s="8">
        <f>SUM(I3:L3)</f>
        <v>1904</v>
      </c>
      <c r="AI3" s="8">
        <f>SUM(M3:P3)</f>
        <v>1375.1</v>
      </c>
      <c r="AJ3" s="8">
        <f>SUM(Q3:T3)</f>
        <v>1459.8999999999999</v>
      </c>
      <c r="AK3" s="8">
        <f>SUM(U3:X3)</f>
        <v>1316.4</v>
      </c>
      <c r="AL3" s="8">
        <f>SUM(Y3:AB3)</f>
        <v>1453.98</v>
      </c>
      <c r="AM3" s="8">
        <f>AL3*1.06</f>
        <v>1541.2188000000001</v>
      </c>
      <c r="AN3" s="8">
        <f>AM3*1.05</f>
        <v>1618.2797400000002</v>
      </c>
      <c r="AO3" s="8">
        <f>AN3*1.04</f>
        <v>1683.0109296000003</v>
      </c>
      <c r="AP3" s="8">
        <f>AO3*1.03</f>
        <v>1733.5012574880004</v>
      </c>
      <c r="AQ3" s="8">
        <f>AP3*1.02</f>
        <v>1768.1712826377604</v>
      </c>
      <c r="AR3" s="8">
        <f t="shared" ref="AR3:AV3" si="1">AQ3*1.02</f>
        <v>1803.5347082905157</v>
      </c>
      <c r="AS3" s="8">
        <f t="shared" si="1"/>
        <v>1839.6054024563261</v>
      </c>
      <c r="AT3" s="8">
        <f t="shared" si="1"/>
        <v>1876.3975105054526</v>
      </c>
      <c r="AU3" s="8">
        <f t="shared" si="1"/>
        <v>1913.9254607155617</v>
      </c>
      <c r="AV3" s="8">
        <f t="shared" si="1"/>
        <v>1952.203969929873</v>
      </c>
    </row>
    <row r="4" spans="2:158" x14ac:dyDescent="0.3">
      <c r="B4" t="s">
        <v>22</v>
      </c>
      <c r="C4" s="4">
        <v>224.1</v>
      </c>
      <c r="D4" s="4">
        <v>256.10000000000002</v>
      </c>
      <c r="E4" s="4">
        <v>229.9</v>
      </c>
      <c r="G4" s="4">
        <v>329.2</v>
      </c>
      <c r="H4" s="4">
        <v>402.5</v>
      </c>
      <c r="I4" s="4">
        <v>369.1</v>
      </c>
      <c r="J4" s="4">
        <v>342.6</v>
      </c>
      <c r="K4" s="4">
        <v>289.8</v>
      </c>
      <c r="L4" s="4">
        <v>388.8</v>
      </c>
      <c r="M4" s="4">
        <v>289.89999999999998</v>
      </c>
      <c r="N4" s="4">
        <v>247.4</v>
      </c>
      <c r="O4" s="4">
        <v>240.2</v>
      </c>
      <c r="P4" s="4">
        <v>300.89999999999998</v>
      </c>
      <c r="Q4" s="4">
        <v>268.60000000000002</v>
      </c>
      <c r="R4" s="4">
        <v>242.6</v>
      </c>
      <c r="S4" s="4">
        <v>273.8</v>
      </c>
      <c r="T4" s="4">
        <v>314.60000000000002</v>
      </c>
      <c r="U4" s="4">
        <v>250.6</v>
      </c>
      <c r="V4" s="4">
        <v>198.2</v>
      </c>
      <c r="W4" s="4">
        <v>234.5</v>
      </c>
      <c r="X4" s="4">
        <v>305.39999999999998</v>
      </c>
      <c r="Y4" s="4">
        <f>Y3-Y5</f>
        <v>265.62375000000003</v>
      </c>
      <c r="Z4" s="4">
        <f t="shared" ref="Z4:AB4" si="2">Z3-Z5</f>
        <v>225.37125</v>
      </c>
      <c r="AA4" s="4">
        <f t="shared" si="2"/>
        <v>273.77999999999997</v>
      </c>
      <c r="AB4" s="4">
        <f t="shared" si="2"/>
        <v>321.36720000000003</v>
      </c>
      <c r="AC4" s="4"/>
      <c r="AE4" s="4">
        <v>744.9</v>
      </c>
      <c r="AF4" s="4">
        <v>872.9</v>
      </c>
      <c r="AG4" s="4">
        <v>1236.9000000000001</v>
      </c>
      <c r="AH4" s="4">
        <f>SUM(I4:L4)</f>
        <v>1390.3</v>
      </c>
      <c r="AI4" s="4">
        <f>SUM(M4:P4)</f>
        <v>1078.4000000000001</v>
      </c>
      <c r="AJ4" s="4">
        <f>SUM(Q4:T4)</f>
        <v>1099.5999999999999</v>
      </c>
      <c r="AK4" s="4">
        <f>SUM(U4:X4)</f>
        <v>988.69999999999993</v>
      </c>
      <c r="AL4" s="4">
        <f>SUM(Y4:AB4)</f>
        <v>1086.1422</v>
      </c>
      <c r="AM4" s="4">
        <f t="shared" ref="AM4:AR4" si="3">AM3-AM5</f>
        <v>1140.5019120000002</v>
      </c>
      <c r="AN4" s="4">
        <f t="shared" si="3"/>
        <v>1181.3442102000001</v>
      </c>
      <c r="AO4" s="4">
        <f t="shared" si="3"/>
        <v>1211.7678693120001</v>
      </c>
      <c r="AP4" s="4">
        <f t="shared" si="3"/>
        <v>1248.1209053913603</v>
      </c>
      <c r="AQ4" s="4">
        <f t="shared" si="3"/>
        <v>1273.0833234991874</v>
      </c>
      <c r="AR4" s="4">
        <f t="shared" si="3"/>
        <v>1298.5449899691712</v>
      </c>
      <c r="AS4" s="4">
        <f t="shared" ref="AS4:AV4" si="4">AS3-AS5</f>
        <v>1324.5158897685546</v>
      </c>
      <c r="AT4" s="4">
        <f t="shared" si="4"/>
        <v>1351.0062075639257</v>
      </c>
      <c r="AU4" s="4">
        <f t="shared" si="4"/>
        <v>1378.0263317152044</v>
      </c>
      <c r="AV4" s="4">
        <f t="shared" si="4"/>
        <v>1405.5868583495085</v>
      </c>
    </row>
    <row r="5" spans="2:158" s="1" customFormat="1" x14ac:dyDescent="0.3">
      <c r="B5" s="1" t="s">
        <v>23</v>
      </c>
      <c r="C5" s="8">
        <f>C3-C4</f>
        <v>60.299999999999983</v>
      </c>
      <c r="D5" s="8">
        <f>D3-D4</f>
        <v>70.5</v>
      </c>
      <c r="E5" s="8">
        <f>E3-E4</f>
        <v>78.599999999999994</v>
      </c>
      <c r="G5" s="8">
        <f t="shared" ref="G5:X5" si="5">G3-G4</f>
        <v>127.90000000000003</v>
      </c>
      <c r="H5" s="8">
        <f t="shared" si="5"/>
        <v>153.79999999999995</v>
      </c>
      <c r="I5" s="8">
        <f t="shared" si="5"/>
        <v>160.29999999999995</v>
      </c>
      <c r="J5" s="8">
        <f t="shared" si="5"/>
        <v>130.29999999999995</v>
      </c>
      <c r="K5" s="8">
        <f t="shared" si="5"/>
        <v>101.30000000000001</v>
      </c>
      <c r="L5" s="8">
        <f t="shared" si="5"/>
        <v>121.80000000000001</v>
      </c>
      <c r="M5" s="8">
        <f t="shared" si="5"/>
        <v>90.800000000000011</v>
      </c>
      <c r="N5" s="8">
        <f t="shared" si="5"/>
        <v>36.499999999999972</v>
      </c>
      <c r="O5" s="8">
        <f t="shared" si="5"/>
        <v>71.600000000000023</v>
      </c>
      <c r="P5" s="8">
        <f t="shared" si="5"/>
        <v>97.800000000000011</v>
      </c>
      <c r="Q5" s="8">
        <f t="shared" si="5"/>
        <v>85.399999999999977</v>
      </c>
      <c r="R5" s="8">
        <f t="shared" si="5"/>
        <v>82.799999999999983</v>
      </c>
      <c r="S5" s="8">
        <f t="shared" si="5"/>
        <v>89.399999999999977</v>
      </c>
      <c r="T5" s="8">
        <f t="shared" si="5"/>
        <v>102.69999999999999</v>
      </c>
      <c r="U5" s="8">
        <f t="shared" si="5"/>
        <v>86.700000000000017</v>
      </c>
      <c r="V5" s="8">
        <f t="shared" si="5"/>
        <v>63.100000000000023</v>
      </c>
      <c r="W5" s="8">
        <f t="shared" si="5"/>
        <v>69.699999999999989</v>
      </c>
      <c r="X5" s="8">
        <f t="shared" si="5"/>
        <v>108.20000000000005</v>
      </c>
      <c r="Y5" s="8">
        <f>Y3*0.25</f>
        <v>88.541250000000005</v>
      </c>
      <c r="Z5" s="8">
        <f t="shared" ref="Z5:AA5" si="6">Z3*0.25</f>
        <v>75.123750000000001</v>
      </c>
      <c r="AA5" s="8">
        <f t="shared" si="6"/>
        <v>91.259999999999991</v>
      </c>
      <c r="AB5" s="8">
        <f>AB3*0.26</f>
        <v>112.91280000000002</v>
      </c>
      <c r="AC5" s="8"/>
      <c r="AE5" s="8">
        <f>AE3-AE4</f>
        <v>192.70000000000005</v>
      </c>
      <c r="AF5" s="8">
        <f>AF3-AF4</f>
        <v>224.30000000000007</v>
      </c>
      <c r="AG5" s="8">
        <f>AG3-AG4</f>
        <v>465.5</v>
      </c>
      <c r="AH5" s="8">
        <f>AH3-AH4</f>
        <v>513.70000000000005</v>
      </c>
      <c r="AI5" s="8">
        <f t="shared" ref="AI5:AL5" si="7">AI3-AI4</f>
        <v>296.69999999999982</v>
      </c>
      <c r="AJ5" s="8">
        <f t="shared" si="7"/>
        <v>360.29999999999995</v>
      </c>
      <c r="AK5" s="8">
        <f t="shared" si="7"/>
        <v>327.70000000000016</v>
      </c>
      <c r="AL5" s="8">
        <f t="shared" si="7"/>
        <v>367.83780000000002</v>
      </c>
      <c r="AM5" s="8">
        <f>AM3*0.26</f>
        <v>400.71688800000004</v>
      </c>
      <c r="AN5" s="8">
        <f>AN3*0.27</f>
        <v>436.9355298000001</v>
      </c>
      <c r="AO5" s="8">
        <f>AO3*0.28</f>
        <v>471.24306028800015</v>
      </c>
      <c r="AP5" s="8">
        <f t="shared" ref="AP5:AV5" si="8">AP3*0.28</f>
        <v>485.38035209664014</v>
      </c>
      <c r="AQ5" s="8">
        <f t="shared" si="8"/>
        <v>495.08795913857296</v>
      </c>
      <c r="AR5" s="8">
        <f t="shared" si="8"/>
        <v>504.98971832134447</v>
      </c>
      <c r="AS5" s="8">
        <f t="shared" si="8"/>
        <v>515.08951268777139</v>
      </c>
      <c r="AT5" s="8">
        <f t="shared" si="8"/>
        <v>525.39130294152676</v>
      </c>
      <c r="AU5" s="8">
        <f t="shared" si="8"/>
        <v>535.89912900035733</v>
      </c>
      <c r="AV5" s="8">
        <f t="shared" si="8"/>
        <v>546.61711158036451</v>
      </c>
    </row>
    <row r="6" spans="2:158" x14ac:dyDescent="0.3">
      <c r="B6" t="s">
        <v>24</v>
      </c>
      <c r="C6" s="4">
        <v>39.799999999999997</v>
      </c>
      <c r="D6" s="4">
        <v>47</v>
      </c>
      <c r="E6" s="4">
        <v>53.7</v>
      </c>
      <c r="G6" s="4">
        <v>65.3</v>
      </c>
      <c r="H6" s="4">
        <v>81.099999999999994</v>
      </c>
      <c r="I6" s="4">
        <v>77.900000000000006</v>
      </c>
      <c r="J6" s="4">
        <v>80.2</v>
      </c>
      <c r="K6" s="4">
        <v>76.099999999999994</v>
      </c>
      <c r="L6" s="4">
        <v>81.5</v>
      </c>
      <c r="M6" s="4">
        <v>76.099999999999994</v>
      </c>
      <c r="N6" s="4">
        <v>73.400000000000006</v>
      </c>
      <c r="O6" s="4">
        <v>66.900000000000006</v>
      </c>
      <c r="P6" s="4">
        <v>68.5</v>
      </c>
      <c r="Q6" s="4">
        <v>67.5</v>
      </c>
      <c r="R6" s="4">
        <v>70</v>
      </c>
      <c r="S6" s="4">
        <v>74</v>
      </c>
      <c r="T6" s="4">
        <v>73.8</v>
      </c>
      <c r="U6" s="4">
        <v>80.2</v>
      </c>
      <c r="V6" s="4">
        <v>70.400000000000006</v>
      </c>
      <c r="W6" s="4">
        <v>74.099999999999994</v>
      </c>
      <c r="X6" s="4">
        <v>85.3</v>
      </c>
      <c r="Y6" s="4">
        <f>U6*1.02</f>
        <v>81.804000000000002</v>
      </c>
      <c r="Z6" s="4">
        <f>V6*1.1</f>
        <v>77.440000000000012</v>
      </c>
      <c r="AA6" s="4">
        <f>W6*1.05</f>
        <v>77.804999999999993</v>
      </c>
      <c r="AB6" s="4">
        <f t="shared" ref="AB6" si="9">X6*1.02</f>
        <v>87.006</v>
      </c>
      <c r="AC6" s="4"/>
      <c r="AE6" s="4">
        <v>138.9</v>
      </c>
      <c r="AF6" s="4">
        <v>163</v>
      </c>
      <c r="AG6" s="4">
        <v>257</v>
      </c>
      <c r="AH6" s="4">
        <f>SUM(I6:L6)</f>
        <v>315.70000000000005</v>
      </c>
      <c r="AI6" s="4">
        <f>SUM(M6:P6)</f>
        <v>284.89999999999998</v>
      </c>
      <c r="AJ6" s="4">
        <f>SUM(Q6:T6)</f>
        <v>285.3</v>
      </c>
      <c r="AK6" s="4">
        <f>SUM(U6:X6)</f>
        <v>310</v>
      </c>
      <c r="AL6" s="4">
        <f>SUM(Y6:AB6)</f>
        <v>324.05500000000006</v>
      </c>
      <c r="AM6" s="4">
        <f>AL6*1.03</f>
        <v>333.77665000000007</v>
      </c>
      <c r="AN6" s="4">
        <f>AM6*1.02</f>
        <v>340.4521830000001</v>
      </c>
      <c r="AO6" s="4">
        <f t="shared" ref="AO6:AV6" si="10">AN6*1.01</f>
        <v>343.85670483000013</v>
      </c>
      <c r="AP6" s="4">
        <f t="shared" si="10"/>
        <v>347.29527187830013</v>
      </c>
      <c r="AQ6" s="4">
        <f t="shared" si="10"/>
        <v>350.76822459708313</v>
      </c>
      <c r="AR6" s="4">
        <f t="shared" si="10"/>
        <v>354.27590684305397</v>
      </c>
      <c r="AS6" s="4">
        <f t="shared" si="10"/>
        <v>357.81866591148452</v>
      </c>
      <c r="AT6" s="4">
        <f t="shared" si="10"/>
        <v>361.39685257059938</v>
      </c>
      <c r="AU6" s="4">
        <f t="shared" si="10"/>
        <v>365.01082109630539</v>
      </c>
      <c r="AV6" s="4">
        <f t="shared" si="10"/>
        <v>368.66092930726847</v>
      </c>
    </row>
    <row r="7" spans="2:158" x14ac:dyDescent="0.3">
      <c r="B7" t="s">
        <v>25</v>
      </c>
      <c r="C7" s="4">
        <v>9.5</v>
      </c>
      <c r="D7" s="4">
        <v>9.1999999999999993</v>
      </c>
      <c r="E7" s="4">
        <v>11.6</v>
      </c>
      <c r="G7" s="4">
        <v>12.9</v>
      </c>
      <c r="H7" s="4">
        <v>13.8</v>
      </c>
      <c r="I7" s="4">
        <v>15.2</v>
      </c>
      <c r="J7" s="4">
        <v>15.5</v>
      </c>
      <c r="K7" s="4">
        <v>14.5</v>
      </c>
      <c r="L7" s="4">
        <v>15.1</v>
      </c>
      <c r="M7" s="4">
        <v>17.100000000000001</v>
      </c>
      <c r="N7" s="4">
        <v>18</v>
      </c>
      <c r="O7" s="4">
        <v>15.6</v>
      </c>
      <c r="P7" s="4">
        <v>15.7</v>
      </c>
      <c r="Q7" s="4">
        <v>16.8</v>
      </c>
      <c r="R7" s="4">
        <v>15.6</v>
      </c>
      <c r="S7" s="4">
        <v>16.100000000000001</v>
      </c>
      <c r="T7" s="4">
        <v>16.7</v>
      </c>
      <c r="U7" s="4">
        <v>16.600000000000001</v>
      </c>
      <c r="V7" s="4">
        <v>17.399999999999999</v>
      </c>
      <c r="W7" s="4">
        <v>16.5</v>
      </c>
      <c r="X7" s="4">
        <v>17</v>
      </c>
      <c r="Y7" s="4">
        <f>U7*1.03</f>
        <v>17.098000000000003</v>
      </c>
      <c r="Z7" s="4">
        <f t="shared" ref="Z7:AB7" si="11">V7*1.03</f>
        <v>17.922000000000001</v>
      </c>
      <c r="AA7" s="4">
        <f t="shared" si="11"/>
        <v>16.995000000000001</v>
      </c>
      <c r="AB7" s="4">
        <f t="shared" si="11"/>
        <v>17.510000000000002</v>
      </c>
      <c r="AC7" s="4"/>
      <c r="AE7" s="4">
        <v>32</v>
      </c>
      <c r="AF7" s="4">
        <v>37.5</v>
      </c>
      <c r="AG7" s="4">
        <v>50.1</v>
      </c>
      <c r="AH7" s="4">
        <f>SUM(I7:L7)</f>
        <v>60.300000000000004</v>
      </c>
      <c r="AI7" s="4">
        <f>SUM(M7:P7)</f>
        <v>66.400000000000006</v>
      </c>
      <c r="AJ7" s="4">
        <f>SUM(Q7:T7)</f>
        <v>65.2</v>
      </c>
      <c r="AK7" s="4">
        <f>SUM(U7:X7)</f>
        <v>67.5</v>
      </c>
      <c r="AL7" s="4">
        <f>SUM(Y7:AB7)</f>
        <v>69.525000000000006</v>
      </c>
      <c r="AM7" s="4">
        <f>AL7*1.02</f>
        <v>70.915500000000009</v>
      </c>
      <c r="AN7" s="4">
        <f t="shared" ref="AN7" si="12">AM7*1.02</f>
        <v>72.333810000000014</v>
      </c>
      <c r="AO7" s="4">
        <f>AN7*1.01</f>
        <v>73.05714810000002</v>
      </c>
      <c r="AP7" s="4">
        <f t="shared" ref="AP7:AV7" si="13">AO7*1.01</f>
        <v>73.787719581000019</v>
      </c>
      <c r="AQ7" s="4">
        <f t="shared" si="13"/>
        <v>74.525596776810019</v>
      </c>
      <c r="AR7" s="4">
        <f t="shared" si="13"/>
        <v>75.270852744578121</v>
      </c>
      <c r="AS7" s="4">
        <f t="shared" si="13"/>
        <v>76.023561272023898</v>
      </c>
      <c r="AT7" s="4">
        <f t="shared" si="13"/>
        <v>76.783796884744135</v>
      </c>
      <c r="AU7" s="4">
        <f t="shared" si="13"/>
        <v>77.55163485359158</v>
      </c>
      <c r="AV7" s="4">
        <f t="shared" si="13"/>
        <v>78.327151202127496</v>
      </c>
    </row>
    <row r="8" spans="2:158" s="1" customFormat="1" x14ac:dyDescent="0.3">
      <c r="B8" s="1" t="s">
        <v>26</v>
      </c>
      <c r="C8" s="8">
        <f>C5-C6-C7</f>
        <v>10.999999999999986</v>
      </c>
      <c r="D8" s="8">
        <f>D5-D6-D7</f>
        <v>14.3</v>
      </c>
      <c r="E8" s="8">
        <f t="shared" ref="E8" si="14">E5-E6-E7</f>
        <v>13.299999999999992</v>
      </c>
      <c r="G8" s="8">
        <f>G5-G6-G7</f>
        <v>49.700000000000038</v>
      </c>
      <c r="H8" s="8">
        <f>H5-H6-H7</f>
        <v>58.899999999999963</v>
      </c>
      <c r="I8" s="8">
        <f t="shared" ref="I8" si="15">I5-I6-I7</f>
        <v>67.199999999999946</v>
      </c>
      <c r="J8" s="8">
        <f t="shared" ref="J8:Q8" si="16">J5-J6-J7</f>
        <v>34.599999999999952</v>
      </c>
      <c r="K8" s="8">
        <f t="shared" si="16"/>
        <v>10.700000000000017</v>
      </c>
      <c r="L8" s="8">
        <f t="shared" si="16"/>
        <v>25.20000000000001</v>
      </c>
      <c r="M8" s="8">
        <f t="shared" si="16"/>
        <v>-2.3999999999999844</v>
      </c>
      <c r="N8" s="8">
        <f t="shared" si="16"/>
        <v>-54.900000000000034</v>
      </c>
      <c r="O8" s="8">
        <f t="shared" si="16"/>
        <v>-10.899999999999983</v>
      </c>
      <c r="P8" s="8">
        <f t="shared" si="16"/>
        <v>13.600000000000012</v>
      </c>
      <c r="Q8" s="8">
        <f t="shared" si="16"/>
        <v>1.0999999999999766</v>
      </c>
      <c r="R8" s="8">
        <f t="shared" ref="R8" si="17">R5-R6-R7</f>
        <v>-2.8000000000000167</v>
      </c>
      <c r="S8" s="8">
        <f>S5-S6-S7</f>
        <v>-0.70000000000002416</v>
      </c>
      <c r="T8" s="8">
        <f>T5-T6-T7</f>
        <v>12.199999999999992</v>
      </c>
      <c r="U8" s="8">
        <f>U5-U6-U7</f>
        <v>-10.099999999999987</v>
      </c>
      <c r="V8" s="8">
        <f t="shared" ref="V8" si="18">V5-V6-V7</f>
        <v>-24.699999999999982</v>
      </c>
      <c r="W8" s="8">
        <f>W5-W6-W7</f>
        <v>-20.900000000000006</v>
      </c>
      <c r="X8" s="8">
        <f>X5-X6-X7</f>
        <v>5.9000000000000483</v>
      </c>
      <c r="Y8" s="8">
        <f t="shared" ref="Y8:AB8" si="19">Y5-Y6-Y7</f>
        <v>-10.360749999999999</v>
      </c>
      <c r="Z8" s="8">
        <f t="shared" si="19"/>
        <v>-20.238250000000011</v>
      </c>
      <c r="AA8" s="8">
        <f t="shared" si="19"/>
        <v>-3.5400000000000027</v>
      </c>
      <c r="AB8" s="8">
        <f t="shared" si="19"/>
        <v>8.3968000000000167</v>
      </c>
      <c r="AC8" s="8"/>
      <c r="AE8" s="8">
        <f>AE5-AE6-AE7</f>
        <v>21.80000000000004</v>
      </c>
      <c r="AF8" s="8">
        <f>AF5-AF6-AF7</f>
        <v>23.800000000000068</v>
      </c>
      <c r="AG8" s="8">
        <f>AG5-AG6-AG7</f>
        <v>158.4</v>
      </c>
      <c r="AH8" s="8">
        <f>AH5-AH6-AH7</f>
        <v>137.69999999999999</v>
      </c>
      <c r="AI8" s="8">
        <f t="shared" ref="AI8:AR8" si="20">AI5-AI6-AI7</f>
        <v>-54.600000000000165</v>
      </c>
      <c r="AJ8" s="8">
        <f t="shared" si="20"/>
        <v>9.7999999999999403</v>
      </c>
      <c r="AK8" s="8">
        <f t="shared" si="20"/>
        <v>-49.799999999999841</v>
      </c>
      <c r="AL8" s="8">
        <f t="shared" si="20"/>
        <v>-25.742200000000054</v>
      </c>
      <c r="AM8" s="8">
        <f t="shared" si="20"/>
        <v>-3.9752620000000434</v>
      </c>
      <c r="AN8" s="8">
        <f t="shared" si="20"/>
        <v>24.149536799999979</v>
      </c>
      <c r="AO8" s="8">
        <f t="shared" si="20"/>
        <v>54.329207358000005</v>
      </c>
      <c r="AP8" s="8">
        <f t="shared" si="20"/>
        <v>64.297360637339992</v>
      </c>
      <c r="AQ8" s="8">
        <f t="shared" si="20"/>
        <v>69.794137764679803</v>
      </c>
      <c r="AR8" s="8">
        <f t="shared" si="20"/>
        <v>75.442958733712373</v>
      </c>
      <c r="AS8" s="8">
        <f t="shared" ref="AS8:AV8" si="21">AS5-AS6-AS7</f>
        <v>81.247285504262976</v>
      </c>
      <c r="AT8" s="8">
        <f t="shared" si="21"/>
        <v>87.210653486183247</v>
      </c>
      <c r="AU8" s="8">
        <f t="shared" si="21"/>
        <v>93.336673050460362</v>
      </c>
      <c r="AV8" s="8">
        <f t="shared" si="21"/>
        <v>99.629031070968537</v>
      </c>
    </row>
    <row r="9" spans="2:158" x14ac:dyDescent="0.3">
      <c r="B9" t="s">
        <v>27</v>
      </c>
      <c r="C9" s="4">
        <v>9.1</v>
      </c>
      <c r="D9" s="4">
        <v>8.5</v>
      </c>
      <c r="E9" s="4">
        <v>9.4</v>
      </c>
      <c r="G9" s="4">
        <v>10.199999999999999</v>
      </c>
      <c r="H9" s="4">
        <v>6</v>
      </c>
      <c r="I9" s="4">
        <v>4.9000000000000004</v>
      </c>
      <c r="J9" s="4">
        <v>4.5</v>
      </c>
      <c r="K9" s="4">
        <v>7.2</v>
      </c>
      <c r="L9" s="4">
        <v>1</v>
      </c>
      <c r="M9" s="4">
        <v>1.3</v>
      </c>
      <c r="N9" s="4">
        <v>1.7</v>
      </c>
      <c r="O9" s="4">
        <v>2.7</v>
      </c>
      <c r="P9" s="4">
        <v>3.9</v>
      </c>
      <c r="Q9" s="4">
        <v>4.3</v>
      </c>
      <c r="R9" s="4">
        <v>4.5</v>
      </c>
      <c r="S9" s="4">
        <v>4.3</v>
      </c>
      <c r="T9" s="4">
        <v>4.4000000000000004</v>
      </c>
      <c r="U9" s="4">
        <v>3.7</v>
      </c>
      <c r="V9" s="4">
        <v>3.4</v>
      </c>
      <c r="W9" s="4">
        <v>3</v>
      </c>
      <c r="X9" s="4">
        <v>3.1</v>
      </c>
      <c r="Y9" s="4">
        <f>U9*1.02</f>
        <v>3.7740000000000005</v>
      </c>
      <c r="Z9" s="4">
        <f t="shared" ref="Z9:AB9" si="22">V9*1.02</f>
        <v>3.468</v>
      </c>
      <c r="AA9" s="4">
        <f t="shared" si="22"/>
        <v>3.06</v>
      </c>
      <c r="AB9" s="4">
        <f t="shared" si="22"/>
        <v>3.1620000000000004</v>
      </c>
      <c r="AC9" s="4"/>
      <c r="AE9" s="4">
        <v>32.700000000000003</v>
      </c>
      <c r="AF9" s="4">
        <v>35.5</v>
      </c>
      <c r="AG9" s="4">
        <v>35.1</v>
      </c>
      <c r="AH9" s="4">
        <f>SUM(I9:L9)</f>
        <v>17.600000000000001</v>
      </c>
      <c r="AI9" s="4">
        <f>SUM(M9:P9)</f>
        <v>9.6</v>
      </c>
      <c r="AJ9" s="4">
        <f>SUM(Q9:T9)</f>
        <v>17.5</v>
      </c>
      <c r="AK9" s="4">
        <f>SUM(U9:X9)</f>
        <v>13.2</v>
      </c>
      <c r="AL9" s="4">
        <f>SUM(Y9:AB9)</f>
        <v>13.464000000000002</v>
      </c>
      <c r="AM9" s="4">
        <f>AL9*1.03</f>
        <v>13.867920000000003</v>
      </c>
      <c r="AN9" s="4">
        <f t="shared" ref="AN9:AV9" si="23">AM9*1.03</f>
        <v>14.283957600000004</v>
      </c>
      <c r="AO9" s="4">
        <f t="shared" si="23"/>
        <v>14.712476328000005</v>
      </c>
      <c r="AP9" s="4">
        <f t="shared" si="23"/>
        <v>15.153850617840005</v>
      </c>
      <c r="AQ9" s="4">
        <f t="shared" si="23"/>
        <v>15.608466136375206</v>
      </c>
      <c r="AR9" s="4">
        <f t="shared" si="23"/>
        <v>16.076720120466462</v>
      </c>
      <c r="AS9" s="4">
        <f t="shared" si="23"/>
        <v>16.559021724080456</v>
      </c>
      <c r="AT9" s="4">
        <f t="shared" si="23"/>
        <v>17.05579237580287</v>
      </c>
      <c r="AU9" s="4">
        <f t="shared" si="23"/>
        <v>17.567466147076956</v>
      </c>
      <c r="AV9" s="4">
        <f t="shared" si="23"/>
        <v>18.094490131489266</v>
      </c>
    </row>
    <row r="10" spans="2:158" x14ac:dyDescent="0.3">
      <c r="B10" t="s">
        <v>28</v>
      </c>
      <c r="C10" s="4">
        <v>0.4</v>
      </c>
      <c r="D10" s="4">
        <v>0.1</v>
      </c>
      <c r="E10" s="4">
        <v>0.1</v>
      </c>
      <c r="G10" s="4">
        <v>0</v>
      </c>
      <c r="H10" s="4">
        <v>1.2</v>
      </c>
      <c r="I10" s="4">
        <v>2.4</v>
      </c>
      <c r="J10" s="4">
        <v>0.2</v>
      </c>
      <c r="K10" s="4">
        <v>1.4</v>
      </c>
      <c r="L10" s="4">
        <v>1.7</v>
      </c>
      <c r="M10" s="4">
        <v>0.5</v>
      </c>
      <c r="N10" s="4">
        <v>-0.6</v>
      </c>
      <c r="O10" s="4">
        <v>-1.7</v>
      </c>
      <c r="P10" s="4">
        <f>-0.4+1.6</f>
        <v>1.2000000000000002</v>
      </c>
      <c r="Q10" s="4">
        <f>-1.5+0.5</f>
        <v>-1</v>
      </c>
      <c r="R10" s="4">
        <f>-2+1.1</f>
        <v>-0.89999999999999991</v>
      </c>
      <c r="S10" s="4">
        <f>-1.7-0.3</f>
        <v>-2</v>
      </c>
      <c r="T10" s="4">
        <f>-1.6+1.3</f>
        <v>-0.30000000000000004</v>
      </c>
      <c r="U10" s="4">
        <f>-1.6+0.5</f>
        <v>-1.1000000000000001</v>
      </c>
      <c r="V10" s="4">
        <f>-1.2+0.5</f>
        <v>-0.7</v>
      </c>
      <c r="W10" s="4">
        <f>-0.3+0.9</f>
        <v>0.60000000000000009</v>
      </c>
      <c r="X10" s="4">
        <v>-0.3</v>
      </c>
      <c r="Y10" s="4">
        <v>0</v>
      </c>
      <c r="Z10" s="4">
        <v>0</v>
      </c>
      <c r="AA10" s="4">
        <v>0</v>
      </c>
      <c r="AB10" s="4">
        <v>0</v>
      </c>
      <c r="AC10" s="4"/>
      <c r="AE10" s="4">
        <v>-0.2</v>
      </c>
      <c r="AF10" s="4">
        <v>1.6</v>
      </c>
      <c r="AG10" s="4">
        <v>1.2</v>
      </c>
      <c r="AH10" s="4">
        <f>SUM(I10:L10)</f>
        <v>5.7</v>
      </c>
      <c r="AI10" s="4">
        <f>SUM(M10:P10)</f>
        <v>-0.59999999999999964</v>
      </c>
      <c r="AJ10" s="4">
        <f>SUM(Q10:T10)</f>
        <v>-4.2</v>
      </c>
      <c r="AK10" s="4">
        <f>SUM(U10:X10)</f>
        <v>-1.5</v>
      </c>
      <c r="AL10" s="4">
        <f>SUM(Y10:AB10)</f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</row>
    <row r="11" spans="2:158" s="1" customFormat="1" x14ac:dyDescent="0.3">
      <c r="B11" s="1" t="s">
        <v>29</v>
      </c>
      <c r="C11" s="8">
        <f>C8-C9-C10</f>
        <v>1.4999999999999862</v>
      </c>
      <c r="D11" s="8">
        <f>D8-D9-D10</f>
        <v>5.7000000000000011</v>
      </c>
      <c r="E11" s="8">
        <f t="shared" ref="E11" si="24">E8-E9-E10</f>
        <v>3.7999999999999914</v>
      </c>
      <c r="G11" s="8">
        <f>G8-G9-G10</f>
        <v>39.500000000000043</v>
      </c>
      <c r="H11" s="8">
        <f>H8-H9-H10</f>
        <v>51.69999999999996</v>
      </c>
      <c r="I11" s="8">
        <f t="shared" ref="I11" si="25">I8-I9-I10</f>
        <v>59.899999999999949</v>
      </c>
      <c r="J11" s="8">
        <f t="shared" ref="J11:Q11" si="26">J8-J9-J10</f>
        <v>29.899999999999952</v>
      </c>
      <c r="K11" s="8">
        <f t="shared" si="26"/>
        <v>2.100000000000017</v>
      </c>
      <c r="L11" s="8">
        <f t="shared" si="26"/>
        <v>22.500000000000011</v>
      </c>
      <c r="M11" s="8">
        <f t="shared" si="26"/>
        <v>-4.1999999999999842</v>
      </c>
      <c r="N11" s="8">
        <f t="shared" si="26"/>
        <v>-56.000000000000036</v>
      </c>
      <c r="O11" s="8">
        <f t="shared" si="26"/>
        <v>-11.899999999999984</v>
      </c>
      <c r="P11" s="8">
        <f t="shared" si="26"/>
        <v>8.5000000000000107</v>
      </c>
      <c r="Q11" s="8">
        <f t="shared" si="26"/>
        <v>-2.2000000000000233</v>
      </c>
      <c r="R11" s="8">
        <f t="shared" ref="R11" si="27">R8-R9-R10</f>
        <v>-6.4000000000000163</v>
      </c>
      <c r="S11" s="8">
        <f>S8-S9-S10</f>
        <v>-3.000000000000024</v>
      </c>
      <c r="T11" s="8">
        <f>T8-T9-T10</f>
        <v>8.0999999999999925</v>
      </c>
      <c r="U11" s="8">
        <f>U8-U9-U10</f>
        <v>-12.699999999999987</v>
      </c>
      <c r="V11" s="8">
        <f t="shared" ref="V11" si="28">V8-V9-V10</f>
        <v>-27.399999999999981</v>
      </c>
      <c r="W11" s="8">
        <f>W8-W9-W10</f>
        <v>-24.500000000000007</v>
      </c>
      <c r="X11" s="8">
        <f>X8-X9-X10</f>
        <v>3.1000000000000481</v>
      </c>
      <c r="Y11" s="8">
        <f t="shared" ref="Y11:AB11" si="29">Y8-Y9-Y10</f>
        <v>-14.13475</v>
      </c>
      <c r="Z11" s="8">
        <f t="shared" si="29"/>
        <v>-23.706250000000011</v>
      </c>
      <c r="AA11" s="8">
        <f t="shared" si="29"/>
        <v>-6.6000000000000032</v>
      </c>
      <c r="AB11" s="8">
        <f t="shared" si="29"/>
        <v>5.2348000000000159</v>
      </c>
      <c r="AC11" s="8"/>
      <c r="AE11" s="8">
        <f>AE8-AE9-AE10</f>
        <v>-10.699999999999964</v>
      </c>
      <c r="AF11" s="8">
        <f>AF8-AF9-AF10</f>
        <v>-13.299999999999931</v>
      </c>
      <c r="AG11" s="8">
        <f>AG8-AG9-AG10</f>
        <v>122.10000000000001</v>
      </c>
      <c r="AH11" s="8">
        <f>AH8-AH9-AH10</f>
        <v>114.39999999999999</v>
      </c>
      <c r="AI11" s="8">
        <f t="shared" ref="AI11:AR11" si="30">AI8-AI9-AI10</f>
        <v>-63.600000000000158</v>
      </c>
      <c r="AJ11" s="8">
        <f t="shared" si="30"/>
        <v>-3.5000000000000595</v>
      </c>
      <c r="AK11" s="8">
        <f t="shared" si="30"/>
        <v>-61.499999999999844</v>
      </c>
      <c r="AL11" s="8">
        <f t="shared" si="30"/>
        <v>-39.206200000000052</v>
      </c>
      <c r="AM11" s="8">
        <f t="shared" si="30"/>
        <v>-17.843182000000049</v>
      </c>
      <c r="AN11" s="8">
        <f t="shared" si="30"/>
        <v>9.8655791999999742</v>
      </c>
      <c r="AO11" s="8">
        <f t="shared" si="30"/>
        <v>39.616731029999997</v>
      </c>
      <c r="AP11" s="8">
        <f t="shared" si="30"/>
        <v>49.143510019499985</v>
      </c>
      <c r="AQ11" s="8">
        <f t="shared" si="30"/>
        <v>54.185671628304597</v>
      </c>
      <c r="AR11" s="8">
        <f t="shared" si="30"/>
        <v>59.366238613245912</v>
      </c>
      <c r="AS11" s="8">
        <f t="shared" ref="AS11:AV11" si="31">AS8-AS9-AS10</f>
        <v>64.688263780182524</v>
      </c>
      <c r="AT11" s="8">
        <f t="shared" si="31"/>
        <v>70.154861110380381</v>
      </c>
      <c r="AU11" s="8">
        <f t="shared" si="31"/>
        <v>75.769206903383406</v>
      </c>
      <c r="AV11" s="8">
        <f t="shared" si="31"/>
        <v>81.534540939479271</v>
      </c>
    </row>
    <row r="12" spans="2:158" x14ac:dyDescent="0.3">
      <c r="B12" t="s">
        <v>30</v>
      </c>
      <c r="C12" s="4">
        <v>-0.1</v>
      </c>
      <c r="D12" s="4">
        <v>-0.4</v>
      </c>
      <c r="E12" s="4">
        <v>2.7</v>
      </c>
      <c r="G12" s="4">
        <v>3.2</v>
      </c>
      <c r="H12" s="4">
        <v>8.6999999999999993</v>
      </c>
      <c r="I12" s="4">
        <v>13.2</v>
      </c>
      <c r="J12" s="4">
        <v>2.2999999999999998</v>
      </c>
      <c r="K12" s="4">
        <v>0.4</v>
      </c>
      <c r="L12" s="4">
        <v>-2.2999999999999998</v>
      </c>
      <c r="M12" s="4">
        <v>-1</v>
      </c>
      <c r="N12" s="4">
        <v>-4.2</v>
      </c>
      <c r="O12" s="4">
        <v>-6.1</v>
      </c>
      <c r="P12" s="4">
        <v>1.4</v>
      </c>
      <c r="Q12" s="4">
        <v>-0.6</v>
      </c>
      <c r="R12" s="4">
        <v>-2.2999999999999998</v>
      </c>
      <c r="S12" s="4">
        <v>-0.1</v>
      </c>
      <c r="T12" s="4">
        <v>0.6</v>
      </c>
      <c r="U12" s="4">
        <v>-1.8</v>
      </c>
      <c r="V12" s="4">
        <v>-4</v>
      </c>
      <c r="W12" s="4">
        <v>27</v>
      </c>
      <c r="X12" s="4">
        <v>0.5</v>
      </c>
      <c r="Y12" s="4">
        <f>Y11*0.2</f>
        <v>-2.8269500000000001</v>
      </c>
      <c r="Z12" s="4">
        <f t="shared" ref="Z12:AB12" si="32">Z11*0.2</f>
        <v>-4.7412500000000026</v>
      </c>
      <c r="AA12" s="4">
        <f t="shared" si="32"/>
        <v>-1.3200000000000007</v>
      </c>
      <c r="AB12" s="4">
        <f t="shared" si="32"/>
        <v>1.0469600000000032</v>
      </c>
      <c r="AC12" s="4"/>
      <c r="AE12" s="4">
        <v>3</v>
      </c>
      <c r="AF12" s="4">
        <v>-5</v>
      </c>
      <c r="AG12" s="4">
        <v>18.8</v>
      </c>
      <c r="AH12" s="4">
        <f>SUM(I12:L12)</f>
        <v>13.600000000000001</v>
      </c>
      <c r="AI12" s="4">
        <f>SUM(M12:P12)</f>
        <v>-9.9</v>
      </c>
      <c r="AJ12" s="4">
        <f>SUM(Q12:T12)</f>
        <v>-2.4</v>
      </c>
      <c r="AK12" s="4">
        <f>SUM(U12:X12)</f>
        <v>21.7</v>
      </c>
      <c r="AL12" s="4">
        <f>SUM(Y12:AB12)</f>
        <v>-7.84124</v>
      </c>
      <c r="AM12" s="4">
        <f t="shared" ref="AM12:AR12" si="33">AM11*0.19</f>
        <v>-3.3902045800000091</v>
      </c>
      <c r="AN12" s="4">
        <f t="shared" si="33"/>
        <v>1.8744600479999951</v>
      </c>
      <c r="AO12" s="4">
        <f t="shared" si="33"/>
        <v>7.5271788956999997</v>
      </c>
      <c r="AP12" s="4">
        <f t="shared" si="33"/>
        <v>9.3372669037049967</v>
      </c>
      <c r="AQ12" s="4">
        <f t="shared" si="33"/>
        <v>10.295277609377873</v>
      </c>
      <c r="AR12" s="4">
        <f t="shared" si="33"/>
        <v>11.279585336516723</v>
      </c>
      <c r="AS12" s="4">
        <f t="shared" ref="AS12:AV12" si="34">AS11*0.19</f>
        <v>12.290770118234679</v>
      </c>
      <c r="AT12" s="4">
        <f t="shared" si="34"/>
        <v>13.329423610972272</v>
      </c>
      <c r="AU12" s="4">
        <f t="shared" si="34"/>
        <v>14.396149311642848</v>
      </c>
      <c r="AV12" s="4">
        <f t="shared" si="34"/>
        <v>15.491562778501061</v>
      </c>
    </row>
    <row r="13" spans="2:158" x14ac:dyDescent="0.3">
      <c r="B13" t="s">
        <v>60</v>
      </c>
      <c r="C13" s="4"/>
      <c r="D13" s="4"/>
      <c r="E13" s="4"/>
      <c r="G13" s="4"/>
      <c r="H13" s="4"/>
      <c r="I13" s="4"/>
      <c r="J13" s="4">
        <v>0</v>
      </c>
      <c r="K13" s="4">
        <v>0</v>
      </c>
      <c r="L13" s="4">
        <v>0</v>
      </c>
      <c r="M13" s="4">
        <f>-0.4+2.3</f>
        <v>1.9</v>
      </c>
      <c r="N13" s="4">
        <f>0.2+7.4</f>
        <v>7.6000000000000005</v>
      </c>
      <c r="O13" s="4">
        <f>0.3+2.7</f>
        <v>3</v>
      </c>
      <c r="P13" s="4">
        <f>0.4-5.8</f>
        <v>-5.3999999999999995</v>
      </c>
      <c r="Q13" s="4">
        <f>0.4-1</f>
        <v>-0.6</v>
      </c>
      <c r="R13" s="4">
        <f>0.4-5.6</f>
        <v>-5.1999999999999993</v>
      </c>
      <c r="S13" s="4">
        <v>0.2</v>
      </c>
      <c r="T13" s="4">
        <f>0.6+0.8</f>
        <v>1.4</v>
      </c>
      <c r="U13" s="4">
        <f>0.5+1</f>
        <v>1.5</v>
      </c>
      <c r="V13" s="4">
        <f>0.7+5.4</f>
        <v>6.1000000000000005</v>
      </c>
      <c r="W13" s="4">
        <f>0.1+6.7</f>
        <v>6.8</v>
      </c>
      <c r="X13" s="4">
        <v>0.4</v>
      </c>
      <c r="Y13" s="4">
        <v>0</v>
      </c>
      <c r="Z13" s="4">
        <v>0</v>
      </c>
      <c r="AA13" s="4">
        <v>0</v>
      </c>
      <c r="AB13" s="4">
        <v>0</v>
      </c>
      <c r="AC13" s="4"/>
      <c r="AE13" s="4"/>
      <c r="AF13" s="4"/>
      <c r="AG13" s="4"/>
      <c r="AH13" s="4"/>
      <c r="AI13" s="4">
        <f>SUM(M13:P13)</f>
        <v>7.1000000000000005</v>
      </c>
      <c r="AJ13" s="4">
        <f>SUM(Q13:T13)</f>
        <v>-4.1999999999999993</v>
      </c>
      <c r="AK13" s="4">
        <f>SUM(U13:X13)</f>
        <v>14.8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2:158" s="1" customFormat="1" x14ac:dyDescent="0.3">
      <c r="B14" s="1" t="s">
        <v>31</v>
      </c>
      <c r="C14" s="8">
        <f>C11-C12</f>
        <v>1.5999999999999863</v>
      </c>
      <c r="D14" s="8">
        <f>D11-D12</f>
        <v>6.1000000000000014</v>
      </c>
      <c r="E14" s="8">
        <f t="shared" ref="E14" si="35">E11-E12</f>
        <v>1.0999999999999912</v>
      </c>
      <c r="G14" s="8">
        <f>G11-G12</f>
        <v>36.30000000000004</v>
      </c>
      <c r="H14" s="8">
        <f>H11-H12</f>
        <v>42.999999999999957</v>
      </c>
      <c r="I14" s="8">
        <f t="shared" ref="I14" si="36">I11-I12</f>
        <v>46.699999999999946</v>
      </c>
      <c r="J14" s="8">
        <f t="shared" ref="J14:X14" si="37">J11-J12-J13</f>
        <v>27.599999999999952</v>
      </c>
      <c r="K14" s="8">
        <f t="shared" si="37"/>
        <v>1.7000000000000171</v>
      </c>
      <c r="L14" s="8">
        <f t="shared" si="37"/>
        <v>24.800000000000011</v>
      </c>
      <c r="M14" s="8">
        <f t="shared" si="37"/>
        <v>-5.0999999999999837</v>
      </c>
      <c r="N14" s="8">
        <f t="shared" si="37"/>
        <v>-59.400000000000034</v>
      </c>
      <c r="O14" s="8">
        <f t="shared" si="37"/>
        <v>-8.7999999999999847</v>
      </c>
      <c r="P14" s="8">
        <f t="shared" si="37"/>
        <v>12.500000000000011</v>
      </c>
      <c r="Q14" s="8">
        <f t="shared" si="37"/>
        <v>-1.0000000000000231</v>
      </c>
      <c r="R14" s="8">
        <f t="shared" si="37"/>
        <v>1.0999999999999828</v>
      </c>
      <c r="S14" s="8">
        <f t="shared" si="37"/>
        <v>-3.1000000000000241</v>
      </c>
      <c r="T14" s="8">
        <f t="shared" si="37"/>
        <v>6.0999999999999925</v>
      </c>
      <c r="U14" s="8">
        <f t="shared" si="37"/>
        <v>-12.399999999999986</v>
      </c>
      <c r="V14" s="8">
        <f t="shared" si="37"/>
        <v>-29.499999999999982</v>
      </c>
      <c r="W14" s="8">
        <f t="shared" si="37"/>
        <v>-58.300000000000004</v>
      </c>
      <c r="X14" s="8">
        <f t="shared" si="37"/>
        <v>2.2000000000000481</v>
      </c>
      <c r="Y14" s="8">
        <f t="shared" ref="Y14" si="38">Y11-Y12-Y13</f>
        <v>-11.3078</v>
      </c>
      <c r="Z14" s="8">
        <f t="shared" ref="Z14" si="39">Z11-Z12-Z13</f>
        <v>-18.965000000000011</v>
      </c>
      <c r="AA14" s="8">
        <f t="shared" ref="AA14" si="40">AA11-AA12-AA13</f>
        <v>-5.2800000000000029</v>
      </c>
      <c r="AB14" s="8">
        <f t="shared" ref="AB14" si="41">AB11-AB12-AB13</f>
        <v>4.1878400000000129</v>
      </c>
      <c r="AC14" s="8"/>
      <c r="AE14" s="8">
        <f>AE11-AE12</f>
        <v>-13.699999999999964</v>
      </c>
      <c r="AF14" s="8">
        <f>AF11-AF12</f>
        <v>-8.2999999999999314</v>
      </c>
      <c r="AG14" s="8">
        <f>AG11-AG12</f>
        <v>103.30000000000001</v>
      </c>
      <c r="AH14" s="8">
        <f>AH11-AH12</f>
        <v>100.79999999999998</v>
      </c>
      <c r="AI14" s="8">
        <f t="shared" ref="AI14:AV14" si="42">AI11-AI12-AI13</f>
        <v>-60.800000000000161</v>
      </c>
      <c r="AJ14" s="8">
        <f t="shared" si="42"/>
        <v>3.0999999999999397</v>
      </c>
      <c r="AK14" s="8">
        <f t="shared" si="42"/>
        <v>-97.999999999999844</v>
      </c>
      <c r="AL14" s="8">
        <f t="shared" si="42"/>
        <v>-31.364960000000053</v>
      </c>
      <c r="AM14" s="8">
        <f t="shared" si="42"/>
        <v>-14.452977420000039</v>
      </c>
      <c r="AN14" s="8">
        <f t="shared" si="42"/>
        <v>7.9911191519999791</v>
      </c>
      <c r="AO14" s="8">
        <f t="shared" si="42"/>
        <v>32.0895521343</v>
      </c>
      <c r="AP14" s="8">
        <f t="shared" si="42"/>
        <v>39.806243115794985</v>
      </c>
      <c r="AQ14" s="8">
        <f t="shared" si="42"/>
        <v>43.890394018926727</v>
      </c>
      <c r="AR14" s="8">
        <f t="shared" si="42"/>
        <v>48.086653276729187</v>
      </c>
      <c r="AS14" s="8">
        <f t="shared" si="42"/>
        <v>52.397493661947848</v>
      </c>
      <c r="AT14" s="8">
        <f t="shared" si="42"/>
        <v>56.82543749940811</v>
      </c>
      <c r="AU14" s="8">
        <f t="shared" si="42"/>
        <v>61.373057591740562</v>
      </c>
      <c r="AV14" s="8">
        <f t="shared" si="42"/>
        <v>66.042978160978208</v>
      </c>
      <c r="AW14" s="1">
        <f>AV14*(1+$AY$20)</f>
        <v>65.38254837936843</v>
      </c>
      <c r="AX14" s="1">
        <f t="shared" ref="AX14:DI14" si="43">AW14*(1+$AY$20)</f>
        <v>64.728722895574748</v>
      </c>
      <c r="AY14" s="1">
        <f t="shared" si="43"/>
        <v>64.081435666619001</v>
      </c>
      <c r="AZ14" s="1">
        <f t="shared" si="43"/>
        <v>63.44062130995281</v>
      </c>
      <c r="BA14" s="1">
        <f t="shared" si="43"/>
        <v>62.806215096853279</v>
      </c>
      <c r="BB14" s="1">
        <f t="shared" si="43"/>
        <v>62.178152945884747</v>
      </c>
      <c r="BC14" s="1">
        <f t="shared" si="43"/>
        <v>61.556371416425897</v>
      </c>
      <c r="BD14" s="1">
        <f t="shared" si="43"/>
        <v>60.940807702261637</v>
      </c>
      <c r="BE14" s="1">
        <f t="shared" si="43"/>
        <v>60.331399625239023</v>
      </c>
      <c r="BF14" s="1">
        <f t="shared" si="43"/>
        <v>59.728085628986634</v>
      </c>
      <c r="BG14" s="1">
        <f t="shared" si="43"/>
        <v>59.13080477269677</v>
      </c>
      <c r="BH14" s="1">
        <f t="shared" si="43"/>
        <v>58.539496724969801</v>
      </c>
      <c r="BI14" s="1">
        <f t="shared" si="43"/>
        <v>57.954101757720103</v>
      </c>
      <c r="BJ14" s="1">
        <f t="shared" si="43"/>
        <v>57.374560740142904</v>
      </c>
      <c r="BK14" s="1">
        <f t="shared" si="43"/>
        <v>56.800815132741477</v>
      </c>
      <c r="BL14" s="1">
        <f t="shared" si="43"/>
        <v>56.232806981414065</v>
      </c>
      <c r="BM14" s="1">
        <f t="shared" si="43"/>
        <v>55.670478911599922</v>
      </c>
      <c r="BN14" s="1">
        <f t="shared" si="43"/>
        <v>55.113774122483925</v>
      </c>
      <c r="BO14" s="1">
        <f t="shared" si="43"/>
        <v>54.562636381259082</v>
      </c>
      <c r="BP14" s="1">
        <f t="shared" si="43"/>
        <v>54.017010017446488</v>
      </c>
      <c r="BQ14" s="1">
        <f t="shared" si="43"/>
        <v>53.476839917272024</v>
      </c>
      <c r="BR14" s="1">
        <f t="shared" si="43"/>
        <v>52.942071518099304</v>
      </c>
      <c r="BS14" s="1">
        <f t="shared" si="43"/>
        <v>52.412650802918314</v>
      </c>
      <c r="BT14" s="1">
        <f t="shared" si="43"/>
        <v>51.88852429488913</v>
      </c>
      <c r="BU14" s="1">
        <f t="shared" si="43"/>
        <v>51.36963905194024</v>
      </c>
      <c r="BV14" s="1">
        <f t="shared" si="43"/>
        <v>50.855942661420841</v>
      </c>
      <c r="BW14" s="1">
        <f t="shared" si="43"/>
        <v>50.347383234806628</v>
      </c>
      <c r="BX14" s="1">
        <f t="shared" si="43"/>
        <v>49.843909402458564</v>
      </c>
      <c r="BY14" s="1">
        <f t="shared" si="43"/>
        <v>49.345470308433981</v>
      </c>
      <c r="BZ14" s="1">
        <f t="shared" si="43"/>
        <v>48.852015605349642</v>
      </c>
      <c r="CA14" s="1">
        <f t="shared" si="43"/>
        <v>48.363495449296146</v>
      </c>
      <c r="CB14" s="1">
        <f t="shared" si="43"/>
        <v>47.879860494803182</v>
      </c>
      <c r="CC14" s="1">
        <f t="shared" si="43"/>
        <v>47.40106188985515</v>
      </c>
      <c r="CD14" s="1">
        <f t="shared" si="43"/>
        <v>46.927051270956596</v>
      </c>
      <c r="CE14" s="1">
        <f t="shared" si="43"/>
        <v>46.457780758247033</v>
      </c>
      <c r="CF14" s="1">
        <f t="shared" si="43"/>
        <v>45.993202950664561</v>
      </c>
      <c r="CG14" s="1">
        <f t="shared" si="43"/>
        <v>45.533270921157914</v>
      </c>
      <c r="CH14" s="1">
        <f t="shared" si="43"/>
        <v>45.077938211946332</v>
      </c>
      <c r="CI14" s="1">
        <f t="shared" si="43"/>
        <v>44.627158829826868</v>
      </c>
      <c r="CJ14" s="1">
        <f t="shared" si="43"/>
        <v>44.180887241528602</v>
      </c>
      <c r="CK14" s="1">
        <f t="shared" si="43"/>
        <v>43.739078369113315</v>
      </c>
      <c r="CL14" s="1">
        <f t="shared" si="43"/>
        <v>43.301687585422179</v>
      </c>
      <c r="CM14" s="1">
        <f t="shared" si="43"/>
        <v>42.868670709567958</v>
      </c>
      <c r="CN14" s="1">
        <f t="shared" si="43"/>
        <v>42.439984002472279</v>
      </c>
      <c r="CO14" s="1">
        <f t="shared" si="43"/>
        <v>42.015584162447553</v>
      </c>
      <c r="CP14" s="1">
        <f t="shared" si="43"/>
        <v>41.595428320823075</v>
      </c>
      <c r="CQ14" s="1">
        <f t="shared" si="43"/>
        <v>41.179474037614845</v>
      </c>
      <c r="CR14" s="1">
        <f t="shared" si="43"/>
        <v>40.767679297238693</v>
      </c>
      <c r="CS14" s="1">
        <f t="shared" si="43"/>
        <v>40.360002504266305</v>
      </c>
      <c r="CT14" s="1">
        <f t="shared" si="43"/>
        <v>39.956402479223641</v>
      </c>
      <c r="CU14" s="1">
        <f t="shared" si="43"/>
        <v>39.556838454431407</v>
      </c>
      <c r="CV14" s="1">
        <f t="shared" si="43"/>
        <v>39.161270069887095</v>
      </c>
      <c r="CW14" s="1">
        <f t="shared" si="43"/>
        <v>38.769657369188224</v>
      </c>
      <c r="CX14" s="1">
        <f t="shared" si="43"/>
        <v>38.38196079549634</v>
      </c>
      <c r="CY14" s="1">
        <f t="shared" si="43"/>
        <v>37.998141187541378</v>
      </c>
      <c r="CZ14" s="1">
        <f t="shared" si="43"/>
        <v>37.618159775665966</v>
      </c>
      <c r="DA14" s="1">
        <f t="shared" si="43"/>
        <v>37.241978177909303</v>
      </c>
      <c r="DB14" s="1">
        <f t="shared" si="43"/>
        <v>36.869558396130209</v>
      </c>
      <c r="DC14" s="1">
        <f t="shared" si="43"/>
        <v>36.500862812168904</v>
      </c>
      <c r="DD14" s="1">
        <f t="shared" si="43"/>
        <v>36.135854184047211</v>
      </c>
      <c r="DE14" s="1">
        <f t="shared" si="43"/>
        <v>35.774495642206738</v>
      </c>
      <c r="DF14" s="1">
        <f t="shared" si="43"/>
        <v>35.41675068578467</v>
      </c>
      <c r="DG14" s="1">
        <f t="shared" si="43"/>
        <v>35.062583178926822</v>
      </c>
      <c r="DH14" s="1">
        <f t="shared" si="43"/>
        <v>34.711957347137556</v>
      </c>
      <c r="DI14" s="1">
        <f t="shared" si="43"/>
        <v>34.364837773666181</v>
      </c>
      <c r="DJ14" s="1">
        <f t="shared" ref="DJ14:FB14" si="44">DI14*(1+$AY$20)</f>
        <v>34.021189395929518</v>
      </c>
      <c r="DK14" s="1">
        <f t="shared" si="44"/>
        <v>33.680977501970226</v>
      </c>
      <c r="DL14" s="1">
        <f t="shared" si="44"/>
        <v>33.344167726950523</v>
      </c>
      <c r="DM14" s="1">
        <f t="shared" si="44"/>
        <v>33.010726049681018</v>
      </c>
      <c r="DN14" s="1">
        <f t="shared" si="44"/>
        <v>32.680618789184209</v>
      </c>
      <c r="DO14" s="1">
        <f t="shared" si="44"/>
        <v>32.353812601292368</v>
      </c>
      <c r="DP14" s="1">
        <f t="shared" si="44"/>
        <v>32.030274475279441</v>
      </c>
      <c r="DQ14" s="1">
        <f t="shared" si="44"/>
        <v>31.709971730526647</v>
      </c>
      <c r="DR14" s="1">
        <f t="shared" si="44"/>
        <v>31.392872013221378</v>
      </c>
      <c r="DS14" s="1">
        <f t="shared" si="44"/>
        <v>31.078943293089164</v>
      </c>
      <c r="DT14" s="1">
        <f t="shared" si="44"/>
        <v>30.768153860158272</v>
      </c>
      <c r="DU14" s="1">
        <f t="shared" si="44"/>
        <v>30.46047232155669</v>
      </c>
      <c r="DV14" s="1">
        <f t="shared" si="44"/>
        <v>30.155867598341121</v>
      </c>
      <c r="DW14" s="1">
        <f t="shared" si="44"/>
        <v>29.85430892235771</v>
      </c>
      <c r="DX14" s="1">
        <f t="shared" si="44"/>
        <v>29.555765833134132</v>
      </c>
      <c r="DY14" s="1">
        <f t="shared" si="44"/>
        <v>29.260208174802791</v>
      </c>
      <c r="DZ14" s="1">
        <f t="shared" si="44"/>
        <v>28.967606093054762</v>
      </c>
      <c r="EA14" s="1">
        <f t="shared" si="44"/>
        <v>28.677930032124213</v>
      </c>
      <c r="EB14" s="1">
        <f t="shared" si="44"/>
        <v>28.39115073180297</v>
      </c>
      <c r="EC14" s="1">
        <f t="shared" si="44"/>
        <v>28.107239224484939</v>
      </c>
      <c r="ED14" s="1">
        <f t="shared" si="44"/>
        <v>27.826166832240091</v>
      </c>
      <c r="EE14" s="1">
        <f t="shared" si="44"/>
        <v>27.54790516391769</v>
      </c>
      <c r="EF14" s="1">
        <f t="shared" si="44"/>
        <v>27.272426112278513</v>
      </c>
      <c r="EG14" s="1">
        <f t="shared" si="44"/>
        <v>26.999701851155727</v>
      </c>
      <c r="EH14" s="1">
        <f t="shared" si="44"/>
        <v>26.72970483264417</v>
      </c>
      <c r="EI14" s="1">
        <f t="shared" si="44"/>
        <v>26.46240778431773</v>
      </c>
      <c r="EJ14" s="1">
        <f t="shared" si="44"/>
        <v>26.197783706474553</v>
      </c>
      <c r="EK14" s="1">
        <f t="shared" si="44"/>
        <v>25.935805869409808</v>
      </c>
      <c r="EL14" s="1">
        <f t="shared" si="44"/>
        <v>25.676447810715711</v>
      </c>
      <c r="EM14" s="1">
        <f t="shared" si="44"/>
        <v>25.419683332608553</v>
      </c>
      <c r="EN14" s="1">
        <f t="shared" si="44"/>
        <v>25.165486499282469</v>
      </c>
      <c r="EO14" s="1">
        <f t="shared" si="44"/>
        <v>24.913831634289643</v>
      </c>
      <c r="EP14" s="1">
        <f t="shared" si="44"/>
        <v>24.664693317946746</v>
      </c>
      <c r="EQ14" s="1">
        <f t="shared" si="44"/>
        <v>24.41804638476728</v>
      </c>
      <c r="ER14" s="1">
        <f t="shared" si="44"/>
        <v>24.173865920919607</v>
      </c>
      <c r="ES14" s="1">
        <f t="shared" si="44"/>
        <v>23.932127261710409</v>
      </c>
      <c r="ET14" s="1">
        <f t="shared" si="44"/>
        <v>23.692805989093305</v>
      </c>
      <c r="EU14" s="1">
        <f t="shared" si="44"/>
        <v>23.455877929202373</v>
      </c>
      <c r="EV14" s="1">
        <f t="shared" si="44"/>
        <v>23.22131914991035</v>
      </c>
      <c r="EW14" s="1">
        <f t="shared" si="44"/>
        <v>22.989105958411248</v>
      </c>
      <c r="EX14" s="1">
        <f t="shared" si="44"/>
        <v>22.759214898827135</v>
      </c>
      <c r="EY14" s="1">
        <f t="shared" si="44"/>
        <v>22.531622749838863</v>
      </c>
      <c r="EZ14" s="1">
        <f t="shared" si="44"/>
        <v>22.306306522340474</v>
      </c>
      <c r="FA14" s="1">
        <f t="shared" si="44"/>
        <v>22.083243457117071</v>
      </c>
      <c r="FB14" s="1">
        <f t="shared" si="44"/>
        <v>21.862411022545899</v>
      </c>
    </row>
    <row r="15" spans="2:158" x14ac:dyDescent="0.3">
      <c r="B15" t="s">
        <v>2</v>
      </c>
      <c r="C15" s="4">
        <v>91.9</v>
      </c>
      <c r="D15" s="4">
        <v>91.9</v>
      </c>
      <c r="E15" s="4">
        <v>92.2</v>
      </c>
      <c r="G15" s="4">
        <v>91.9</v>
      </c>
      <c r="H15" s="4">
        <v>91.9</v>
      </c>
      <c r="I15" s="4">
        <v>92.2</v>
      </c>
      <c r="J15" s="4">
        <v>104.7</v>
      </c>
      <c r="K15" s="4">
        <v>104.7</v>
      </c>
      <c r="L15" s="4">
        <v>104.7</v>
      </c>
      <c r="M15" s="4">
        <v>104.7</v>
      </c>
      <c r="N15" s="4">
        <v>104.7</v>
      </c>
      <c r="O15" s="4">
        <v>104.7</v>
      </c>
      <c r="P15" s="4">
        <v>104.7</v>
      </c>
      <c r="Q15" s="4">
        <v>104.7</v>
      </c>
      <c r="R15" s="4">
        <v>104.7</v>
      </c>
      <c r="S15" s="4">
        <v>104.7</v>
      </c>
      <c r="T15" s="4">
        <v>104.7</v>
      </c>
      <c r="U15" s="4">
        <v>104.7</v>
      </c>
      <c r="V15" s="4">
        <v>104.7</v>
      </c>
      <c r="W15" s="4">
        <v>104.7</v>
      </c>
      <c r="X15" s="4">
        <f>104.9</f>
        <v>104.9</v>
      </c>
      <c r="Y15" s="4">
        <f>104.9</f>
        <v>104.9</v>
      </c>
      <c r="Z15" s="4">
        <f>104.9</f>
        <v>104.9</v>
      </c>
      <c r="AA15" s="4">
        <f>104.9</f>
        <v>104.9</v>
      </c>
      <c r="AB15" s="4">
        <f>104.9</f>
        <v>104.9</v>
      </c>
      <c r="AC15" s="4"/>
      <c r="AE15" s="4">
        <v>91.9</v>
      </c>
      <c r="AF15" s="4">
        <v>91.9</v>
      </c>
      <c r="AG15" s="4">
        <v>91.9</v>
      </c>
      <c r="AH15" s="4">
        <v>92.2</v>
      </c>
      <c r="AI15" s="4">
        <v>92.2</v>
      </c>
      <c r="AJ15" s="4">
        <v>92.2</v>
      </c>
      <c r="AK15" s="4">
        <f t="shared" ref="AK15:AV15" si="45">104.9</f>
        <v>104.9</v>
      </c>
      <c r="AL15" s="4">
        <f t="shared" si="45"/>
        <v>104.9</v>
      </c>
      <c r="AM15" s="4">
        <f t="shared" si="45"/>
        <v>104.9</v>
      </c>
      <c r="AN15" s="4">
        <f t="shared" si="45"/>
        <v>104.9</v>
      </c>
      <c r="AO15" s="4">
        <f t="shared" si="45"/>
        <v>104.9</v>
      </c>
      <c r="AP15" s="4">
        <f t="shared" si="45"/>
        <v>104.9</v>
      </c>
      <c r="AQ15" s="4">
        <f t="shared" si="45"/>
        <v>104.9</v>
      </c>
      <c r="AR15" s="4">
        <f t="shared" si="45"/>
        <v>104.9</v>
      </c>
      <c r="AS15" s="4">
        <f t="shared" si="45"/>
        <v>104.9</v>
      </c>
      <c r="AT15" s="4">
        <f t="shared" si="45"/>
        <v>104.9</v>
      </c>
      <c r="AU15" s="4">
        <f t="shared" si="45"/>
        <v>104.9</v>
      </c>
      <c r="AV15" s="4">
        <f t="shared" si="45"/>
        <v>104.9</v>
      </c>
    </row>
    <row r="16" spans="2:158" s="1" customFormat="1" x14ac:dyDescent="0.3">
      <c r="B16" s="1" t="s">
        <v>32</v>
      </c>
      <c r="C16" s="7">
        <f>C14/C15</f>
        <v>1.7410228509249035E-2</v>
      </c>
      <c r="D16" s="7">
        <f>D14/D15</f>
        <v>6.6376496191512521E-2</v>
      </c>
      <c r="E16" s="7">
        <f t="shared" ref="E16" si="46">E14/E15</f>
        <v>1.1930585683297084E-2</v>
      </c>
      <c r="G16" s="7">
        <f>G14/G15</f>
        <v>0.39499455930359129</v>
      </c>
      <c r="H16" s="7">
        <f>H14/H15</f>
        <v>0.46789989118607134</v>
      </c>
      <c r="I16" s="7">
        <f t="shared" ref="I16" si="47">I14/I15</f>
        <v>0.50650759219088881</v>
      </c>
      <c r="J16" s="7">
        <f t="shared" ref="J16:Q16" si="48">J14/J15</f>
        <v>0.26361031518624595</v>
      </c>
      <c r="K16" s="7">
        <f t="shared" si="48"/>
        <v>1.6236867239732732E-2</v>
      </c>
      <c r="L16" s="7">
        <f t="shared" si="48"/>
        <v>0.23686723973256935</v>
      </c>
      <c r="M16" s="7">
        <f t="shared" si="48"/>
        <v>-4.8710601719197548E-2</v>
      </c>
      <c r="N16" s="7">
        <f t="shared" si="48"/>
        <v>-0.56733524355300891</v>
      </c>
      <c r="O16" s="7">
        <f t="shared" si="48"/>
        <v>-8.4049665711556684E-2</v>
      </c>
      <c r="P16" s="7">
        <f t="shared" si="48"/>
        <v>0.11938872970391605</v>
      </c>
      <c r="Q16" s="7">
        <f t="shared" si="48"/>
        <v>-9.5510983763134969E-3</v>
      </c>
      <c r="R16" s="7">
        <f t="shared" ref="R16" si="49">R14/R15</f>
        <v>1.0506208213944438E-2</v>
      </c>
      <c r="S16" s="7">
        <f>S14/S15</f>
        <v>-2.9608404966571383E-2</v>
      </c>
      <c r="T16" s="7">
        <f>T14/T15</f>
        <v>5.8261700095510911E-2</v>
      </c>
      <c r="U16" s="7">
        <f>U14/U15</f>
        <v>-0.11843361986628449</v>
      </c>
      <c r="V16" s="7">
        <f t="shared" ref="V16" si="50">V14/V15</f>
        <v>-0.28175740210124145</v>
      </c>
      <c r="W16" s="7">
        <f>W14/W15</f>
        <v>-0.55682903533906403</v>
      </c>
      <c r="X16" s="7">
        <f>X14/X15</f>
        <v>2.0972354623451362E-2</v>
      </c>
      <c r="Y16" s="7">
        <f t="shared" ref="Y16:AB16" si="51">Y14/Y15</f>
        <v>-0.10779599618684461</v>
      </c>
      <c r="Z16" s="7">
        <f t="shared" si="51"/>
        <v>-0.18079122974261211</v>
      </c>
      <c r="AA16" s="7">
        <f t="shared" si="51"/>
        <v>-5.0333651096282198E-2</v>
      </c>
      <c r="AB16" s="7">
        <f t="shared" si="51"/>
        <v>3.9922211630124049E-2</v>
      </c>
      <c r="AC16" s="7"/>
      <c r="AE16" s="7">
        <f>AE14/AE15</f>
        <v>-0.14907508161044572</v>
      </c>
      <c r="AF16" s="7">
        <f>AF14/AF15</f>
        <v>-9.0315560391729388E-2</v>
      </c>
      <c r="AG16" s="7">
        <f>AG14/AG15</f>
        <v>1.1240478781284005</v>
      </c>
      <c r="AH16" s="7">
        <f>AH14/AH15</f>
        <v>1.093275488069414</v>
      </c>
      <c r="AI16" s="7">
        <f t="shared" ref="AI16:AR16" si="52">AI14/AI15</f>
        <v>-0.65943600867679131</v>
      </c>
      <c r="AJ16" s="7">
        <f t="shared" si="52"/>
        <v>3.3622559652927764E-2</v>
      </c>
      <c r="AK16" s="7">
        <f t="shared" si="52"/>
        <v>-0.93422306959008428</v>
      </c>
      <c r="AL16" s="7">
        <f t="shared" si="52"/>
        <v>-0.29899866539561537</v>
      </c>
      <c r="AM16" s="7">
        <f t="shared" si="52"/>
        <v>-0.13777862173498606</v>
      </c>
      <c r="AN16" s="7">
        <f t="shared" si="52"/>
        <v>7.6178447588179016E-2</v>
      </c>
      <c r="AO16" s="7">
        <f t="shared" si="52"/>
        <v>0.30590612139466156</v>
      </c>
      <c r="AP16" s="7">
        <f t="shared" si="52"/>
        <v>0.37946847584170623</v>
      </c>
      <c r="AQ16" s="7">
        <f t="shared" si="52"/>
        <v>0.41840223087632722</v>
      </c>
      <c r="AR16" s="7">
        <f t="shared" si="52"/>
        <v>0.45840470235204178</v>
      </c>
      <c r="AS16" s="7">
        <f t="shared" ref="AS16:AV16" si="53">AS14/AS15</f>
        <v>0.49949946293563247</v>
      </c>
      <c r="AT16" s="7">
        <f t="shared" si="53"/>
        <v>0.54171055766833276</v>
      </c>
      <c r="AU16" s="7">
        <f t="shared" si="53"/>
        <v>0.58506251279066313</v>
      </c>
      <c r="AV16" s="7">
        <f t="shared" si="53"/>
        <v>0.62958034471857205</v>
      </c>
    </row>
    <row r="18" spans="2:51" x14ac:dyDescent="0.3">
      <c r="B18" s="1" t="s">
        <v>33</v>
      </c>
      <c r="C18" s="9"/>
      <c r="D18" s="9"/>
      <c r="G18" s="9">
        <f>G3/C3-1</f>
        <v>0.60724331926863595</v>
      </c>
      <c r="H18" s="9">
        <f>H3/D3-1</f>
        <v>0.70330679730557222</v>
      </c>
      <c r="I18" s="9">
        <f>I3/E3-1</f>
        <v>0.71604538087520253</v>
      </c>
      <c r="J18" s="9"/>
      <c r="K18" s="9">
        <f t="shared" ref="K18:L18" si="54">K3/G3-1</f>
        <v>-0.14438853642528982</v>
      </c>
      <c r="L18" s="9">
        <f t="shared" si="54"/>
        <v>-8.2149919108394642E-2</v>
      </c>
      <c r="M18" s="9">
        <f t="shared" ref="M18" si="55">M3/I3-1</f>
        <v>-0.28088401964488097</v>
      </c>
      <c r="N18" s="9">
        <f t="shared" ref="N18" si="56">N3/J3-1</f>
        <v>-0.39966166208500742</v>
      </c>
      <c r="O18" s="9">
        <f t="shared" ref="O18" si="57">O3/K3-1</f>
        <v>-0.20276144208642288</v>
      </c>
      <c r="P18" s="9">
        <f t="shared" ref="P18" si="58">P3/L3-1</f>
        <v>-0.21915393654524096</v>
      </c>
      <c r="Q18" s="9">
        <f t="shared" ref="Q18" si="59">Q3/M3-1</f>
        <v>-7.0133963750985018E-2</v>
      </c>
      <c r="R18" s="9">
        <f t="shared" ref="R18" si="60">R3/N3-1</f>
        <v>0.1461782317717506</v>
      </c>
      <c r="S18" s="9">
        <f t="shared" ref="S18" si="61">S3/O3-1</f>
        <v>0.16484926234765873</v>
      </c>
      <c r="T18" s="9">
        <f t="shared" ref="T18" si="62">T3/P3-1</f>
        <v>4.6651617757712538E-2</v>
      </c>
      <c r="U18" s="9">
        <f t="shared" ref="U18" si="63">U3/Q3-1</f>
        <v>-4.7175141242937868E-2</v>
      </c>
      <c r="V18" s="9">
        <f t="shared" ref="V18" si="64">V3/R3-1</f>
        <v>-0.19698832206515049</v>
      </c>
      <c r="W18" s="9">
        <f t="shared" ref="W18" si="65">W3/S3-1</f>
        <v>-0.1624449339207048</v>
      </c>
      <c r="X18" s="9">
        <f t="shared" ref="X18" si="66">X3/T3-1</f>
        <v>-8.8665228852145006E-3</v>
      </c>
      <c r="Y18" s="9">
        <f t="shared" ref="Y18" si="67">Y3/U3-1</f>
        <v>5.0000000000000044E-2</v>
      </c>
      <c r="Z18" s="9">
        <f t="shared" ref="Z18" si="68">Z3/V3-1</f>
        <v>0.14999999999999991</v>
      </c>
      <c r="AA18" s="9">
        <f t="shared" ref="AA18" si="69">AA3/W3-1</f>
        <v>0.19999999999999996</v>
      </c>
      <c r="AB18" s="9">
        <f t="shared" ref="AB18" si="70">AB3/X3-1</f>
        <v>5.0000000000000044E-2</v>
      </c>
      <c r="AC18" s="9"/>
      <c r="AE18" s="9"/>
      <c r="AF18" s="9">
        <f>AF3/AE3-1</f>
        <v>0.17022184300341303</v>
      </c>
      <c r="AG18" s="9">
        <f t="shared" ref="AG18:AR18" si="71">AG3/AF3-1</f>
        <v>0.55158585490339052</v>
      </c>
      <c r="AH18" s="9">
        <f t="shared" si="71"/>
        <v>0.11842105263157898</v>
      </c>
      <c r="AI18" s="9">
        <f t="shared" si="71"/>
        <v>-0.27778361344537816</v>
      </c>
      <c r="AJ18" s="9">
        <f t="shared" si="71"/>
        <v>6.1668242309650179E-2</v>
      </c>
      <c r="AK18" s="9">
        <f t="shared" si="71"/>
        <v>-9.8294403726282509E-2</v>
      </c>
      <c r="AL18" s="9">
        <f t="shared" si="71"/>
        <v>0.1045123062898814</v>
      </c>
      <c r="AM18" s="9">
        <f t="shared" si="71"/>
        <v>6.0000000000000053E-2</v>
      </c>
      <c r="AN18" s="9">
        <f t="shared" si="71"/>
        <v>5.0000000000000044E-2</v>
      </c>
      <c r="AO18" s="9">
        <f t="shared" si="71"/>
        <v>4.0000000000000036E-2</v>
      </c>
      <c r="AP18" s="9">
        <f t="shared" si="71"/>
        <v>3.0000000000000027E-2</v>
      </c>
      <c r="AQ18" s="9">
        <f t="shared" si="71"/>
        <v>2.0000000000000018E-2</v>
      </c>
      <c r="AR18" s="9">
        <f t="shared" si="71"/>
        <v>2.0000000000000018E-2</v>
      </c>
      <c r="AS18" s="9">
        <f t="shared" ref="AS18" si="72">AS3/AR3-1</f>
        <v>2.0000000000000018E-2</v>
      </c>
      <c r="AT18" s="9">
        <f t="shared" ref="AT18" si="73">AT3/AS3-1</f>
        <v>2.0000000000000018E-2</v>
      </c>
      <c r="AU18" s="9">
        <f t="shared" ref="AU18" si="74">AU3/AT3-1</f>
        <v>2.0000000000000018E-2</v>
      </c>
      <c r="AV18" s="9">
        <f t="shared" ref="AV18" si="75">AV3/AU3-1</f>
        <v>2.0000000000000018E-2</v>
      </c>
    </row>
    <row r="19" spans="2:51" x14ac:dyDescent="0.3">
      <c r="B19" s="1" t="s">
        <v>34</v>
      </c>
      <c r="C19" s="9">
        <f>C5/C3</f>
        <v>0.21202531645569617</v>
      </c>
      <c r="D19" s="9">
        <f>D5/D3</f>
        <v>0.21586037966932026</v>
      </c>
      <c r="E19" s="9">
        <f t="shared" ref="E19" si="76">E5/E3</f>
        <v>0.25478119935170174</v>
      </c>
      <c r="F19" s="9"/>
      <c r="G19" s="9">
        <f>G5/G3</f>
        <v>0.27980748195143301</v>
      </c>
      <c r="H19" s="9">
        <f>H5/H3</f>
        <v>0.27646953082868947</v>
      </c>
      <c r="I19" s="9">
        <f t="shared" ref="I19:L19" si="77">I5/I3</f>
        <v>0.30279561768039281</v>
      </c>
      <c r="J19" s="9">
        <f t="shared" si="77"/>
        <v>0.27553393952209759</v>
      </c>
      <c r="K19" s="9">
        <f t="shared" si="77"/>
        <v>0.25901304014318588</v>
      </c>
      <c r="L19" s="9">
        <f t="shared" si="77"/>
        <v>0.23854289071680376</v>
      </c>
      <c r="M19" s="9">
        <f t="shared" ref="M19:X19" si="78">M5/M3</f>
        <v>0.238508011557657</v>
      </c>
      <c r="N19" s="9">
        <f t="shared" si="78"/>
        <v>0.12856639661852756</v>
      </c>
      <c r="O19" s="9">
        <f t="shared" si="78"/>
        <v>0.22963438101347025</v>
      </c>
      <c r="P19" s="9">
        <f t="shared" si="78"/>
        <v>0.24529721595184353</v>
      </c>
      <c r="Q19" s="9">
        <f t="shared" si="78"/>
        <v>0.24124293785310727</v>
      </c>
      <c r="R19" s="9">
        <f t="shared" si="78"/>
        <v>0.25445605408727717</v>
      </c>
      <c r="S19" s="9">
        <f t="shared" si="78"/>
        <v>0.24614537444933915</v>
      </c>
      <c r="T19" s="9">
        <f t="shared" si="78"/>
        <v>0.24610591900311524</v>
      </c>
      <c r="U19" s="9">
        <f t="shared" si="78"/>
        <v>0.25704120960569232</v>
      </c>
      <c r="V19" s="9">
        <f t="shared" si="78"/>
        <v>0.24148488327592812</v>
      </c>
      <c r="W19" s="9">
        <f t="shared" si="78"/>
        <v>0.2291255752794214</v>
      </c>
      <c r="X19" s="9">
        <f t="shared" si="78"/>
        <v>0.2616054158607351</v>
      </c>
      <c r="Y19" s="9">
        <f t="shared" ref="Y19:AB19" si="79">Y5/Y3</f>
        <v>0.25</v>
      </c>
      <c r="Z19" s="9">
        <f t="shared" si="79"/>
        <v>0.25</v>
      </c>
      <c r="AA19" s="9">
        <f t="shared" si="79"/>
        <v>0.25</v>
      </c>
      <c r="AB19" s="9">
        <f t="shared" si="79"/>
        <v>0.26</v>
      </c>
      <c r="AC19" s="9"/>
      <c r="AE19" s="9">
        <f t="shared" ref="AE19:AR19" si="80">AE5/AE3</f>
        <v>0.20552474402730381</v>
      </c>
      <c r="AF19" s="9">
        <f t="shared" si="80"/>
        <v>0.20442945679912511</v>
      </c>
      <c r="AG19" s="9">
        <f t="shared" si="80"/>
        <v>0.2734375</v>
      </c>
      <c r="AH19" s="9">
        <f t="shared" si="80"/>
        <v>0.26980042016806727</v>
      </c>
      <c r="AI19" s="9">
        <f t="shared" si="80"/>
        <v>0.21576612609991988</v>
      </c>
      <c r="AJ19" s="9">
        <f t="shared" si="80"/>
        <v>0.24679772587163504</v>
      </c>
      <c r="AK19" s="9">
        <f t="shared" si="80"/>
        <v>0.24893649346703139</v>
      </c>
      <c r="AL19" s="9">
        <f t="shared" si="80"/>
        <v>0.25298683613254652</v>
      </c>
      <c r="AM19" s="9">
        <f t="shared" si="80"/>
        <v>0.26</v>
      </c>
      <c r="AN19" s="9">
        <f t="shared" si="80"/>
        <v>0.27</v>
      </c>
      <c r="AO19" s="9">
        <f t="shared" si="80"/>
        <v>0.28000000000000003</v>
      </c>
      <c r="AP19" s="9">
        <f t="shared" si="80"/>
        <v>0.28000000000000003</v>
      </c>
      <c r="AQ19" s="9">
        <f t="shared" si="80"/>
        <v>0.28000000000000003</v>
      </c>
      <c r="AR19" s="9">
        <f t="shared" si="80"/>
        <v>0.28000000000000003</v>
      </c>
      <c r="AS19" s="9">
        <f t="shared" ref="AS19:AV19" si="81">AS5/AS3</f>
        <v>0.28000000000000003</v>
      </c>
      <c r="AT19" s="9">
        <f t="shared" si="81"/>
        <v>0.28000000000000003</v>
      </c>
      <c r="AU19" s="9">
        <f t="shared" si="81"/>
        <v>0.28000000000000003</v>
      </c>
      <c r="AV19" s="9">
        <f t="shared" si="81"/>
        <v>0.28000000000000003</v>
      </c>
    </row>
    <row r="20" spans="2:51" x14ac:dyDescent="0.3">
      <c r="B20" t="s">
        <v>35</v>
      </c>
      <c r="C20" s="9">
        <f>C8/C3</f>
        <v>3.8677918424753821E-2</v>
      </c>
      <c r="D20" s="9">
        <f>D8/D3</f>
        <v>4.378444580526638E-2</v>
      </c>
      <c r="E20" s="9">
        <f t="shared" ref="E20" si="82">E8/E3</f>
        <v>4.3111831442463507E-2</v>
      </c>
      <c r="F20" s="9"/>
      <c r="G20" s="9">
        <f>G8/G3</f>
        <v>0.10872894333843806</v>
      </c>
      <c r="H20" s="9">
        <f>H8/H3</f>
        <v>0.10587812331475817</v>
      </c>
      <c r="I20" s="9">
        <f t="shared" ref="I20:L20" si="83">I8/I3</f>
        <v>0.12693615413675849</v>
      </c>
      <c r="J20" s="9">
        <f t="shared" si="83"/>
        <v>7.3165574117149398E-2</v>
      </c>
      <c r="K20" s="9">
        <f t="shared" si="83"/>
        <v>2.7358731782152944E-2</v>
      </c>
      <c r="L20" s="9">
        <f t="shared" si="83"/>
        <v>4.9353701527614591E-2</v>
      </c>
      <c r="M20" s="9">
        <f t="shared" ref="M20:X20" si="84">M8/M3</f>
        <v>-6.3041765169424332E-3</v>
      </c>
      <c r="N20" s="9">
        <f t="shared" si="84"/>
        <v>-0.1933779499823883</v>
      </c>
      <c r="O20" s="9">
        <f t="shared" si="84"/>
        <v>-3.4958306606799175E-2</v>
      </c>
      <c r="P20" s="9">
        <f t="shared" si="84"/>
        <v>3.4110860295961908E-2</v>
      </c>
      <c r="Q20" s="9">
        <f t="shared" si="84"/>
        <v>3.1073446327682954E-3</v>
      </c>
      <c r="R20" s="9">
        <f t="shared" si="84"/>
        <v>-8.6047940995698114E-3</v>
      </c>
      <c r="S20" s="9">
        <f t="shared" si="84"/>
        <v>-1.9273127753304631E-3</v>
      </c>
      <c r="T20" s="9">
        <f t="shared" si="84"/>
        <v>2.9235561945842301E-2</v>
      </c>
      <c r="U20" s="9">
        <f t="shared" si="84"/>
        <v>-2.9943670323154422E-2</v>
      </c>
      <c r="V20" s="9">
        <f t="shared" si="84"/>
        <v>-9.4527363184079533E-2</v>
      </c>
      <c r="W20" s="9">
        <f t="shared" si="84"/>
        <v>-6.870479947403027E-2</v>
      </c>
      <c r="X20" s="9">
        <f t="shared" si="84"/>
        <v>1.4264990328820231E-2</v>
      </c>
      <c r="Y20" s="9">
        <f t="shared" ref="Y20:AB20" si="85">Y8/Y3</f>
        <v>-2.9254020018917734E-2</v>
      </c>
      <c r="Z20" s="9">
        <f t="shared" si="85"/>
        <v>-6.734970631790882E-2</v>
      </c>
      <c r="AA20" s="9">
        <f t="shared" si="85"/>
        <v>-9.6975673898750912E-3</v>
      </c>
      <c r="AB20" s="9">
        <f t="shared" si="85"/>
        <v>1.9334991249884904E-2</v>
      </c>
      <c r="AC20" s="9"/>
      <c r="AE20" s="9">
        <f t="shared" ref="AE20:AR20" si="86">AE8/AE3</f>
        <v>2.325085324232086E-2</v>
      </c>
      <c r="AF20" s="9">
        <f t="shared" si="86"/>
        <v>2.1691578563616538E-2</v>
      </c>
      <c r="AG20" s="9">
        <f t="shared" si="86"/>
        <v>9.3045112781954889E-2</v>
      </c>
      <c r="AH20" s="9">
        <f t="shared" si="86"/>
        <v>7.2321428571428564E-2</v>
      </c>
      <c r="AI20" s="9">
        <f t="shared" si="86"/>
        <v>-3.9706203185223013E-2</v>
      </c>
      <c r="AJ20" s="9">
        <f t="shared" si="86"/>
        <v>6.7127885471607238E-3</v>
      </c>
      <c r="AK20" s="9">
        <f t="shared" si="86"/>
        <v>-3.7830446672743726E-2</v>
      </c>
      <c r="AL20" s="9">
        <f t="shared" si="86"/>
        <v>-1.7704645180814077E-2</v>
      </c>
      <c r="AM20" s="9">
        <f t="shared" si="86"/>
        <v>-2.5792976311994399E-3</v>
      </c>
      <c r="AN20" s="9">
        <f t="shared" si="86"/>
        <v>1.492296801540627E-2</v>
      </c>
      <c r="AO20" s="9">
        <f t="shared" si="86"/>
        <v>3.2280959322654179E-2</v>
      </c>
      <c r="AP20" s="9">
        <f t="shared" si="86"/>
        <v>3.7091037782408458E-2</v>
      </c>
      <c r="AQ20" s="9">
        <f t="shared" si="86"/>
        <v>3.9472498196306417E-2</v>
      </c>
      <c r="AR20" s="9">
        <f t="shared" si="86"/>
        <v>4.1830610959087751E-2</v>
      </c>
      <c r="AS20" s="9">
        <f t="shared" ref="AS20:AV20" si="87">AS8/AS3</f>
        <v>4.4165604969292789E-2</v>
      </c>
      <c r="AT20" s="9">
        <f t="shared" si="87"/>
        <v>4.6477706881358508E-2</v>
      </c>
      <c r="AU20" s="9">
        <f t="shared" si="87"/>
        <v>4.8767141127619706E-2</v>
      </c>
      <c r="AV20" s="9">
        <f t="shared" si="87"/>
        <v>5.1034129940094021E-2</v>
      </c>
      <c r="AX20" t="s">
        <v>38</v>
      </c>
      <c r="AY20" s="9">
        <v>-0.01</v>
      </c>
    </row>
    <row r="21" spans="2:51" x14ac:dyDescent="0.3">
      <c r="B21" t="s">
        <v>36</v>
      </c>
      <c r="C21" s="9"/>
      <c r="D21" s="9"/>
      <c r="E21" s="9"/>
      <c r="F21" s="9"/>
      <c r="G21" s="9">
        <f t="shared" ref="G21:I22" si="88">G6/C6-1</f>
        <v>0.64070351758793964</v>
      </c>
      <c r="H21" s="9">
        <f t="shared" si="88"/>
        <v>0.72553191489361679</v>
      </c>
      <c r="I21" s="9">
        <f t="shared" si="88"/>
        <v>0.45065176908752336</v>
      </c>
      <c r="J21" s="9"/>
      <c r="K21" s="9">
        <f>K6/G6-1</f>
        <v>0.16539050535987743</v>
      </c>
      <c r="L21" s="9">
        <f>L6/H6-1</f>
        <v>4.9321824907522238E-3</v>
      </c>
      <c r="M21" s="9">
        <f t="shared" ref="M21:X21" si="89">M6/I6-1</f>
        <v>-2.31065468549424E-2</v>
      </c>
      <c r="N21" s="9">
        <f t="shared" si="89"/>
        <v>-8.478802992518697E-2</v>
      </c>
      <c r="O21" s="9">
        <f t="shared" si="89"/>
        <v>-0.12089356110381067</v>
      </c>
      <c r="P21" s="9">
        <f t="shared" si="89"/>
        <v>-0.1595092024539877</v>
      </c>
      <c r="Q21" s="9">
        <f t="shared" si="89"/>
        <v>-0.1130091984231274</v>
      </c>
      <c r="R21" s="9">
        <f t="shared" si="89"/>
        <v>-4.6321525885558712E-2</v>
      </c>
      <c r="S21" s="9">
        <f t="shared" si="89"/>
        <v>0.10612855007473843</v>
      </c>
      <c r="T21" s="9">
        <f t="shared" si="89"/>
        <v>7.7372262773722555E-2</v>
      </c>
      <c r="U21" s="9">
        <f t="shared" si="89"/>
        <v>0.18814814814814818</v>
      </c>
      <c r="V21" s="9">
        <f t="shared" si="89"/>
        <v>5.7142857142857828E-3</v>
      </c>
      <c r="W21" s="9">
        <f t="shared" si="89"/>
        <v>1.3513513513512265E-3</v>
      </c>
      <c r="X21" s="9">
        <f t="shared" si="89"/>
        <v>0.15582655826558267</v>
      </c>
      <c r="Y21" s="9">
        <f t="shared" ref="Y21:Y22" si="90">Y6/U6-1</f>
        <v>2.0000000000000018E-2</v>
      </c>
      <c r="Z21" s="9">
        <f t="shared" ref="Z21:Z22" si="91">Z6/V6-1</f>
        <v>0.10000000000000009</v>
      </c>
      <c r="AA21" s="9">
        <f t="shared" ref="AA21:AA22" si="92">AA6/W6-1</f>
        <v>5.0000000000000044E-2</v>
      </c>
      <c r="AB21" s="9">
        <f t="shared" ref="AB21:AB22" si="93">AB6/X6-1</f>
        <v>2.0000000000000018E-2</v>
      </c>
      <c r="AC21" s="9"/>
      <c r="AE21" s="9"/>
      <c r="AF21" s="9">
        <f t="shared" ref="AF21:AR21" si="94">AF6/AE6-1</f>
        <v>0.17350611951043904</v>
      </c>
      <c r="AG21" s="9">
        <f t="shared" si="94"/>
        <v>0.57668711656441718</v>
      </c>
      <c r="AH21" s="9">
        <f t="shared" si="94"/>
        <v>0.22840466926070047</v>
      </c>
      <c r="AI21" s="9">
        <f t="shared" si="94"/>
        <v>-9.7560975609756295E-2</v>
      </c>
      <c r="AJ21" s="9">
        <f t="shared" si="94"/>
        <v>1.4040014040015425E-3</v>
      </c>
      <c r="AK21" s="9">
        <f t="shared" si="94"/>
        <v>8.6575534525061393E-2</v>
      </c>
      <c r="AL21" s="9">
        <f t="shared" si="94"/>
        <v>4.5338709677419597E-2</v>
      </c>
      <c r="AM21" s="9">
        <f t="shared" si="94"/>
        <v>3.0000000000000027E-2</v>
      </c>
      <c r="AN21" s="9">
        <f t="shared" si="94"/>
        <v>2.0000000000000018E-2</v>
      </c>
      <c r="AO21" s="9">
        <f t="shared" si="94"/>
        <v>1.0000000000000009E-2</v>
      </c>
      <c r="AP21" s="9">
        <f t="shared" si="94"/>
        <v>1.0000000000000009E-2</v>
      </c>
      <c r="AQ21" s="9">
        <f t="shared" si="94"/>
        <v>1.0000000000000009E-2</v>
      </c>
      <c r="AR21" s="9">
        <f t="shared" si="94"/>
        <v>1.0000000000000009E-2</v>
      </c>
      <c r="AS21" s="9">
        <f t="shared" ref="AS21:AS22" si="95">AS6/AR6-1</f>
        <v>1.0000000000000009E-2</v>
      </c>
      <c r="AT21" s="9">
        <f t="shared" ref="AT21:AT22" si="96">AT6/AS6-1</f>
        <v>1.0000000000000009E-2</v>
      </c>
      <c r="AU21" s="9">
        <f t="shared" ref="AU21:AU22" si="97">AU6/AT6-1</f>
        <v>1.0000000000000009E-2</v>
      </c>
      <c r="AV21" s="9">
        <f t="shared" ref="AV21:AV22" si="98">AV6/AU6-1</f>
        <v>1.0000000000000009E-2</v>
      </c>
      <c r="AX21" t="s">
        <v>39</v>
      </c>
      <c r="AY21" s="9">
        <v>0.1</v>
      </c>
    </row>
    <row r="22" spans="2:51" x14ac:dyDescent="0.3">
      <c r="B22" t="s">
        <v>37</v>
      </c>
      <c r="C22" s="9"/>
      <c r="D22" s="9"/>
      <c r="E22" s="9"/>
      <c r="F22" s="9"/>
      <c r="G22" s="9">
        <f t="shared" si="88"/>
        <v>0.35789473684210527</v>
      </c>
      <c r="H22" s="9">
        <f t="shared" si="88"/>
        <v>0.50000000000000022</v>
      </c>
      <c r="I22" s="9">
        <f t="shared" si="88"/>
        <v>0.31034482758620685</v>
      </c>
      <c r="J22" s="9"/>
      <c r="K22" s="9">
        <f>K7/G7-1</f>
        <v>0.12403100775193798</v>
      </c>
      <c r="L22" s="9">
        <f>L7/H7-1</f>
        <v>9.4202898550724612E-2</v>
      </c>
      <c r="M22" s="9">
        <f t="shared" ref="M22:X22" si="99">M7/I7-1</f>
        <v>0.12500000000000022</v>
      </c>
      <c r="N22" s="9">
        <f t="shared" si="99"/>
        <v>0.16129032258064524</v>
      </c>
      <c r="O22" s="9">
        <f t="shared" si="99"/>
        <v>7.5862068965517171E-2</v>
      </c>
      <c r="P22" s="9">
        <f t="shared" si="99"/>
        <v>3.9735099337748325E-2</v>
      </c>
      <c r="Q22" s="9">
        <f t="shared" si="99"/>
        <v>-1.7543859649122862E-2</v>
      </c>
      <c r="R22" s="9">
        <f t="shared" si="99"/>
        <v>-0.1333333333333333</v>
      </c>
      <c r="S22" s="9">
        <f t="shared" si="99"/>
        <v>3.2051282051282159E-2</v>
      </c>
      <c r="T22" s="9">
        <f t="shared" si="99"/>
        <v>6.3694267515923553E-2</v>
      </c>
      <c r="U22" s="9">
        <f t="shared" si="99"/>
        <v>-1.1904761904761862E-2</v>
      </c>
      <c r="V22" s="9">
        <f t="shared" si="99"/>
        <v>0.11538461538461542</v>
      </c>
      <c r="W22" s="9">
        <f t="shared" si="99"/>
        <v>2.4844720496894235E-2</v>
      </c>
      <c r="X22" s="9">
        <f t="shared" si="99"/>
        <v>1.7964071856287456E-2</v>
      </c>
      <c r="Y22" s="9">
        <f t="shared" si="90"/>
        <v>3.0000000000000027E-2</v>
      </c>
      <c r="Z22" s="9">
        <f t="shared" si="91"/>
        <v>3.0000000000000027E-2</v>
      </c>
      <c r="AA22" s="9">
        <f t="shared" si="92"/>
        <v>3.0000000000000027E-2</v>
      </c>
      <c r="AB22" s="9">
        <f t="shared" si="93"/>
        <v>3.0000000000000027E-2</v>
      </c>
      <c r="AC22" s="9"/>
      <c r="AE22" s="9"/>
      <c r="AF22" s="9">
        <f t="shared" ref="AF22:AR22" si="100">AF7/AE7-1</f>
        <v>0.171875</v>
      </c>
      <c r="AG22" s="9">
        <f t="shared" si="100"/>
        <v>0.33600000000000008</v>
      </c>
      <c r="AH22" s="9">
        <f t="shared" si="100"/>
        <v>0.20359281437125754</v>
      </c>
      <c r="AI22" s="9">
        <f t="shared" si="100"/>
        <v>0.1011608623548923</v>
      </c>
      <c r="AJ22" s="9">
        <f t="shared" si="100"/>
        <v>-1.8072289156626509E-2</v>
      </c>
      <c r="AK22" s="9">
        <f t="shared" si="100"/>
        <v>3.5276073619631809E-2</v>
      </c>
      <c r="AL22" s="9">
        <f t="shared" si="100"/>
        <v>3.0000000000000027E-2</v>
      </c>
      <c r="AM22" s="9">
        <f t="shared" si="100"/>
        <v>2.0000000000000018E-2</v>
      </c>
      <c r="AN22" s="9">
        <f t="shared" si="100"/>
        <v>2.0000000000000018E-2</v>
      </c>
      <c r="AO22" s="9">
        <f t="shared" si="100"/>
        <v>1.0000000000000009E-2</v>
      </c>
      <c r="AP22" s="9">
        <f t="shared" si="100"/>
        <v>1.0000000000000009E-2</v>
      </c>
      <c r="AQ22" s="9">
        <f t="shared" si="100"/>
        <v>1.0000000000000009E-2</v>
      </c>
      <c r="AR22" s="9">
        <f t="shared" si="100"/>
        <v>1.0000000000000009E-2</v>
      </c>
      <c r="AS22" s="9">
        <f t="shared" si="95"/>
        <v>1.0000000000000009E-2</v>
      </c>
      <c r="AT22" s="9">
        <f t="shared" si="96"/>
        <v>1.0000000000000009E-2</v>
      </c>
      <c r="AU22" s="9">
        <f t="shared" si="97"/>
        <v>1.0000000000000009E-2</v>
      </c>
      <c r="AV22" s="9">
        <f t="shared" si="98"/>
        <v>1.0000000000000009E-2</v>
      </c>
      <c r="AX22" t="s">
        <v>40</v>
      </c>
      <c r="AY22" s="4">
        <f>NPV(AY21,AL14:FB14)</f>
        <v>365.31081817900622</v>
      </c>
    </row>
    <row r="23" spans="2:51" x14ac:dyDescent="0.3">
      <c r="B23" t="s">
        <v>30</v>
      </c>
      <c r="C23" s="9">
        <f>C12/C11</f>
        <v>-6.6666666666667276E-2</v>
      </c>
      <c r="D23" s="9">
        <f>D12/D11</f>
        <v>-7.0175438596491224E-2</v>
      </c>
      <c r="E23" s="9">
        <f t="shared" ref="E23" si="101">E12/E11</f>
        <v>0.71052631578947534</v>
      </c>
      <c r="F23" s="9"/>
      <c r="G23" s="9">
        <f>G12/G11</f>
        <v>8.101265822784802E-2</v>
      </c>
      <c r="H23" s="9">
        <f>H12/H11</f>
        <v>0.16827852998065776</v>
      </c>
      <c r="I23" s="9">
        <f t="shared" ref="I23:L23" si="102">I12/I11</f>
        <v>0.22036727879799684</v>
      </c>
      <c r="J23" s="9">
        <f t="shared" si="102"/>
        <v>7.6923076923077038E-2</v>
      </c>
      <c r="K23" s="9">
        <f t="shared" si="102"/>
        <v>0.19047619047618894</v>
      </c>
      <c r="L23" s="9">
        <f t="shared" si="102"/>
        <v>-0.10222222222222217</v>
      </c>
      <c r="M23" s="9">
        <f t="shared" ref="M23:X23" si="103">M12/M11</f>
        <v>0.238095238095239</v>
      </c>
      <c r="N23" s="9">
        <f t="shared" si="103"/>
        <v>7.4999999999999956E-2</v>
      </c>
      <c r="O23" s="9">
        <f t="shared" si="103"/>
        <v>0.51260504201680734</v>
      </c>
      <c r="P23" s="9">
        <f t="shared" si="103"/>
        <v>0.16470588235294095</v>
      </c>
      <c r="Q23" s="9">
        <f t="shared" si="103"/>
        <v>0.27272727272726982</v>
      </c>
      <c r="R23" s="9">
        <f t="shared" si="103"/>
        <v>0.35937499999999906</v>
      </c>
      <c r="S23" s="9">
        <f t="shared" si="103"/>
        <v>3.3333333333333069E-2</v>
      </c>
      <c r="T23" s="9">
        <f t="shared" si="103"/>
        <v>7.4074074074074139E-2</v>
      </c>
      <c r="U23" s="9">
        <f t="shared" si="103"/>
        <v>0.14173228346456707</v>
      </c>
      <c r="V23" s="9">
        <f t="shared" si="103"/>
        <v>0.14598540145985411</v>
      </c>
      <c r="W23" s="9">
        <f t="shared" si="103"/>
        <v>-1.1020408163265303</v>
      </c>
      <c r="X23" s="9">
        <f t="shared" si="103"/>
        <v>0.16129032258064266</v>
      </c>
      <c r="Y23" s="9">
        <f t="shared" ref="Y23:AB23" si="104">Y12/Y11</f>
        <v>0.2</v>
      </c>
      <c r="Z23" s="9">
        <f t="shared" si="104"/>
        <v>0.2</v>
      </c>
      <c r="AA23" s="9">
        <f t="shared" si="104"/>
        <v>0.2</v>
      </c>
      <c r="AB23" s="9">
        <f t="shared" si="104"/>
        <v>0.2</v>
      </c>
      <c r="AC23" s="9"/>
      <c r="AE23" s="9">
        <f t="shared" ref="AE23:AR23" si="105">AE12/AE11</f>
        <v>-0.28037383177570191</v>
      </c>
      <c r="AF23" s="9">
        <f t="shared" si="105"/>
        <v>0.37593984962406207</v>
      </c>
      <c r="AG23" s="9">
        <f t="shared" si="105"/>
        <v>0.15397215397215397</v>
      </c>
      <c r="AH23" s="9">
        <f t="shared" si="105"/>
        <v>0.11888111888111891</v>
      </c>
      <c r="AI23" s="9">
        <f t="shared" si="105"/>
        <v>0.1556603773584902</v>
      </c>
      <c r="AJ23" s="9">
        <f t="shared" si="105"/>
        <v>0.68571428571427406</v>
      </c>
      <c r="AK23" s="9">
        <f t="shared" si="105"/>
        <v>-0.35284552845528544</v>
      </c>
      <c r="AL23" s="9">
        <f t="shared" si="105"/>
        <v>0.19999999999999973</v>
      </c>
      <c r="AM23" s="9">
        <f t="shared" si="105"/>
        <v>0.19</v>
      </c>
      <c r="AN23" s="9">
        <f t="shared" si="105"/>
        <v>0.19</v>
      </c>
      <c r="AO23" s="9">
        <f t="shared" si="105"/>
        <v>0.19</v>
      </c>
      <c r="AP23" s="9">
        <f t="shared" si="105"/>
        <v>0.19</v>
      </c>
      <c r="AQ23" s="9">
        <f t="shared" si="105"/>
        <v>0.19</v>
      </c>
      <c r="AR23" s="9">
        <f t="shared" si="105"/>
        <v>0.19</v>
      </c>
      <c r="AS23" s="9">
        <f t="shared" ref="AS23:AV23" si="106">AS12/AS11</f>
        <v>0.19</v>
      </c>
      <c r="AT23" s="9">
        <f t="shared" si="106"/>
        <v>0.19</v>
      </c>
      <c r="AU23" s="9">
        <f t="shared" si="106"/>
        <v>0.19</v>
      </c>
      <c r="AV23" s="9">
        <f t="shared" si="106"/>
        <v>0.19</v>
      </c>
      <c r="AX23" t="s">
        <v>41</v>
      </c>
      <c r="AY23" s="4">
        <f>Main!D8</f>
        <v>-64.099999999999994</v>
      </c>
    </row>
    <row r="24" spans="2:51" x14ac:dyDescent="0.3">
      <c r="B24" t="s">
        <v>47</v>
      </c>
      <c r="C24" s="9">
        <f>C14/C3</f>
        <v>5.625879043600515E-3</v>
      </c>
      <c r="D24" s="9">
        <f t="shared" ref="D24:L24" si="107">D14/D3</f>
        <v>1.8677281077770978E-2</v>
      </c>
      <c r="E24" s="9">
        <f t="shared" si="107"/>
        <v>3.5656401944894368E-3</v>
      </c>
      <c r="F24" s="9"/>
      <c r="G24" s="9">
        <f t="shared" si="107"/>
        <v>7.9413695033909507E-2</v>
      </c>
      <c r="H24" s="9">
        <f t="shared" si="107"/>
        <v>7.7296422793456693E-2</v>
      </c>
      <c r="I24" s="9">
        <f t="shared" si="107"/>
        <v>8.8213071401586601E-2</v>
      </c>
      <c r="J24" s="9">
        <f t="shared" si="107"/>
        <v>5.83632903362232E-2</v>
      </c>
      <c r="K24" s="9">
        <f t="shared" si="107"/>
        <v>4.3467143952953639E-3</v>
      </c>
      <c r="L24" s="9">
        <f t="shared" si="107"/>
        <v>4.8570309439874677E-2</v>
      </c>
      <c r="M24" s="9">
        <f t="shared" ref="M24:X24" si="108">M14/M3</f>
        <v>-1.3396375098502715E-2</v>
      </c>
      <c r="N24" s="9">
        <f t="shared" si="108"/>
        <v>-0.20922860162028897</v>
      </c>
      <c r="O24" s="9">
        <f t="shared" si="108"/>
        <v>-2.8223220012828686E-2</v>
      </c>
      <c r="P24" s="9">
        <f t="shared" si="108"/>
        <v>3.1351893654376753E-2</v>
      </c>
      <c r="Q24" s="9">
        <f t="shared" si="108"/>
        <v>-2.8248587570622119E-3</v>
      </c>
      <c r="R24" s="9">
        <f t="shared" si="108"/>
        <v>3.3804548248309247E-3</v>
      </c>
      <c r="S24" s="9">
        <f t="shared" si="108"/>
        <v>-8.535242290748965E-3</v>
      </c>
      <c r="T24" s="9">
        <f t="shared" si="108"/>
        <v>1.4617780972921142E-2</v>
      </c>
      <c r="U24" s="9">
        <f t="shared" si="108"/>
        <v>-3.6762525941298502E-2</v>
      </c>
      <c r="V24" s="9">
        <f t="shared" si="108"/>
        <v>-0.11289705319556058</v>
      </c>
      <c r="W24" s="9">
        <f t="shared" si="108"/>
        <v>-0.1916502301117686</v>
      </c>
      <c r="X24" s="9">
        <f t="shared" si="108"/>
        <v>5.3191489361703289E-3</v>
      </c>
      <c r="Y24" s="9">
        <f t="shared" ref="Y24:AB24" si="109">Y14/Y3</f>
        <v>-3.1928056132028856E-2</v>
      </c>
      <c r="Z24" s="9">
        <f t="shared" si="109"/>
        <v>-6.3112530990532323E-2</v>
      </c>
      <c r="AA24" s="9">
        <f t="shared" si="109"/>
        <v>-1.4464168310322167E-2</v>
      </c>
      <c r="AB24" s="9">
        <f t="shared" si="109"/>
        <v>9.6431795155199704E-3</v>
      </c>
      <c r="AC24" s="9"/>
      <c r="AE24" s="9">
        <f t="shared" ref="AE24:AR24" si="110">AE14/AE3</f>
        <v>-1.4611774744027264E-2</v>
      </c>
      <c r="AF24" s="9">
        <f t="shared" si="110"/>
        <v>-7.5647101713451799E-3</v>
      </c>
      <c r="AG24" s="9">
        <f t="shared" si="110"/>
        <v>6.0679041353383464E-2</v>
      </c>
      <c r="AH24" s="9">
        <f t="shared" si="110"/>
        <v>5.2941176470588228E-2</v>
      </c>
      <c r="AI24" s="9">
        <f t="shared" si="110"/>
        <v>-4.4214966184277629E-2</v>
      </c>
      <c r="AJ24" s="9">
        <f t="shared" si="110"/>
        <v>2.1234331118569353E-3</v>
      </c>
      <c r="AK24" s="9">
        <f t="shared" si="110"/>
        <v>-7.4445457307809049E-2</v>
      </c>
      <c r="AL24" s="9">
        <f t="shared" si="110"/>
        <v>-2.1571796035708919E-2</v>
      </c>
      <c r="AM24" s="9">
        <f t="shared" si="110"/>
        <v>-9.3776285495609304E-3</v>
      </c>
      <c r="AN24" s="9">
        <f t="shared" si="110"/>
        <v>4.9380332426333029E-3</v>
      </c>
      <c r="AO24" s="9">
        <f t="shared" si="110"/>
        <v>1.9066752075060318E-2</v>
      </c>
      <c r="AP24" s="9">
        <f t="shared" si="110"/>
        <v>2.2962915627461281E-2</v>
      </c>
      <c r="AQ24" s="9">
        <f t="shared" si="110"/>
        <v>2.482247871000991E-2</v>
      </c>
      <c r="AR24" s="9">
        <f t="shared" si="110"/>
        <v>2.6662449608362806E-2</v>
      </c>
      <c r="AS24" s="9">
        <f t="shared" ref="AS24:AV24" si="111">AS14/AS3</f>
        <v>2.8483007057918123E-2</v>
      </c>
      <c r="AT24" s="9">
        <f t="shared" si="111"/>
        <v>3.0284327910934404E-2</v>
      </c>
      <c r="AU24" s="9">
        <f t="shared" si="111"/>
        <v>3.2066587153710226E-2</v>
      </c>
      <c r="AV24" s="9">
        <f t="shared" si="111"/>
        <v>3.382995792358244E-2</v>
      </c>
      <c r="AX24" t="s">
        <v>42</v>
      </c>
      <c r="AY24" s="4">
        <f>AY22+AY23</f>
        <v>301.2108181790062</v>
      </c>
    </row>
    <row r="25" spans="2:51" x14ac:dyDescent="0.3">
      <c r="AX25" t="s">
        <v>43</v>
      </c>
      <c r="AY25" s="5">
        <f>AY24/AR15</f>
        <v>2.8714091342135957</v>
      </c>
    </row>
    <row r="26" spans="2:51" s="1" customFormat="1" x14ac:dyDescent="0.3">
      <c r="B26" s="1" t="s">
        <v>67</v>
      </c>
      <c r="X26" s="8">
        <f>X14</f>
        <v>2.2000000000000481</v>
      </c>
      <c r="AG26" s="8">
        <f t="shared" ref="AG26:AL26" si="112">AG14</f>
        <v>103.30000000000001</v>
      </c>
      <c r="AH26" s="8">
        <f t="shared" si="112"/>
        <v>100.79999999999998</v>
      </c>
      <c r="AI26" s="8">
        <f t="shared" si="112"/>
        <v>-60.800000000000161</v>
      </c>
      <c r="AJ26" s="8">
        <f t="shared" si="112"/>
        <v>3.0999999999999397</v>
      </c>
      <c r="AK26" s="8">
        <f t="shared" si="112"/>
        <v>-97.999999999999844</v>
      </c>
      <c r="AL26" s="8">
        <f t="shared" si="112"/>
        <v>-31.364960000000053</v>
      </c>
      <c r="AM26" s="8">
        <f t="shared" ref="AM26:AV26" si="113">AM14</f>
        <v>-14.452977420000039</v>
      </c>
      <c r="AN26" s="8">
        <f t="shared" si="113"/>
        <v>7.9911191519999791</v>
      </c>
      <c r="AO26" s="8">
        <f t="shared" si="113"/>
        <v>32.0895521343</v>
      </c>
      <c r="AP26" s="8">
        <f t="shared" si="113"/>
        <v>39.806243115794985</v>
      </c>
      <c r="AQ26" s="8">
        <f t="shared" si="113"/>
        <v>43.890394018926727</v>
      </c>
      <c r="AR26" s="8">
        <f t="shared" si="113"/>
        <v>48.086653276729187</v>
      </c>
      <c r="AS26" s="8">
        <f t="shared" si="113"/>
        <v>52.397493661947848</v>
      </c>
      <c r="AT26" s="8">
        <f t="shared" si="113"/>
        <v>56.82543749940811</v>
      </c>
      <c r="AU26" s="8">
        <f t="shared" si="113"/>
        <v>61.373057591740562</v>
      </c>
      <c r="AV26" s="8">
        <f t="shared" si="113"/>
        <v>66.042978160978208</v>
      </c>
      <c r="AX26" t="s">
        <v>44</v>
      </c>
      <c r="AY26" s="5">
        <f>Main!D3</f>
        <v>7.37</v>
      </c>
    </row>
    <row r="27" spans="2:51" s="1" customFormat="1" x14ac:dyDescent="0.3">
      <c r="B27" s="1" t="s">
        <v>68</v>
      </c>
      <c r="X27" s="8">
        <f>2.7</f>
        <v>2.7</v>
      </c>
      <c r="AG27" s="8">
        <v>103.2</v>
      </c>
      <c r="AH27" s="8">
        <v>101</v>
      </c>
      <c r="AI27" s="8">
        <v>-53.9</v>
      </c>
      <c r="AJ27" s="8">
        <v>-1</v>
      </c>
      <c r="AK27" s="8">
        <v>-83.4</v>
      </c>
      <c r="AL27" s="8">
        <f>AL26*0.9</f>
        <v>-28.228464000000049</v>
      </c>
      <c r="AM27" s="8">
        <f t="shared" ref="AM27:AV27" si="114">AM26*0.9</f>
        <v>-13.007679678000036</v>
      </c>
      <c r="AN27" s="8">
        <f t="shared" si="114"/>
        <v>7.1920072367999817</v>
      </c>
      <c r="AO27" s="8">
        <f t="shared" si="114"/>
        <v>28.880596920870001</v>
      </c>
      <c r="AP27" s="8">
        <f t="shared" si="114"/>
        <v>35.825618804215488</v>
      </c>
      <c r="AQ27" s="8">
        <f t="shared" si="114"/>
        <v>39.501354617034053</v>
      </c>
      <c r="AR27" s="8">
        <f t="shared" si="114"/>
        <v>43.277987949056268</v>
      </c>
      <c r="AS27" s="8">
        <f t="shared" si="114"/>
        <v>47.157744295753062</v>
      </c>
      <c r="AT27" s="8">
        <f t="shared" si="114"/>
        <v>51.142893749467298</v>
      </c>
      <c r="AU27" s="8">
        <f t="shared" si="114"/>
        <v>55.235751832566507</v>
      </c>
      <c r="AV27" s="8">
        <f t="shared" si="114"/>
        <v>59.438680344880389</v>
      </c>
      <c r="AX27" s="1" t="s">
        <v>45</v>
      </c>
      <c r="AY27" s="10">
        <f>AY25/AY26-1</f>
        <v>-0.61039224773221235</v>
      </c>
    </row>
    <row r="28" spans="2:51" x14ac:dyDescent="0.3">
      <c r="B28" t="s">
        <v>69</v>
      </c>
      <c r="X28" s="4">
        <v>7.5</v>
      </c>
      <c r="AG28" s="4">
        <v>5.8</v>
      </c>
      <c r="AH28" s="4">
        <v>17.2</v>
      </c>
      <c r="AI28" s="4">
        <v>22.2</v>
      </c>
      <c r="AJ28" s="4">
        <v>30.9</v>
      </c>
      <c r="AK28" s="4">
        <v>30.6</v>
      </c>
      <c r="AL28" s="4">
        <v>30</v>
      </c>
      <c r="AM28" s="4">
        <f>AL28*0.85</f>
        <v>25.5</v>
      </c>
      <c r="AN28" s="4">
        <f t="shared" ref="AN28:AV28" si="115">AM28*0.85</f>
        <v>21.675000000000001</v>
      </c>
      <c r="AO28" s="4">
        <f t="shared" si="115"/>
        <v>18.423750000000002</v>
      </c>
      <c r="AP28" s="4">
        <f t="shared" si="115"/>
        <v>15.660187500000001</v>
      </c>
      <c r="AQ28" s="4">
        <f t="shared" si="115"/>
        <v>13.311159375000001</v>
      </c>
      <c r="AR28" s="4">
        <f t="shared" si="115"/>
        <v>11.31448546875</v>
      </c>
      <c r="AS28" s="4">
        <f t="shared" si="115"/>
        <v>9.6173126484374993</v>
      </c>
      <c r="AT28" s="4">
        <f t="shared" si="115"/>
        <v>8.174715751171874</v>
      </c>
      <c r="AU28" s="4">
        <f t="shared" si="115"/>
        <v>6.9485083884960925</v>
      </c>
      <c r="AV28" s="4">
        <f t="shared" si="115"/>
        <v>5.9062321302216789</v>
      </c>
      <c r="AX28" t="s">
        <v>46</v>
      </c>
      <c r="AY28" s="6" t="s">
        <v>66</v>
      </c>
    </row>
    <row r="29" spans="2:51" x14ac:dyDescent="0.3">
      <c r="B29" t="s">
        <v>70</v>
      </c>
      <c r="X29" s="4">
        <v>4</v>
      </c>
      <c r="AG29" s="4">
        <v>9.3000000000000007</v>
      </c>
      <c r="AH29" s="4">
        <v>10.3</v>
      </c>
      <c r="AI29" s="4">
        <v>10.7</v>
      </c>
      <c r="AJ29" s="4">
        <v>12.2</v>
      </c>
      <c r="AK29" s="4">
        <v>13.4</v>
      </c>
      <c r="AL29" s="4">
        <v>14</v>
      </c>
      <c r="AM29" s="4">
        <f>AL29*1.03</f>
        <v>14.42</v>
      </c>
      <c r="AN29" s="4">
        <f t="shared" ref="AN29:AV29" si="116">AM29*1.03</f>
        <v>14.852600000000001</v>
      </c>
      <c r="AO29" s="4">
        <f t="shared" si="116"/>
        <v>15.298178000000002</v>
      </c>
      <c r="AP29" s="4">
        <f t="shared" si="116"/>
        <v>15.757123340000001</v>
      </c>
      <c r="AQ29" s="4">
        <f t="shared" si="116"/>
        <v>16.229837040200003</v>
      </c>
      <c r="AR29" s="4">
        <f t="shared" si="116"/>
        <v>16.716732151406003</v>
      </c>
      <c r="AS29" s="4">
        <f t="shared" si="116"/>
        <v>17.218234115948182</v>
      </c>
      <c r="AT29" s="4">
        <f t="shared" si="116"/>
        <v>17.734781139426627</v>
      </c>
      <c r="AU29" s="4">
        <f t="shared" si="116"/>
        <v>18.266824573609426</v>
      </c>
      <c r="AV29" s="4">
        <f t="shared" si="116"/>
        <v>18.814829310817711</v>
      </c>
    </row>
    <row r="30" spans="2:51" x14ac:dyDescent="0.3">
      <c r="B30" t="s">
        <v>71</v>
      </c>
      <c r="X30" s="4">
        <v>9.9</v>
      </c>
      <c r="AG30" s="4">
        <v>33.9</v>
      </c>
      <c r="AH30" s="4">
        <v>34.799999999999997</v>
      </c>
      <c r="AI30" s="4">
        <v>42.8</v>
      </c>
      <c r="AJ30" s="4">
        <v>38.5</v>
      </c>
      <c r="AK30" s="4">
        <v>38.4</v>
      </c>
      <c r="AL30" s="4">
        <v>38.4</v>
      </c>
      <c r="AM30" s="4">
        <f>AL30*0.97</f>
        <v>37.247999999999998</v>
      </c>
      <c r="AN30" s="4">
        <f t="shared" ref="AN30:AV30" si="117">AM30*0.97</f>
        <v>36.130559999999996</v>
      </c>
      <c r="AO30" s="4">
        <f t="shared" si="117"/>
        <v>35.046643199999991</v>
      </c>
      <c r="AP30" s="4">
        <f t="shared" si="117"/>
        <v>33.995243903999992</v>
      </c>
      <c r="AQ30" s="4">
        <f t="shared" si="117"/>
        <v>32.975386586879992</v>
      </c>
      <c r="AR30" s="4">
        <f t="shared" si="117"/>
        <v>31.986124989273591</v>
      </c>
      <c r="AS30" s="4">
        <f t="shared" si="117"/>
        <v>31.026541239595382</v>
      </c>
      <c r="AT30" s="4">
        <f t="shared" si="117"/>
        <v>30.095745002407519</v>
      </c>
      <c r="AU30" s="4">
        <f t="shared" si="117"/>
        <v>29.192872652335293</v>
      </c>
      <c r="AV30" s="4">
        <f t="shared" si="117"/>
        <v>28.317086472765233</v>
      </c>
    </row>
    <row r="31" spans="2:51" x14ac:dyDescent="0.3">
      <c r="B31" t="s">
        <v>82</v>
      </c>
      <c r="X31" s="4">
        <v>-2.6</v>
      </c>
      <c r="AG31" s="4">
        <f>2.6+4.1</f>
        <v>6.6999999999999993</v>
      </c>
      <c r="AH31" s="4">
        <f>1.5+4.9</f>
        <v>6.4</v>
      </c>
      <c r="AI31" s="4">
        <v>0.4</v>
      </c>
      <c r="AJ31" s="4">
        <v>0</v>
      </c>
      <c r="AK31" s="4">
        <v>-2.6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</row>
    <row r="32" spans="2:51" x14ac:dyDescent="0.3">
      <c r="B32" t="s">
        <v>72</v>
      </c>
      <c r="X32" s="4">
        <v>-1.4</v>
      </c>
      <c r="AG32" s="4">
        <v>-7.5</v>
      </c>
      <c r="AH32" s="4">
        <v>-12</v>
      </c>
      <c r="AI32" s="4">
        <v>-21.7</v>
      </c>
      <c r="AJ32" s="4">
        <v>-6.3</v>
      </c>
      <c r="AK32" s="4">
        <v>11.4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</row>
    <row r="33" spans="2:143" x14ac:dyDescent="0.3">
      <c r="B33" t="s">
        <v>73</v>
      </c>
      <c r="X33" s="4">
        <v>2.9</v>
      </c>
      <c r="AG33" s="4">
        <v>2.6</v>
      </c>
      <c r="AH33" s="4">
        <v>3.3</v>
      </c>
      <c r="AI33" s="4">
        <v>4.5</v>
      </c>
      <c r="AJ33" s="4">
        <v>4.9000000000000004</v>
      </c>
      <c r="AK33" s="4">
        <v>5.7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</row>
    <row r="34" spans="2:143" x14ac:dyDescent="0.3">
      <c r="B34" t="s">
        <v>74</v>
      </c>
      <c r="X34" s="4">
        <v>-42</v>
      </c>
      <c r="AG34" s="4">
        <v>-91.5</v>
      </c>
      <c r="AH34" s="4">
        <v>0.4</v>
      </c>
      <c r="AI34" s="4">
        <v>55.8</v>
      </c>
      <c r="AJ34" s="4">
        <v>-17.7</v>
      </c>
      <c r="AK34" s="4">
        <v>32.299999999999997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</row>
    <row r="35" spans="2:143" x14ac:dyDescent="0.3">
      <c r="B35" t="s">
        <v>75</v>
      </c>
      <c r="X35" s="4">
        <v>27.9</v>
      </c>
      <c r="AG35" s="4">
        <v>-80.099999999999994</v>
      </c>
      <c r="AH35" s="4">
        <v>-71.3</v>
      </c>
      <c r="AI35" s="4">
        <v>111.3</v>
      </c>
      <c r="AJ35" s="4">
        <v>-39.5</v>
      </c>
      <c r="AK35" s="4">
        <v>18.3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</row>
    <row r="36" spans="2:143" x14ac:dyDescent="0.3">
      <c r="B36" t="s">
        <v>76</v>
      </c>
      <c r="X36" s="4">
        <v>5.7</v>
      </c>
      <c r="AG36" s="4">
        <v>-8</v>
      </c>
      <c r="AH36" s="4">
        <v>-13.2</v>
      </c>
      <c r="AI36" s="4">
        <v>1.3</v>
      </c>
      <c r="AJ36" s="4">
        <v>1.9</v>
      </c>
      <c r="AK36" s="4">
        <v>5.9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</row>
    <row r="37" spans="2:143" x14ac:dyDescent="0.3">
      <c r="B37" t="s">
        <v>77</v>
      </c>
      <c r="X37" s="4">
        <v>21.8</v>
      </c>
      <c r="AG37" s="4">
        <v>116.5</v>
      </c>
      <c r="AH37" s="4">
        <v>-63.7</v>
      </c>
      <c r="AI37" s="4">
        <v>-65.900000000000006</v>
      </c>
      <c r="AJ37" s="4">
        <v>62.2</v>
      </c>
      <c r="AK37" s="4">
        <v>-39.5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</row>
    <row r="38" spans="2:143" x14ac:dyDescent="0.3">
      <c r="B38" t="s">
        <v>78</v>
      </c>
      <c r="X38" s="4">
        <v>19.2</v>
      </c>
      <c r="AG38" s="4">
        <v>77.900000000000006</v>
      </c>
      <c r="AH38" s="4">
        <v>7</v>
      </c>
      <c r="AI38" s="4">
        <v>-41</v>
      </c>
      <c r="AJ38" s="4">
        <v>3.8</v>
      </c>
      <c r="AK38" s="4">
        <v>5.3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</row>
    <row r="39" spans="2:143" s="1" customFormat="1" x14ac:dyDescent="0.3">
      <c r="B39" s="1" t="s">
        <v>79</v>
      </c>
      <c r="X39" s="8">
        <f>X26+SUM(X27:X38)</f>
        <v>57.80000000000004</v>
      </c>
      <c r="AG39" s="8">
        <f t="shared" ref="AG39:AM39" si="118">AG26+SUM(AG27:AG38)</f>
        <v>272.10000000000002</v>
      </c>
      <c r="AH39" s="8">
        <f t="shared" si="118"/>
        <v>121.00000000000001</v>
      </c>
      <c r="AI39" s="8">
        <f t="shared" si="118"/>
        <v>5.6999999999998394</v>
      </c>
      <c r="AJ39" s="8">
        <f t="shared" si="118"/>
        <v>92.999999999999929</v>
      </c>
      <c r="AK39" s="8">
        <f t="shared" si="118"/>
        <v>-62.199999999999847</v>
      </c>
      <c r="AL39" s="8">
        <f t="shared" si="118"/>
        <v>22.806575999999893</v>
      </c>
      <c r="AM39" s="8">
        <f t="shared" si="118"/>
        <v>49.707342901999922</v>
      </c>
      <c r="AN39" s="8">
        <f t="shared" ref="AN39:AV39" si="119">AN26+SUM(AN27:AN38)</f>
        <v>87.841286388799958</v>
      </c>
      <c r="AO39" s="8">
        <f t="shared" si="119"/>
        <v>129.73872025516999</v>
      </c>
      <c r="AP39" s="8">
        <f t="shared" si="119"/>
        <v>141.04441666401047</v>
      </c>
      <c r="AQ39" s="8">
        <f t="shared" si="119"/>
        <v>145.90813163804077</v>
      </c>
      <c r="AR39" s="8">
        <f t="shared" si="119"/>
        <v>151.38198383521504</v>
      </c>
      <c r="AS39" s="8">
        <f t="shared" si="119"/>
        <v>157.41732596168197</v>
      </c>
      <c r="AT39" s="8">
        <f t="shared" si="119"/>
        <v>163.97357314188142</v>
      </c>
      <c r="AU39" s="8">
        <f t="shared" si="119"/>
        <v>171.0170150387479</v>
      </c>
      <c r="AV39" s="8">
        <f t="shared" si="119"/>
        <v>178.51980641966321</v>
      </c>
    </row>
    <row r="40" spans="2:143" x14ac:dyDescent="0.3">
      <c r="B40" t="s">
        <v>80</v>
      </c>
      <c r="X40" s="4">
        <v>1.5</v>
      </c>
      <c r="AG40" s="4">
        <v>9</v>
      </c>
      <c r="AH40" s="4">
        <v>11</v>
      </c>
      <c r="AI40" s="4">
        <v>12.8</v>
      </c>
      <c r="AJ40" s="4">
        <v>12.8</v>
      </c>
      <c r="AK40" s="4">
        <v>9.8000000000000007</v>
      </c>
      <c r="AL40" s="4">
        <f>AK40*1.05</f>
        <v>10.290000000000001</v>
      </c>
      <c r="AM40" s="4">
        <f t="shared" ref="AM40:AV40" si="120">AL40*1.05</f>
        <v>10.804500000000001</v>
      </c>
      <c r="AN40" s="4">
        <f t="shared" si="120"/>
        <v>11.344725000000002</v>
      </c>
      <c r="AO40" s="4">
        <f t="shared" si="120"/>
        <v>11.911961250000003</v>
      </c>
      <c r="AP40" s="4">
        <f t="shared" si="120"/>
        <v>12.507559312500003</v>
      </c>
      <c r="AQ40" s="4">
        <f t="shared" si="120"/>
        <v>13.132937278125004</v>
      </c>
      <c r="AR40" s="4">
        <f t="shared" si="120"/>
        <v>13.789584142031254</v>
      </c>
      <c r="AS40" s="4">
        <f t="shared" si="120"/>
        <v>14.479063349132817</v>
      </c>
      <c r="AT40" s="4">
        <f t="shared" si="120"/>
        <v>15.203016516589459</v>
      </c>
      <c r="AU40" s="4">
        <f t="shared" si="120"/>
        <v>15.963167342418933</v>
      </c>
      <c r="AV40" s="4">
        <f t="shared" si="120"/>
        <v>16.761325709539879</v>
      </c>
    </row>
    <row r="41" spans="2:143" s="1" customFormat="1" x14ac:dyDescent="0.3">
      <c r="B41" s="1" t="s">
        <v>81</v>
      </c>
      <c r="X41" s="8">
        <f>X39-X40</f>
        <v>56.30000000000004</v>
      </c>
      <c r="AG41" s="8">
        <f t="shared" ref="AG41:AM41" si="121">AG39-AG40</f>
        <v>263.10000000000002</v>
      </c>
      <c r="AH41" s="8">
        <f t="shared" si="121"/>
        <v>110.00000000000001</v>
      </c>
      <c r="AI41" s="8">
        <f t="shared" si="121"/>
        <v>-7.1000000000001613</v>
      </c>
      <c r="AJ41" s="8">
        <f t="shared" si="121"/>
        <v>80.199999999999932</v>
      </c>
      <c r="AK41" s="8">
        <f t="shared" si="121"/>
        <v>-71.999999999999844</v>
      </c>
      <c r="AL41" s="8">
        <f t="shared" si="121"/>
        <v>12.516575999999892</v>
      </c>
      <c r="AM41" s="8">
        <f t="shared" si="121"/>
        <v>38.902842901999918</v>
      </c>
      <c r="AN41" s="8">
        <f t="shared" ref="AN41:AV41" si="122">AN39-AN40</f>
        <v>76.496561388799961</v>
      </c>
      <c r="AO41" s="8">
        <f t="shared" si="122"/>
        <v>117.82675900516999</v>
      </c>
      <c r="AP41" s="8">
        <f t="shared" si="122"/>
        <v>128.53685735151046</v>
      </c>
      <c r="AQ41" s="8">
        <f t="shared" si="122"/>
        <v>132.77519435991576</v>
      </c>
      <c r="AR41" s="8">
        <f t="shared" si="122"/>
        <v>137.59239969318378</v>
      </c>
      <c r="AS41" s="8">
        <f t="shared" si="122"/>
        <v>142.93826261254915</v>
      </c>
      <c r="AT41" s="8">
        <f t="shared" si="122"/>
        <v>148.77055662529196</v>
      </c>
      <c r="AU41" s="8">
        <f t="shared" si="122"/>
        <v>155.05384769632897</v>
      </c>
      <c r="AV41" s="8">
        <f t="shared" si="122"/>
        <v>161.75848071012334</v>
      </c>
      <c r="AW41" s="1">
        <f>AV41*(1+$AY$20)</f>
        <v>160.14089590302211</v>
      </c>
      <c r="AX41" s="1">
        <f t="shared" ref="AX41:DI41" si="123">AW41*(1+$AY$20)</f>
        <v>158.5394869439919</v>
      </c>
      <c r="AY41" s="1">
        <f t="shared" si="123"/>
        <v>156.95409207455199</v>
      </c>
      <c r="AZ41" s="1">
        <f t="shared" si="123"/>
        <v>155.38455115380648</v>
      </c>
      <c r="BA41" s="1">
        <f t="shared" si="123"/>
        <v>153.83070564226841</v>
      </c>
      <c r="BB41" s="1">
        <f t="shared" si="123"/>
        <v>152.29239858584572</v>
      </c>
      <c r="BC41" s="1">
        <f t="shared" si="123"/>
        <v>150.76947459998726</v>
      </c>
      <c r="BD41" s="1">
        <f t="shared" si="123"/>
        <v>149.26177985398738</v>
      </c>
      <c r="BE41" s="1">
        <f t="shared" si="123"/>
        <v>147.76916205544751</v>
      </c>
      <c r="BF41" s="1">
        <f t="shared" si="123"/>
        <v>146.29147043489303</v>
      </c>
      <c r="BG41" s="1">
        <f t="shared" si="123"/>
        <v>144.82855573054411</v>
      </c>
      <c r="BH41" s="1">
        <f t="shared" si="123"/>
        <v>143.38027017323867</v>
      </c>
      <c r="BI41" s="1">
        <f t="shared" si="123"/>
        <v>141.94646747150628</v>
      </c>
      <c r="BJ41" s="1">
        <f t="shared" si="123"/>
        <v>140.52700279679121</v>
      </c>
      <c r="BK41" s="1">
        <f t="shared" si="123"/>
        <v>139.12173276882331</v>
      </c>
      <c r="BL41" s="1">
        <f t="shared" si="123"/>
        <v>137.73051544113508</v>
      </c>
      <c r="BM41" s="1">
        <f t="shared" si="123"/>
        <v>136.35321028672374</v>
      </c>
      <c r="BN41" s="1">
        <f t="shared" si="123"/>
        <v>134.98967818385651</v>
      </c>
      <c r="BO41" s="1">
        <f t="shared" si="123"/>
        <v>133.63978140201795</v>
      </c>
      <c r="BP41" s="1">
        <f t="shared" si="123"/>
        <v>132.30338358799776</v>
      </c>
      <c r="BQ41" s="1">
        <f t="shared" si="123"/>
        <v>130.98034975211777</v>
      </c>
      <c r="BR41" s="1">
        <f t="shared" si="123"/>
        <v>129.67054625459659</v>
      </c>
      <c r="BS41" s="1">
        <f t="shared" si="123"/>
        <v>128.37384079205063</v>
      </c>
      <c r="BT41" s="1">
        <f t="shared" si="123"/>
        <v>127.09010238413012</v>
      </c>
      <c r="BU41" s="1">
        <f t="shared" si="123"/>
        <v>125.81920136028882</v>
      </c>
      <c r="BV41" s="1">
        <f t="shared" si="123"/>
        <v>124.56100934668592</v>
      </c>
      <c r="BW41" s="1">
        <f t="shared" si="123"/>
        <v>123.31539925321906</v>
      </c>
      <c r="BX41" s="1">
        <f t="shared" si="123"/>
        <v>122.08224526068686</v>
      </c>
      <c r="BY41" s="1">
        <f t="shared" si="123"/>
        <v>120.86142280807999</v>
      </c>
      <c r="BZ41" s="1">
        <f t="shared" si="123"/>
        <v>119.65280857999919</v>
      </c>
      <c r="CA41" s="1">
        <f t="shared" si="123"/>
        <v>118.45628049419919</v>
      </c>
      <c r="CB41" s="1">
        <f t="shared" si="123"/>
        <v>117.2717176892572</v>
      </c>
      <c r="CC41" s="1">
        <f t="shared" si="123"/>
        <v>116.09900051236463</v>
      </c>
      <c r="CD41" s="1">
        <f t="shared" si="123"/>
        <v>114.93801050724097</v>
      </c>
      <c r="CE41" s="1">
        <f t="shared" si="123"/>
        <v>113.78863040216856</v>
      </c>
      <c r="CF41" s="1">
        <f t="shared" si="123"/>
        <v>112.65074409814687</v>
      </c>
      <c r="CG41" s="1">
        <f t="shared" si="123"/>
        <v>111.5242366571654</v>
      </c>
      <c r="CH41" s="1">
        <f t="shared" si="123"/>
        <v>110.40899429059375</v>
      </c>
      <c r="CI41" s="1">
        <f t="shared" si="123"/>
        <v>109.30490434768781</v>
      </c>
      <c r="CJ41" s="1">
        <f t="shared" si="123"/>
        <v>108.21185530421093</v>
      </c>
      <c r="CK41" s="1">
        <f t="shared" si="123"/>
        <v>107.12973675116882</v>
      </c>
      <c r="CL41" s="1">
        <f t="shared" si="123"/>
        <v>106.05843938365713</v>
      </c>
      <c r="CM41" s="1">
        <f t="shared" si="123"/>
        <v>104.99785498982055</v>
      </c>
      <c r="CN41" s="1">
        <f t="shared" si="123"/>
        <v>103.94787643992234</v>
      </c>
      <c r="CO41" s="1">
        <f t="shared" si="123"/>
        <v>102.90839767552312</v>
      </c>
      <c r="CP41" s="1">
        <f t="shared" si="123"/>
        <v>101.87931369876789</v>
      </c>
      <c r="CQ41" s="1">
        <f t="shared" si="123"/>
        <v>100.86052056178021</v>
      </c>
      <c r="CR41" s="1">
        <f t="shared" si="123"/>
        <v>99.851915356162408</v>
      </c>
      <c r="CS41" s="1">
        <f t="shared" si="123"/>
        <v>98.853396202600777</v>
      </c>
      <c r="CT41" s="1">
        <f t="shared" si="123"/>
        <v>97.864862240574766</v>
      </c>
      <c r="CU41" s="1">
        <f t="shared" si="123"/>
        <v>96.886213618169023</v>
      </c>
      <c r="CV41" s="1">
        <f t="shared" si="123"/>
        <v>95.917351481987339</v>
      </c>
      <c r="CW41" s="1">
        <f t="shared" si="123"/>
        <v>94.958177967167458</v>
      </c>
      <c r="CX41" s="1">
        <f t="shared" si="123"/>
        <v>94.008596187495783</v>
      </c>
      <c r="CY41" s="1">
        <f t="shared" si="123"/>
        <v>93.068510225620827</v>
      </c>
      <c r="CZ41" s="1">
        <f t="shared" si="123"/>
        <v>92.137825123364621</v>
      </c>
      <c r="DA41" s="1">
        <f t="shared" si="123"/>
        <v>91.216446872130973</v>
      </c>
      <c r="DB41" s="1">
        <f t="shared" si="123"/>
        <v>90.304282403409658</v>
      </c>
      <c r="DC41" s="1">
        <f t="shared" si="123"/>
        <v>89.401239579375556</v>
      </c>
      <c r="DD41" s="1">
        <f t="shared" si="123"/>
        <v>88.507227183581804</v>
      </c>
      <c r="DE41" s="1">
        <f t="shared" si="123"/>
        <v>87.62215491174598</v>
      </c>
      <c r="DF41" s="1">
        <f t="shared" si="123"/>
        <v>86.74593336262852</v>
      </c>
      <c r="DG41" s="1">
        <f t="shared" si="123"/>
        <v>85.878474029002234</v>
      </c>
      <c r="DH41" s="1">
        <f t="shared" si="123"/>
        <v>85.019689288712215</v>
      </c>
      <c r="DI41" s="1">
        <f t="shared" si="123"/>
        <v>84.169492395825088</v>
      </c>
      <c r="DJ41" s="1">
        <f t="shared" ref="DJ41:EM41" si="124">DI41*(1+$AY$20)</f>
        <v>83.32779747186683</v>
      </c>
      <c r="DK41" s="1">
        <f t="shared" si="124"/>
        <v>82.494519497148161</v>
      </c>
      <c r="DL41" s="1">
        <f t="shared" si="124"/>
        <v>81.669574302176684</v>
      </c>
      <c r="DM41" s="1">
        <f t="shared" si="124"/>
        <v>80.852878559154917</v>
      </c>
      <c r="DN41" s="1">
        <f t="shared" si="124"/>
        <v>80.044349773563368</v>
      </c>
      <c r="DO41" s="1">
        <f t="shared" si="124"/>
        <v>79.24390627582774</v>
      </c>
      <c r="DP41" s="1">
        <f t="shared" si="124"/>
        <v>78.451467213069463</v>
      </c>
      <c r="DQ41" s="1">
        <f t="shared" si="124"/>
        <v>77.666952540938766</v>
      </c>
      <c r="DR41" s="1">
        <f t="shared" si="124"/>
        <v>76.890283015529377</v>
      </c>
      <c r="DS41" s="1">
        <f t="shared" si="124"/>
        <v>76.121380185374079</v>
      </c>
      <c r="DT41" s="1">
        <f t="shared" si="124"/>
        <v>75.360166383520337</v>
      </c>
      <c r="DU41" s="1">
        <f t="shared" si="124"/>
        <v>74.606564719685139</v>
      </c>
      <c r="DV41" s="1">
        <f t="shared" si="124"/>
        <v>73.860499072488281</v>
      </c>
      <c r="DW41" s="1">
        <f t="shared" si="124"/>
        <v>73.121894081763401</v>
      </c>
      <c r="DX41" s="1">
        <f t="shared" si="124"/>
        <v>72.39067514094576</v>
      </c>
      <c r="DY41" s="1">
        <f t="shared" si="124"/>
        <v>71.666768389536301</v>
      </c>
      <c r="DZ41" s="1">
        <f t="shared" si="124"/>
        <v>70.950100705640935</v>
      </c>
      <c r="EA41" s="1">
        <f t="shared" si="124"/>
        <v>70.240599698584532</v>
      </c>
      <c r="EB41" s="1">
        <f t="shared" si="124"/>
        <v>69.538193701598686</v>
      </c>
      <c r="EC41" s="1">
        <f t="shared" si="124"/>
        <v>68.842811764582706</v>
      </c>
      <c r="ED41" s="1">
        <f t="shared" si="124"/>
        <v>68.154383646936878</v>
      </c>
      <c r="EE41" s="1">
        <f t="shared" si="124"/>
        <v>67.472839810467505</v>
      </c>
      <c r="EF41" s="1">
        <f t="shared" si="124"/>
        <v>66.798111412362829</v>
      </c>
      <c r="EG41" s="1">
        <f t="shared" si="124"/>
        <v>66.130130298239195</v>
      </c>
      <c r="EH41" s="1">
        <f t="shared" si="124"/>
        <v>65.4688289952568</v>
      </c>
      <c r="EI41" s="1">
        <f t="shared" si="124"/>
        <v>64.814140705304226</v>
      </c>
      <c r="EJ41" s="1">
        <f t="shared" si="124"/>
        <v>64.16599929825118</v>
      </c>
      <c r="EK41" s="1">
        <f t="shared" si="124"/>
        <v>63.524339305268668</v>
      </c>
      <c r="EL41" s="1">
        <f t="shared" si="124"/>
        <v>62.889095912215979</v>
      </c>
      <c r="EM41" s="1">
        <f t="shared" si="124"/>
        <v>62.260204953093819</v>
      </c>
    </row>
    <row r="44" spans="2:143" x14ac:dyDescent="0.3">
      <c r="AX44" t="s">
        <v>83</v>
      </c>
      <c r="AY44" s="4">
        <f>NPV(AY21,AL41:EM41)</f>
        <v>1163.3317621119409</v>
      </c>
    </row>
    <row r="45" spans="2:143" x14ac:dyDescent="0.3">
      <c r="AX45" t="s">
        <v>41</v>
      </c>
      <c r="AY45" s="4">
        <f>Main!D8</f>
        <v>-64.099999999999994</v>
      </c>
    </row>
    <row r="46" spans="2:143" x14ac:dyDescent="0.3">
      <c r="AX46" t="s">
        <v>42</v>
      </c>
      <c r="AY46" s="4">
        <f>AY44+AY45</f>
        <v>1099.231762111941</v>
      </c>
    </row>
    <row r="47" spans="2:143" x14ac:dyDescent="0.3">
      <c r="AX47" t="s">
        <v>43</v>
      </c>
      <c r="AY47" s="5">
        <f>AY46/AV15</f>
        <v>10.478853785623841</v>
      </c>
    </row>
    <row r="48" spans="2:143" x14ac:dyDescent="0.3">
      <c r="AX48" t="s">
        <v>44</v>
      </c>
      <c r="AY48" s="5">
        <f>Main!D3</f>
        <v>7.37</v>
      </c>
    </row>
    <row r="49" spans="50:51" x14ac:dyDescent="0.3">
      <c r="AX49" s="1" t="s">
        <v>45</v>
      </c>
      <c r="AY49" s="10">
        <f>AY47/AY48-1</f>
        <v>0.42182547973186435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2021-03-10T21:07:24Z</dcterms:created>
  <dcterms:modified xsi:type="dcterms:W3CDTF">2025-04-04T10:06:49Z</dcterms:modified>
</cp:coreProperties>
</file>