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C9856D22-029D-45B0-A996-AE124AEAB52C}" xr6:coauthVersionLast="47" xr6:coauthVersionMax="47" xr10:uidLastSave="{00000000-0000-0000-0000-000000000000}"/>
  <bookViews>
    <workbookView xWindow="-108" yWindow="-108" windowWidth="23256" windowHeight="12576" activeTab="1" xr2:uid="{C8793F2E-CDC7-4BB8-B5F3-F499391B70FF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8" i="1" l="1"/>
  <c r="AQ12" i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AQ11" i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AR10" i="1"/>
  <c r="AS10" i="1" s="1"/>
  <c r="AT10" i="1" s="1"/>
  <c r="AU10" i="1" s="1"/>
  <c r="AV10" i="1" s="1"/>
  <c r="AW10" i="1" s="1"/>
  <c r="AX10" i="1" s="1"/>
  <c r="AY10" i="1" s="1"/>
  <c r="AZ10" i="1" s="1"/>
  <c r="BA10" i="1" s="1"/>
  <c r="AQ10" i="1"/>
  <c r="AR9" i="1"/>
  <c r="AS9" i="1" s="1"/>
  <c r="AT9" i="1" s="1"/>
  <c r="AU9" i="1" s="1"/>
  <c r="AV9" i="1" s="1"/>
  <c r="AW9" i="1" s="1"/>
  <c r="AX9" i="1" s="1"/>
  <c r="AY9" i="1" s="1"/>
  <c r="AZ9" i="1" s="1"/>
  <c r="BA9" i="1" s="1"/>
  <c r="AQ9" i="1"/>
  <c r="AQ3" i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AD19" i="1"/>
  <c r="AD18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4" i="1"/>
  <c r="O13" i="1"/>
  <c r="AD12" i="1"/>
  <c r="AD11" i="1"/>
  <c r="AD10" i="1"/>
  <c r="AD9" i="1"/>
  <c r="AD8" i="1"/>
  <c r="AD7" i="1"/>
  <c r="AD6" i="1"/>
  <c r="AD4" i="1"/>
  <c r="AD3" i="1"/>
  <c r="AP14" i="1"/>
  <c r="AP13" i="1"/>
  <c r="AO14" i="1"/>
  <c r="AN14" i="1"/>
  <c r="AM14" i="1"/>
  <c r="AO13" i="1"/>
  <c r="AN13" i="1"/>
  <c r="AM13" i="1"/>
  <c r="D7" i="2"/>
  <c r="D6" i="2"/>
  <c r="AC5" i="1"/>
  <c r="AB5" i="1" l="1"/>
  <c r="AB28" i="1"/>
  <c r="Z19" i="1"/>
  <c r="Z18" i="1"/>
  <c r="Z16" i="1"/>
  <c r="Z15" i="1"/>
  <c r="Z12" i="1"/>
  <c r="Z11" i="1"/>
  <c r="Z10" i="1"/>
  <c r="Z9" i="1"/>
  <c r="Z8" i="1"/>
  <c r="Z7" i="1"/>
  <c r="Z28" i="1" s="1"/>
  <c r="Z6" i="1"/>
  <c r="Z4" i="1"/>
  <c r="Z3" i="1"/>
  <c r="AD5" i="1" s="1"/>
  <c r="V19" i="1"/>
  <c r="V18" i="1"/>
  <c r="V16" i="1"/>
  <c r="V15" i="1"/>
  <c r="V12" i="1"/>
  <c r="V11" i="1"/>
  <c r="V10" i="1"/>
  <c r="V9" i="1"/>
  <c r="V8" i="1"/>
  <c r="V7" i="1"/>
  <c r="V6" i="1"/>
  <c r="V4" i="1"/>
  <c r="V3" i="1"/>
  <c r="R19" i="1"/>
  <c r="R18" i="1"/>
  <c r="R16" i="1"/>
  <c r="R15" i="1"/>
  <c r="R12" i="1"/>
  <c r="R11" i="1"/>
  <c r="R10" i="1"/>
  <c r="R9" i="1"/>
  <c r="R8" i="1"/>
  <c r="R7" i="1"/>
  <c r="R6" i="1"/>
  <c r="R4" i="1"/>
  <c r="R3" i="1"/>
  <c r="AC29" i="1"/>
  <c r="AB29" i="1"/>
  <c r="AA29" i="1"/>
  <c r="Y29" i="1"/>
  <c r="X29" i="1"/>
  <c r="W29" i="1"/>
  <c r="U29" i="1"/>
  <c r="T29" i="1"/>
  <c r="S29" i="1"/>
  <c r="AC28" i="1"/>
  <c r="AA28" i="1"/>
  <c r="Y28" i="1"/>
  <c r="X28" i="1"/>
  <c r="W28" i="1"/>
  <c r="U28" i="1"/>
  <c r="T28" i="1"/>
  <c r="S28" i="1"/>
  <c r="AA27" i="1"/>
  <c r="Y27" i="1"/>
  <c r="X27" i="1"/>
  <c r="W27" i="1"/>
  <c r="U27" i="1"/>
  <c r="T27" i="1"/>
  <c r="S27" i="1"/>
  <c r="Y25" i="1"/>
  <c r="S25" i="1"/>
  <c r="AA24" i="1"/>
  <c r="Y24" i="1"/>
  <c r="X24" i="1"/>
  <c r="W24" i="1"/>
  <c r="U24" i="1"/>
  <c r="T24" i="1"/>
  <c r="S24" i="1"/>
  <c r="AM5" i="1"/>
  <c r="AO5" i="1"/>
  <c r="AN5" i="1"/>
  <c r="Q5" i="1"/>
  <c r="P5" i="1"/>
  <c r="S5" i="1"/>
  <c r="T5" i="1"/>
  <c r="T25" i="1" s="1"/>
  <c r="X5" i="1"/>
  <c r="X25" i="1" s="1"/>
  <c r="U5" i="1"/>
  <c r="U25" i="1" s="1"/>
  <c r="Y5" i="1"/>
  <c r="W5" i="1"/>
  <c r="W25" i="1" s="1"/>
  <c r="C13" i="1"/>
  <c r="D13" i="1"/>
  <c r="E13" i="1"/>
  <c r="O27" i="1"/>
  <c r="N7" i="1"/>
  <c r="AL6" i="1"/>
  <c r="AL27" i="1" s="1"/>
  <c r="M6" i="1"/>
  <c r="M27" i="1" s="1"/>
  <c r="L6" i="1"/>
  <c r="L27" i="1" s="1"/>
  <c r="K6" i="1"/>
  <c r="K27" i="1" s="1"/>
  <c r="I6" i="1"/>
  <c r="I27" i="1" s="1"/>
  <c r="H6" i="1"/>
  <c r="G6" i="1"/>
  <c r="G27" i="1" s="1"/>
  <c r="J7" i="1"/>
  <c r="AN28" i="1"/>
  <c r="AO28" i="1"/>
  <c r="M28" i="1"/>
  <c r="L28" i="1"/>
  <c r="K28" i="1"/>
  <c r="I28" i="1"/>
  <c r="H28" i="1"/>
  <c r="G28" i="1"/>
  <c r="E27" i="1"/>
  <c r="D27" i="1"/>
  <c r="C27" i="1"/>
  <c r="F6" i="1"/>
  <c r="F7" i="1"/>
  <c r="AJ7" i="1" s="1"/>
  <c r="AA5" i="1"/>
  <c r="AA25" i="1" s="1"/>
  <c r="AA26" i="1" l="1"/>
  <c r="V27" i="1"/>
  <c r="R27" i="1"/>
  <c r="V28" i="1"/>
  <c r="P17" i="1"/>
  <c r="P20" i="1" s="1"/>
  <c r="P22" i="1" s="1"/>
  <c r="AC25" i="1"/>
  <c r="AB17" i="1"/>
  <c r="AD29" i="1"/>
  <c r="AC27" i="1"/>
  <c r="AD25" i="1"/>
  <c r="AC24" i="1"/>
  <c r="AB27" i="1"/>
  <c r="AB24" i="1"/>
  <c r="AB25" i="1"/>
  <c r="Z29" i="1"/>
  <c r="Z5" i="1"/>
  <c r="AD24" i="1"/>
  <c r="Z24" i="1"/>
  <c r="Z27" i="1"/>
  <c r="V5" i="1"/>
  <c r="V25" i="1" s="1"/>
  <c r="V29" i="1"/>
  <c r="R5" i="1"/>
  <c r="R25" i="1" s="1"/>
  <c r="V24" i="1"/>
  <c r="AM17" i="1"/>
  <c r="AM20" i="1" s="1"/>
  <c r="AM22" i="1" s="1"/>
  <c r="AO17" i="1"/>
  <c r="AO20" i="1" s="1"/>
  <c r="AO22" i="1" s="1"/>
  <c r="AN17" i="1"/>
  <c r="AN20" i="1" s="1"/>
  <c r="AN22" i="1" s="1"/>
  <c r="Q17" i="1"/>
  <c r="Q20" i="1" s="1"/>
  <c r="Q22" i="1" s="1"/>
  <c r="F13" i="1"/>
  <c r="J6" i="1"/>
  <c r="J28" i="1"/>
  <c r="H27" i="1"/>
  <c r="AK7" i="1"/>
  <c r="AL28" i="1" s="1"/>
  <c r="N28" i="1"/>
  <c r="O5" i="1"/>
  <c r="M29" i="1"/>
  <c r="L29" i="1"/>
  <c r="I29" i="1"/>
  <c r="H29" i="1"/>
  <c r="G29" i="1"/>
  <c r="N19" i="1"/>
  <c r="N18" i="1"/>
  <c r="N16" i="1"/>
  <c r="N15" i="1"/>
  <c r="N4" i="1"/>
  <c r="AL13" i="1"/>
  <c r="N3" i="1"/>
  <c r="M13" i="1"/>
  <c r="M5" i="1"/>
  <c r="AD28" i="1" l="1"/>
  <c r="AA17" i="1"/>
  <c r="AA20" i="1" s="1"/>
  <c r="AD27" i="1"/>
  <c r="R17" i="1"/>
  <c r="R30" i="1" s="1"/>
  <c r="S17" i="1"/>
  <c r="S26" i="1"/>
  <c r="U17" i="1"/>
  <c r="U26" i="1"/>
  <c r="X17" i="1"/>
  <c r="X26" i="1"/>
  <c r="T17" i="1"/>
  <c r="T26" i="1"/>
  <c r="W17" i="1"/>
  <c r="W26" i="1"/>
  <c r="Y17" i="1"/>
  <c r="Y26" i="1"/>
  <c r="AP28" i="1"/>
  <c r="AQ7" i="1"/>
  <c r="AR7" i="1" s="1"/>
  <c r="AS7" i="1" s="1"/>
  <c r="AT7" i="1" s="1"/>
  <c r="AU7" i="1" s="1"/>
  <c r="AV7" i="1" s="1"/>
  <c r="AW7" i="1" s="1"/>
  <c r="AX7" i="1" s="1"/>
  <c r="AB26" i="1"/>
  <c r="AP5" i="1"/>
  <c r="AQ5" i="1"/>
  <c r="Z17" i="1"/>
  <c r="Z30" i="1" s="1"/>
  <c r="Z25" i="1"/>
  <c r="O25" i="1"/>
  <c r="O17" i="1"/>
  <c r="O30" i="1" s="1"/>
  <c r="P25" i="1"/>
  <c r="M14" i="1"/>
  <c r="Q27" i="1"/>
  <c r="AK28" i="1"/>
  <c r="N5" i="1"/>
  <c r="F3" i="2"/>
  <c r="R20" i="1" l="1"/>
  <c r="R22" i="1" s="1"/>
  <c r="R26" i="1"/>
  <c r="AA30" i="1"/>
  <c r="AQ28" i="1"/>
  <c r="S20" i="1"/>
  <c r="S30" i="1"/>
  <c r="AD26" i="1"/>
  <c r="X20" i="1"/>
  <c r="X30" i="1"/>
  <c r="Y20" i="1"/>
  <c r="Y30" i="1"/>
  <c r="Z26" i="1"/>
  <c r="U20" i="1"/>
  <c r="U30" i="1"/>
  <c r="T20" i="1"/>
  <c r="T30" i="1"/>
  <c r="W20" i="1"/>
  <c r="W30" i="1"/>
  <c r="AY7" i="1"/>
  <c r="AX28" i="1"/>
  <c r="AQ6" i="1"/>
  <c r="AQ13" i="1" s="1"/>
  <c r="AQ14" i="1" s="1"/>
  <c r="AR5" i="1"/>
  <c r="AC17" i="1"/>
  <c r="AC26" i="1"/>
  <c r="AB30" i="1"/>
  <c r="AB20" i="1"/>
  <c r="AA22" i="1"/>
  <c r="AA31" i="1"/>
  <c r="Z20" i="1"/>
  <c r="Z22" i="1" s="1"/>
  <c r="V17" i="1"/>
  <c r="V26" i="1"/>
  <c r="AR28" i="1"/>
  <c r="N25" i="1"/>
  <c r="Q25" i="1"/>
  <c r="Q26" i="1"/>
  <c r="O20" i="1"/>
  <c r="O22" i="1" s="1"/>
  <c r="O26" i="1"/>
  <c r="D8" i="2"/>
  <c r="BD29" i="1" s="1"/>
  <c r="R31" i="1" l="1"/>
  <c r="W22" i="1"/>
  <c r="W31" i="1"/>
  <c r="X22" i="1"/>
  <c r="X31" i="1"/>
  <c r="Y22" i="1"/>
  <c r="Y31" i="1"/>
  <c r="T22" i="1"/>
  <c r="T31" i="1"/>
  <c r="U22" i="1"/>
  <c r="U31" i="1"/>
  <c r="S22" i="1"/>
  <c r="S31" i="1"/>
  <c r="AZ7" i="1"/>
  <c r="AY28" i="1"/>
  <c r="AR6" i="1"/>
  <c r="AR13" i="1" s="1"/>
  <c r="AR14" i="1" s="1"/>
  <c r="AC20" i="1"/>
  <c r="AB22" i="1"/>
  <c r="AB31" i="1"/>
  <c r="Z31" i="1"/>
  <c r="V30" i="1"/>
  <c r="V20" i="1"/>
  <c r="AS28" i="1"/>
  <c r="O31" i="1"/>
  <c r="BD32" i="1"/>
  <c r="M24" i="1"/>
  <c r="AQ19" i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M25" i="1"/>
  <c r="L24" i="1"/>
  <c r="K24" i="1"/>
  <c r="I24" i="1"/>
  <c r="H24" i="1"/>
  <c r="G24" i="1"/>
  <c r="F8" i="1"/>
  <c r="AJ8" i="1" s="1"/>
  <c r="C5" i="1"/>
  <c r="C14" i="1" s="1"/>
  <c r="D5" i="1"/>
  <c r="J19" i="1"/>
  <c r="AK19" i="1" s="1"/>
  <c r="F19" i="1"/>
  <c r="AJ19" i="1" s="1"/>
  <c r="F18" i="1"/>
  <c r="AJ18" i="1" s="1"/>
  <c r="F16" i="1"/>
  <c r="AJ16" i="1" s="1"/>
  <c r="F15" i="1"/>
  <c r="AJ15" i="1" s="1"/>
  <c r="F4" i="1"/>
  <c r="AJ4" i="1" s="1"/>
  <c r="F3" i="1"/>
  <c r="J18" i="1"/>
  <c r="AK18" i="1" s="1"/>
  <c r="J16" i="1"/>
  <c r="AK16" i="1" s="1"/>
  <c r="J15" i="1"/>
  <c r="AK15" i="1" s="1"/>
  <c r="J8" i="1"/>
  <c r="J4" i="1"/>
  <c r="AK4" i="1" s="1"/>
  <c r="J3" i="1"/>
  <c r="J27" i="1" s="1"/>
  <c r="E5" i="1"/>
  <c r="I13" i="1"/>
  <c r="I5" i="1"/>
  <c r="G13" i="1"/>
  <c r="G5" i="1"/>
  <c r="K13" i="1"/>
  <c r="K8" i="1"/>
  <c r="K5" i="1"/>
  <c r="H13" i="1"/>
  <c r="H5" i="1"/>
  <c r="L13" i="1"/>
  <c r="L5" i="1"/>
  <c r="AT6" i="1" l="1"/>
  <c r="AT13" i="1" s="1"/>
  <c r="AS5" i="1"/>
  <c r="BA7" i="1"/>
  <c r="BA28" i="1" s="1"/>
  <c r="AZ28" i="1"/>
  <c r="AS6" i="1"/>
  <c r="AS13" i="1" s="1"/>
  <c r="AC22" i="1"/>
  <c r="AC31" i="1"/>
  <c r="AC30" i="1"/>
  <c r="V22" i="1"/>
  <c r="V31" i="1"/>
  <c r="AT28" i="1"/>
  <c r="I14" i="1"/>
  <c r="D25" i="1"/>
  <c r="D14" i="1"/>
  <c r="E25" i="1"/>
  <c r="E14" i="1"/>
  <c r="K25" i="1"/>
  <c r="K14" i="1"/>
  <c r="G25" i="1"/>
  <c r="G14" i="1"/>
  <c r="H25" i="1"/>
  <c r="H14" i="1"/>
  <c r="L25" i="1"/>
  <c r="L14" i="1"/>
  <c r="L17" i="1" s="1"/>
  <c r="AJ3" i="1"/>
  <c r="AJ5" i="1" s="1"/>
  <c r="F27" i="1"/>
  <c r="N13" i="1"/>
  <c r="K29" i="1"/>
  <c r="AK8" i="1"/>
  <c r="J29" i="1"/>
  <c r="J13" i="1"/>
  <c r="AK13" i="1" s="1"/>
  <c r="N6" i="1"/>
  <c r="N8" i="1"/>
  <c r="C17" i="1"/>
  <c r="C20" i="1" s="1"/>
  <c r="AK3" i="1"/>
  <c r="I17" i="1"/>
  <c r="I20" i="1" s="1"/>
  <c r="C25" i="1"/>
  <c r="I25" i="1"/>
  <c r="J24" i="1"/>
  <c r="J5" i="1"/>
  <c r="AL5" i="1"/>
  <c r="AL14" i="1" s="1"/>
  <c r="N24" i="1"/>
  <c r="AJ13" i="1"/>
  <c r="AJ6" i="1"/>
  <c r="F5" i="1"/>
  <c r="AS14" i="1" l="1"/>
  <c r="AJ25" i="1"/>
  <c r="AJ14" i="1"/>
  <c r="AU6" i="1"/>
  <c r="AU13" i="1" s="1"/>
  <c r="AT5" i="1"/>
  <c r="AT14" i="1" s="1"/>
  <c r="AU28" i="1"/>
  <c r="N27" i="1"/>
  <c r="N14" i="1"/>
  <c r="N26" i="1" s="1"/>
  <c r="P27" i="1"/>
  <c r="J25" i="1"/>
  <c r="J14" i="1"/>
  <c r="J26" i="1" s="1"/>
  <c r="F25" i="1"/>
  <c r="F14" i="1"/>
  <c r="AK24" i="1"/>
  <c r="AJ27" i="1"/>
  <c r="C22" i="1"/>
  <c r="C31" i="1"/>
  <c r="I22" i="1"/>
  <c r="I31" i="1"/>
  <c r="AL29" i="1"/>
  <c r="AK29" i="1"/>
  <c r="N29" i="1"/>
  <c r="AK5" i="1"/>
  <c r="L26" i="1"/>
  <c r="AL24" i="1"/>
  <c r="C30" i="1"/>
  <c r="C26" i="1"/>
  <c r="I26" i="1"/>
  <c r="I30" i="1"/>
  <c r="AK6" i="1"/>
  <c r="AK27" i="1" s="1"/>
  <c r="H17" i="1"/>
  <c r="H26" i="1"/>
  <c r="L30" i="1"/>
  <c r="L20" i="1"/>
  <c r="K17" i="1"/>
  <c r="K26" i="1"/>
  <c r="D17" i="1"/>
  <c r="D26" i="1"/>
  <c r="G17" i="1"/>
  <c r="G26" i="1"/>
  <c r="E17" i="1"/>
  <c r="E26" i="1"/>
  <c r="AL25" i="1"/>
  <c r="AL26" i="1"/>
  <c r="M26" i="1"/>
  <c r="M17" i="1"/>
  <c r="AK25" i="1" l="1"/>
  <c r="AK14" i="1"/>
  <c r="AK26" i="1" s="1"/>
  <c r="AV6" i="1"/>
  <c r="AV13" i="1" s="1"/>
  <c r="AU5" i="1"/>
  <c r="AU14" i="1" s="1"/>
  <c r="AV28" i="1"/>
  <c r="AW28" i="1"/>
  <c r="J17" i="1"/>
  <c r="J20" i="1" s="1"/>
  <c r="AN29" i="1"/>
  <c r="L22" i="1"/>
  <c r="L31" i="1"/>
  <c r="P26" i="1"/>
  <c r="H20" i="1"/>
  <c r="H30" i="1"/>
  <c r="AJ17" i="1"/>
  <c r="AJ26" i="1"/>
  <c r="D20" i="1"/>
  <c r="D30" i="1"/>
  <c r="G20" i="1"/>
  <c r="G30" i="1"/>
  <c r="F17" i="1"/>
  <c r="F26" i="1"/>
  <c r="K20" i="1"/>
  <c r="K30" i="1"/>
  <c r="E20" i="1"/>
  <c r="E30" i="1"/>
  <c r="M20" i="1"/>
  <c r="M31" i="1" s="1"/>
  <c r="AN24" i="1"/>
  <c r="AM25" i="1"/>
  <c r="AV5" i="1" l="1"/>
  <c r="AV14" i="1" s="1"/>
  <c r="AM27" i="1"/>
  <c r="J30" i="1"/>
  <c r="AM26" i="1"/>
  <c r="E22" i="1"/>
  <c r="E31" i="1"/>
  <c r="D22" i="1"/>
  <c r="D31" i="1"/>
  <c r="K22" i="1"/>
  <c r="K31" i="1"/>
  <c r="H22" i="1"/>
  <c r="H31" i="1"/>
  <c r="G22" i="1"/>
  <c r="G31" i="1"/>
  <c r="J22" i="1"/>
  <c r="J31" i="1"/>
  <c r="AO29" i="1"/>
  <c r="AK17" i="1"/>
  <c r="AK20" i="1" s="1"/>
  <c r="F20" i="1"/>
  <c r="F30" i="1"/>
  <c r="M22" i="1"/>
  <c r="AJ20" i="1"/>
  <c r="AJ30" i="1"/>
  <c r="AO24" i="1"/>
  <c r="AN25" i="1"/>
  <c r="M30" i="1"/>
  <c r="AW5" i="1" l="1"/>
  <c r="AW6" i="1"/>
  <c r="AW13" i="1" s="1"/>
  <c r="AN27" i="1"/>
  <c r="AQ8" i="1"/>
  <c r="AP29" i="1"/>
  <c r="P31" i="1"/>
  <c r="P30" i="1"/>
  <c r="AK22" i="1"/>
  <c r="AK31" i="1"/>
  <c r="AJ22" i="1"/>
  <c r="AJ31" i="1"/>
  <c r="F22" i="1"/>
  <c r="F31" i="1"/>
  <c r="AK30" i="1"/>
  <c r="N17" i="1"/>
  <c r="N30" i="1" s="1"/>
  <c r="AP24" i="1"/>
  <c r="AN26" i="1"/>
  <c r="AO25" i="1"/>
  <c r="AW14" i="1" l="1"/>
  <c r="AX5" i="1"/>
  <c r="AX6" i="1"/>
  <c r="AX24" i="1"/>
  <c r="AO27" i="1"/>
  <c r="AR8" i="1"/>
  <c r="AS8" i="1" s="1"/>
  <c r="AQ29" i="1"/>
  <c r="N20" i="1"/>
  <c r="AL17" i="1"/>
  <c r="AP25" i="1"/>
  <c r="AQ4" i="1"/>
  <c r="AQ24" i="1"/>
  <c r="AO26" i="1"/>
  <c r="AX27" i="1" l="1"/>
  <c r="AX13" i="1"/>
  <c r="AX14" i="1" s="1"/>
  <c r="AX4" i="1"/>
  <c r="AY5" i="1"/>
  <c r="AY24" i="1"/>
  <c r="AY6" i="1"/>
  <c r="AX25" i="1"/>
  <c r="AP27" i="1"/>
  <c r="AR29" i="1"/>
  <c r="N22" i="1"/>
  <c r="N31" i="1"/>
  <c r="AL20" i="1"/>
  <c r="AL30" i="1"/>
  <c r="AP26" i="1"/>
  <c r="AR24" i="1"/>
  <c r="AR4" i="1"/>
  <c r="AQ25" i="1"/>
  <c r="AY27" i="1" l="1"/>
  <c r="AY13" i="1"/>
  <c r="AY14" i="1" s="1"/>
  <c r="AY4" i="1"/>
  <c r="BA5" i="1"/>
  <c r="AZ5" i="1"/>
  <c r="AZ24" i="1"/>
  <c r="AZ6" i="1"/>
  <c r="AY25" i="1"/>
  <c r="AQ27" i="1"/>
  <c r="AQ26" i="1"/>
  <c r="Q30" i="1"/>
  <c r="AL22" i="1"/>
  <c r="AL31" i="1"/>
  <c r="AT8" i="1"/>
  <c r="AS29" i="1"/>
  <c r="AR25" i="1"/>
  <c r="AS4" i="1"/>
  <c r="AS24" i="1"/>
  <c r="AZ27" i="1" l="1"/>
  <c r="AZ13" i="1"/>
  <c r="AZ14" i="1" s="1"/>
  <c r="AZ4" i="1"/>
  <c r="AZ25" i="1"/>
  <c r="BA24" i="1"/>
  <c r="BA6" i="1"/>
  <c r="BA4" i="1"/>
  <c r="AR27" i="1"/>
  <c r="AU8" i="1"/>
  <c r="AT29" i="1"/>
  <c r="Q31" i="1"/>
  <c r="AW24" i="1"/>
  <c r="AT24" i="1"/>
  <c r="AT4" i="1"/>
  <c r="AR26" i="1"/>
  <c r="AS25" i="1"/>
  <c r="BA27" i="1" l="1"/>
  <c r="BA13" i="1"/>
  <c r="BA14" i="1" s="1"/>
  <c r="BA25" i="1"/>
  <c r="AW25" i="1"/>
  <c r="AW4" i="1"/>
  <c r="AS27" i="1"/>
  <c r="AS26" i="1"/>
  <c r="AV8" i="1"/>
  <c r="AU29" i="1"/>
  <c r="AT25" i="1"/>
  <c r="AU24" i="1"/>
  <c r="AU4" i="1"/>
  <c r="AT27" i="1" l="1"/>
  <c r="AW8" i="1"/>
  <c r="AV29" i="1"/>
  <c r="AV4" i="1"/>
  <c r="AV24" i="1"/>
  <c r="AT26" i="1"/>
  <c r="AU25" i="1"/>
  <c r="AW29" i="1" l="1"/>
  <c r="AX8" i="1"/>
  <c r="AU27" i="1"/>
  <c r="AM30" i="1"/>
  <c r="AV25" i="1"/>
  <c r="AU26" i="1"/>
  <c r="AY8" i="1" l="1"/>
  <c r="AX29" i="1"/>
  <c r="AV27" i="1"/>
  <c r="AN30" i="1"/>
  <c r="AV26" i="1"/>
  <c r="AX26" i="1" l="1"/>
  <c r="AZ8" i="1"/>
  <c r="AY29" i="1"/>
  <c r="AW27" i="1"/>
  <c r="AW26" i="1"/>
  <c r="AM31" i="1"/>
  <c r="AO30" i="1"/>
  <c r="AY26" i="1" l="1"/>
  <c r="BA8" i="1"/>
  <c r="AZ29" i="1"/>
  <c r="AN31" i="1"/>
  <c r="AZ26" i="1" l="1"/>
  <c r="BA29" i="1"/>
  <c r="AO31" i="1"/>
  <c r="D5" i="2"/>
  <c r="D9" i="2" s="1"/>
  <c r="BA26" i="1" l="1"/>
  <c r="AD15" i="1" l="1"/>
  <c r="AQ15" i="1"/>
  <c r="AR15" i="1"/>
  <c r="AS15" i="1" s="1"/>
  <c r="AT15" i="1" l="1"/>
  <c r="AU15" i="1" l="1"/>
  <c r="AV15" i="1" l="1"/>
  <c r="AW15" i="1" l="1"/>
  <c r="AX15" i="1" l="1"/>
  <c r="AY15" i="1" l="1"/>
  <c r="AZ15" i="1" l="1"/>
  <c r="BA15" i="1" l="1"/>
  <c r="AP17" i="1"/>
  <c r="AD16" i="1"/>
  <c r="AD17" i="1" s="1"/>
  <c r="AQ16" i="1"/>
  <c r="AQ17" i="1" s="1"/>
  <c r="AQ18" i="1" l="1"/>
  <c r="AQ30" i="1" s="1"/>
  <c r="AQ20" i="1"/>
  <c r="AD20" i="1"/>
  <c r="AR16" i="1"/>
  <c r="AS16" i="1" l="1"/>
  <c r="AR17" i="1"/>
  <c r="AD22" i="1"/>
  <c r="AD31" i="1"/>
  <c r="AD30" i="1"/>
  <c r="AQ31" i="1"/>
  <c r="AQ22" i="1"/>
  <c r="AP30" i="1" l="1"/>
  <c r="AP20" i="1"/>
  <c r="AR18" i="1"/>
  <c r="AR30" i="1" s="1"/>
  <c r="AR20" i="1"/>
  <c r="AS17" i="1"/>
  <c r="AT16" i="1"/>
  <c r="AR31" i="1" l="1"/>
  <c r="AR22" i="1"/>
  <c r="AU16" i="1"/>
  <c r="AT17" i="1"/>
  <c r="AS18" i="1"/>
  <c r="AS30" i="1" s="1"/>
  <c r="AP22" i="1"/>
  <c r="AP31" i="1"/>
  <c r="AV16" i="1" l="1"/>
  <c r="AU17" i="1"/>
  <c r="AS20" i="1"/>
  <c r="AT18" i="1"/>
  <c r="AT30" i="1" s="1"/>
  <c r="AT20" i="1" l="1"/>
  <c r="AS31" i="1"/>
  <c r="AS22" i="1"/>
  <c r="AU18" i="1"/>
  <c r="AU30" i="1" s="1"/>
  <c r="AV17" i="1"/>
  <c r="AW16" i="1"/>
  <c r="AU20" i="1" l="1"/>
  <c r="AU22" i="1" s="1"/>
  <c r="AU31" i="1"/>
  <c r="AV18" i="1"/>
  <c r="AV30" i="1" s="1"/>
  <c r="AW17" i="1"/>
  <c r="AX16" i="1"/>
  <c r="AT22" i="1"/>
  <c r="AT31" i="1"/>
  <c r="AW18" i="1" l="1"/>
  <c r="AW30" i="1" s="1"/>
  <c r="AW20" i="1"/>
  <c r="AX17" i="1"/>
  <c r="AY16" i="1"/>
  <c r="AV20" i="1"/>
  <c r="AY17" i="1" l="1"/>
  <c r="AZ16" i="1"/>
  <c r="AV31" i="1"/>
  <c r="AV22" i="1"/>
  <c r="AX18" i="1"/>
  <c r="AX30" i="1" s="1"/>
  <c r="AW22" i="1"/>
  <c r="AW31" i="1"/>
  <c r="AX20" i="1" l="1"/>
  <c r="AZ17" i="1"/>
  <c r="BA16" i="1"/>
  <c r="BA17" i="1" s="1"/>
  <c r="AY18" i="1"/>
  <c r="AY30" i="1" s="1"/>
  <c r="AY20" i="1" l="1"/>
  <c r="AY31" i="1" s="1"/>
  <c r="BA18" i="1"/>
  <c r="BA30" i="1" s="1"/>
  <c r="AZ18" i="1"/>
  <c r="AZ30" i="1" s="1"/>
  <c r="AX22" i="1"/>
  <c r="AX31" i="1"/>
  <c r="AY22" i="1" l="1"/>
  <c r="AZ20" i="1"/>
  <c r="BA20" i="1"/>
  <c r="BB20" i="1" l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BD30" i="1" s="1"/>
  <c r="BD31" i="1" s="1"/>
  <c r="BD33" i="1" s="1"/>
  <c r="BA22" i="1"/>
  <c r="BA31" i="1"/>
  <c r="AZ31" i="1"/>
  <c r="AZ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Mniszek</author>
  </authors>
  <commentList>
    <comment ref="O3" authorId="0" shapeId="0" xr:uid="{E75F5EBD-0BAC-42C3-B36E-E670409BAC78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Daimler Truck spin off</t>
        </r>
      </text>
    </comment>
    <comment ref="AM3" authorId="0" shapeId="0" xr:uid="{78358D2A-2296-4811-8A15-A553D5C65432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Daimler Truck spin off</t>
        </r>
      </text>
    </comment>
  </commentList>
</comments>
</file>

<file path=xl/sharedStrings.xml><?xml version="1.0" encoding="utf-8"?>
<sst xmlns="http://schemas.openxmlformats.org/spreadsheetml/2006/main" count="84" uniqueCount="79">
  <si>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</si>
  <si>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</si>
  <si>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</si>
  <si>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</si>
  <si>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</si>
  <si>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</si>
  <si>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</si>
  <si>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</si>
  <si>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</si>
  <si>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</si>
  <si>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</si>
  <si>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Price</t>
  </si>
  <si>
    <t>Shares</t>
  </si>
  <si>
    <t>MC</t>
  </si>
  <si>
    <t>Cash</t>
  </si>
  <si>
    <t>Debt</t>
  </si>
  <si>
    <t>EV</t>
  </si>
  <si>
    <t>Cost of sales</t>
  </si>
  <si>
    <t>Gross profit</t>
  </si>
  <si>
    <t>R&amp;D</t>
  </si>
  <si>
    <t>Other operating expense</t>
  </si>
  <si>
    <t>Pretax income</t>
  </si>
  <si>
    <t>Interest income</t>
  </si>
  <si>
    <t>Interest expense</t>
  </si>
  <si>
    <t>Operating income</t>
  </si>
  <si>
    <t>Taxes</t>
  </si>
  <si>
    <t>Net profit</t>
  </si>
  <si>
    <t>EPS</t>
  </si>
  <si>
    <t>Minority interest</t>
  </si>
  <si>
    <t>Gross Margin</t>
  </si>
  <si>
    <t>Operating Margin</t>
  </si>
  <si>
    <t>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</si>
  <si>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</si>
  <si>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</si>
  <si>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</si>
  <si>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</si>
  <si>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</si>
  <si>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</si>
  <si>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</si>
  <si>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Net Cash</t>
  </si>
  <si>
    <t>Today</t>
  </si>
  <si>
    <t>Last time checked</t>
  </si>
  <si>
    <t>Variance</t>
  </si>
  <si>
    <t>Consensus</t>
  </si>
  <si>
    <t>Q320</t>
  </si>
  <si>
    <t>Earnings</t>
  </si>
  <si>
    <t>Q420</t>
  </si>
  <si>
    <t>Q121</t>
  </si>
  <si>
    <t>Q221</t>
  </si>
  <si>
    <t>Q321</t>
  </si>
  <si>
    <t>Q421</t>
  </si>
  <si>
    <t>R&amp;D y/y</t>
  </si>
  <si>
    <t>Net Margin</t>
  </si>
  <si>
    <t>MBG</t>
  </si>
  <si>
    <t>Q124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</si>
  <si>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</si>
  <si>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</si>
  <si>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</si>
  <si>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</si>
  <si>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</si>
  <si>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</si>
  <si>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</si>
  <si>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</si>
  <si>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</si>
  <si>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</si>
  <si>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</si>
  <si>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G&amp;A</t>
  </si>
  <si>
    <t>S&amp;M</t>
  </si>
  <si>
    <t>S&amp;M Margin</t>
  </si>
  <si>
    <t>G&amp;A y/y</t>
  </si>
  <si>
    <t>Other operating income</t>
  </si>
  <si>
    <t>Investment income</t>
  </si>
  <si>
    <t>Net operating expense</t>
  </si>
  <si>
    <t>Other financial income</t>
  </si>
  <si>
    <t>Q125</t>
  </si>
  <si>
    <t>Q225</t>
  </si>
  <si>
    <t>Q325</t>
  </si>
  <si>
    <t>Q425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</si>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</sst>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/>
    <xf numFmtId="164" fontId="5" fillId="2" borderId="1" xfId="0" applyNumberFormat="1" applyFont="1" applyFill="1" applyBorder="1"/>
    <xf numFmtId="14" fontId="6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/>
    <xf numFmtId="0" fontId="5" fillId="2" borderId="1" xfId="0" applyFont="1" applyFill="1" applyBorder="1" applyAlignment="1">
      <alignment horizontal="right"/>
    </xf>
    <xf numFmtId="3" fontId="4" fillId="2" borderId="1" xfId="0" applyNumberFormat="1" applyFont="1" applyFill="1" applyBorder="1"/>
    <xf numFmtId="4" fontId="4" fillId="2" borderId="1" xfId="0" applyNumberFormat="1" applyFont="1" applyFill="1" applyBorder="1"/>
    <xf numFmtId="9" fontId="4" fillId="2" borderId="1" xfId="0" applyNumberFormat="1" applyFont="1" applyFill="1" applyBorder="1"/>
    <xf numFmtId="9" fontId="5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15240</xdr:colOff>
      <xdr:row>0</xdr:row>
      <xdr:rowOff>0</xdr:rowOff>
    </xdr:from>
    <xdr:to>
      <xdr:col>30</xdr:col>
      <xdr:colOff>15240</xdr:colOff>
      <xdr:row>40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96CDE3B-75DC-4658-8A18-E1154CB8D3DE}"/>
            </a:ext>
          </a:extLst>
        </xdr:cNvPr>
        <xdr:cNvCxnSpPr/>
      </xdr:nvCxnSpPr>
      <xdr:spPr>
        <a:xfrm>
          <a:off x="19210020" y="0"/>
          <a:ext cx="0" cy="7414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30480</xdr:colOff>
      <xdr:row>0</xdr:row>
      <xdr:rowOff>0</xdr:rowOff>
    </xdr:from>
    <xdr:to>
      <xdr:col>42</xdr:col>
      <xdr:colOff>30480</xdr:colOff>
      <xdr:row>39</xdr:row>
      <xdr:rowOff>99060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31E573-E2EE-4877-9770-47E59DD96600}"/>
            </a:ext>
          </a:extLst>
        </xdr:cNvPr>
        <xdr:cNvCxnSpPr/>
      </xdr:nvCxnSpPr>
      <xdr:spPr>
        <a:xfrm>
          <a:off x="26700480" y="0"/>
          <a:ext cx="0" cy="7231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9126-7BAC-4D7F-99C7-4FC63499726A}">
  <dimension ref="B2:G9"/>
  <sheetViews>
    <sheetView workbookViewId="0">
      <selection activeCell="E7" sqref="E7"/>
    </sheetView>
  </sheetViews>
  <sheetFormatPr defaultRowHeight="14.4" x14ac:dyDescent="0.3"/>
  <cols>
    <col min="1" max="4" width="8.88671875" style="1"/>
    <col min="5" max="6" width="15.77734375" style="1" customWidth="1"/>
    <col min="7" max="7" width="15.77734375" style="2" customWidth="1"/>
    <col min="8" max="16384" width="8.88671875" style="1"/>
  </cols>
  <sheetData>
    <row r="2" spans="2:7" x14ac:dyDescent="0.3">
      <c r="E2" s="2" t="s">
        <v>41</v>
      </c>
      <c r="F2" s="2" t="s">
        <v>40</v>
      </c>
      <c r="G2" s="2" t="s">
        <v>45</v>
      </c>
    </row>
    <row r="3" spans="2:7" x14ac:dyDescent="0.3">
      <c r="B3" s="3" t="s">
        <v>53</v>
      </c>
      <c r="C3" s="1" t="s">
        <v>11</v>
      </c>
      <c r="D3" s="4">
        <v>53.31</v>
      </c>
      <c r="E3" s="5">
        <v>45771</v>
      </c>
      <c r="F3" s="5">
        <f ca="1">TODAY()</f>
        <v>45771</v>
      </c>
      <c r="G3" s="5">
        <v>45777</v>
      </c>
    </row>
    <row r="4" spans="2:7" x14ac:dyDescent="0.3">
      <c r="C4" s="1" t="s">
        <v>12</v>
      </c>
      <c r="D4" s="6">
        <v>1013.6</v>
      </c>
      <c r="E4" s="2" t="s">
        <v>64</v>
      </c>
      <c r="F4" s="2"/>
    </row>
    <row r="5" spans="2:7" x14ac:dyDescent="0.3">
      <c r="C5" s="1" t="s">
        <v>13</v>
      </c>
      <c r="D5" s="6">
        <f>D3*D4</f>
        <v>54035.016000000003</v>
      </c>
      <c r="E5" s="2"/>
      <c r="F5" s="2"/>
    </row>
    <row r="6" spans="2:7" x14ac:dyDescent="0.3">
      <c r="C6" s="1" t="s">
        <v>14</v>
      </c>
      <c r="D6" s="6">
        <f>14511+7086</f>
        <v>21597</v>
      </c>
      <c r="E6" s="2" t="s">
        <v>65</v>
      </c>
      <c r="F6" s="2"/>
    </row>
    <row r="7" spans="2:7" x14ac:dyDescent="0.3">
      <c r="C7" s="1" t="s">
        <v>15</v>
      </c>
      <c r="D7" s="6">
        <f>39311+73487</f>
        <v>112798</v>
      </c>
      <c r="E7" s="2" t="s">
        <v>65</v>
      </c>
      <c r="F7" s="2"/>
    </row>
    <row r="8" spans="2:7" x14ac:dyDescent="0.3">
      <c r="C8" s="1" t="s">
        <v>39</v>
      </c>
      <c r="D8" s="6">
        <f>D6-D7</f>
        <v>-91201</v>
      </c>
      <c r="E8" s="2"/>
      <c r="F8" s="2"/>
    </row>
    <row r="9" spans="2:7" x14ac:dyDescent="0.3">
      <c r="C9" s="1" t="s">
        <v>16</v>
      </c>
      <c r="D9" s="6">
        <f>D5-D8</f>
        <v>145236.016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876E-C348-45D9-ADBE-D37299C15363}">
  <dimension ref="B2:EB34"/>
  <sheetViews>
    <sheetView tabSelected="1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BD29" sqref="BD29"/>
    </sheetView>
  </sheetViews>
  <sheetFormatPr defaultRowHeight="14.4" x14ac:dyDescent="0.3"/>
  <cols>
    <col min="1" max="1" width="8.88671875" style="1"/>
    <col min="2" max="2" width="22.109375" style="1" bestFit="1" customWidth="1"/>
    <col min="3" max="35" width="8.88671875" style="1"/>
    <col min="36" max="48" width="9.21875" style="1" customWidth="1"/>
    <col min="49" max="49" width="8.88671875" style="1"/>
    <col min="50" max="52" width="8.88671875" style="1" customWidth="1"/>
    <col min="53" max="54" width="8.88671875" style="1"/>
    <col min="55" max="55" width="12.44140625" style="1" customWidth="1"/>
    <col min="56" max="56" width="17.5546875" style="1" bestFit="1" customWidth="1"/>
    <col min="57" max="16384" width="8.88671875" style="1"/>
  </cols>
  <sheetData>
    <row r="2" spans="2:53" x14ac:dyDescent="0.3"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44</v>
      </c>
      <c r="N2" s="7" t="s">
        <v>46</v>
      </c>
      <c r="O2" s="7" t="s">
        <v>47</v>
      </c>
      <c r="P2" s="7" t="s">
        <v>48</v>
      </c>
      <c r="Q2" s="7" t="s">
        <v>49</v>
      </c>
      <c r="R2" s="7" t="s">
        <v>50</v>
      </c>
      <c r="S2" s="7" t="s">
        <v>55</v>
      </c>
      <c r="T2" s="7" t="s">
        <v>56</v>
      </c>
      <c r="U2" s="7" t="s">
        <v>57</v>
      </c>
      <c r="V2" s="7" t="s">
        <v>58</v>
      </c>
      <c r="W2" s="7" t="s">
        <v>59</v>
      </c>
      <c r="X2" s="7" t="s">
        <v>60</v>
      </c>
      <c r="Y2" s="7" t="s">
        <v>61</v>
      </c>
      <c r="Z2" s="7" t="s">
        <v>62</v>
      </c>
      <c r="AA2" s="7" t="s">
        <v>54</v>
      </c>
      <c r="AB2" s="7" t="s">
        <v>63</v>
      </c>
      <c r="AC2" s="7" t="s">
        <v>64</v>
      </c>
      <c r="AD2" s="7" t="s">
        <v>65</v>
      </c>
      <c r="AE2" s="7" t="s">
        <v>74</v>
      </c>
      <c r="AF2" s="7" t="s">
        <v>75</v>
      </c>
      <c r="AG2" s="7" t="s">
        <v>76</v>
      </c>
      <c r="AH2" s="7" t="s">
        <v>77</v>
      </c>
      <c r="AJ2" s="1">
        <v>2018</v>
      </c>
      <c r="AK2" s="1">
        <v>2019</v>
      </c>
      <c r="AL2" s="1">
        <v>2020</v>
      </c>
      <c r="AM2" s="1">
        <v>2021</v>
      </c>
      <c r="AN2" s="1">
        <v>2022</v>
      </c>
      <c r="AO2" s="1">
        <v>2023</v>
      </c>
      <c r="AP2" s="1">
        <v>2024</v>
      </c>
      <c r="AQ2" s="1">
        <v>2025</v>
      </c>
      <c r="AR2" s="1">
        <v>2026</v>
      </c>
      <c r="AS2" s="1">
        <v>2027</v>
      </c>
      <c r="AT2" s="1">
        <v>2028</v>
      </c>
      <c r="AU2" s="1">
        <v>2029</v>
      </c>
      <c r="AV2" s="1">
        <v>2030</v>
      </c>
      <c r="AW2" s="1">
        <v>2031</v>
      </c>
      <c r="AX2" s="1">
        <v>2032</v>
      </c>
      <c r="AY2" s="1">
        <v>2033</v>
      </c>
      <c r="AZ2" s="1">
        <v>2034</v>
      </c>
      <c r="BA2" s="1">
        <v>2035</v>
      </c>
    </row>
    <row r="3" spans="2:53" s="3" customFormat="1" x14ac:dyDescent="0.3">
      <c r="B3" s="3" t="s">
        <v>0</v>
      </c>
      <c r="C3" s="8">
        <v>39785</v>
      </c>
      <c r="D3" s="8">
        <v>40756</v>
      </c>
      <c r="E3" s="8">
        <v>40211</v>
      </c>
      <c r="F3" s="8">
        <f>167362-E3-D3-C3</f>
        <v>46610</v>
      </c>
      <c r="G3" s="8">
        <v>39698</v>
      </c>
      <c r="H3" s="8">
        <v>42650</v>
      </c>
      <c r="I3" s="8">
        <v>43270</v>
      </c>
      <c r="J3" s="8">
        <f>172745-I3-H3-G3</f>
        <v>47127</v>
      </c>
      <c r="K3" s="8">
        <v>37223</v>
      </c>
      <c r="L3" s="8">
        <v>30184</v>
      </c>
      <c r="M3" s="8">
        <v>40281</v>
      </c>
      <c r="N3" s="8">
        <f>AL3-M3-L3-K3</f>
        <v>46621</v>
      </c>
      <c r="O3" s="8">
        <v>32882</v>
      </c>
      <c r="P3" s="8">
        <v>34124</v>
      </c>
      <c r="Q3" s="8">
        <v>31647</v>
      </c>
      <c r="R3" s="8">
        <f>AM3-Q3-P3-O3</f>
        <v>35240</v>
      </c>
      <c r="S3" s="8">
        <v>34858</v>
      </c>
      <c r="T3" s="8">
        <v>36440</v>
      </c>
      <c r="U3" s="8">
        <v>37716</v>
      </c>
      <c r="V3" s="8">
        <f>AN3-U3-T3-S3</f>
        <v>41003</v>
      </c>
      <c r="W3" s="8">
        <v>37516</v>
      </c>
      <c r="X3" s="8">
        <v>38241</v>
      </c>
      <c r="Y3" s="8">
        <v>37200</v>
      </c>
      <c r="Z3" s="8">
        <f>AO3-Y3-X3-W3</f>
        <v>40261</v>
      </c>
      <c r="AA3" s="8">
        <v>35873</v>
      </c>
      <c r="AB3" s="8">
        <v>36743</v>
      </c>
      <c r="AC3" s="8">
        <v>34528</v>
      </c>
      <c r="AD3" s="8">
        <f>AP3-AC3-AB3-AA3</f>
        <v>38450</v>
      </c>
      <c r="AE3" s="8"/>
      <c r="AF3" s="8"/>
      <c r="AG3" s="8"/>
      <c r="AH3" s="8"/>
      <c r="AJ3" s="8">
        <f>SUM(C3:F3)</f>
        <v>167362</v>
      </c>
      <c r="AK3" s="8">
        <f>SUM(G3:J3)</f>
        <v>172745</v>
      </c>
      <c r="AL3" s="8">
        <v>154309</v>
      </c>
      <c r="AM3" s="8">
        <v>133893</v>
      </c>
      <c r="AN3" s="8">
        <v>150017</v>
      </c>
      <c r="AO3" s="8">
        <v>153218</v>
      </c>
      <c r="AP3" s="8">
        <v>145594</v>
      </c>
      <c r="AQ3" s="8">
        <f>AP3*0.98</f>
        <v>142682.12</v>
      </c>
      <c r="AR3" s="8">
        <f>AQ3*1.01</f>
        <v>144108.9412</v>
      </c>
      <c r="AS3" s="8">
        <f t="shared" ref="AS3:BA3" si="0">AR3*1.01</f>
        <v>145550.030612</v>
      </c>
      <c r="AT3" s="8">
        <f t="shared" si="0"/>
        <v>147005.53091812</v>
      </c>
      <c r="AU3" s="8">
        <f t="shared" si="0"/>
        <v>148475.58622730119</v>
      </c>
      <c r="AV3" s="8">
        <f t="shared" si="0"/>
        <v>149960.3420895742</v>
      </c>
      <c r="AW3" s="8">
        <f t="shared" si="0"/>
        <v>151459.94551046996</v>
      </c>
      <c r="AX3" s="8">
        <f t="shared" si="0"/>
        <v>152974.54496557466</v>
      </c>
      <c r="AY3" s="8">
        <f t="shared" si="0"/>
        <v>154504.29041523041</v>
      </c>
      <c r="AZ3" s="8">
        <f t="shared" si="0"/>
        <v>156049.33331938271</v>
      </c>
      <c r="BA3" s="8">
        <f t="shared" si="0"/>
        <v>157609.82665257654</v>
      </c>
    </row>
    <row r="4" spans="2:53" x14ac:dyDescent="0.3">
      <c r="B4" s="1" t="s">
        <v>17</v>
      </c>
      <c r="C4" s="6">
        <v>31160</v>
      </c>
      <c r="D4" s="6">
        <v>32506</v>
      </c>
      <c r="E4" s="6">
        <v>32247</v>
      </c>
      <c r="F4" s="6">
        <f>134295-E4-D4-C4</f>
        <v>38382</v>
      </c>
      <c r="G4" s="6">
        <v>32127</v>
      </c>
      <c r="H4" s="6">
        <v>37104</v>
      </c>
      <c r="I4" s="6">
        <v>34596</v>
      </c>
      <c r="J4" s="6">
        <f>143580-I4-H4-G4</f>
        <v>39753</v>
      </c>
      <c r="K4" s="6">
        <v>31512</v>
      </c>
      <c r="L4" s="6">
        <v>27489</v>
      </c>
      <c r="M4" s="6">
        <v>32704</v>
      </c>
      <c r="N4" s="6">
        <f>AL4-M4-L4-K4</f>
        <v>37016</v>
      </c>
      <c r="O4" s="6">
        <v>25496</v>
      </c>
      <c r="P4" s="6">
        <v>26222</v>
      </c>
      <c r="Q4" s="6">
        <v>24933</v>
      </c>
      <c r="R4" s="6">
        <f>AM4-Q4-P4-O4</f>
        <v>26567</v>
      </c>
      <c r="S4" s="6">
        <v>26894</v>
      </c>
      <c r="T4" s="6">
        <v>27938</v>
      </c>
      <c r="U4" s="6">
        <v>28934</v>
      </c>
      <c r="V4" s="6">
        <f>AN4-U4-T4-S4</f>
        <v>32231</v>
      </c>
      <c r="W4" s="6">
        <v>28066</v>
      </c>
      <c r="X4" s="6">
        <v>29284</v>
      </c>
      <c r="Y4" s="6">
        <v>29166</v>
      </c>
      <c r="Z4" s="6">
        <f>AO4-Y4-X4-W4</f>
        <v>32323</v>
      </c>
      <c r="AA4" s="6">
        <v>28767</v>
      </c>
      <c r="AB4" s="6">
        <v>28919</v>
      </c>
      <c r="AC4" s="6">
        <v>28316</v>
      </c>
      <c r="AD4" s="6">
        <f>AP4-AC4-AB4-AA4</f>
        <v>31016</v>
      </c>
      <c r="AE4" s="6"/>
      <c r="AF4" s="6"/>
      <c r="AG4" s="6"/>
      <c r="AH4" s="6"/>
      <c r="AJ4" s="6">
        <f>SUM(C4:F4)</f>
        <v>134295</v>
      </c>
      <c r="AK4" s="6">
        <f>SUM(G4:J4)</f>
        <v>143580</v>
      </c>
      <c r="AL4" s="6">
        <v>128721</v>
      </c>
      <c r="AM4" s="6">
        <v>103218</v>
      </c>
      <c r="AN4" s="6">
        <v>115997</v>
      </c>
      <c r="AO4" s="6">
        <v>118839</v>
      </c>
      <c r="AP4" s="6">
        <v>117018</v>
      </c>
      <c r="AQ4" s="6">
        <f t="shared" ref="AQ4:AV4" si="1">AQ3-AQ5</f>
        <v>112718.87479999999</v>
      </c>
      <c r="AR4" s="6">
        <f t="shared" si="1"/>
        <v>113846.06354800001</v>
      </c>
      <c r="AS4" s="6">
        <f t="shared" si="1"/>
        <v>114984.52418348001</v>
      </c>
      <c r="AT4" s="6">
        <f t="shared" si="1"/>
        <v>116134.3694253148</v>
      </c>
      <c r="AU4" s="6">
        <f t="shared" si="1"/>
        <v>117295.71311956794</v>
      </c>
      <c r="AV4" s="6">
        <f t="shared" si="1"/>
        <v>118468.67025076362</v>
      </c>
      <c r="AW4" s="6">
        <f t="shared" ref="AW4:BA4" si="2">AW3-AW5</f>
        <v>119653.35695327127</v>
      </c>
      <c r="AX4" s="6">
        <f t="shared" si="2"/>
        <v>120849.89052280398</v>
      </c>
      <c r="AY4" s="6">
        <f t="shared" si="2"/>
        <v>122058.38942803202</v>
      </c>
      <c r="AZ4" s="6">
        <f t="shared" si="2"/>
        <v>123278.97332231235</v>
      </c>
      <c r="BA4" s="6">
        <f t="shared" si="2"/>
        <v>124511.76305553547</v>
      </c>
    </row>
    <row r="5" spans="2:53" s="3" customFormat="1" x14ac:dyDescent="0.3">
      <c r="B5" s="3" t="s">
        <v>18</v>
      </c>
      <c r="C5" s="8">
        <f t="shared" ref="C5:N5" si="3">C3-C4</f>
        <v>8625</v>
      </c>
      <c r="D5" s="8">
        <f t="shared" si="3"/>
        <v>8250</v>
      </c>
      <c r="E5" s="8">
        <f t="shared" si="3"/>
        <v>7964</v>
      </c>
      <c r="F5" s="8">
        <f t="shared" si="3"/>
        <v>8228</v>
      </c>
      <c r="G5" s="8">
        <f t="shared" si="3"/>
        <v>7571</v>
      </c>
      <c r="H5" s="8">
        <f t="shared" si="3"/>
        <v>5546</v>
      </c>
      <c r="I5" s="8">
        <f t="shared" si="3"/>
        <v>8674</v>
      </c>
      <c r="J5" s="8">
        <f t="shared" si="3"/>
        <v>7374</v>
      </c>
      <c r="K5" s="8">
        <f t="shared" si="3"/>
        <v>5711</v>
      </c>
      <c r="L5" s="8">
        <f t="shared" si="3"/>
        <v>2695</v>
      </c>
      <c r="M5" s="8">
        <f t="shared" si="3"/>
        <v>7577</v>
      </c>
      <c r="N5" s="8">
        <f t="shared" si="3"/>
        <v>9605</v>
      </c>
      <c r="O5" s="8">
        <f t="shared" ref="O5:P5" si="4">O3-O4</f>
        <v>7386</v>
      </c>
      <c r="P5" s="8">
        <f t="shared" si="4"/>
        <v>7902</v>
      </c>
      <c r="Q5" s="8">
        <f t="shared" ref="Q5:R5" si="5">Q3-Q4</f>
        <v>6714</v>
      </c>
      <c r="R5" s="8">
        <f t="shared" si="5"/>
        <v>8673</v>
      </c>
      <c r="S5" s="8">
        <f t="shared" ref="S5:T5" si="6">S3-S4</f>
        <v>7964</v>
      </c>
      <c r="T5" s="8">
        <f t="shared" si="6"/>
        <v>8502</v>
      </c>
      <c r="U5" s="8">
        <f t="shared" ref="U5:V5" si="7">U3-U4</f>
        <v>8782</v>
      </c>
      <c r="V5" s="8">
        <f t="shared" si="7"/>
        <v>8772</v>
      </c>
      <c r="W5" s="8">
        <f t="shared" ref="W5:X5" si="8">W3-W4</f>
        <v>9450</v>
      </c>
      <c r="X5" s="8">
        <f t="shared" si="8"/>
        <v>8957</v>
      </c>
      <c r="Y5" s="8">
        <f t="shared" ref="Y5:AC5" si="9">Y3-Y4</f>
        <v>8034</v>
      </c>
      <c r="Z5" s="8">
        <f t="shared" ref="Z5" si="10">Z3-Z4</f>
        <v>7938</v>
      </c>
      <c r="AA5" s="8">
        <f t="shared" si="9"/>
        <v>7106</v>
      </c>
      <c r="AB5" s="8">
        <f t="shared" si="9"/>
        <v>7824</v>
      </c>
      <c r="AC5" s="8">
        <f t="shared" si="9"/>
        <v>6212</v>
      </c>
      <c r="AD5" s="8">
        <f t="shared" ref="AD5" si="11">AD3*0.2</f>
        <v>7690</v>
      </c>
      <c r="AE5" s="8"/>
      <c r="AF5" s="8"/>
      <c r="AG5" s="8"/>
      <c r="AH5" s="8"/>
      <c r="AJ5" s="8">
        <f>AJ3-AJ4</f>
        <v>33067</v>
      </c>
      <c r="AK5" s="8">
        <f>AK3-AK4</f>
        <v>29165</v>
      </c>
      <c r="AL5" s="8">
        <f>AL3-AL4</f>
        <v>25588</v>
      </c>
      <c r="AM5" s="8">
        <f t="shared" ref="AM5" si="12">AM3-AM4</f>
        <v>30675</v>
      </c>
      <c r="AN5" s="8">
        <f t="shared" ref="AN5:AO5" si="13">AN3-AN4</f>
        <v>34020</v>
      </c>
      <c r="AO5" s="8">
        <f t="shared" si="13"/>
        <v>34379</v>
      </c>
      <c r="AP5" s="8">
        <f t="shared" ref="AP5" si="14">AP3-AP4</f>
        <v>28576</v>
      </c>
      <c r="AQ5" s="8">
        <f>AQ3*0.21</f>
        <v>29963.245199999998</v>
      </c>
      <c r="AR5" s="8">
        <f t="shared" ref="AR5:BA5" si="15">AR3*0.21</f>
        <v>30262.877651999999</v>
      </c>
      <c r="AS5" s="8">
        <f t="shared" si="15"/>
        <v>30565.506428519999</v>
      </c>
      <c r="AT5" s="8">
        <f t="shared" si="15"/>
        <v>30871.1614928052</v>
      </c>
      <c r="AU5" s="8">
        <f t="shared" si="15"/>
        <v>31179.873107733249</v>
      </c>
      <c r="AV5" s="8">
        <f t="shared" si="15"/>
        <v>31491.67183881058</v>
      </c>
      <c r="AW5" s="8">
        <f t="shared" si="15"/>
        <v>31806.588557198691</v>
      </c>
      <c r="AX5" s="8">
        <f t="shared" si="15"/>
        <v>32124.654442770679</v>
      </c>
      <c r="AY5" s="8">
        <f t="shared" si="15"/>
        <v>32445.900987198384</v>
      </c>
      <c r="AZ5" s="8">
        <f t="shared" si="15"/>
        <v>32770.359997070365</v>
      </c>
      <c r="BA5" s="8">
        <f t="shared" si="15"/>
        <v>33098.063597041073</v>
      </c>
    </row>
    <row r="6" spans="2:53" x14ac:dyDescent="0.3">
      <c r="B6" s="1" t="s">
        <v>67</v>
      </c>
      <c r="C6" s="6">
        <v>3097</v>
      </c>
      <c r="D6" s="6">
        <v>3253</v>
      </c>
      <c r="E6" s="6">
        <v>3191</v>
      </c>
      <c r="F6" s="6">
        <f>13067-E6-D6-C6</f>
        <v>3526</v>
      </c>
      <c r="G6" s="6">
        <f>3151</f>
        <v>3151</v>
      </c>
      <c r="H6" s="6">
        <f>3072</f>
        <v>3072</v>
      </c>
      <c r="I6" s="6">
        <f>3136</f>
        <v>3136</v>
      </c>
      <c r="J6" s="6">
        <f>12801-I6-H6-G6</f>
        <v>3442</v>
      </c>
      <c r="K6" s="6">
        <f>2889</f>
        <v>2889</v>
      </c>
      <c r="L6" s="6">
        <f>2462</f>
        <v>2462</v>
      </c>
      <c r="M6" s="6">
        <f>2364</f>
        <v>2364</v>
      </c>
      <c r="N6" s="6">
        <f>AL6-M6-L6-K6</f>
        <v>3343</v>
      </c>
      <c r="O6" s="6">
        <v>2215</v>
      </c>
      <c r="P6" s="6">
        <v>2245</v>
      </c>
      <c r="Q6" s="6">
        <v>2199</v>
      </c>
      <c r="R6" s="6">
        <f t="shared" ref="R6:R12" si="16">AM6-Q6-P6-O6</f>
        <v>2535</v>
      </c>
      <c r="S6" s="6">
        <v>2225</v>
      </c>
      <c r="T6" s="6">
        <v>2406</v>
      </c>
      <c r="U6" s="6">
        <v>2456</v>
      </c>
      <c r="V6" s="6">
        <f t="shared" ref="V6:V12" si="17">AN6-U6-T6-S6</f>
        <v>2395</v>
      </c>
      <c r="W6" s="6">
        <v>2354</v>
      </c>
      <c r="X6" s="6">
        <v>2522</v>
      </c>
      <c r="Y6" s="6">
        <v>2368</v>
      </c>
      <c r="Z6" s="6">
        <f t="shared" ref="Z6:Z12" si="18">AO6-Y6-X6-W6</f>
        <v>2484</v>
      </c>
      <c r="AA6" s="6">
        <v>2345</v>
      </c>
      <c r="AB6" s="6">
        <v>2441</v>
      </c>
      <c r="AC6" s="6">
        <v>2143</v>
      </c>
      <c r="AD6" s="6">
        <f t="shared" ref="AD6:AD12" si="19">AP6-AC6-AB6-AA6</f>
        <v>3064</v>
      </c>
      <c r="AE6" s="6"/>
      <c r="AF6" s="6"/>
      <c r="AG6" s="6"/>
      <c r="AH6" s="6"/>
      <c r="AJ6" s="6">
        <f>SUM(C6:F6)</f>
        <v>13067</v>
      </c>
      <c r="AK6" s="6">
        <f>SUM(G6:J6)</f>
        <v>12801</v>
      </c>
      <c r="AL6" s="6">
        <f>11058</f>
        <v>11058</v>
      </c>
      <c r="AM6" s="6">
        <v>9194</v>
      </c>
      <c r="AN6" s="6">
        <v>9482</v>
      </c>
      <c r="AO6" s="6">
        <v>9728</v>
      </c>
      <c r="AP6" s="6">
        <v>9993</v>
      </c>
      <c r="AQ6" s="6">
        <f>AQ3*0.065</f>
        <v>9274.3377999999993</v>
      </c>
      <c r="AR6" s="6">
        <f t="shared" ref="AR6:AW6" si="20">AR3*0.065</f>
        <v>9367.0811780000004</v>
      </c>
      <c r="AS6" s="6">
        <f t="shared" si="20"/>
        <v>9460.7519897800012</v>
      </c>
      <c r="AT6" s="6">
        <f t="shared" si="20"/>
        <v>9555.3595096778008</v>
      </c>
      <c r="AU6" s="6">
        <f t="shared" si="20"/>
        <v>9650.9131047745777</v>
      </c>
      <c r="AV6" s="6">
        <f t="shared" si="20"/>
        <v>9747.4222358223233</v>
      </c>
      <c r="AW6" s="6">
        <f t="shared" si="20"/>
        <v>9844.8964581805485</v>
      </c>
      <c r="AX6" s="6">
        <f t="shared" ref="AX6:BA6" si="21">AX3*0.065</f>
        <v>9943.3454227623533</v>
      </c>
      <c r="AY6" s="6">
        <f t="shared" si="21"/>
        <v>10042.778876989976</v>
      </c>
      <c r="AZ6" s="6">
        <f t="shared" si="21"/>
        <v>10143.206665759877</v>
      </c>
      <c r="BA6" s="6">
        <f t="shared" si="21"/>
        <v>10244.638732417476</v>
      </c>
    </row>
    <row r="7" spans="2:53" x14ac:dyDescent="0.3">
      <c r="B7" s="1" t="s">
        <v>66</v>
      </c>
      <c r="C7" s="6">
        <v>971</v>
      </c>
      <c r="D7" s="6">
        <v>965</v>
      </c>
      <c r="E7" s="6">
        <v>953</v>
      </c>
      <c r="F7" s="6">
        <f>4036-E7-D7-C7</f>
        <v>1147</v>
      </c>
      <c r="G7" s="6">
        <v>1019</v>
      </c>
      <c r="H7" s="6">
        <v>975</v>
      </c>
      <c r="I7" s="6">
        <v>1005</v>
      </c>
      <c r="J7" s="6">
        <f>4050-I7-H7-G7</f>
        <v>1051</v>
      </c>
      <c r="K7" s="6">
        <v>920</v>
      </c>
      <c r="L7" s="6">
        <v>808</v>
      </c>
      <c r="M7" s="6">
        <v>888</v>
      </c>
      <c r="N7" s="6">
        <f>AL7-M7-L7-K7</f>
        <v>918</v>
      </c>
      <c r="O7" s="6">
        <v>679</v>
      </c>
      <c r="P7" s="6">
        <v>651</v>
      </c>
      <c r="Q7" s="6">
        <v>707</v>
      </c>
      <c r="R7" s="6">
        <f t="shared" si="16"/>
        <v>771</v>
      </c>
      <c r="S7" s="6">
        <v>610</v>
      </c>
      <c r="T7" s="6">
        <v>590</v>
      </c>
      <c r="U7" s="6">
        <v>614</v>
      </c>
      <c r="V7" s="6">
        <f t="shared" si="17"/>
        <v>770</v>
      </c>
      <c r="W7" s="6">
        <v>712</v>
      </c>
      <c r="X7" s="6">
        <v>701</v>
      </c>
      <c r="Y7" s="6">
        <v>606</v>
      </c>
      <c r="Z7" s="6">
        <f t="shared" si="18"/>
        <v>669</v>
      </c>
      <c r="AA7" s="6">
        <v>716</v>
      </c>
      <c r="AB7" s="6">
        <v>619</v>
      </c>
      <c r="AC7" s="6">
        <v>610</v>
      </c>
      <c r="AD7" s="6">
        <f t="shared" si="19"/>
        <v>584</v>
      </c>
      <c r="AE7" s="6"/>
      <c r="AF7" s="6"/>
      <c r="AG7" s="6"/>
      <c r="AH7" s="6"/>
      <c r="AJ7" s="6">
        <f t="shared" ref="AJ7" si="22">SUM(C7:F7)</f>
        <v>4036</v>
      </c>
      <c r="AK7" s="6">
        <f>SUM(G7:J7)</f>
        <v>4050</v>
      </c>
      <c r="AL7" s="6">
        <v>3534</v>
      </c>
      <c r="AM7" s="6">
        <v>2808</v>
      </c>
      <c r="AN7" s="6">
        <v>2584</v>
      </c>
      <c r="AO7" s="6">
        <v>2688</v>
      </c>
      <c r="AP7" s="6">
        <v>2529</v>
      </c>
      <c r="AQ7" s="6">
        <f>AP7*1.04</f>
        <v>2630.1600000000003</v>
      </c>
      <c r="AR7" s="6">
        <f>AQ7*1.03</f>
        <v>2709.0648000000006</v>
      </c>
      <c r="AS7" s="6">
        <f>AR7*1.02</f>
        <v>2763.2460960000008</v>
      </c>
      <c r="AT7" s="6">
        <f t="shared" ref="AT7:AW7" si="23">AS7*1.02</f>
        <v>2818.511017920001</v>
      </c>
      <c r="AU7" s="6">
        <f t="shared" si="23"/>
        <v>2874.8812382784013</v>
      </c>
      <c r="AV7" s="6">
        <f t="shared" si="23"/>
        <v>2932.3788630439694</v>
      </c>
      <c r="AW7" s="6">
        <f t="shared" si="23"/>
        <v>2991.0264403048491</v>
      </c>
      <c r="AX7" s="6">
        <f t="shared" ref="AX7:BA7" si="24">AW7*1.02</f>
        <v>3050.8469691109462</v>
      </c>
      <c r="AY7" s="6">
        <f t="shared" si="24"/>
        <v>3111.8639084931651</v>
      </c>
      <c r="AZ7" s="6">
        <f t="shared" si="24"/>
        <v>3174.1011866630283</v>
      </c>
      <c r="BA7" s="6">
        <f t="shared" si="24"/>
        <v>3237.5832103962889</v>
      </c>
    </row>
    <row r="8" spans="2:53" x14ac:dyDescent="0.3">
      <c r="B8" s="1" t="s">
        <v>19</v>
      </c>
      <c r="C8" s="6">
        <v>1712</v>
      </c>
      <c r="D8" s="6">
        <v>1620</v>
      </c>
      <c r="E8" s="6">
        <v>1775</v>
      </c>
      <c r="F8" s="6">
        <f>6581-E8-D8-C8</f>
        <v>1474</v>
      </c>
      <c r="G8" s="6">
        <v>1704</v>
      </c>
      <c r="H8" s="6">
        <v>1569</v>
      </c>
      <c r="I8" s="6">
        <v>1764</v>
      </c>
      <c r="J8" s="6">
        <f>6586-I8-H8-G8</f>
        <v>1549</v>
      </c>
      <c r="K8" s="6">
        <f>1722</f>
        <v>1722</v>
      </c>
      <c r="L8" s="6">
        <v>1544</v>
      </c>
      <c r="M8" s="6">
        <v>1554</v>
      </c>
      <c r="N8" s="6">
        <f>AL8-M8-L8-K8</f>
        <v>1296</v>
      </c>
      <c r="O8" s="6">
        <v>1516</v>
      </c>
      <c r="P8" s="6">
        <v>1484</v>
      </c>
      <c r="Q8" s="6">
        <v>1351</v>
      </c>
      <c r="R8" s="6">
        <f t="shared" si="16"/>
        <v>1116</v>
      </c>
      <c r="S8" s="6">
        <v>1377</v>
      </c>
      <c r="T8" s="6">
        <v>1449</v>
      </c>
      <c r="U8" s="6">
        <v>1525</v>
      </c>
      <c r="V8" s="6">
        <f t="shared" si="17"/>
        <v>1251</v>
      </c>
      <c r="W8" s="6">
        <v>1683</v>
      </c>
      <c r="X8" s="6">
        <v>1644</v>
      </c>
      <c r="Y8" s="6">
        <v>1541</v>
      </c>
      <c r="Z8" s="6">
        <f t="shared" si="18"/>
        <v>1362</v>
      </c>
      <c r="AA8" s="6">
        <v>1468</v>
      </c>
      <c r="AB8" s="6">
        <v>1461</v>
      </c>
      <c r="AC8" s="6">
        <v>1682</v>
      </c>
      <c r="AD8" s="6">
        <f t="shared" si="19"/>
        <v>969</v>
      </c>
      <c r="AE8" s="6"/>
      <c r="AF8" s="6"/>
      <c r="AG8" s="6"/>
      <c r="AH8" s="6"/>
      <c r="AJ8" s="6">
        <f>SUM(C8:F8)</f>
        <v>6581</v>
      </c>
      <c r="AK8" s="6">
        <f>SUM(G8:J8)</f>
        <v>6586</v>
      </c>
      <c r="AL8" s="6">
        <v>6116</v>
      </c>
      <c r="AM8" s="6">
        <v>5467</v>
      </c>
      <c r="AN8" s="6">
        <v>5602</v>
      </c>
      <c r="AO8" s="6">
        <v>6230</v>
      </c>
      <c r="AP8" s="6">
        <v>5580</v>
      </c>
      <c r="AQ8" s="6">
        <f>AP8*1.04</f>
        <v>5803.2</v>
      </c>
      <c r="AR8" s="6">
        <f>AQ8*1.03</f>
        <v>5977.2960000000003</v>
      </c>
      <c r="AS8" s="6">
        <f>AR8*1.02</f>
        <v>6096.8419200000008</v>
      </c>
      <c r="AT8" s="6">
        <f t="shared" ref="AT8:AT13" si="25">AS8*1.02</f>
        <v>6218.7787584000007</v>
      </c>
      <c r="AU8" s="6">
        <f t="shared" ref="AU8:AU13" si="26">AT8*1.02</f>
        <v>6343.1543335680008</v>
      </c>
      <c r="AV8" s="6">
        <f t="shared" ref="AV8:AW12" si="27">AU8*1.01</f>
        <v>6406.5858769036804</v>
      </c>
      <c r="AW8" s="6">
        <f t="shared" si="27"/>
        <v>6470.6517356727172</v>
      </c>
      <c r="AX8" s="6">
        <f t="shared" ref="AX8:AX12" si="28">AW8*1.01</f>
        <v>6535.3582530294443</v>
      </c>
      <c r="AY8" s="6">
        <f t="shared" ref="AY8:AY12" si="29">AX8*1.01</f>
        <v>6600.7118355597386</v>
      </c>
      <c r="AZ8" s="6">
        <f t="shared" ref="AZ8:AZ12" si="30">AY8*1.01</f>
        <v>6666.718953915336</v>
      </c>
      <c r="BA8" s="6">
        <f t="shared" ref="BA8:BA12" si="31">AZ8*1.01</f>
        <v>6733.3861434544897</v>
      </c>
    </row>
    <row r="9" spans="2:53" x14ac:dyDescent="0.3">
      <c r="B9" s="1" t="s">
        <v>70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-1135</v>
      </c>
      <c r="P9" s="6">
        <v>-497</v>
      </c>
      <c r="Q9" s="6">
        <v>-562</v>
      </c>
      <c r="R9" s="6">
        <f t="shared" si="16"/>
        <v>-694</v>
      </c>
      <c r="S9" s="6">
        <v>-1389</v>
      </c>
      <c r="T9" s="6">
        <v>-515</v>
      </c>
      <c r="U9" s="6">
        <v>-491</v>
      </c>
      <c r="V9" s="6">
        <f t="shared" si="17"/>
        <v>-928</v>
      </c>
      <c r="W9" s="6">
        <v>-448</v>
      </c>
      <c r="X9" s="6">
        <v>-557</v>
      </c>
      <c r="Y9" s="6">
        <v>-507</v>
      </c>
      <c r="Z9" s="6">
        <f t="shared" si="18"/>
        <v>-694</v>
      </c>
      <c r="AA9" s="6">
        <v>-792</v>
      </c>
      <c r="AB9" s="6">
        <v>-532</v>
      </c>
      <c r="AC9" s="6">
        <v>-426</v>
      </c>
      <c r="AD9" s="6">
        <f t="shared" si="19"/>
        <v>-757</v>
      </c>
      <c r="AE9" s="6"/>
      <c r="AF9" s="6"/>
      <c r="AG9" s="6"/>
      <c r="AH9" s="6"/>
      <c r="AJ9" s="6"/>
      <c r="AK9" s="6"/>
      <c r="AL9" s="6"/>
      <c r="AM9" s="6">
        <v>-2888</v>
      </c>
      <c r="AN9" s="6">
        <v>-3323</v>
      </c>
      <c r="AO9" s="6">
        <v>-2206</v>
      </c>
      <c r="AP9" s="6">
        <v>-2507</v>
      </c>
      <c r="AQ9" s="6">
        <f>AP9*1.01</f>
        <v>-2532.0700000000002</v>
      </c>
      <c r="AR9" s="6">
        <f t="shared" ref="AR9:BA9" si="32">AQ9*1.01</f>
        <v>-2557.3907000000004</v>
      </c>
      <c r="AS9" s="6">
        <f t="shared" si="32"/>
        <v>-2582.9646070000003</v>
      </c>
      <c r="AT9" s="6">
        <f t="shared" si="32"/>
        <v>-2608.7942530700002</v>
      </c>
      <c r="AU9" s="6">
        <f t="shared" si="32"/>
        <v>-2634.8821956007</v>
      </c>
      <c r="AV9" s="6">
        <f t="shared" si="27"/>
        <v>-2661.2310175567072</v>
      </c>
      <c r="AW9" s="6">
        <f t="shared" si="27"/>
        <v>-2687.8433277322742</v>
      </c>
      <c r="AX9" s="6">
        <f t="shared" si="28"/>
        <v>-2714.7217610095972</v>
      </c>
      <c r="AY9" s="6">
        <f t="shared" si="29"/>
        <v>-2741.8689786196933</v>
      </c>
      <c r="AZ9" s="6">
        <f t="shared" si="30"/>
        <v>-2769.2876684058901</v>
      </c>
      <c r="BA9" s="6">
        <f t="shared" si="31"/>
        <v>-2796.9805450899489</v>
      </c>
    </row>
    <row r="10" spans="2:53" x14ac:dyDescent="0.3">
      <c r="B10" s="1" t="s">
        <v>20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174</v>
      </c>
      <c r="P10" s="6">
        <v>165</v>
      </c>
      <c r="Q10" s="6">
        <v>244</v>
      </c>
      <c r="R10" s="6">
        <f t="shared" si="16"/>
        <v>1152</v>
      </c>
      <c r="S10" s="6">
        <v>391</v>
      </c>
      <c r="T10" s="6">
        <v>516</v>
      </c>
      <c r="U10" s="6">
        <v>259</v>
      </c>
      <c r="V10" s="6">
        <f t="shared" si="17"/>
        <v>123</v>
      </c>
      <c r="W10" s="6">
        <v>118</v>
      </c>
      <c r="X10" s="6">
        <v>291</v>
      </c>
      <c r="Y10" s="6">
        <v>53</v>
      </c>
      <c r="Z10" s="6">
        <f t="shared" si="18"/>
        <v>54</v>
      </c>
      <c r="AA10" s="6">
        <v>86</v>
      </c>
      <c r="AB10" s="1">
        <v>140</v>
      </c>
      <c r="AC10" s="6">
        <v>72</v>
      </c>
      <c r="AD10" s="6">
        <f t="shared" si="19"/>
        <v>185</v>
      </c>
      <c r="AE10" s="6"/>
      <c r="AF10" s="6"/>
      <c r="AG10" s="6"/>
      <c r="AH10" s="6"/>
      <c r="AJ10" s="6"/>
      <c r="AK10" s="6"/>
      <c r="AL10" s="6"/>
      <c r="AM10" s="6">
        <v>1735</v>
      </c>
      <c r="AN10" s="6">
        <v>1289</v>
      </c>
      <c r="AO10" s="6">
        <v>516</v>
      </c>
      <c r="AP10" s="6">
        <v>483</v>
      </c>
      <c r="AQ10" s="6">
        <f t="shared" ref="AQ10:BA10" si="33">AP10*1.01</f>
        <v>487.83</v>
      </c>
      <c r="AR10" s="6">
        <f t="shared" si="33"/>
        <v>492.70830000000001</v>
      </c>
      <c r="AS10" s="6">
        <f t="shared" si="33"/>
        <v>497.63538299999999</v>
      </c>
      <c r="AT10" s="6">
        <f t="shared" si="33"/>
        <v>502.61173682999998</v>
      </c>
      <c r="AU10" s="6">
        <f t="shared" si="33"/>
        <v>507.63785419829998</v>
      </c>
      <c r="AV10" s="6">
        <f t="shared" si="27"/>
        <v>512.71423274028302</v>
      </c>
      <c r="AW10" s="6">
        <f t="shared" si="27"/>
        <v>517.84137506768582</v>
      </c>
      <c r="AX10" s="6">
        <f t="shared" si="28"/>
        <v>523.01978881836271</v>
      </c>
      <c r="AY10" s="6">
        <f t="shared" si="29"/>
        <v>528.24998670654634</v>
      </c>
      <c r="AZ10" s="6">
        <f t="shared" si="30"/>
        <v>533.53248657361178</v>
      </c>
      <c r="BA10" s="6">
        <f t="shared" si="31"/>
        <v>538.86781143934786</v>
      </c>
    </row>
    <row r="11" spans="2:53" x14ac:dyDescent="0.3">
      <c r="B11" s="1" t="s">
        <v>71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-497</v>
      </c>
      <c r="P11" s="6">
        <v>-408</v>
      </c>
      <c r="Q11" s="6">
        <v>-135</v>
      </c>
      <c r="R11" s="6">
        <f t="shared" si="16"/>
        <v>-312</v>
      </c>
      <c r="S11" s="6">
        <v>-382</v>
      </c>
      <c r="T11" s="6">
        <v>-395</v>
      </c>
      <c r="U11" s="6">
        <v>-719</v>
      </c>
      <c r="V11" s="6">
        <f t="shared" si="17"/>
        <v>-236</v>
      </c>
      <c r="W11" s="6">
        <v>-512</v>
      </c>
      <c r="X11" s="6">
        <v>-531</v>
      </c>
      <c r="Y11" s="6">
        <v>-833</v>
      </c>
      <c r="Z11" s="6">
        <f t="shared" si="18"/>
        <v>-253</v>
      </c>
      <c r="AA11" s="6">
        <v>-590</v>
      </c>
      <c r="AB11" s="6">
        <v>-331</v>
      </c>
      <c r="AC11" s="6">
        <v>-476</v>
      </c>
      <c r="AD11" s="6">
        <f t="shared" si="19"/>
        <v>259</v>
      </c>
      <c r="AE11" s="6"/>
      <c r="AF11" s="6"/>
      <c r="AG11" s="6"/>
      <c r="AH11" s="6"/>
      <c r="AJ11" s="6"/>
      <c r="AK11" s="6"/>
      <c r="AL11" s="6"/>
      <c r="AM11" s="6">
        <v>-1352</v>
      </c>
      <c r="AN11" s="6">
        <v>-1732</v>
      </c>
      <c r="AO11" s="6">
        <v>-2129</v>
      </c>
      <c r="AP11" s="6">
        <v>-1138</v>
      </c>
      <c r="AQ11" s="6">
        <f t="shared" ref="AQ11:BA11" si="34">AP11*1.01</f>
        <v>-1149.3800000000001</v>
      </c>
      <c r="AR11" s="6">
        <f t="shared" si="34"/>
        <v>-1160.8738000000001</v>
      </c>
      <c r="AS11" s="6">
        <f t="shared" si="34"/>
        <v>-1172.482538</v>
      </c>
      <c r="AT11" s="6">
        <f t="shared" si="34"/>
        <v>-1184.2073633800001</v>
      </c>
      <c r="AU11" s="6">
        <f t="shared" si="34"/>
        <v>-1196.0494370138001</v>
      </c>
      <c r="AV11" s="6">
        <f t="shared" si="27"/>
        <v>-1208.0099313839382</v>
      </c>
      <c r="AW11" s="6">
        <f t="shared" si="27"/>
        <v>-1220.0900306977776</v>
      </c>
      <c r="AX11" s="6">
        <f t="shared" si="28"/>
        <v>-1232.2909310047553</v>
      </c>
      <c r="AY11" s="6">
        <f t="shared" si="29"/>
        <v>-1244.6138403148029</v>
      </c>
      <c r="AZ11" s="6">
        <f t="shared" si="30"/>
        <v>-1257.059978717951</v>
      </c>
      <c r="BA11" s="6">
        <f t="shared" si="31"/>
        <v>-1269.6305785051306</v>
      </c>
    </row>
    <row r="12" spans="2:53" x14ac:dyDescent="0.3">
      <c r="B12" s="1" t="s">
        <v>73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-267</v>
      </c>
      <c r="P12" s="6">
        <v>-112</v>
      </c>
      <c r="Q12" s="6">
        <v>72</v>
      </c>
      <c r="R12" s="6">
        <f t="shared" si="16"/>
        <v>-10</v>
      </c>
      <c r="S12" s="6">
        <v>-97</v>
      </c>
      <c r="T12" s="6">
        <v>-171</v>
      </c>
      <c r="U12" s="6">
        <v>-58</v>
      </c>
      <c r="V12" s="6">
        <f t="shared" si="17"/>
        <v>-14</v>
      </c>
      <c r="W12" s="6">
        <v>39</v>
      </c>
      <c r="X12" s="6">
        <v>-101</v>
      </c>
      <c r="Y12" s="6">
        <v>-36</v>
      </c>
      <c r="Z12" s="6">
        <f t="shared" si="18"/>
        <v>-10</v>
      </c>
      <c r="AA12" s="6">
        <v>10</v>
      </c>
      <c r="AB12" s="6">
        <v>-11</v>
      </c>
      <c r="AC12" s="6">
        <v>90</v>
      </c>
      <c r="AD12" s="6">
        <f t="shared" si="19"/>
        <v>-52</v>
      </c>
      <c r="AE12" s="6"/>
      <c r="AF12" s="6"/>
      <c r="AG12" s="6"/>
      <c r="AH12" s="6"/>
      <c r="AJ12" s="6"/>
      <c r="AK12" s="6"/>
      <c r="AL12" s="6"/>
      <c r="AM12" s="6">
        <v>-317</v>
      </c>
      <c r="AN12" s="6">
        <v>-340</v>
      </c>
      <c r="AO12" s="6">
        <v>-108</v>
      </c>
      <c r="AP12" s="6">
        <v>37</v>
      </c>
      <c r="AQ12" s="6">
        <f t="shared" ref="AQ12:BA12" si="35">AP12*1.01</f>
        <v>37.369999999999997</v>
      </c>
      <c r="AR12" s="6">
        <f t="shared" si="35"/>
        <v>37.743699999999997</v>
      </c>
      <c r="AS12" s="6">
        <f t="shared" si="35"/>
        <v>38.121136999999997</v>
      </c>
      <c r="AT12" s="6">
        <f t="shared" si="35"/>
        <v>38.50234837</v>
      </c>
      <c r="AU12" s="6">
        <f t="shared" si="35"/>
        <v>38.887371853700003</v>
      </c>
      <c r="AV12" s="6">
        <f t="shared" si="27"/>
        <v>39.276245572237002</v>
      </c>
      <c r="AW12" s="6">
        <f t="shared" si="27"/>
        <v>39.669008027959372</v>
      </c>
      <c r="AX12" s="6">
        <f t="shared" si="28"/>
        <v>40.065698108238962</v>
      </c>
      <c r="AY12" s="6">
        <f t="shared" si="29"/>
        <v>40.466355089321354</v>
      </c>
      <c r="AZ12" s="6">
        <f t="shared" si="30"/>
        <v>40.871018640214565</v>
      </c>
      <c r="BA12" s="6">
        <f t="shared" si="31"/>
        <v>41.279728826616712</v>
      </c>
    </row>
    <row r="13" spans="2:53" x14ac:dyDescent="0.3">
      <c r="B13" s="1" t="s">
        <v>72</v>
      </c>
      <c r="C13" s="6">
        <f>-331+293-343-105</f>
        <v>-486</v>
      </c>
      <c r="D13" s="6">
        <f>-452+188+14+26</f>
        <v>-224</v>
      </c>
      <c r="E13" s="6">
        <f>-335+419-325-199</f>
        <v>-440</v>
      </c>
      <c r="F13" s="6">
        <f>-2330+1462-656-210-E13-D13-C13</f>
        <v>-584</v>
      </c>
      <c r="G13" s="6">
        <f>-1217+225-262+153</f>
        <v>-1101</v>
      </c>
      <c r="H13" s="6">
        <f>-516+2127-210+87</f>
        <v>1488</v>
      </c>
      <c r="I13" s="6">
        <f>-456+623-193+105</f>
        <v>79</v>
      </c>
      <c r="J13" s="6">
        <f>-2837+4469-479+262-I13-H13-G13</f>
        <v>949</v>
      </c>
      <c r="K13" s="6">
        <f>-571+156+50-72</f>
        <v>-437</v>
      </c>
      <c r="L13" s="6">
        <f>-517+151-269+198</f>
        <v>-437</v>
      </c>
      <c r="M13" s="6">
        <f>-373+86-162+150</f>
        <v>-299</v>
      </c>
      <c r="N13" s="6">
        <f>AL13-M13-L13-K13</f>
        <v>-550</v>
      </c>
      <c r="O13" s="6">
        <f>SUM(O6:O12)</f>
        <v>2685</v>
      </c>
      <c r="P13" s="6">
        <f t="shared" ref="P13:AD13" si="36">SUM(P6:P12)</f>
        <v>3528</v>
      </c>
      <c r="Q13" s="6">
        <f t="shared" si="36"/>
        <v>3876</v>
      </c>
      <c r="R13" s="6">
        <f t="shared" si="36"/>
        <v>4558</v>
      </c>
      <c r="S13" s="6">
        <f t="shared" si="36"/>
        <v>2735</v>
      </c>
      <c r="T13" s="6">
        <f t="shared" si="36"/>
        <v>3880</v>
      </c>
      <c r="U13" s="6">
        <f t="shared" si="36"/>
        <v>3586</v>
      </c>
      <c r="V13" s="6">
        <f t="shared" si="36"/>
        <v>3361</v>
      </c>
      <c r="W13" s="6">
        <f t="shared" si="36"/>
        <v>3946</v>
      </c>
      <c r="X13" s="6">
        <f t="shared" si="36"/>
        <v>3969</v>
      </c>
      <c r="Y13" s="6">
        <f t="shared" si="36"/>
        <v>3192</v>
      </c>
      <c r="Z13" s="6">
        <f t="shared" si="36"/>
        <v>3612</v>
      </c>
      <c r="AA13" s="6">
        <f t="shared" si="36"/>
        <v>3243</v>
      </c>
      <c r="AB13" s="6">
        <f t="shared" si="36"/>
        <v>3787</v>
      </c>
      <c r="AC13" s="6">
        <f t="shared" si="36"/>
        <v>3695</v>
      </c>
      <c r="AD13" s="6">
        <f t="shared" si="36"/>
        <v>4252</v>
      </c>
      <c r="AE13" s="6"/>
      <c r="AF13" s="6"/>
      <c r="AG13" s="6"/>
      <c r="AH13" s="6"/>
      <c r="AJ13" s="6">
        <f>SUM(C13:F13)</f>
        <v>-1734</v>
      </c>
      <c r="AK13" s="6">
        <f>SUM(G13:J13)</f>
        <v>1415</v>
      </c>
      <c r="AL13" s="6">
        <f>-2022+742-797+354</f>
        <v>-1723</v>
      </c>
      <c r="AM13" s="6">
        <f>SUM(AM6:AM12)</f>
        <v>14647</v>
      </c>
      <c r="AN13" s="6">
        <f t="shared" ref="AN13:AP13" si="37">SUM(AN6:AN12)</f>
        <v>13562</v>
      </c>
      <c r="AO13" s="6">
        <f t="shared" si="37"/>
        <v>14719</v>
      </c>
      <c r="AP13" s="6">
        <f t="shared" si="37"/>
        <v>14977</v>
      </c>
      <c r="AQ13" s="6">
        <f t="shared" ref="AQ13" si="38">SUM(AQ6:AQ12)</f>
        <v>14551.4478</v>
      </c>
      <c r="AR13" s="6">
        <f t="shared" ref="AR13" si="39">SUM(AR6:AR12)</f>
        <v>14865.629478000004</v>
      </c>
      <c r="AS13" s="6">
        <f t="shared" ref="AS13" si="40">SUM(AS6:AS12)</f>
        <v>15101.149380780003</v>
      </c>
      <c r="AT13" s="6">
        <f t="shared" ref="AT13" si="41">SUM(AT6:AT12)</f>
        <v>15340.761754747802</v>
      </c>
      <c r="AU13" s="6">
        <f t="shared" ref="AU13" si="42">SUM(AU6:AU12)</f>
        <v>15584.542270058482</v>
      </c>
      <c r="AV13" s="6">
        <f t="shared" ref="AV13" si="43">SUM(AV6:AV12)</f>
        <v>15769.136505141847</v>
      </c>
      <c r="AW13" s="6">
        <f t="shared" ref="AW13" si="44">SUM(AW6:AW12)</f>
        <v>15956.151658823706</v>
      </c>
      <c r="AX13" s="6">
        <f t="shared" ref="AX13" si="45">SUM(AX6:AX12)</f>
        <v>16145.623439814994</v>
      </c>
      <c r="AY13" s="6">
        <f t="shared" ref="AY13" si="46">SUM(AY6:AY12)</f>
        <v>16337.588143904251</v>
      </c>
      <c r="AZ13" s="6">
        <f t="shared" ref="AZ13" si="47">SUM(AZ6:AZ12)</f>
        <v>16532.082664428224</v>
      </c>
      <c r="BA13" s="6">
        <f t="shared" ref="BA13" si="48">SUM(BA6:BA12)</f>
        <v>16729.14450293914</v>
      </c>
    </row>
    <row r="14" spans="2:53" s="3" customFormat="1" x14ac:dyDescent="0.3">
      <c r="B14" s="3" t="s">
        <v>24</v>
      </c>
      <c r="C14" s="8">
        <f>C5-SUM(C6:C13)</f>
        <v>3331</v>
      </c>
      <c r="D14" s="8">
        <f t="shared" ref="D14:N14" si="49">D5-SUM(D6:D13)</f>
        <v>2636</v>
      </c>
      <c r="E14" s="8">
        <f t="shared" si="49"/>
        <v>2485</v>
      </c>
      <c r="F14" s="8">
        <f t="shared" si="49"/>
        <v>2665</v>
      </c>
      <c r="G14" s="8">
        <f t="shared" si="49"/>
        <v>2798</v>
      </c>
      <c r="H14" s="8">
        <f t="shared" si="49"/>
        <v>-1558</v>
      </c>
      <c r="I14" s="8">
        <f t="shared" si="49"/>
        <v>2690</v>
      </c>
      <c r="J14" s="8">
        <f t="shared" si="49"/>
        <v>383</v>
      </c>
      <c r="K14" s="8">
        <f t="shared" si="49"/>
        <v>617</v>
      </c>
      <c r="L14" s="8">
        <f t="shared" si="49"/>
        <v>-1682</v>
      </c>
      <c r="M14" s="8">
        <f t="shared" si="49"/>
        <v>3070</v>
      </c>
      <c r="N14" s="8">
        <f t="shared" si="49"/>
        <v>4598</v>
      </c>
      <c r="O14" s="8">
        <f>O5-O13</f>
        <v>4701</v>
      </c>
      <c r="P14" s="8">
        <f t="shared" ref="P14:AD14" si="50">P5-P13</f>
        <v>4374</v>
      </c>
      <c r="Q14" s="8">
        <f t="shared" si="50"/>
        <v>2838</v>
      </c>
      <c r="R14" s="8">
        <f t="shared" si="50"/>
        <v>4115</v>
      </c>
      <c r="S14" s="8">
        <f t="shared" si="50"/>
        <v>5229</v>
      </c>
      <c r="T14" s="8">
        <f t="shared" si="50"/>
        <v>4622</v>
      </c>
      <c r="U14" s="8">
        <f t="shared" si="50"/>
        <v>5196</v>
      </c>
      <c r="V14" s="8">
        <f t="shared" si="50"/>
        <v>5411</v>
      </c>
      <c r="W14" s="8">
        <f t="shared" si="50"/>
        <v>5504</v>
      </c>
      <c r="X14" s="8">
        <f t="shared" si="50"/>
        <v>4988</v>
      </c>
      <c r="Y14" s="8">
        <f t="shared" si="50"/>
        <v>4842</v>
      </c>
      <c r="Z14" s="8">
        <f t="shared" si="50"/>
        <v>4326</v>
      </c>
      <c r="AA14" s="8">
        <f t="shared" si="50"/>
        <v>3863</v>
      </c>
      <c r="AB14" s="8">
        <f t="shared" si="50"/>
        <v>4037</v>
      </c>
      <c r="AC14" s="8">
        <f t="shared" si="50"/>
        <v>2517</v>
      </c>
      <c r="AD14" s="8">
        <f t="shared" si="50"/>
        <v>3438</v>
      </c>
      <c r="AE14" s="8"/>
      <c r="AF14" s="8"/>
      <c r="AG14" s="8"/>
      <c r="AH14" s="8"/>
      <c r="AJ14" s="8">
        <f t="shared" ref="AJ14:AP14" si="51">AJ5-AJ6-AJ7-AJ8-AJ13</f>
        <v>11117</v>
      </c>
      <c r="AK14" s="8">
        <f t="shared" si="51"/>
        <v>4313</v>
      </c>
      <c r="AL14" s="8">
        <f t="shared" si="51"/>
        <v>6603</v>
      </c>
      <c r="AM14" s="8">
        <f>AM5-AM13</f>
        <v>16028</v>
      </c>
      <c r="AN14" s="8">
        <f t="shared" ref="AN14:AP14" si="52">AN5-AN13</f>
        <v>20458</v>
      </c>
      <c r="AO14" s="8">
        <f t="shared" si="52"/>
        <v>19660</v>
      </c>
      <c r="AP14" s="8">
        <f t="shared" si="52"/>
        <v>13599</v>
      </c>
      <c r="AQ14" s="8">
        <f t="shared" ref="AQ14" si="53">AQ5-AQ13</f>
        <v>15411.797399999998</v>
      </c>
      <c r="AR14" s="8">
        <f t="shared" ref="AR14" si="54">AR5-AR13</f>
        <v>15397.248173999995</v>
      </c>
      <c r="AS14" s="8">
        <f t="shared" ref="AS14" si="55">AS5-AS13</f>
        <v>15464.357047739995</v>
      </c>
      <c r="AT14" s="8">
        <f t="shared" ref="AT14" si="56">AT5-AT13</f>
        <v>15530.399738057398</v>
      </c>
      <c r="AU14" s="8">
        <f t="shared" ref="AU14" si="57">AU5-AU13</f>
        <v>15595.330837674766</v>
      </c>
      <c r="AV14" s="8">
        <f t="shared" ref="AV14" si="58">AV5-AV13</f>
        <v>15722.535333668733</v>
      </c>
      <c r="AW14" s="8">
        <f t="shared" ref="AW14" si="59">AW5-AW13</f>
        <v>15850.436898374985</v>
      </c>
      <c r="AX14" s="8">
        <f t="shared" ref="AX14" si="60">AX5-AX13</f>
        <v>15979.031002955686</v>
      </c>
      <c r="AY14" s="8">
        <f t="shared" ref="AY14" si="61">AY5-AY13</f>
        <v>16108.312843294132</v>
      </c>
      <c r="AZ14" s="8">
        <f t="shared" ref="AZ14" si="62">AZ5-AZ13</f>
        <v>16238.277332642141</v>
      </c>
      <c r="BA14" s="8">
        <f t="shared" ref="BA14" si="63">BA5-BA13</f>
        <v>16368.919094101933</v>
      </c>
    </row>
    <row r="15" spans="2:53" x14ac:dyDescent="0.3">
      <c r="B15" s="1" t="s">
        <v>22</v>
      </c>
      <c r="C15" s="6">
        <v>-55</v>
      </c>
      <c r="D15" s="6">
        <v>-70</v>
      </c>
      <c r="E15" s="6">
        <v>-64</v>
      </c>
      <c r="F15" s="6">
        <f>-271-E15-D15-C15</f>
        <v>-82</v>
      </c>
      <c r="G15" s="6">
        <v>-79</v>
      </c>
      <c r="H15" s="6">
        <v>-121</v>
      </c>
      <c r="I15" s="6">
        <v>-86</v>
      </c>
      <c r="J15" s="6">
        <f>-397-I15-H15-G15</f>
        <v>-111</v>
      </c>
      <c r="K15" s="6">
        <v>-77</v>
      </c>
      <c r="L15" s="6">
        <v>-51</v>
      </c>
      <c r="M15" s="6">
        <v>-56</v>
      </c>
      <c r="N15" s="6">
        <f>AL15-M15-L15-K15</f>
        <v>-36</v>
      </c>
      <c r="O15" s="6">
        <v>-53</v>
      </c>
      <c r="P15" s="6">
        <v>-53</v>
      </c>
      <c r="Q15" s="6">
        <v>-80</v>
      </c>
      <c r="R15" s="6">
        <f>AM15-Q15-P15-O15</f>
        <v>-26</v>
      </c>
      <c r="S15" s="6">
        <v>-41</v>
      </c>
      <c r="T15" s="6">
        <v>-53</v>
      </c>
      <c r="U15" s="6">
        <v>-63</v>
      </c>
      <c r="V15" s="6">
        <f>AN15-U15-T15-S15</f>
        <v>-116</v>
      </c>
      <c r="W15" s="6">
        <v>-153</v>
      </c>
      <c r="X15" s="6">
        <v>-157</v>
      </c>
      <c r="Y15" s="6">
        <v>-190</v>
      </c>
      <c r="Z15" s="6">
        <f>AO15-Y15-X15-W15</f>
        <v>-178</v>
      </c>
      <c r="AA15" s="6">
        <v>-210</v>
      </c>
      <c r="AB15" s="6">
        <v>-175</v>
      </c>
      <c r="AC15" s="6">
        <v>-165</v>
      </c>
      <c r="AD15" s="6">
        <f>AP15-AC15-AB15-AA15</f>
        <v>-188</v>
      </c>
      <c r="AE15" s="6"/>
      <c r="AF15" s="6"/>
      <c r="AG15" s="6"/>
      <c r="AH15" s="6"/>
      <c r="AJ15" s="6">
        <f>SUM(C15:F15)</f>
        <v>-271</v>
      </c>
      <c r="AK15" s="6">
        <f>SUM(G15:J15)</f>
        <v>-397</v>
      </c>
      <c r="AL15" s="6">
        <v>-220</v>
      </c>
      <c r="AM15" s="6">
        <v>-212</v>
      </c>
      <c r="AN15" s="6">
        <v>-273</v>
      </c>
      <c r="AO15" s="6">
        <v>-678</v>
      </c>
      <c r="AP15" s="6">
        <v>-738</v>
      </c>
      <c r="AQ15" s="6">
        <f t="shared" ref="AQ15:AW15" si="64">AP15*1.02</f>
        <v>-752.76</v>
      </c>
      <c r="AR15" s="6">
        <f t="shared" si="64"/>
        <v>-767.8152</v>
      </c>
      <c r="AS15" s="6">
        <f t="shared" si="64"/>
        <v>-783.17150400000003</v>
      </c>
      <c r="AT15" s="6">
        <f t="shared" si="64"/>
        <v>-798.83493408000004</v>
      </c>
      <c r="AU15" s="6">
        <f t="shared" si="64"/>
        <v>-814.81163276160009</v>
      </c>
      <c r="AV15" s="6">
        <f t="shared" si="64"/>
        <v>-831.10786541683206</v>
      </c>
      <c r="AW15" s="6">
        <f t="shared" si="64"/>
        <v>-847.73002272516874</v>
      </c>
      <c r="AX15" s="6">
        <f t="shared" ref="AX15" si="65">AW15*1.02</f>
        <v>-864.68462317967214</v>
      </c>
      <c r="AY15" s="6">
        <f t="shared" ref="AY15" si="66">AX15*1.02</f>
        <v>-881.97831564326555</v>
      </c>
      <c r="AZ15" s="6">
        <f t="shared" ref="AZ15" si="67">AY15*1.02</f>
        <v>-899.61788195613087</v>
      </c>
      <c r="BA15" s="6">
        <f t="shared" ref="BA15" si="68">AZ15*1.02</f>
        <v>-917.61023959525346</v>
      </c>
    </row>
    <row r="16" spans="2:53" x14ac:dyDescent="0.3">
      <c r="B16" s="1" t="s">
        <v>23</v>
      </c>
      <c r="C16" s="6">
        <v>139</v>
      </c>
      <c r="D16" s="6">
        <v>176</v>
      </c>
      <c r="E16" s="6">
        <v>204</v>
      </c>
      <c r="F16" s="6">
        <f>793-E16-D16-C16</f>
        <v>274</v>
      </c>
      <c r="G16" s="6">
        <v>254</v>
      </c>
      <c r="H16" s="6">
        <v>235</v>
      </c>
      <c r="I16" s="6">
        <v>201</v>
      </c>
      <c r="J16" s="6">
        <f>880-I16-H16-G16</f>
        <v>190</v>
      </c>
      <c r="K16" s="6">
        <v>154</v>
      </c>
      <c r="L16" s="6">
        <v>111</v>
      </c>
      <c r="M16" s="6">
        <v>94</v>
      </c>
      <c r="N16" s="6">
        <f>AL16-M16-L16-K16</f>
        <v>125</v>
      </c>
      <c r="O16" s="6">
        <v>96</v>
      </c>
      <c r="P16" s="6">
        <v>123</v>
      </c>
      <c r="Q16" s="6">
        <v>99</v>
      </c>
      <c r="R16" s="6">
        <f>AM16-Q16-P16-O16</f>
        <v>111</v>
      </c>
      <c r="S16" s="6">
        <v>83</v>
      </c>
      <c r="T16" s="6">
        <v>126</v>
      </c>
      <c r="U16" s="6">
        <v>93</v>
      </c>
      <c r="V16" s="6">
        <f>AN16-U16-T16-S16</f>
        <v>125</v>
      </c>
      <c r="W16" s="6">
        <v>88</v>
      </c>
      <c r="X16" s="6">
        <v>60</v>
      </c>
      <c r="Y16" s="6">
        <v>52</v>
      </c>
      <c r="Z16" s="6">
        <f>AO16-Y16-X16-W16</f>
        <v>54</v>
      </c>
      <c r="AA16" s="6">
        <v>44</v>
      </c>
      <c r="AB16" s="6">
        <v>46</v>
      </c>
      <c r="AC16" s="6">
        <v>37</v>
      </c>
      <c r="AD16" s="6">
        <f>AP16-AC16-AB16-AA16</f>
        <v>63</v>
      </c>
      <c r="AE16" s="6"/>
      <c r="AF16" s="6"/>
      <c r="AG16" s="6"/>
      <c r="AH16" s="6"/>
      <c r="AJ16" s="6">
        <f>SUM(C16:F16)</f>
        <v>793</v>
      </c>
      <c r="AK16" s="6">
        <f>SUM(G16:J16)</f>
        <v>880</v>
      </c>
      <c r="AL16" s="6">
        <v>484</v>
      </c>
      <c r="AM16" s="6">
        <v>429</v>
      </c>
      <c r="AN16" s="6">
        <v>427</v>
      </c>
      <c r="AO16" s="6">
        <v>254</v>
      </c>
      <c r="AP16" s="6">
        <v>190</v>
      </c>
      <c r="AQ16" s="6">
        <f>AP16*1.03</f>
        <v>195.70000000000002</v>
      </c>
      <c r="AR16" s="6">
        <f t="shared" ref="AR16:AW16" si="69">AQ16*1.03</f>
        <v>201.57100000000003</v>
      </c>
      <c r="AS16" s="6">
        <f t="shared" si="69"/>
        <v>207.61813000000004</v>
      </c>
      <c r="AT16" s="6">
        <f t="shared" si="69"/>
        <v>213.84667390000004</v>
      </c>
      <c r="AU16" s="6">
        <f t="shared" si="69"/>
        <v>220.26207411700005</v>
      </c>
      <c r="AV16" s="6">
        <f t="shared" si="69"/>
        <v>226.86993634051007</v>
      </c>
      <c r="AW16" s="6">
        <f t="shared" si="69"/>
        <v>233.67603443072537</v>
      </c>
      <c r="AX16" s="6">
        <f t="shared" ref="AX16:BA16" si="70">AW16*1.03</f>
        <v>240.68631546364713</v>
      </c>
      <c r="AY16" s="6">
        <f t="shared" si="70"/>
        <v>247.90690492755655</v>
      </c>
      <c r="AZ16" s="6">
        <f t="shared" si="70"/>
        <v>255.34411207538326</v>
      </c>
      <c r="BA16" s="6">
        <f t="shared" si="70"/>
        <v>263.00443543764476</v>
      </c>
    </row>
    <row r="17" spans="2:132" s="3" customFormat="1" x14ac:dyDescent="0.3">
      <c r="B17" s="3" t="s">
        <v>21</v>
      </c>
      <c r="C17" s="8">
        <f t="shared" ref="C17:N17" si="71">C14-C15-C16</f>
        <v>3247</v>
      </c>
      <c r="D17" s="8">
        <f t="shared" si="71"/>
        <v>2530</v>
      </c>
      <c r="E17" s="8">
        <f t="shared" si="71"/>
        <v>2345</v>
      </c>
      <c r="F17" s="8">
        <f t="shared" si="71"/>
        <v>2473</v>
      </c>
      <c r="G17" s="8">
        <f t="shared" si="71"/>
        <v>2623</v>
      </c>
      <c r="H17" s="8">
        <f t="shared" si="71"/>
        <v>-1672</v>
      </c>
      <c r="I17" s="8">
        <f t="shared" si="71"/>
        <v>2575</v>
      </c>
      <c r="J17" s="8">
        <f t="shared" si="71"/>
        <v>304</v>
      </c>
      <c r="K17" s="8">
        <f t="shared" si="71"/>
        <v>540</v>
      </c>
      <c r="L17" s="8">
        <f t="shared" si="71"/>
        <v>-1742</v>
      </c>
      <c r="M17" s="8">
        <f t="shared" si="71"/>
        <v>3032</v>
      </c>
      <c r="N17" s="8">
        <f t="shared" si="71"/>
        <v>4509</v>
      </c>
      <c r="O17" s="8">
        <f t="shared" ref="O17:P17" si="72">O14-O15-O16</f>
        <v>4658</v>
      </c>
      <c r="P17" s="8">
        <f t="shared" si="72"/>
        <v>4304</v>
      </c>
      <c r="Q17" s="8">
        <f t="shared" ref="Q17:R17" si="73">Q14-Q15-Q16</f>
        <v>2819</v>
      </c>
      <c r="R17" s="8">
        <f t="shared" si="73"/>
        <v>4030</v>
      </c>
      <c r="S17" s="8">
        <f t="shared" ref="S17:T17" si="74">S14-S15-S16</f>
        <v>5187</v>
      </c>
      <c r="T17" s="8">
        <f t="shared" si="74"/>
        <v>4549</v>
      </c>
      <c r="U17" s="8">
        <f t="shared" ref="U17:V17" si="75">U14-U15-U16</f>
        <v>5166</v>
      </c>
      <c r="V17" s="8">
        <f t="shared" si="75"/>
        <v>5402</v>
      </c>
      <c r="W17" s="8">
        <f t="shared" ref="W17:X17" si="76">W14-W15-W16</f>
        <v>5569</v>
      </c>
      <c r="X17" s="8">
        <f t="shared" si="76"/>
        <v>5085</v>
      </c>
      <c r="Y17" s="8">
        <f t="shared" ref="Y17:AD17" si="77">Y14-Y15-Y16</f>
        <v>4980</v>
      </c>
      <c r="Z17" s="8">
        <f t="shared" ref="Z17" si="78">Z14-Z15-Z16</f>
        <v>4450</v>
      </c>
      <c r="AA17" s="8">
        <f t="shared" si="77"/>
        <v>4029</v>
      </c>
      <c r="AB17" s="8">
        <f t="shared" si="77"/>
        <v>4166</v>
      </c>
      <c r="AC17" s="8">
        <f t="shared" si="77"/>
        <v>2645</v>
      </c>
      <c r="AD17" s="8">
        <f t="shared" si="77"/>
        <v>3563</v>
      </c>
      <c r="AE17" s="8"/>
      <c r="AF17" s="8"/>
      <c r="AG17" s="8"/>
      <c r="AH17" s="8"/>
      <c r="AJ17" s="8">
        <f>AJ14-AJ15-AJ16</f>
        <v>10595</v>
      </c>
      <c r="AK17" s="8">
        <f>AK14-AK15-AK16</f>
        <v>3830</v>
      </c>
      <c r="AL17" s="8">
        <f>AL14-AL15-AL16</f>
        <v>6339</v>
      </c>
      <c r="AM17" s="8">
        <f t="shared" ref="AM17" si="79">AM14-AM15-AM16</f>
        <v>15811</v>
      </c>
      <c r="AN17" s="8">
        <f t="shared" ref="AN17:AV17" si="80">AN14-AN15-AN16</f>
        <v>20304</v>
      </c>
      <c r="AO17" s="8">
        <f t="shared" ref="AO17:AP17" si="81">AO14-AO15-AO16</f>
        <v>20084</v>
      </c>
      <c r="AP17" s="8">
        <f t="shared" si="81"/>
        <v>14147</v>
      </c>
      <c r="AQ17" s="8">
        <f t="shared" si="80"/>
        <v>15968.857399999997</v>
      </c>
      <c r="AR17" s="8">
        <f t="shared" si="80"/>
        <v>15963.492373999994</v>
      </c>
      <c r="AS17" s="8">
        <f t="shared" si="80"/>
        <v>16039.910421739994</v>
      </c>
      <c r="AT17" s="8">
        <f t="shared" si="80"/>
        <v>16115.387998237398</v>
      </c>
      <c r="AU17" s="8">
        <f t="shared" si="80"/>
        <v>16189.880396319368</v>
      </c>
      <c r="AV17" s="8">
        <f t="shared" si="80"/>
        <v>16326.773262745053</v>
      </c>
      <c r="AW17" s="8">
        <f t="shared" ref="AW17:BA17" si="82">AW14-AW15-AW16</f>
        <v>16464.490886669428</v>
      </c>
      <c r="AX17" s="8">
        <f t="shared" si="82"/>
        <v>16603.029310671711</v>
      </c>
      <c r="AY17" s="8">
        <f t="shared" si="82"/>
        <v>16742.384254009841</v>
      </c>
      <c r="AZ17" s="8">
        <f t="shared" si="82"/>
        <v>16882.551102522888</v>
      </c>
      <c r="BA17" s="8">
        <f t="shared" si="82"/>
        <v>17023.524898259544</v>
      </c>
    </row>
    <row r="18" spans="2:132" x14ac:dyDescent="0.3">
      <c r="B18" s="1" t="s">
        <v>25</v>
      </c>
      <c r="C18" s="6">
        <v>893</v>
      </c>
      <c r="D18" s="6">
        <v>705</v>
      </c>
      <c r="E18" s="6">
        <v>584</v>
      </c>
      <c r="F18" s="6">
        <f>3013-E18-D18-C18</f>
        <v>831</v>
      </c>
      <c r="G18" s="6">
        <v>474</v>
      </c>
      <c r="H18" s="6">
        <v>-430</v>
      </c>
      <c r="I18" s="6">
        <v>762</v>
      </c>
      <c r="J18" s="6">
        <f>1121-I18-H18-G18</f>
        <v>315</v>
      </c>
      <c r="K18" s="6">
        <v>372</v>
      </c>
      <c r="L18" s="6">
        <v>164</v>
      </c>
      <c r="M18" s="6">
        <v>874</v>
      </c>
      <c r="N18" s="6">
        <f>AL18-M18-L18-K18</f>
        <v>920</v>
      </c>
      <c r="O18" s="6">
        <v>1188</v>
      </c>
      <c r="P18" s="6">
        <v>1165</v>
      </c>
      <c r="Q18" s="6">
        <v>855</v>
      </c>
      <c r="R18" s="6">
        <f>AM18-Q18-P18-O18</f>
        <v>1553</v>
      </c>
      <c r="S18" s="6">
        <v>1601</v>
      </c>
      <c r="T18" s="6">
        <v>1351</v>
      </c>
      <c r="U18" s="6">
        <v>1168</v>
      </c>
      <c r="V18" s="6">
        <f>AN18-U18-T18-S18</f>
        <v>1375</v>
      </c>
      <c r="W18" s="6">
        <v>1558</v>
      </c>
      <c r="X18" s="6">
        <v>1444</v>
      </c>
      <c r="Y18" s="6">
        <v>1261</v>
      </c>
      <c r="Z18" s="6">
        <f>AO18-Y18-X18-W18</f>
        <v>1290</v>
      </c>
      <c r="AA18" s="6">
        <v>1004</v>
      </c>
      <c r="AB18" s="6">
        <v>1104</v>
      </c>
      <c r="AC18" s="6">
        <v>926</v>
      </c>
      <c r="AD18" s="6">
        <f t="shared" ref="AD18:AD19" si="83">AP18-AC18-AB18-AA18</f>
        <v>704</v>
      </c>
      <c r="AE18" s="6"/>
      <c r="AF18" s="6"/>
      <c r="AG18" s="6"/>
      <c r="AH18" s="6"/>
      <c r="AJ18" s="6">
        <f>SUM(C18:F18)</f>
        <v>3013</v>
      </c>
      <c r="AK18" s="6">
        <f>SUM(G18:J18)</f>
        <v>1121</v>
      </c>
      <c r="AL18" s="6">
        <v>2330</v>
      </c>
      <c r="AM18" s="6">
        <v>4761</v>
      </c>
      <c r="AN18" s="6">
        <v>5495</v>
      </c>
      <c r="AO18" s="6">
        <v>5553</v>
      </c>
      <c r="AP18" s="6">
        <v>3738</v>
      </c>
      <c r="AQ18" s="6">
        <f>AQ17*0.28</f>
        <v>4471.2800719999996</v>
      </c>
      <c r="AR18" s="6">
        <f t="shared" ref="AR18:AW18" si="84">AR17*0.28</f>
        <v>4469.7778647199984</v>
      </c>
      <c r="AS18" s="6">
        <f t="shared" si="84"/>
        <v>4491.1749180871993</v>
      </c>
      <c r="AT18" s="6">
        <f t="shared" si="84"/>
        <v>4512.308639506472</v>
      </c>
      <c r="AU18" s="6">
        <f t="shared" si="84"/>
        <v>4533.1665109694231</v>
      </c>
      <c r="AV18" s="6">
        <f t="shared" si="84"/>
        <v>4571.4965135686152</v>
      </c>
      <c r="AW18" s="6">
        <f t="shared" si="84"/>
        <v>4610.0574482674401</v>
      </c>
      <c r="AX18" s="6">
        <f t="shared" ref="AX18" si="85">AX17*0.28</f>
        <v>4648.8482069880793</v>
      </c>
      <c r="AY18" s="6">
        <f t="shared" ref="AY18" si="86">AY17*0.28</f>
        <v>4687.8675911227556</v>
      </c>
      <c r="AZ18" s="6">
        <f t="shared" ref="AZ18" si="87">AZ17*0.28</f>
        <v>4727.1143087064092</v>
      </c>
      <c r="BA18" s="6">
        <f t="shared" ref="BA18" si="88">BA17*0.28</f>
        <v>4766.5869715126728</v>
      </c>
    </row>
    <row r="19" spans="2:132" x14ac:dyDescent="0.3">
      <c r="B19" s="1" t="s">
        <v>28</v>
      </c>
      <c r="C19" s="6">
        <v>81</v>
      </c>
      <c r="D19" s="6">
        <v>99</v>
      </c>
      <c r="E19" s="6">
        <v>72</v>
      </c>
      <c r="F19" s="6">
        <f>333-E19-D19-C19</f>
        <v>81</v>
      </c>
      <c r="G19" s="6">
        <v>54</v>
      </c>
      <c r="H19" s="6">
        <v>86</v>
      </c>
      <c r="I19" s="6">
        <v>94</v>
      </c>
      <c r="J19" s="6">
        <f>332-I19-H19-G19</f>
        <v>98</v>
      </c>
      <c r="K19" s="6">
        <v>74</v>
      </c>
      <c r="L19" s="6">
        <v>95</v>
      </c>
      <c r="M19" s="6">
        <v>109</v>
      </c>
      <c r="N19" s="6">
        <f>AL19-M19-L19-K19</f>
        <v>104</v>
      </c>
      <c r="O19" s="6">
        <v>83</v>
      </c>
      <c r="P19" s="6">
        <v>106</v>
      </c>
      <c r="Q19" s="6">
        <v>103</v>
      </c>
      <c r="R19" s="6">
        <f>AM19-Q19-P19-O19</f>
        <v>98</v>
      </c>
      <c r="S19" s="6">
        <v>96</v>
      </c>
      <c r="T19" s="6">
        <v>91</v>
      </c>
      <c r="U19" s="6">
        <v>75</v>
      </c>
      <c r="V19" s="6">
        <f>AN19-U19-T19-S19</f>
        <v>46</v>
      </c>
      <c r="W19" s="6">
        <v>66</v>
      </c>
      <c r="X19" s="6">
        <v>78</v>
      </c>
      <c r="Y19" s="6">
        <v>83</v>
      </c>
      <c r="Z19" s="6">
        <f>AO19-Y19-X19-W19</f>
        <v>43</v>
      </c>
      <c r="AA19" s="6">
        <v>51</v>
      </c>
      <c r="AB19" s="6">
        <v>46</v>
      </c>
      <c r="AC19" s="6">
        <v>-14</v>
      </c>
      <c r="AD19" s="6">
        <f t="shared" si="83"/>
        <v>119</v>
      </c>
      <c r="AE19" s="6"/>
      <c r="AF19" s="6"/>
      <c r="AG19" s="6"/>
      <c r="AH19" s="6"/>
      <c r="AJ19" s="6">
        <f>SUM(C19:F19)</f>
        <v>333</v>
      </c>
      <c r="AK19" s="6">
        <f>SUM(G19:J19)</f>
        <v>332</v>
      </c>
      <c r="AL19" s="6">
        <v>382</v>
      </c>
      <c r="AM19" s="6">
        <v>390</v>
      </c>
      <c r="AN19" s="6">
        <v>308</v>
      </c>
      <c r="AO19" s="6">
        <v>270</v>
      </c>
      <c r="AP19" s="6">
        <v>202</v>
      </c>
      <c r="AQ19" s="6">
        <f t="shared" ref="AQ19:AW19" si="89">AP19*1.05</f>
        <v>212.10000000000002</v>
      </c>
      <c r="AR19" s="6">
        <f t="shared" si="89"/>
        <v>222.70500000000004</v>
      </c>
      <c r="AS19" s="6">
        <f t="shared" si="89"/>
        <v>233.84025000000005</v>
      </c>
      <c r="AT19" s="6">
        <f t="shared" si="89"/>
        <v>245.53226250000006</v>
      </c>
      <c r="AU19" s="6">
        <f t="shared" si="89"/>
        <v>257.8088756250001</v>
      </c>
      <c r="AV19" s="6">
        <f t="shared" si="89"/>
        <v>270.69931940625014</v>
      </c>
      <c r="AW19" s="6">
        <f t="shared" si="89"/>
        <v>284.23428537656264</v>
      </c>
      <c r="AX19" s="6">
        <f t="shared" ref="AX19" si="90">AW19*1.05</f>
        <v>298.44599964539077</v>
      </c>
      <c r="AY19" s="6">
        <f t="shared" ref="AY19" si="91">AX19*1.05</f>
        <v>313.36829962766035</v>
      </c>
      <c r="AZ19" s="6">
        <f t="shared" ref="AZ19" si="92">AY19*1.05</f>
        <v>329.03671460904337</v>
      </c>
      <c r="BA19" s="6">
        <f t="shared" ref="BA19" si="93">AZ19*1.05</f>
        <v>345.48855033949553</v>
      </c>
    </row>
    <row r="20" spans="2:132" s="3" customFormat="1" x14ac:dyDescent="0.3">
      <c r="B20" s="3" t="s">
        <v>26</v>
      </c>
      <c r="C20" s="8">
        <f t="shared" ref="C20:L20" si="94">C17-C18-C19</f>
        <v>2273</v>
      </c>
      <c r="D20" s="8">
        <f t="shared" si="94"/>
        <v>1726</v>
      </c>
      <c r="E20" s="8">
        <f t="shared" si="94"/>
        <v>1689</v>
      </c>
      <c r="F20" s="8">
        <f t="shared" si="94"/>
        <v>1561</v>
      </c>
      <c r="G20" s="8">
        <f t="shared" si="94"/>
        <v>2095</v>
      </c>
      <c r="H20" s="8">
        <f t="shared" si="94"/>
        <v>-1328</v>
      </c>
      <c r="I20" s="8">
        <f t="shared" si="94"/>
        <v>1719</v>
      </c>
      <c r="J20" s="8">
        <f t="shared" si="94"/>
        <v>-109</v>
      </c>
      <c r="K20" s="8">
        <f t="shared" si="94"/>
        <v>94</v>
      </c>
      <c r="L20" s="8">
        <f t="shared" si="94"/>
        <v>-2001</v>
      </c>
      <c r="M20" s="8">
        <f t="shared" ref="M20:N20" si="95">M17-M18-M19</f>
        <v>2049</v>
      </c>
      <c r="N20" s="8">
        <f t="shared" si="95"/>
        <v>3485</v>
      </c>
      <c r="O20" s="8">
        <f t="shared" ref="O20:P20" si="96">O17-O18-O19</f>
        <v>3387</v>
      </c>
      <c r="P20" s="8">
        <f t="shared" si="96"/>
        <v>3033</v>
      </c>
      <c r="Q20" s="8">
        <f t="shared" ref="Q20:R20" si="97">Q17-Q18-Q19</f>
        <v>1861</v>
      </c>
      <c r="R20" s="8">
        <f t="shared" si="97"/>
        <v>2379</v>
      </c>
      <c r="S20" s="8">
        <f t="shared" ref="S20:T20" si="98">S17-S18-S19</f>
        <v>3490</v>
      </c>
      <c r="T20" s="8">
        <f t="shared" si="98"/>
        <v>3107</v>
      </c>
      <c r="U20" s="8">
        <f t="shared" ref="U20:V20" si="99">U17-U18-U19</f>
        <v>3923</v>
      </c>
      <c r="V20" s="8">
        <f t="shared" si="99"/>
        <v>3981</v>
      </c>
      <c r="W20" s="8">
        <f t="shared" ref="W20:X20" si="100">W17-W18-W19</f>
        <v>3945</v>
      </c>
      <c r="X20" s="8">
        <f t="shared" si="100"/>
        <v>3563</v>
      </c>
      <c r="Y20" s="8">
        <f t="shared" ref="Y20:AA20" si="101">Y17-Y18-Y19</f>
        <v>3636</v>
      </c>
      <c r="Z20" s="8">
        <f t="shared" ref="Z20" si="102">Z17-Z18-Z19</f>
        <v>3117</v>
      </c>
      <c r="AA20" s="8">
        <f t="shared" si="101"/>
        <v>2974</v>
      </c>
      <c r="AB20" s="8">
        <f t="shared" ref="AB20:AD20" si="103">AB17-AB18-AB19</f>
        <v>3016</v>
      </c>
      <c r="AC20" s="8">
        <f t="shared" si="103"/>
        <v>1733</v>
      </c>
      <c r="AD20" s="8">
        <f t="shared" si="103"/>
        <v>2740</v>
      </c>
      <c r="AE20" s="8"/>
      <c r="AF20" s="8"/>
      <c r="AG20" s="8"/>
      <c r="AH20" s="8"/>
      <c r="AJ20" s="8">
        <f>AJ17-AJ18-AJ19</f>
        <v>7249</v>
      </c>
      <c r="AK20" s="8">
        <f>AK17-AK18-AK19</f>
        <v>2377</v>
      </c>
      <c r="AL20" s="8">
        <f>AL17-AL18-AL19</f>
        <v>3627</v>
      </c>
      <c r="AM20" s="8">
        <f t="shared" ref="AM20" si="104">AM17-AM18-AM19</f>
        <v>10660</v>
      </c>
      <c r="AN20" s="8">
        <f t="shared" ref="AN20:AV20" si="105">AN17-AN18-AN19</f>
        <v>14501</v>
      </c>
      <c r="AO20" s="8">
        <f t="shared" ref="AO20:AP20" si="106">AO17-AO18-AO19</f>
        <v>14261</v>
      </c>
      <c r="AP20" s="8">
        <f t="shared" si="106"/>
        <v>10207</v>
      </c>
      <c r="AQ20" s="8">
        <f t="shared" si="105"/>
        <v>11285.477327999997</v>
      </c>
      <c r="AR20" s="8">
        <f t="shared" si="105"/>
        <v>11271.009509279995</v>
      </c>
      <c r="AS20" s="8">
        <f t="shared" si="105"/>
        <v>11314.895253652796</v>
      </c>
      <c r="AT20" s="8">
        <f t="shared" si="105"/>
        <v>11357.547096230926</v>
      </c>
      <c r="AU20" s="8">
        <f t="shared" si="105"/>
        <v>11398.905009724946</v>
      </c>
      <c r="AV20" s="8">
        <f t="shared" si="105"/>
        <v>11484.577429770188</v>
      </c>
      <c r="AW20" s="8">
        <f t="shared" ref="AW20:BA20" si="107">AW17-AW18-AW19</f>
        <v>11570.199153025425</v>
      </c>
      <c r="AX20" s="8">
        <f t="shared" si="107"/>
        <v>11655.73510403824</v>
      </c>
      <c r="AY20" s="8">
        <f t="shared" si="107"/>
        <v>11741.148363259426</v>
      </c>
      <c r="AZ20" s="8">
        <f t="shared" si="107"/>
        <v>11826.400079207437</v>
      </c>
      <c r="BA20" s="8">
        <f t="shared" si="107"/>
        <v>11911.449376407376</v>
      </c>
      <c r="BB20" s="3">
        <f>BA20*(1+$BD$26)</f>
        <v>11792.334882643301</v>
      </c>
      <c r="BC20" s="3">
        <f t="shared" ref="BC20:DN20" si="108">BB20*(1+$BD$26)</f>
        <v>11674.411533816869</v>
      </c>
      <c r="BD20" s="3">
        <f t="shared" si="108"/>
        <v>11557.667418478699</v>
      </c>
      <c r="BE20" s="3">
        <f t="shared" si="108"/>
        <v>11442.090744293911</v>
      </c>
      <c r="BF20" s="3">
        <f t="shared" si="108"/>
        <v>11327.669836850971</v>
      </c>
      <c r="BG20" s="3">
        <f t="shared" si="108"/>
        <v>11214.393138482461</v>
      </c>
      <c r="BH20" s="3">
        <f t="shared" si="108"/>
        <v>11102.249207097637</v>
      </c>
      <c r="BI20" s="3">
        <f t="shared" si="108"/>
        <v>10991.22671502666</v>
      </c>
      <c r="BJ20" s="3">
        <f t="shared" si="108"/>
        <v>10881.314447876393</v>
      </c>
      <c r="BK20" s="3">
        <f t="shared" si="108"/>
        <v>10772.50130339763</v>
      </c>
      <c r="BL20" s="3">
        <f t="shared" si="108"/>
        <v>10664.776290363654</v>
      </c>
      <c r="BM20" s="3">
        <f t="shared" si="108"/>
        <v>10558.128527460018</v>
      </c>
      <c r="BN20" s="3">
        <f t="shared" si="108"/>
        <v>10452.547242185417</v>
      </c>
      <c r="BO20" s="3">
        <f t="shared" si="108"/>
        <v>10348.021769763563</v>
      </c>
      <c r="BP20" s="3">
        <f t="shared" si="108"/>
        <v>10244.541552065928</v>
      </c>
      <c r="BQ20" s="3">
        <f t="shared" si="108"/>
        <v>10142.096136545269</v>
      </c>
      <c r="BR20" s="3">
        <f t="shared" si="108"/>
        <v>10040.675175179817</v>
      </c>
      <c r="BS20" s="3">
        <f t="shared" si="108"/>
        <v>9940.2684234280187</v>
      </c>
      <c r="BT20" s="3">
        <f t="shared" si="108"/>
        <v>9840.8657391937377</v>
      </c>
      <c r="BU20" s="3">
        <f t="shared" si="108"/>
        <v>9742.4570818018001</v>
      </c>
      <c r="BV20" s="3">
        <f t="shared" si="108"/>
        <v>9645.0325109837813</v>
      </c>
      <c r="BW20" s="3">
        <f t="shared" si="108"/>
        <v>9548.5821858739437</v>
      </c>
      <c r="BX20" s="3">
        <f t="shared" si="108"/>
        <v>9453.096364015204</v>
      </c>
      <c r="BY20" s="3">
        <f t="shared" si="108"/>
        <v>9358.5654003750515</v>
      </c>
      <c r="BZ20" s="3">
        <f t="shared" si="108"/>
        <v>9264.9797463713003</v>
      </c>
      <c r="CA20" s="3">
        <f t="shared" si="108"/>
        <v>9172.3299489075871</v>
      </c>
      <c r="CB20" s="3">
        <f t="shared" si="108"/>
        <v>9080.6066494185106</v>
      </c>
      <c r="CC20" s="3">
        <f t="shared" si="108"/>
        <v>8989.8005829243248</v>
      </c>
      <c r="CD20" s="3">
        <f t="shared" si="108"/>
        <v>8899.9025770950811</v>
      </c>
      <c r="CE20" s="3">
        <f t="shared" si="108"/>
        <v>8810.9035513241306</v>
      </c>
      <c r="CF20" s="3">
        <f t="shared" si="108"/>
        <v>8722.7945158108887</v>
      </c>
      <c r="CG20" s="3">
        <f t="shared" si="108"/>
        <v>8635.5665706527798</v>
      </c>
      <c r="CH20" s="3">
        <f t="shared" si="108"/>
        <v>8549.2109049462524</v>
      </c>
      <c r="CI20" s="3">
        <f t="shared" si="108"/>
        <v>8463.7187958967897</v>
      </c>
      <c r="CJ20" s="3">
        <f t="shared" si="108"/>
        <v>8379.0816079378219</v>
      </c>
      <c r="CK20" s="3">
        <f t="shared" si="108"/>
        <v>8295.2907918584442</v>
      </c>
      <c r="CL20" s="3">
        <f t="shared" si="108"/>
        <v>8212.3378839398592</v>
      </c>
      <c r="CM20" s="3">
        <f t="shared" si="108"/>
        <v>8130.2145051004609</v>
      </c>
      <c r="CN20" s="3">
        <f t="shared" si="108"/>
        <v>8048.9123600494559</v>
      </c>
      <c r="CO20" s="3">
        <f t="shared" si="108"/>
        <v>7968.4232364489608</v>
      </c>
      <c r="CP20" s="3">
        <f t="shared" si="108"/>
        <v>7888.7390040844712</v>
      </c>
      <c r="CQ20" s="3">
        <f t="shared" si="108"/>
        <v>7809.8516140436268</v>
      </c>
      <c r="CR20" s="3">
        <f t="shared" si="108"/>
        <v>7731.7530979031908</v>
      </c>
      <c r="CS20" s="3">
        <f t="shared" si="108"/>
        <v>7654.4355669241586</v>
      </c>
      <c r="CT20" s="3">
        <f t="shared" si="108"/>
        <v>7577.8912112549169</v>
      </c>
      <c r="CU20" s="3">
        <f t="shared" si="108"/>
        <v>7502.1122991423681</v>
      </c>
      <c r="CV20" s="3">
        <f t="shared" si="108"/>
        <v>7427.0911761509442</v>
      </c>
      <c r="CW20" s="3">
        <f t="shared" si="108"/>
        <v>7352.8202643894347</v>
      </c>
      <c r="CX20" s="3">
        <f t="shared" si="108"/>
        <v>7279.2920617455402</v>
      </c>
      <c r="CY20" s="3">
        <f t="shared" si="108"/>
        <v>7206.4991411280844</v>
      </c>
      <c r="CZ20" s="3">
        <f t="shared" si="108"/>
        <v>7134.4341497168034</v>
      </c>
      <c r="DA20" s="3">
        <f t="shared" si="108"/>
        <v>7063.0898082196354</v>
      </c>
      <c r="DB20" s="3">
        <f t="shared" si="108"/>
        <v>6992.4589101374386</v>
      </c>
      <c r="DC20" s="3">
        <f t="shared" si="108"/>
        <v>6922.5343210360643</v>
      </c>
      <c r="DD20" s="3">
        <f t="shared" si="108"/>
        <v>6853.3089778257036</v>
      </c>
      <c r="DE20" s="3">
        <f t="shared" si="108"/>
        <v>6784.7758880474466</v>
      </c>
      <c r="DF20" s="3">
        <f t="shared" si="108"/>
        <v>6716.9281291669722</v>
      </c>
      <c r="DG20" s="3">
        <f t="shared" si="108"/>
        <v>6649.7588478753023</v>
      </c>
      <c r="DH20" s="3">
        <f t="shared" si="108"/>
        <v>6583.2612593965496</v>
      </c>
      <c r="DI20" s="3">
        <f t="shared" si="108"/>
        <v>6517.4286468025839</v>
      </c>
      <c r="DJ20" s="3">
        <f t="shared" si="108"/>
        <v>6452.2543603345584</v>
      </c>
      <c r="DK20" s="3">
        <f t="shared" si="108"/>
        <v>6387.7318167312123</v>
      </c>
      <c r="DL20" s="3">
        <f t="shared" si="108"/>
        <v>6323.8544985639001</v>
      </c>
      <c r="DM20" s="3">
        <f t="shared" si="108"/>
        <v>6260.6159535782608</v>
      </c>
      <c r="DN20" s="3">
        <f t="shared" si="108"/>
        <v>6198.0097940424785</v>
      </c>
      <c r="DO20" s="3">
        <f t="shared" ref="DO20:EB20" si="109">DN20*(1+$BD$26)</f>
        <v>6136.029696102054</v>
      </c>
      <c r="DP20" s="3">
        <f t="shared" si="109"/>
        <v>6074.6693991410339</v>
      </c>
      <c r="DQ20" s="3">
        <f t="shared" si="109"/>
        <v>6013.9227051496237</v>
      </c>
      <c r="DR20" s="3">
        <f t="shared" si="109"/>
        <v>5953.7834780981275</v>
      </c>
      <c r="DS20" s="3">
        <f t="shared" si="109"/>
        <v>5894.2456433171465</v>
      </c>
      <c r="DT20" s="3">
        <f t="shared" si="109"/>
        <v>5835.3031868839753</v>
      </c>
      <c r="DU20" s="3">
        <f t="shared" si="109"/>
        <v>5776.9501550151354</v>
      </c>
      <c r="DV20" s="3">
        <f t="shared" si="109"/>
        <v>5719.1806534649841</v>
      </c>
      <c r="DW20" s="3">
        <f t="shared" si="109"/>
        <v>5661.9888469303341</v>
      </c>
      <c r="DX20" s="3">
        <f t="shared" si="109"/>
        <v>5605.3689584610311</v>
      </c>
      <c r="DY20" s="3">
        <f t="shared" si="109"/>
        <v>5549.3152688764203</v>
      </c>
      <c r="DZ20" s="3">
        <f t="shared" si="109"/>
        <v>5493.8221161876563</v>
      </c>
      <c r="EA20" s="3">
        <f t="shared" si="109"/>
        <v>5438.8838950257796</v>
      </c>
      <c r="EB20" s="3">
        <f t="shared" si="109"/>
        <v>5384.4950560755215</v>
      </c>
    </row>
    <row r="21" spans="2:132" x14ac:dyDescent="0.3">
      <c r="B21" s="1" t="s">
        <v>12</v>
      </c>
      <c r="C21" s="6">
        <v>1069.8</v>
      </c>
      <c r="D21" s="6">
        <v>1069.8</v>
      </c>
      <c r="E21" s="6">
        <v>1069.8</v>
      </c>
      <c r="F21" s="6">
        <v>1069.8</v>
      </c>
      <c r="G21" s="6">
        <v>1069.8</v>
      </c>
      <c r="H21" s="6">
        <v>1069.8</v>
      </c>
      <c r="I21" s="6">
        <v>1069.8</v>
      </c>
      <c r="J21" s="6">
        <v>1069.8</v>
      </c>
      <c r="K21" s="6">
        <v>1069.8</v>
      </c>
      <c r="L21" s="6">
        <v>1069.8</v>
      </c>
      <c r="M21" s="6">
        <v>1069.8</v>
      </c>
      <c r="N21" s="6">
        <v>1069.8</v>
      </c>
      <c r="O21" s="6">
        <v>1069.8</v>
      </c>
      <c r="P21" s="6">
        <v>1069.8</v>
      </c>
      <c r="Q21" s="6">
        <v>1069.8</v>
      </c>
      <c r="R21" s="6">
        <v>1069.8</v>
      </c>
      <c r="S21" s="6">
        <v>1069.8</v>
      </c>
      <c r="T21" s="6">
        <v>1069.8</v>
      </c>
      <c r="U21" s="6">
        <v>1069.8</v>
      </c>
      <c r="V21" s="6">
        <v>1069.8</v>
      </c>
      <c r="W21" s="6">
        <v>1069.8</v>
      </c>
      <c r="X21" s="6">
        <v>1069.8</v>
      </c>
      <c r="Y21" s="6">
        <v>1069.8</v>
      </c>
      <c r="Z21" s="6">
        <v>1069.8</v>
      </c>
      <c r="AA21" s="6">
        <v>1038.4000000000001</v>
      </c>
      <c r="AB21" s="6">
        <v>1038.4000000000001</v>
      </c>
      <c r="AC21" s="6">
        <v>1013.6</v>
      </c>
      <c r="AD21" s="6">
        <v>1013.6</v>
      </c>
      <c r="AE21" s="6"/>
      <c r="AF21" s="6"/>
      <c r="AG21" s="6"/>
      <c r="AH21" s="6"/>
      <c r="AJ21" s="6">
        <v>1069.8</v>
      </c>
      <c r="AK21" s="6">
        <v>1069.8</v>
      </c>
      <c r="AL21" s="6">
        <v>1069.8</v>
      </c>
      <c r="AM21" s="6">
        <v>1038.4000000000001</v>
      </c>
      <c r="AN21" s="6">
        <v>1038.4000000000001</v>
      </c>
      <c r="AO21" s="6">
        <v>1038.4000000000001</v>
      </c>
      <c r="AP21" s="6">
        <v>1013.6</v>
      </c>
      <c r="AQ21" s="6">
        <v>1013.6</v>
      </c>
      <c r="AR21" s="6">
        <v>1013.6</v>
      </c>
      <c r="AS21" s="6">
        <v>1013.6</v>
      </c>
      <c r="AT21" s="6">
        <v>1013.6</v>
      </c>
      <c r="AU21" s="6">
        <v>1013.6</v>
      </c>
      <c r="AV21" s="6">
        <v>1013.6</v>
      </c>
      <c r="AW21" s="6">
        <v>1013.6</v>
      </c>
      <c r="AX21" s="6">
        <v>1013.6</v>
      </c>
      <c r="AY21" s="6">
        <v>1013.6</v>
      </c>
      <c r="AZ21" s="6">
        <v>1013.6</v>
      </c>
      <c r="BA21" s="6">
        <v>1013.6</v>
      </c>
    </row>
    <row r="22" spans="2:132" s="3" customFormat="1" x14ac:dyDescent="0.3">
      <c r="B22" s="3" t="s">
        <v>27</v>
      </c>
      <c r="C22" s="9">
        <f t="shared" ref="C22:L22" si="110">C20/C21</f>
        <v>2.124696204898112</v>
      </c>
      <c r="D22" s="9">
        <f t="shared" si="110"/>
        <v>1.6133856795662742</v>
      </c>
      <c r="E22" s="9">
        <f t="shared" si="110"/>
        <v>1.5787997756590018</v>
      </c>
      <c r="F22" s="9">
        <f t="shared" si="110"/>
        <v>1.4591512432230325</v>
      </c>
      <c r="G22" s="9">
        <f t="shared" si="110"/>
        <v>1.958309964479342</v>
      </c>
      <c r="H22" s="9">
        <f t="shared" si="110"/>
        <v>-1.2413535240231819</v>
      </c>
      <c r="I22" s="9">
        <f t="shared" si="110"/>
        <v>1.6068424004486821</v>
      </c>
      <c r="J22" s="9">
        <f t="shared" si="110"/>
        <v>-0.10188820340250515</v>
      </c>
      <c r="K22" s="9">
        <f t="shared" si="110"/>
        <v>8.7866891007664982E-2</v>
      </c>
      <c r="L22" s="9">
        <f t="shared" si="110"/>
        <v>-1.870443073471677</v>
      </c>
      <c r="M22" s="9">
        <f t="shared" ref="M22:N22" si="111">M20/M21</f>
        <v>1.9153112731351656</v>
      </c>
      <c r="N22" s="9">
        <f t="shared" si="111"/>
        <v>3.2576182464011967</v>
      </c>
      <c r="O22" s="9">
        <f t="shared" ref="O22:P22" si="112">O20/O21</f>
        <v>3.1660123387549075</v>
      </c>
      <c r="P22" s="9">
        <f t="shared" si="112"/>
        <v>2.8351093662366798</v>
      </c>
      <c r="Q22" s="9">
        <f t="shared" ref="Q22:R22" si="113">Q20/Q21</f>
        <v>1.7395774911198356</v>
      </c>
      <c r="R22" s="9">
        <f t="shared" si="113"/>
        <v>2.2237801458216491</v>
      </c>
      <c r="S22" s="9">
        <f t="shared" ref="S22:T22" si="114">S20/S21</f>
        <v>3.2622920171994765</v>
      </c>
      <c r="T22" s="9">
        <f t="shared" si="114"/>
        <v>2.9042811740512247</v>
      </c>
      <c r="U22" s="9">
        <f t="shared" ref="U22:V22" si="115">U20/U21</f>
        <v>3.6670405683305294</v>
      </c>
      <c r="V22" s="9">
        <f t="shared" si="115"/>
        <v>3.721256309590578</v>
      </c>
      <c r="W22" s="9">
        <f t="shared" ref="W22:X22" si="116">W20/W21</f>
        <v>3.6876051598429616</v>
      </c>
      <c r="X22" s="9">
        <f t="shared" si="116"/>
        <v>3.3305290708543653</v>
      </c>
      <c r="Y22" s="9">
        <f t="shared" ref="Y22:AA22" si="117">Y20/Y21</f>
        <v>3.3987661245092542</v>
      </c>
      <c r="Z22" s="9">
        <f t="shared" ref="Z22" si="118">Z20/Z21</f>
        <v>2.9136287156477847</v>
      </c>
      <c r="AA22" s="9">
        <f t="shared" si="117"/>
        <v>2.8640215716486899</v>
      </c>
      <c r="AB22" s="9">
        <f t="shared" ref="AB22:AD22" si="119">AB20/AB21</f>
        <v>2.9044684129429887</v>
      </c>
      <c r="AC22" s="9">
        <f t="shared" si="119"/>
        <v>1.7097474348855564</v>
      </c>
      <c r="AD22" s="9">
        <f t="shared" si="119"/>
        <v>2.7032359905288081</v>
      </c>
      <c r="AE22" s="9"/>
      <c r="AF22" s="9"/>
      <c r="AG22" s="9"/>
      <c r="AH22" s="9"/>
      <c r="AJ22" s="9">
        <f>AJ20/AJ21</f>
        <v>6.7760329033464206</v>
      </c>
      <c r="AK22" s="9">
        <f>AK20/AK21</f>
        <v>2.221910637502337</v>
      </c>
      <c r="AL22" s="9">
        <f>AL20/AL21</f>
        <v>3.3903533370723502</v>
      </c>
      <c r="AM22" s="9">
        <f t="shared" ref="AM22" si="120">AM20/AM21</f>
        <v>10.265793528505393</v>
      </c>
      <c r="AN22" s="9">
        <f t="shared" ref="AN22:AV22" si="121">AN20/AN21</f>
        <v>13.964753466872109</v>
      </c>
      <c r="AO22" s="9">
        <f t="shared" ref="AO22:AP22" si="122">AO20/AO21</f>
        <v>13.733628659476116</v>
      </c>
      <c r="AP22" s="9">
        <f t="shared" si="122"/>
        <v>10.070047355958957</v>
      </c>
      <c r="AQ22" s="9">
        <f t="shared" si="121"/>
        <v>11.134054191002365</v>
      </c>
      <c r="AR22" s="9">
        <f t="shared" si="121"/>
        <v>11.119780494554059</v>
      </c>
      <c r="AS22" s="9">
        <f t="shared" si="121"/>
        <v>11.163077400999207</v>
      </c>
      <c r="AT22" s="9">
        <f t="shared" si="121"/>
        <v>11.205156961553795</v>
      </c>
      <c r="AU22" s="9">
        <f t="shared" si="121"/>
        <v>11.245959954345842</v>
      </c>
      <c r="AV22" s="9">
        <f t="shared" si="121"/>
        <v>11.330482862835623</v>
      </c>
      <c r="AW22" s="9">
        <f t="shared" ref="AW22:BA22" si="123">AW20/AW21</f>
        <v>11.41495575476068</v>
      </c>
      <c r="AX22" s="9">
        <f t="shared" si="123"/>
        <v>11.499344025294238</v>
      </c>
      <c r="AY22" s="9">
        <f t="shared" si="123"/>
        <v>11.583611250255945</v>
      </c>
      <c r="AZ22" s="9">
        <f t="shared" si="123"/>
        <v>11.66771909945485</v>
      </c>
      <c r="BA22" s="9">
        <f t="shared" si="123"/>
        <v>11.751627245863631</v>
      </c>
    </row>
    <row r="24" spans="2:132" x14ac:dyDescent="0.3">
      <c r="B24" s="3" t="s">
        <v>31</v>
      </c>
      <c r="C24" s="3"/>
      <c r="D24" s="3"/>
      <c r="E24" s="3"/>
      <c r="F24" s="3"/>
      <c r="G24" s="10">
        <f t="shared" ref="G24:N24" si="124">G3/C3-1</f>
        <v>-2.1867538016840937E-3</v>
      </c>
      <c r="H24" s="10">
        <f t="shared" si="124"/>
        <v>4.6471685150652586E-2</v>
      </c>
      <c r="I24" s="10">
        <f t="shared" si="124"/>
        <v>7.6073711173559433E-2</v>
      </c>
      <c r="J24" s="10">
        <f t="shared" si="124"/>
        <v>1.1092040334692133E-2</v>
      </c>
      <c r="K24" s="10">
        <f t="shared" si="124"/>
        <v>-6.2345710111340602E-2</v>
      </c>
      <c r="L24" s="10">
        <f t="shared" si="124"/>
        <v>-0.29228604923798363</v>
      </c>
      <c r="M24" s="10">
        <f t="shared" si="124"/>
        <v>-6.9077883059856737E-2</v>
      </c>
      <c r="N24" s="10">
        <f t="shared" si="124"/>
        <v>-1.0736944851146846E-2</v>
      </c>
      <c r="O24" s="10"/>
      <c r="P24" s="10"/>
      <c r="Q24" s="10"/>
      <c r="R24" s="10"/>
      <c r="S24" s="10">
        <f t="shared" ref="S24:AD24" si="125">S3/O3-1</f>
        <v>6.0093668268353495E-2</v>
      </c>
      <c r="T24" s="10">
        <f t="shared" si="125"/>
        <v>6.7870120736138739E-2</v>
      </c>
      <c r="U24" s="10">
        <f t="shared" si="125"/>
        <v>0.19177173191771724</v>
      </c>
      <c r="V24" s="10">
        <f t="shared" si="125"/>
        <v>0.16353575482406346</v>
      </c>
      <c r="W24" s="10">
        <f t="shared" si="125"/>
        <v>7.6252223305984357E-2</v>
      </c>
      <c r="X24" s="10">
        <f t="shared" si="125"/>
        <v>4.9423710208561955E-2</v>
      </c>
      <c r="Y24" s="10">
        <f t="shared" si="125"/>
        <v>-1.3681196309258681E-2</v>
      </c>
      <c r="Z24" s="10">
        <f t="shared" si="125"/>
        <v>-1.8096236860717485E-2</v>
      </c>
      <c r="AA24" s="10">
        <f t="shared" si="125"/>
        <v>-4.3794647617016791E-2</v>
      </c>
      <c r="AB24" s="10">
        <f t="shared" si="125"/>
        <v>-3.9172615778876096E-2</v>
      </c>
      <c r="AC24" s="10">
        <f t="shared" si="125"/>
        <v>-7.1827956989247266E-2</v>
      </c>
      <c r="AD24" s="10">
        <f t="shared" si="125"/>
        <v>-4.498149574029453E-2</v>
      </c>
      <c r="AE24" s="10"/>
      <c r="AF24" s="10"/>
      <c r="AG24" s="10"/>
      <c r="AH24" s="10"/>
      <c r="AI24" s="3"/>
      <c r="AJ24" s="3"/>
      <c r="AK24" s="10">
        <f>AK3/AJ3-1</f>
        <v>3.2163812573941408E-2</v>
      </c>
      <c r="AL24" s="10">
        <f>AL3/AK3-1</f>
        <v>-0.106723783611682</v>
      </c>
      <c r="AM24" s="10"/>
      <c r="AN24" s="10">
        <f t="shared" ref="AN24:AW24" si="126">AN3/AM3-1</f>
        <v>0.12042451808533672</v>
      </c>
      <c r="AO24" s="10">
        <f t="shared" si="126"/>
        <v>2.1337581740735967E-2</v>
      </c>
      <c r="AP24" s="10">
        <f t="shared" si="126"/>
        <v>-4.9759166677544431E-2</v>
      </c>
      <c r="AQ24" s="10">
        <f t="shared" si="126"/>
        <v>-2.0000000000000018E-2</v>
      </c>
      <c r="AR24" s="10">
        <f t="shared" si="126"/>
        <v>1.0000000000000009E-2</v>
      </c>
      <c r="AS24" s="10">
        <f t="shared" si="126"/>
        <v>1.0000000000000009E-2</v>
      </c>
      <c r="AT24" s="10">
        <f t="shared" si="126"/>
        <v>1.0000000000000009E-2</v>
      </c>
      <c r="AU24" s="10">
        <f t="shared" si="126"/>
        <v>1.0000000000000009E-2</v>
      </c>
      <c r="AV24" s="10">
        <f t="shared" si="126"/>
        <v>1.0000000000000009E-2</v>
      </c>
      <c r="AW24" s="10">
        <f t="shared" si="126"/>
        <v>1.0000000000000009E-2</v>
      </c>
      <c r="AX24" s="10">
        <f t="shared" ref="AX24:BA24" si="127">AX3/AW3-1</f>
        <v>1.0000000000000009E-2</v>
      </c>
      <c r="AY24" s="10">
        <f t="shared" si="127"/>
        <v>1.0000000000000009E-2</v>
      </c>
      <c r="AZ24" s="10">
        <f t="shared" si="127"/>
        <v>1.0000000000000009E-2</v>
      </c>
      <c r="BA24" s="10">
        <f t="shared" si="127"/>
        <v>1.0000000000000009E-2</v>
      </c>
    </row>
    <row r="25" spans="2:132" x14ac:dyDescent="0.3">
      <c r="B25" s="3" t="s">
        <v>29</v>
      </c>
      <c r="C25" s="10">
        <f t="shared" ref="C25:Q25" si="128">C5/C3</f>
        <v>0.21679024758074653</v>
      </c>
      <c r="D25" s="10">
        <f t="shared" si="128"/>
        <v>0.20242418294238884</v>
      </c>
      <c r="E25" s="10">
        <f t="shared" si="128"/>
        <v>0.19805525851135261</v>
      </c>
      <c r="F25" s="10">
        <f t="shared" si="128"/>
        <v>0.17652864192233425</v>
      </c>
      <c r="G25" s="10">
        <f t="shared" si="128"/>
        <v>0.19071489747594336</v>
      </c>
      <c r="H25" s="10">
        <f t="shared" si="128"/>
        <v>0.13003516998827666</v>
      </c>
      <c r="I25" s="10">
        <f t="shared" si="128"/>
        <v>0.20046221400508435</v>
      </c>
      <c r="J25" s="10">
        <f t="shared" si="128"/>
        <v>0.15647081290979692</v>
      </c>
      <c r="K25" s="10">
        <f t="shared" si="128"/>
        <v>0.15342664481637697</v>
      </c>
      <c r="L25" s="10">
        <f t="shared" si="128"/>
        <v>8.9285714285714288E-2</v>
      </c>
      <c r="M25" s="10">
        <f t="shared" si="128"/>
        <v>0.18810357240386286</v>
      </c>
      <c r="N25" s="10">
        <f t="shared" si="128"/>
        <v>0.20602303682889686</v>
      </c>
      <c r="O25" s="10">
        <f t="shared" si="128"/>
        <v>0.22462137339577884</v>
      </c>
      <c r="P25" s="10">
        <f t="shared" si="128"/>
        <v>0.23156722541319893</v>
      </c>
      <c r="Q25" s="10">
        <f t="shared" si="128"/>
        <v>0.21215281069295669</v>
      </c>
      <c r="R25" s="10">
        <f t="shared" ref="R25:AD25" si="129">R5/R3</f>
        <v>0.24611237230419977</v>
      </c>
      <c r="S25" s="10">
        <f t="shared" si="129"/>
        <v>0.22846979172643295</v>
      </c>
      <c r="T25" s="10">
        <f t="shared" si="129"/>
        <v>0.23331503841931944</v>
      </c>
      <c r="U25" s="10">
        <f t="shared" si="129"/>
        <v>0.23284547672075512</v>
      </c>
      <c r="V25" s="10">
        <f t="shared" si="129"/>
        <v>0.21393556569031535</v>
      </c>
      <c r="W25" s="10">
        <f t="shared" si="129"/>
        <v>0.25189252585563493</v>
      </c>
      <c r="X25" s="10">
        <f t="shared" si="129"/>
        <v>0.23422504641615022</v>
      </c>
      <c r="Y25" s="10">
        <f t="shared" si="129"/>
        <v>0.21596774193548388</v>
      </c>
      <c r="Z25" s="10">
        <f t="shared" si="129"/>
        <v>0.19716350810958497</v>
      </c>
      <c r="AA25" s="10">
        <f t="shared" si="129"/>
        <v>0.19808769826889305</v>
      </c>
      <c r="AB25" s="10">
        <f t="shared" si="129"/>
        <v>0.21293851890155949</v>
      </c>
      <c r="AC25" s="10">
        <f t="shared" si="129"/>
        <v>0.17991195551436515</v>
      </c>
      <c r="AD25" s="10">
        <f t="shared" si="129"/>
        <v>0.2</v>
      </c>
      <c r="AE25" s="10"/>
      <c r="AF25" s="10"/>
      <c r="AG25" s="10"/>
      <c r="AH25" s="10"/>
      <c r="AJ25" s="10">
        <f t="shared" ref="AJ25:AW25" si="130">AJ5/AJ3</f>
        <v>0.19757770581135503</v>
      </c>
      <c r="AK25" s="10">
        <f t="shared" si="130"/>
        <v>0.16883267243624997</v>
      </c>
      <c r="AL25" s="10">
        <f t="shared" si="130"/>
        <v>0.16582312114005016</v>
      </c>
      <c r="AM25" s="10">
        <f t="shared" si="130"/>
        <v>0.22910084918554369</v>
      </c>
      <c r="AN25" s="10">
        <f t="shared" si="130"/>
        <v>0.22677429891278988</v>
      </c>
      <c r="AO25" s="10">
        <f t="shared" si="130"/>
        <v>0.22437964207860694</v>
      </c>
      <c r="AP25" s="10">
        <f t="shared" si="130"/>
        <v>0.19627182438836765</v>
      </c>
      <c r="AQ25" s="10">
        <f t="shared" si="130"/>
        <v>0.21</v>
      </c>
      <c r="AR25" s="10">
        <f t="shared" si="130"/>
        <v>0.21</v>
      </c>
      <c r="AS25" s="10">
        <f t="shared" si="130"/>
        <v>0.21</v>
      </c>
      <c r="AT25" s="10">
        <f t="shared" si="130"/>
        <v>0.21</v>
      </c>
      <c r="AU25" s="10">
        <f t="shared" si="130"/>
        <v>0.21</v>
      </c>
      <c r="AV25" s="10">
        <f t="shared" si="130"/>
        <v>0.21</v>
      </c>
      <c r="AW25" s="10">
        <f t="shared" si="130"/>
        <v>0.21</v>
      </c>
      <c r="AX25" s="10">
        <f t="shared" ref="AX25:BA25" si="131">AX5/AX3</f>
        <v>0.21</v>
      </c>
      <c r="AY25" s="10">
        <f t="shared" si="131"/>
        <v>0.21</v>
      </c>
      <c r="AZ25" s="10">
        <f t="shared" si="131"/>
        <v>0.20999999999999996</v>
      </c>
      <c r="BA25" s="10">
        <f t="shared" si="131"/>
        <v>0.21</v>
      </c>
    </row>
    <row r="26" spans="2:132" x14ac:dyDescent="0.3">
      <c r="B26" s="3" t="s">
        <v>30</v>
      </c>
      <c r="C26" s="10">
        <f t="shared" ref="C26:Q26" si="132">C14/C3</f>
        <v>8.3725021993213522E-2</v>
      </c>
      <c r="D26" s="10">
        <f t="shared" si="132"/>
        <v>6.4677593483168122E-2</v>
      </c>
      <c r="E26" s="10">
        <f t="shared" si="132"/>
        <v>6.1799010221083785E-2</v>
      </c>
      <c r="F26" s="10">
        <f t="shared" si="132"/>
        <v>5.7176571551169279E-2</v>
      </c>
      <c r="G26" s="10">
        <f t="shared" si="132"/>
        <v>7.0482140158194373E-2</v>
      </c>
      <c r="H26" s="10">
        <f t="shared" si="132"/>
        <v>-3.6529894490035172E-2</v>
      </c>
      <c r="I26" s="10">
        <f t="shared" si="132"/>
        <v>6.2167783683845623E-2</v>
      </c>
      <c r="J26" s="10">
        <f t="shared" si="132"/>
        <v>8.1269760434570411E-3</v>
      </c>
      <c r="K26" s="10">
        <f t="shared" si="132"/>
        <v>1.6575773043548344E-2</v>
      </c>
      <c r="L26" s="10">
        <f t="shared" si="132"/>
        <v>-5.5724887357540422E-2</v>
      </c>
      <c r="M26" s="10">
        <f t="shared" si="132"/>
        <v>7.6214592487773389E-2</v>
      </c>
      <c r="N26" s="10">
        <f t="shared" si="132"/>
        <v>9.8625083117050261E-2</v>
      </c>
      <c r="O26" s="10">
        <f t="shared" si="132"/>
        <v>0.14296575634085518</v>
      </c>
      <c r="P26" s="10">
        <f t="shared" si="132"/>
        <v>0.12817958035400304</v>
      </c>
      <c r="Q26" s="10">
        <f t="shared" si="132"/>
        <v>8.9676746611053182E-2</v>
      </c>
      <c r="R26" s="10">
        <f t="shared" ref="R26:AD26" si="133">R14/R3</f>
        <v>0.11677071509648126</v>
      </c>
      <c r="S26" s="10">
        <f t="shared" si="133"/>
        <v>0.15000860634574559</v>
      </c>
      <c r="T26" s="10">
        <f t="shared" si="133"/>
        <v>0.12683863885839736</v>
      </c>
      <c r="U26" s="10">
        <f t="shared" si="133"/>
        <v>0.13776646516067451</v>
      </c>
      <c r="V26" s="10">
        <f t="shared" si="133"/>
        <v>0.1319659537107041</v>
      </c>
      <c r="W26" s="10">
        <f t="shared" si="133"/>
        <v>0.14671073675231902</v>
      </c>
      <c r="X26" s="10">
        <f t="shared" si="133"/>
        <v>0.13043591956277295</v>
      </c>
      <c r="Y26" s="10">
        <f t="shared" si="133"/>
        <v>0.13016129032258064</v>
      </c>
      <c r="Z26" s="10">
        <f t="shared" si="133"/>
        <v>0.10744889595390079</v>
      </c>
      <c r="AA26" s="10">
        <f t="shared" si="133"/>
        <v>0.10768544587851588</v>
      </c>
      <c r="AB26" s="10">
        <f t="shared" si="133"/>
        <v>0.10987126799662521</v>
      </c>
      <c r="AC26" s="10">
        <f t="shared" si="133"/>
        <v>7.2897358665430956E-2</v>
      </c>
      <c r="AD26" s="10">
        <f t="shared" si="133"/>
        <v>8.9414824447334201E-2</v>
      </c>
      <c r="AE26" s="10"/>
      <c r="AF26" s="10"/>
      <c r="AG26" s="10"/>
      <c r="AH26" s="10"/>
      <c r="AJ26" s="10">
        <f t="shared" ref="AJ26:AW26" si="134">AJ14/AJ3</f>
        <v>6.6424875419748813E-2</v>
      </c>
      <c r="AK26" s="10">
        <f t="shared" si="134"/>
        <v>2.4967437552461721E-2</v>
      </c>
      <c r="AL26" s="10">
        <f t="shared" si="134"/>
        <v>4.2790763986546472E-2</v>
      </c>
      <c r="AM26" s="10">
        <f t="shared" si="134"/>
        <v>0.11970752765267788</v>
      </c>
      <c r="AN26" s="10">
        <f t="shared" si="134"/>
        <v>0.13637121126272356</v>
      </c>
      <c r="AO26" s="10">
        <f t="shared" si="134"/>
        <v>0.1283139056768787</v>
      </c>
      <c r="AP26" s="10">
        <f t="shared" si="134"/>
        <v>9.3403574323117716E-2</v>
      </c>
      <c r="AQ26" s="10">
        <f t="shared" si="134"/>
        <v>0.10801491735614804</v>
      </c>
      <c r="AR26" s="10">
        <f t="shared" si="134"/>
        <v>0.10684450281701184</v>
      </c>
      <c r="AS26" s="10">
        <f t="shared" si="134"/>
        <v>0.10624770728468004</v>
      </c>
      <c r="AT26" s="10">
        <f t="shared" si="134"/>
        <v>0.10564500288569149</v>
      </c>
      <c r="AU26" s="10">
        <f t="shared" si="134"/>
        <v>0.10503633111641589</v>
      </c>
      <c r="AV26" s="10">
        <f t="shared" si="134"/>
        <v>0.10484462168189347</v>
      </c>
      <c r="AW26" s="10">
        <f t="shared" si="134"/>
        <v>0.10465101413415795</v>
      </c>
      <c r="AX26" s="10">
        <f t="shared" ref="AX26:BA26" si="135">AX14/AX3</f>
        <v>0.10445548968000919</v>
      </c>
      <c r="AY26" s="10">
        <f t="shared" si="135"/>
        <v>0.10425802934017578</v>
      </c>
      <c r="AZ26" s="10">
        <f t="shared" si="135"/>
        <v>0.10405861394747275</v>
      </c>
      <c r="BA26" s="10">
        <f t="shared" si="135"/>
        <v>0.10385722414494097</v>
      </c>
      <c r="BC26" s="1" t="s">
        <v>32</v>
      </c>
      <c r="BD26" s="11">
        <v>-0.01</v>
      </c>
    </row>
    <row r="27" spans="2:132" x14ac:dyDescent="0.3">
      <c r="B27" s="1" t="s">
        <v>68</v>
      </c>
      <c r="C27" s="11">
        <f>C6/C3</f>
        <v>7.7843408319718491E-2</v>
      </c>
      <c r="D27" s="11">
        <f t="shared" ref="D27:Q27" si="136">D6/D3</f>
        <v>7.9816468740798896E-2</v>
      </c>
      <c r="E27" s="11">
        <f t="shared" si="136"/>
        <v>7.9356395016289077E-2</v>
      </c>
      <c r="F27" s="11">
        <f t="shared" si="136"/>
        <v>7.5649002360008585E-2</v>
      </c>
      <c r="G27" s="11">
        <f t="shared" si="136"/>
        <v>7.9374275782155279E-2</v>
      </c>
      <c r="H27" s="11">
        <f t="shared" si="136"/>
        <v>7.2028135990621342E-2</v>
      </c>
      <c r="I27" s="11">
        <f t="shared" si="136"/>
        <v>7.2475155997226717E-2</v>
      </c>
      <c r="J27" s="11">
        <f t="shared" si="136"/>
        <v>7.303668809811785E-2</v>
      </c>
      <c r="K27" s="11">
        <f t="shared" si="136"/>
        <v>7.7613303602611289E-2</v>
      </c>
      <c r="L27" s="11">
        <f t="shared" si="136"/>
        <v>8.1566392790882583E-2</v>
      </c>
      <c r="M27" s="11">
        <f t="shared" si="136"/>
        <v>5.8687718775601402E-2</v>
      </c>
      <c r="N27" s="11">
        <f t="shared" si="136"/>
        <v>7.1705883614680083E-2</v>
      </c>
      <c r="O27" s="11">
        <f t="shared" si="136"/>
        <v>6.7362082598382098E-2</v>
      </c>
      <c r="P27" s="11">
        <f t="shared" si="136"/>
        <v>6.5789473684210523E-2</v>
      </c>
      <c r="Q27" s="11">
        <f t="shared" si="136"/>
        <v>6.9485259266281157E-2</v>
      </c>
      <c r="R27" s="11">
        <f t="shared" ref="R27:AD27" si="137">R6/R3</f>
        <v>7.193530079455164E-2</v>
      </c>
      <c r="S27" s="11">
        <f t="shared" si="137"/>
        <v>6.383039761317344E-2</v>
      </c>
      <c r="T27" s="11">
        <f t="shared" si="137"/>
        <v>6.6026344676180015E-2</v>
      </c>
      <c r="U27" s="11">
        <f t="shared" si="137"/>
        <v>6.5118252200657548E-2</v>
      </c>
      <c r="V27" s="11">
        <f t="shared" si="137"/>
        <v>5.841036021754506E-2</v>
      </c>
      <c r="W27" s="11">
        <f t="shared" si="137"/>
        <v>6.2746561467107373E-2</v>
      </c>
      <c r="X27" s="11">
        <f t="shared" si="137"/>
        <v>6.5950158207159854E-2</v>
      </c>
      <c r="Y27" s="11">
        <f t="shared" si="137"/>
        <v>6.3655913978494627E-2</v>
      </c>
      <c r="Z27" s="11">
        <f t="shared" si="137"/>
        <v>6.1697424306400732E-2</v>
      </c>
      <c r="AA27" s="11">
        <f t="shared" si="137"/>
        <v>6.536949795110529E-2</v>
      </c>
      <c r="AB27" s="11">
        <f t="shared" si="137"/>
        <v>6.6434422883270283E-2</v>
      </c>
      <c r="AC27" s="11">
        <f t="shared" si="137"/>
        <v>6.2065569972196477E-2</v>
      </c>
      <c r="AD27" s="11">
        <f t="shared" si="137"/>
        <v>7.9687906371911574E-2</v>
      </c>
      <c r="AE27" s="11"/>
      <c r="AF27" s="11"/>
      <c r="AG27" s="11"/>
      <c r="AH27" s="11"/>
      <c r="AJ27" s="11">
        <f t="shared" ref="AJ27:AW27" si="138">AJ6/AJ3</f>
        <v>7.8076265819003121E-2</v>
      </c>
      <c r="AK27" s="11">
        <f t="shared" si="138"/>
        <v>7.4103447277779386E-2</v>
      </c>
      <c r="AL27" s="11">
        <f t="shared" si="138"/>
        <v>7.1661406658069193E-2</v>
      </c>
      <c r="AM27" s="11">
        <f t="shared" si="138"/>
        <v>6.8666771227771428E-2</v>
      </c>
      <c r="AN27" s="11">
        <f t="shared" si="138"/>
        <v>6.3206169967403691E-2</v>
      </c>
      <c r="AO27" s="11">
        <f t="shared" si="138"/>
        <v>6.3491234711326339E-2</v>
      </c>
      <c r="AP27" s="11">
        <f t="shared" si="138"/>
        <v>6.8636070167726687E-2</v>
      </c>
      <c r="AQ27" s="11">
        <f t="shared" si="138"/>
        <v>6.5000000000000002E-2</v>
      </c>
      <c r="AR27" s="11">
        <f t="shared" si="138"/>
        <v>6.5000000000000002E-2</v>
      </c>
      <c r="AS27" s="11">
        <f t="shared" si="138"/>
        <v>6.5000000000000002E-2</v>
      </c>
      <c r="AT27" s="11">
        <f t="shared" si="138"/>
        <v>6.5000000000000002E-2</v>
      </c>
      <c r="AU27" s="11">
        <f t="shared" si="138"/>
        <v>6.5000000000000002E-2</v>
      </c>
      <c r="AV27" s="11">
        <f t="shared" si="138"/>
        <v>6.5000000000000002E-2</v>
      </c>
      <c r="AW27" s="11">
        <f t="shared" si="138"/>
        <v>6.5000000000000002E-2</v>
      </c>
      <c r="AX27" s="11">
        <f t="shared" ref="AX27:BA27" si="139">AX6/AX3</f>
        <v>6.5000000000000002E-2</v>
      </c>
      <c r="AY27" s="11">
        <f t="shared" si="139"/>
        <v>6.5000000000000002E-2</v>
      </c>
      <c r="AZ27" s="11">
        <f t="shared" si="139"/>
        <v>6.5000000000000002E-2</v>
      </c>
      <c r="BA27" s="11">
        <f t="shared" si="139"/>
        <v>6.5000000000000002E-2</v>
      </c>
      <c r="BC27" s="1" t="s">
        <v>33</v>
      </c>
      <c r="BD27" s="11">
        <v>0.08</v>
      </c>
    </row>
    <row r="28" spans="2:132" s="3" customFormat="1" x14ac:dyDescent="0.3">
      <c r="B28" s="1" t="s">
        <v>69</v>
      </c>
      <c r="C28" s="1"/>
      <c r="D28" s="1"/>
      <c r="E28" s="1"/>
      <c r="F28" s="1"/>
      <c r="G28" s="11">
        <f t="shared" ref="G28:N29" si="140">G7/C7-1</f>
        <v>4.9433573635427441E-2</v>
      </c>
      <c r="H28" s="11">
        <f t="shared" si="140"/>
        <v>1.0362694300518172E-2</v>
      </c>
      <c r="I28" s="11">
        <f t="shared" si="140"/>
        <v>5.4564533053515163E-2</v>
      </c>
      <c r="J28" s="11">
        <f t="shared" si="140"/>
        <v>-8.3696599825632045E-2</v>
      </c>
      <c r="K28" s="11">
        <f t="shared" si="140"/>
        <v>-9.7154072620215914E-2</v>
      </c>
      <c r="L28" s="11">
        <f t="shared" si="140"/>
        <v>-0.17128205128205132</v>
      </c>
      <c r="M28" s="11">
        <f t="shared" si="140"/>
        <v>-0.11641791044776117</v>
      </c>
      <c r="N28" s="11">
        <f t="shared" si="140"/>
        <v>-0.12654614652711704</v>
      </c>
      <c r="O28" s="11"/>
      <c r="P28" s="11"/>
      <c r="Q28" s="11"/>
      <c r="R28" s="11"/>
      <c r="S28" s="11">
        <f t="shared" ref="S28:AD28" si="141">S7/O7-1</f>
        <v>-0.10162002945508097</v>
      </c>
      <c r="T28" s="11">
        <f t="shared" si="141"/>
        <v>-9.3701996927803344E-2</v>
      </c>
      <c r="U28" s="11">
        <f t="shared" si="141"/>
        <v>-0.13154172560113153</v>
      </c>
      <c r="V28" s="11">
        <f t="shared" si="141"/>
        <v>-1.2970168612191912E-3</v>
      </c>
      <c r="W28" s="11">
        <f t="shared" si="141"/>
        <v>0.16721311475409828</v>
      </c>
      <c r="X28" s="11">
        <f t="shared" si="141"/>
        <v>0.18813559322033901</v>
      </c>
      <c r="Y28" s="11">
        <f t="shared" si="141"/>
        <v>-1.3029315960912058E-2</v>
      </c>
      <c r="Z28" s="11">
        <f t="shared" si="141"/>
        <v>-0.13116883116883116</v>
      </c>
      <c r="AA28" s="11">
        <f t="shared" si="141"/>
        <v>5.6179775280897903E-3</v>
      </c>
      <c r="AB28" s="11">
        <f t="shared" si="141"/>
        <v>-0.11697574893009988</v>
      </c>
      <c r="AC28" s="11">
        <f t="shared" si="141"/>
        <v>6.6006600660066805E-3</v>
      </c>
      <c r="AD28" s="11">
        <f t="shared" si="141"/>
        <v>-0.12705530642750373</v>
      </c>
      <c r="AE28" s="11"/>
      <c r="AF28" s="11"/>
      <c r="AG28" s="11"/>
      <c r="AH28" s="11"/>
      <c r="AI28" s="1"/>
      <c r="AJ28" s="1"/>
      <c r="AK28" s="11">
        <f>AK7/AJ7-1</f>
        <v>3.4687809712585782E-3</v>
      </c>
      <c r="AL28" s="11">
        <f>AL7/AK7-1</f>
        <v>-0.12740740740740741</v>
      </c>
      <c r="AM28" s="11"/>
      <c r="AN28" s="11">
        <f t="shared" ref="AN28:AW28" si="142">AN7/AM7-1</f>
        <v>-7.9772079772079785E-2</v>
      </c>
      <c r="AO28" s="11">
        <f t="shared" si="142"/>
        <v>4.0247678018575872E-2</v>
      </c>
      <c r="AP28" s="11">
        <f t="shared" si="142"/>
        <v>-5.9151785714285698E-2</v>
      </c>
      <c r="AQ28" s="11">
        <f t="shared" si="142"/>
        <v>4.0000000000000036E-2</v>
      </c>
      <c r="AR28" s="11">
        <f t="shared" si="142"/>
        <v>3.0000000000000027E-2</v>
      </c>
      <c r="AS28" s="11">
        <f t="shared" si="142"/>
        <v>2.0000000000000018E-2</v>
      </c>
      <c r="AT28" s="11">
        <f t="shared" si="142"/>
        <v>2.0000000000000018E-2</v>
      </c>
      <c r="AU28" s="11">
        <f t="shared" si="142"/>
        <v>2.0000000000000018E-2</v>
      </c>
      <c r="AV28" s="11">
        <f t="shared" si="142"/>
        <v>2.0000000000000018E-2</v>
      </c>
      <c r="AW28" s="11">
        <f t="shared" si="142"/>
        <v>2.0000000000000018E-2</v>
      </c>
      <c r="AX28" s="11">
        <f t="shared" ref="AX28:BA28" si="143">AX7/AW7-1</f>
        <v>2.0000000000000018E-2</v>
      </c>
      <c r="AY28" s="11">
        <f t="shared" si="143"/>
        <v>2.0000000000000018E-2</v>
      </c>
      <c r="AZ28" s="11">
        <f t="shared" si="143"/>
        <v>2.0000000000000018E-2</v>
      </c>
      <c r="BA28" s="11">
        <f t="shared" si="143"/>
        <v>2.0000000000000018E-2</v>
      </c>
      <c r="BC28" s="1" t="s">
        <v>34</v>
      </c>
      <c r="BD28" s="6">
        <f>NPV(BD27,AQ20:EB20)</f>
        <v>138082.99757655308</v>
      </c>
    </row>
    <row r="29" spans="2:132" x14ac:dyDescent="0.3">
      <c r="B29" s="1" t="s">
        <v>51</v>
      </c>
      <c r="G29" s="11">
        <f t="shared" si="140"/>
        <v>-4.6728971962616273E-3</v>
      </c>
      <c r="H29" s="11">
        <f t="shared" si="140"/>
        <v>-3.1481481481481444E-2</v>
      </c>
      <c r="I29" s="11">
        <f t="shared" si="140"/>
        <v>-6.1971830985915188E-3</v>
      </c>
      <c r="J29" s="11">
        <f t="shared" si="140"/>
        <v>5.0881953867028429E-2</v>
      </c>
      <c r="K29" s="11">
        <f t="shared" si="140"/>
        <v>1.0563380281690238E-2</v>
      </c>
      <c r="L29" s="11">
        <f t="shared" si="140"/>
        <v>-1.5933715742511123E-2</v>
      </c>
      <c r="M29" s="11">
        <f t="shared" si="140"/>
        <v>-0.11904761904761907</v>
      </c>
      <c r="N29" s="11">
        <f t="shared" si="140"/>
        <v>-0.16333118140735958</v>
      </c>
      <c r="O29" s="11"/>
      <c r="P29" s="11"/>
      <c r="Q29" s="11"/>
      <c r="R29" s="11"/>
      <c r="S29" s="11">
        <f t="shared" ref="S29:AD29" si="144">S8/O8-1</f>
        <v>-9.1688654353561994E-2</v>
      </c>
      <c r="T29" s="11">
        <f t="shared" si="144"/>
        <v>-2.3584905660377409E-2</v>
      </c>
      <c r="U29" s="11">
        <f t="shared" si="144"/>
        <v>0.12879348630643972</v>
      </c>
      <c r="V29" s="11">
        <f t="shared" si="144"/>
        <v>0.12096774193548376</v>
      </c>
      <c r="W29" s="11">
        <f t="shared" si="144"/>
        <v>0.22222222222222232</v>
      </c>
      <c r="X29" s="11">
        <f t="shared" si="144"/>
        <v>0.13457556935817805</v>
      </c>
      <c r="Y29" s="11">
        <f t="shared" si="144"/>
        <v>1.0491803278688483E-2</v>
      </c>
      <c r="Z29" s="11">
        <f t="shared" si="144"/>
        <v>8.8729016786570636E-2</v>
      </c>
      <c r="AA29" s="11">
        <f t="shared" si="144"/>
        <v>-0.12774806892453949</v>
      </c>
      <c r="AB29" s="11">
        <f t="shared" si="144"/>
        <v>-0.11131386861313863</v>
      </c>
      <c r="AC29" s="11">
        <f t="shared" si="144"/>
        <v>9.1499026606099987E-2</v>
      </c>
      <c r="AD29" s="11">
        <f t="shared" si="144"/>
        <v>-0.28854625550660795</v>
      </c>
      <c r="AE29" s="11"/>
      <c r="AF29" s="11"/>
      <c r="AG29" s="11"/>
      <c r="AH29" s="11"/>
      <c r="AK29" s="11">
        <f>AK8/AJ8-1</f>
        <v>7.5976295395840943E-4</v>
      </c>
      <c r="AL29" s="11">
        <f>AL8/AK8-1</f>
        <v>-7.1363498329790498E-2</v>
      </c>
      <c r="AM29" s="11"/>
      <c r="AN29" s="11">
        <f t="shared" ref="AN29:AW29" si="145">AN8/AM8-1</f>
        <v>2.4693616242912109E-2</v>
      </c>
      <c r="AO29" s="11">
        <f t="shared" si="145"/>
        <v>0.11210282042127817</v>
      </c>
      <c r="AP29" s="11">
        <f t="shared" si="145"/>
        <v>-0.1043338683788122</v>
      </c>
      <c r="AQ29" s="11">
        <f t="shared" si="145"/>
        <v>4.0000000000000036E-2</v>
      </c>
      <c r="AR29" s="11">
        <f t="shared" si="145"/>
        <v>3.0000000000000027E-2</v>
      </c>
      <c r="AS29" s="11">
        <f t="shared" si="145"/>
        <v>2.0000000000000018E-2</v>
      </c>
      <c r="AT29" s="11">
        <f t="shared" si="145"/>
        <v>2.0000000000000018E-2</v>
      </c>
      <c r="AU29" s="11">
        <f t="shared" si="145"/>
        <v>2.0000000000000018E-2</v>
      </c>
      <c r="AV29" s="11">
        <f t="shared" si="145"/>
        <v>1.0000000000000009E-2</v>
      </c>
      <c r="AW29" s="11">
        <f t="shared" si="145"/>
        <v>1.0000000000000009E-2</v>
      </c>
      <c r="AX29" s="11">
        <f t="shared" ref="AX29:BA29" si="146">AX8/AW8-1</f>
        <v>1.0000000000000009E-2</v>
      </c>
      <c r="AY29" s="11">
        <f t="shared" si="146"/>
        <v>1.0000000000000009E-2</v>
      </c>
      <c r="AZ29" s="11">
        <f t="shared" si="146"/>
        <v>1.0000000000000009E-2</v>
      </c>
      <c r="BA29" s="11">
        <f t="shared" si="146"/>
        <v>1.0000000000000009E-2</v>
      </c>
      <c r="BC29" s="1" t="s">
        <v>35</v>
      </c>
      <c r="BD29" s="6">
        <f>Main!D8</f>
        <v>-91201</v>
      </c>
    </row>
    <row r="30" spans="2:132" x14ac:dyDescent="0.3">
      <c r="B30" s="3" t="s">
        <v>25</v>
      </c>
      <c r="C30" s="10">
        <f t="shared" ref="C30:N30" si="147">C18/C17</f>
        <v>0.27502309824453341</v>
      </c>
      <c r="D30" s="10">
        <f t="shared" si="147"/>
        <v>0.27865612648221344</v>
      </c>
      <c r="E30" s="10">
        <f t="shared" si="147"/>
        <v>0.24904051172707889</v>
      </c>
      <c r="F30" s="10">
        <f t="shared" si="147"/>
        <v>0.33602911443590783</v>
      </c>
      <c r="G30" s="10">
        <f t="shared" si="147"/>
        <v>0.18070911170415555</v>
      </c>
      <c r="H30" s="10">
        <f t="shared" si="147"/>
        <v>0.25717703349282295</v>
      </c>
      <c r="I30" s="10">
        <f t="shared" si="147"/>
        <v>0.2959223300970874</v>
      </c>
      <c r="J30" s="10">
        <f t="shared" si="147"/>
        <v>1.0361842105263157</v>
      </c>
      <c r="K30" s="10">
        <f t="shared" si="147"/>
        <v>0.68888888888888888</v>
      </c>
      <c r="L30" s="10">
        <f t="shared" si="147"/>
        <v>-9.4144661308840416E-2</v>
      </c>
      <c r="M30" s="10">
        <f t="shared" si="147"/>
        <v>0.28825857519788917</v>
      </c>
      <c r="N30" s="10">
        <f t="shared" si="147"/>
        <v>0.20403637170104236</v>
      </c>
      <c r="O30" s="10">
        <f t="shared" ref="O30:Q30" si="148">O18/O17</f>
        <v>0.25504508372692142</v>
      </c>
      <c r="P30" s="10">
        <f t="shared" si="148"/>
        <v>0.27067843866171004</v>
      </c>
      <c r="Q30" s="10">
        <f t="shared" si="148"/>
        <v>0.30329904221355092</v>
      </c>
      <c r="R30" s="10">
        <f t="shared" ref="R30:AD30" si="149">R18/R17</f>
        <v>0.38535980148883375</v>
      </c>
      <c r="S30" s="10">
        <f t="shared" si="149"/>
        <v>0.30865625602467706</v>
      </c>
      <c r="T30" s="10">
        <f t="shared" si="149"/>
        <v>0.2969883490877116</v>
      </c>
      <c r="U30" s="10">
        <f t="shared" si="149"/>
        <v>0.22609368950832365</v>
      </c>
      <c r="V30" s="10">
        <f t="shared" si="149"/>
        <v>0.25453535727508331</v>
      </c>
      <c r="W30" s="10">
        <f t="shared" si="149"/>
        <v>0.27976297360387864</v>
      </c>
      <c r="X30" s="10">
        <f t="shared" si="149"/>
        <v>0.28397246804326448</v>
      </c>
      <c r="Y30" s="10">
        <f t="shared" si="149"/>
        <v>0.2532128514056225</v>
      </c>
      <c r="Z30" s="10">
        <f t="shared" si="149"/>
        <v>0.28988764044943821</v>
      </c>
      <c r="AA30" s="10">
        <f t="shared" si="149"/>
        <v>0.2491933482253661</v>
      </c>
      <c r="AB30" s="10">
        <f t="shared" si="149"/>
        <v>0.26500240038406148</v>
      </c>
      <c r="AC30" s="10">
        <f t="shared" si="149"/>
        <v>0.35009451795841212</v>
      </c>
      <c r="AD30" s="10">
        <f t="shared" si="149"/>
        <v>0.19758630367667696</v>
      </c>
      <c r="AE30" s="10"/>
      <c r="AF30" s="10"/>
      <c r="AG30" s="10"/>
      <c r="AH30" s="10"/>
      <c r="AJ30" s="10">
        <f t="shared" ref="AJ30:AW30" si="150">AJ18/AJ17</f>
        <v>0.28437942425672486</v>
      </c>
      <c r="AK30" s="10">
        <f t="shared" si="150"/>
        <v>0.29268929503916447</v>
      </c>
      <c r="AL30" s="10">
        <f t="shared" si="150"/>
        <v>0.36756586212336329</v>
      </c>
      <c r="AM30" s="10">
        <f t="shared" si="150"/>
        <v>0.30111947378407439</v>
      </c>
      <c r="AN30" s="10">
        <f t="shared" si="150"/>
        <v>0.27063632781717889</v>
      </c>
      <c r="AO30" s="10">
        <f t="shared" si="150"/>
        <v>0.27648874726150169</v>
      </c>
      <c r="AP30" s="10">
        <f t="shared" si="150"/>
        <v>0.26422563087580409</v>
      </c>
      <c r="AQ30" s="10">
        <f t="shared" si="150"/>
        <v>0.28000000000000003</v>
      </c>
      <c r="AR30" s="10">
        <f t="shared" si="150"/>
        <v>0.28000000000000003</v>
      </c>
      <c r="AS30" s="10">
        <f t="shared" si="150"/>
        <v>0.28000000000000008</v>
      </c>
      <c r="AT30" s="10">
        <f t="shared" si="150"/>
        <v>0.28000000000000003</v>
      </c>
      <c r="AU30" s="10">
        <f t="shared" si="150"/>
        <v>0.28000000000000003</v>
      </c>
      <c r="AV30" s="10">
        <f t="shared" si="150"/>
        <v>0.28000000000000003</v>
      </c>
      <c r="AW30" s="10">
        <f t="shared" si="150"/>
        <v>0.28000000000000003</v>
      </c>
      <c r="AX30" s="10">
        <f t="shared" ref="AX30:BA30" si="151">AX18/AX17</f>
        <v>0.28000000000000003</v>
      </c>
      <c r="AY30" s="10">
        <f t="shared" si="151"/>
        <v>0.28000000000000003</v>
      </c>
      <c r="AZ30" s="10">
        <f t="shared" si="151"/>
        <v>0.28000000000000003</v>
      </c>
      <c r="BA30" s="10">
        <f t="shared" si="151"/>
        <v>0.28000000000000003</v>
      </c>
      <c r="BC30" s="1" t="s">
        <v>36</v>
      </c>
      <c r="BD30" s="6">
        <f>BD28+BD29</f>
        <v>46881.997576553083</v>
      </c>
    </row>
    <row r="31" spans="2:132" x14ac:dyDescent="0.3">
      <c r="B31" s="3" t="s">
        <v>52</v>
      </c>
      <c r="C31" s="10">
        <f t="shared" ref="C31:Q31" si="152">C20/C3</f>
        <v>5.7132084956641953E-2</v>
      </c>
      <c r="D31" s="10">
        <f t="shared" si="152"/>
        <v>4.2349592698007657E-2</v>
      </c>
      <c r="E31" s="10">
        <f t="shared" si="152"/>
        <v>4.2003431896744672E-2</v>
      </c>
      <c r="F31" s="10">
        <f t="shared" si="152"/>
        <v>3.3490667238789962E-2</v>
      </c>
      <c r="G31" s="10">
        <f t="shared" si="152"/>
        <v>5.2773439467983276E-2</v>
      </c>
      <c r="H31" s="10">
        <f t="shared" si="152"/>
        <v>-3.1137162954279016E-2</v>
      </c>
      <c r="I31" s="10">
        <f t="shared" si="152"/>
        <v>3.9727293737000229E-2</v>
      </c>
      <c r="J31" s="10">
        <f t="shared" si="152"/>
        <v>-2.3128991873023956E-3</v>
      </c>
      <c r="K31" s="10">
        <f t="shared" si="152"/>
        <v>2.5253203664401041E-3</v>
      </c>
      <c r="L31" s="10">
        <f t="shared" si="152"/>
        <v>-6.6293400477073952E-2</v>
      </c>
      <c r="M31" s="10">
        <f t="shared" si="152"/>
        <v>5.0867654725552991E-2</v>
      </c>
      <c r="N31" s="10">
        <f t="shared" si="152"/>
        <v>7.4751721327298862E-2</v>
      </c>
      <c r="O31" s="10">
        <f t="shared" si="152"/>
        <v>0.10300468341341767</v>
      </c>
      <c r="P31" s="10">
        <f t="shared" si="152"/>
        <v>8.8881725471808698E-2</v>
      </c>
      <c r="Q31" s="10">
        <f t="shared" si="152"/>
        <v>5.8804942016620849E-2</v>
      </c>
      <c r="R31" s="10">
        <f t="shared" ref="R31:AD31" si="153">R20/R3</f>
        <v>6.7508513053348471E-2</v>
      </c>
      <c r="S31" s="10">
        <f t="shared" si="153"/>
        <v>0.10012048884043835</v>
      </c>
      <c r="T31" s="10">
        <f t="shared" si="153"/>
        <v>8.5263446761800213E-2</v>
      </c>
      <c r="U31" s="10">
        <f t="shared" si="153"/>
        <v>0.10401421147523597</v>
      </c>
      <c r="V31" s="10">
        <f t="shared" si="153"/>
        <v>9.7090456795844202E-2</v>
      </c>
      <c r="W31" s="10">
        <f t="shared" si="153"/>
        <v>0.10515513380957459</v>
      </c>
      <c r="X31" s="10">
        <f t="shared" si="153"/>
        <v>9.3172249679663185E-2</v>
      </c>
      <c r="Y31" s="10">
        <f t="shared" si="153"/>
        <v>9.7741935483870973E-2</v>
      </c>
      <c r="Z31" s="10">
        <f t="shared" si="153"/>
        <v>7.7419835572886911E-2</v>
      </c>
      <c r="AA31" s="10">
        <f t="shared" si="153"/>
        <v>8.2903576506007298E-2</v>
      </c>
      <c r="AB31" s="10">
        <f t="shared" si="153"/>
        <v>8.2083662194159426E-2</v>
      </c>
      <c r="AC31" s="10">
        <f t="shared" si="153"/>
        <v>5.0191149212233548E-2</v>
      </c>
      <c r="AD31" s="10">
        <f t="shared" si="153"/>
        <v>7.1261378413524062E-2</v>
      </c>
      <c r="AE31" s="10"/>
      <c r="AF31" s="10"/>
      <c r="AG31" s="10"/>
      <c r="AH31" s="10"/>
      <c r="AJ31" s="10">
        <f t="shared" ref="AJ31:AW31" si="154">AJ20/AJ3</f>
        <v>4.3313296925227951E-2</v>
      </c>
      <c r="AK31" s="10">
        <f t="shared" si="154"/>
        <v>1.3760166719731397E-2</v>
      </c>
      <c r="AL31" s="10">
        <f t="shared" si="154"/>
        <v>2.3504785851764964E-2</v>
      </c>
      <c r="AM31" s="10">
        <f t="shared" si="154"/>
        <v>7.9615812626500262E-2</v>
      </c>
      <c r="AN31" s="10">
        <f t="shared" si="154"/>
        <v>9.6662378263796769E-2</v>
      </c>
      <c r="AO31" s="10">
        <f t="shared" si="154"/>
        <v>9.3076531478024777E-2</v>
      </c>
      <c r="AP31" s="10">
        <f t="shared" si="154"/>
        <v>7.0105910957869139E-2</v>
      </c>
      <c r="AQ31" s="10">
        <f t="shared" si="154"/>
        <v>7.9095245627132521E-2</v>
      </c>
      <c r="AR31" s="10">
        <f t="shared" si="154"/>
        <v>7.8211729372417285E-2</v>
      </c>
      <c r="AS31" s="10">
        <f t="shared" si="154"/>
        <v>7.7738872373139367E-2</v>
      </c>
      <c r="AT31" s="10">
        <f t="shared" si="154"/>
        <v>7.7259318239916566E-2</v>
      </c>
      <c r="AU31" s="10">
        <f t="shared" si="154"/>
        <v>7.677292475730231E-2</v>
      </c>
      <c r="AV31" s="10">
        <f t="shared" si="154"/>
        <v>7.6584097300273088E-2</v>
      </c>
      <c r="AW31" s="10">
        <f t="shared" si="154"/>
        <v>7.6391148260551919E-2</v>
      </c>
      <c r="AX31" s="10">
        <f t="shared" ref="AX31:BA31" si="155">AX20/AX3</f>
        <v>7.6193951788915221E-2</v>
      </c>
      <c r="AY31" s="10">
        <f t="shared" si="155"/>
        <v>7.5992377504243286E-2</v>
      </c>
      <c r="AZ31" s="10">
        <f t="shared" si="155"/>
        <v>7.5786290320142571E-2</v>
      </c>
      <c r="BA31" s="10">
        <f t="shared" si="155"/>
        <v>7.5575550264794691E-2</v>
      </c>
      <c r="BC31" s="1" t="s">
        <v>37</v>
      </c>
      <c r="BD31" s="4">
        <f>BD30/AV21</f>
        <v>46.252957356504616</v>
      </c>
    </row>
    <row r="32" spans="2:132" x14ac:dyDescent="0.3">
      <c r="BC32" s="1" t="s">
        <v>38</v>
      </c>
      <c r="BD32" s="4">
        <f>Main!D3</f>
        <v>53.31</v>
      </c>
    </row>
    <row r="33" spans="55:56" x14ac:dyDescent="0.3">
      <c r="BC33" s="3" t="s">
        <v>42</v>
      </c>
      <c r="BD33" s="10">
        <f>BD31/BD32-1</f>
        <v>-0.13237746470634748</v>
      </c>
    </row>
    <row r="34" spans="55:56" x14ac:dyDescent="0.3">
      <c r="BC34" s="1" t="s">
        <v>43</v>
      </c>
      <c r="BD34" s="7" t="s">
        <v>78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2020-09-06T16:32:51Z</dcterms:created>
  <dcterms:modified xsi:type="dcterms:W3CDTF">2025-04-24T11:43:34Z</dcterms:modified>
</cp:coreProperties>
</file>