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8C709D4-740C-4212-8A70-D032E82D8DB7}" xr6:coauthVersionLast="47" xr6:coauthVersionMax="47" xr10:uidLastSave="{00000000-0000-0000-0000-000000000000}"/>
  <bookViews>
    <workbookView xWindow="-108" yWindow="-108" windowWidth="23256" windowHeight="12576" activeTab="1" xr2:uid="{A3610648-4092-4BF1-87F8-3D387537FC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M17" i="2" s="1"/>
  <c r="M19" i="2" s="1"/>
  <c r="O15" i="2"/>
  <c r="D7" i="1"/>
  <c r="D6" i="1"/>
  <c r="X4" i="2"/>
  <c r="Y4" i="2"/>
  <c r="Y8" i="2" s="1"/>
  <c r="AG11" i="2"/>
  <c r="AH11" i="2" s="1"/>
  <c r="AI11" i="2" s="1"/>
  <c r="AJ11" i="2" s="1"/>
  <c r="AK11" i="2" s="1"/>
  <c r="N15" i="2"/>
  <c r="N17" i="2" s="1"/>
  <c r="N19" i="2" s="1"/>
  <c r="V16" i="2"/>
  <c r="W14" i="2"/>
  <c r="W3" i="2"/>
  <c r="O17" i="2" l="1"/>
  <c r="O19" i="2" s="1"/>
  <c r="W5" i="2"/>
  <c r="Z5" i="2" s="1"/>
  <c r="AN29" i="2" l="1"/>
  <c r="X14" i="2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W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U24" i="2"/>
  <c r="T24" i="2"/>
  <c r="S24" i="2"/>
  <c r="U23" i="2"/>
  <c r="T23" i="2"/>
  <c r="S23" i="2"/>
  <c r="U22" i="2"/>
  <c r="T22" i="2"/>
  <c r="U21" i="2"/>
  <c r="T21" i="2"/>
  <c r="S21" i="2"/>
  <c r="W6" i="2"/>
  <c r="W4" i="2"/>
  <c r="Z4" i="2" s="1"/>
  <c r="AA4" i="2" s="1"/>
  <c r="AB4" i="2" s="1"/>
  <c r="AC4" i="2" s="1"/>
  <c r="AD4" i="2" s="1"/>
  <c r="AE4" i="2" s="1"/>
  <c r="AF4" i="2" s="1"/>
  <c r="AG4" i="2" s="1"/>
  <c r="F16" i="2"/>
  <c r="F14" i="2"/>
  <c r="F13" i="2"/>
  <c r="F7" i="2"/>
  <c r="F6" i="2"/>
  <c r="H6" i="2" s="1"/>
  <c r="H24" i="2" s="1"/>
  <c r="F5" i="2"/>
  <c r="H5" i="2" s="1"/>
  <c r="H23" i="2" s="1"/>
  <c r="F4" i="2"/>
  <c r="H4" i="2" s="1"/>
  <c r="H22" i="2" s="1"/>
  <c r="F3" i="2"/>
  <c r="H3" i="2" s="1"/>
  <c r="D16" i="2"/>
  <c r="D14" i="2"/>
  <c r="D13" i="2"/>
  <c r="D7" i="2"/>
  <c r="D6" i="2"/>
  <c r="D5" i="2"/>
  <c r="F23" i="2" s="1"/>
  <c r="D4" i="2"/>
  <c r="D3" i="2"/>
  <c r="C15" i="2"/>
  <c r="C28" i="2" s="1"/>
  <c r="C8" i="2"/>
  <c r="G24" i="2"/>
  <c r="G23" i="2"/>
  <c r="G22" i="2"/>
  <c r="G21" i="2"/>
  <c r="E24" i="2"/>
  <c r="E23" i="2"/>
  <c r="E22" i="2"/>
  <c r="E21" i="2"/>
  <c r="E15" i="2"/>
  <c r="E17" i="2" s="1"/>
  <c r="E8" i="2"/>
  <c r="E27" i="2" s="1"/>
  <c r="G8" i="2"/>
  <c r="G15" i="2" s="1"/>
  <c r="G17" i="2" s="1"/>
  <c r="R4" i="2"/>
  <c r="R8" i="2" s="1"/>
  <c r="R10" i="2" s="1"/>
  <c r="R12" i="2" s="1"/>
  <c r="R15" i="2" s="1"/>
  <c r="R17" i="2" s="1"/>
  <c r="S8" i="2"/>
  <c r="S10" i="2" s="1"/>
  <c r="S12" i="2" s="1"/>
  <c r="S15" i="2" s="1"/>
  <c r="S17" i="2" s="1"/>
  <c r="T8" i="2"/>
  <c r="T10" i="2" s="1"/>
  <c r="T12" i="2" s="1"/>
  <c r="T15" i="2" s="1"/>
  <c r="T17" i="2" s="1"/>
  <c r="U8" i="2"/>
  <c r="U10" i="2" s="1"/>
  <c r="U12" i="2" s="1"/>
  <c r="U15" i="2" s="1"/>
  <c r="U17" i="2" s="1"/>
  <c r="D8" i="1"/>
  <c r="AN26" i="2" s="1"/>
  <c r="D5" i="1"/>
  <c r="F3" i="1"/>
  <c r="AG22" i="2" l="1"/>
  <c r="AH4" i="2"/>
  <c r="S22" i="2"/>
  <c r="E25" i="2"/>
  <c r="S25" i="2"/>
  <c r="U19" i="2"/>
  <c r="U29" i="2"/>
  <c r="G28" i="2"/>
  <c r="D8" i="2"/>
  <c r="T27" i="2"/>
  <c r="U27" i="2"/>
  <c r="S19" i="2"/>
  <c r="S29" i="2"/>
  <c r="F12" i="2"/>
  <c r="S26" i="2"/>
  <c r="S28" i="2"/>
  <c r="T25" i="2"/>
  <c r="R19" i="2"/>
  <c r="R29" i="2"/>
  <c r="G25" i="2"/>
  <c r="F22" i="2"/>
  <c r="D12" i="2"/>
  <c r="D15" i="2" s="1"/>
  <c r="D17" i="2" s="1"/>
  <c r="T26" i="2"/>
  <c r="T28" i="2"/>
  <c r="U25" i="2"/>
  <c r="G19" i="2"/>
  <c r="G29" i="2"/>
  <c r="U26" i="2"/>
  <c r="U28" i="2"/>
  <c r="G27" i="2"/>
  <c r="F24" i="2"/>
  <c r="R27" i="2"/>
  <c r="T19" i="2"/>
  <c r="T29" i="2"/>
  <c r="F8" i="2"/>
  <c r="R26" i="2"/>
  <c r="R28" i="2"/>
  <c r="E19" i="2"/>
  <c r="E29" i="2"/>
  <c r="E28" i="2"/>
  <c r="S27" i="2"/>
  <c r="D9" i="1"/>
  <c r="V24" i="2"/>
  <c r="V23" i="2"/>
  <c r="V22" i="2"/>
  <c r="V21" i="2"/>
  <c r="W8" i="2"/>
  <c r="V8" i="2"/>
  <c r="X23" i="2"/>
  <c r="AA5" i="2"/>
  <c r="AB5" i="2" s="1"/>
  <c r="AC5" i="2" s="1"/>
  <c r="AD5" i="2" s="1"/>
  <c r="AE5" i="2" s="1"/>
  <c r="AF5" i="2" s="1"/>
  <c r="AG5" i="2" s="1"/>
  <c r="W24" i="2"/>
  <c r="W23" i="2"/>
  <c r="Y22" i="2"/>
  <c r="X22" i="2"/>
  <c r="W22" i="2"/>
  <c r="H8" i="2"/>
  <c r="H21" i="2"/>
  <c r="F21" i="2"/>
  <c r="C27" i="2"/>
  <c r="C17" i="2"/>
  <c r="AH5" i="2" l="1"/>
  <c r="AG23" i="2"/>
  <c r="AI4" i="2"/>
  <c r="AH22" i="2"/>
  <c r="F25" i="2"/>
  <c r="F27" i="2"/>
  <c r="D27" i="2"/>
  <c r="D19" i="2"/>
  <c r="D29" i="2"/>
  <c r="F15" i="2"/>
  <c r="F28" i="2" s="1"/>
  <c r="C19" i="2"/>
  <c r="C29" i="2"/>
  <c r="Z6" i="2"/>
  <c r="AA6" i="2" s="1"/>
  <c r="AB6" i="2" s="1"/>
  <c r="AC6" i="2" s="1"/>
  <c r="AD6" i="2" s="1"/>
  <c r="AE6" i="2" s="1"/>
  <c r="AF6" i="2" s="1"/>
  <c r="AG6" i="2" s="1"/>
  <c r="X24" i="2"/>
  <c r="X8" i="2"/>
  <c r="X10" i="2" s="1"/>
  <c r="X26" i="2" s="1"/>
  <c r="Y23" i="2"/>
  <c r="X21" i="2"/>
  <c r="W21" i="2"/>
  <c r="H12" i="2"/>
  <c r="V10" i="2"/>
  <c r="V25" i="2"/>
  <c r="W10" i="2"/>
  <c r="W25" i="2"/>
  <c r="Z23" i="2"/>
  <c r="Z22" i="2"/>
  <c r="H25" i="2"/>
  <c r="F17" i="2"/>
  <c r="D28" i="2"/>
  <c r="AI5" i="2" l="1"/>
  <c r="AH23" i="2"/>
  <c r="AJ4" i="2"/>
  <c r="AI22" i="2"/>
  <c r="AH6" i="2"/>
  <c r="AG24" i="2"/>
  <c r="F19" i="2"/>
  <c r="F29" i="2"/>
  <c r="Y24" i="2"/>
  <c r="Y10" i="2"/>
  <c r="Y21" i="2"/>
  <c r="X25" i="2"/>
  <c r="X9" i="2"/>
  <c r="Z3" i="2"/>
  <c r="AA3" i="2" s="1"/>
  <c r="V26" i="2"/>
  <c r="H15" i="2"/>
  <c r="V12" i="2"/>
  <c r="V11" i="2" s="1"/>
  <c r="W11" i="2" s="1"/>
  <c r="H27" i="2"/>
  <c r="W26" i="2"/>
  <c r="W9" i="2"/>
  <c r="Z24" i="2"/>
  <c r="AA23" i="2"/>
  <c r="AA22" i="2"/>
  <c r="AI23" i="2" l="1"/>
  <c r="AJ5" i="2"/>
  <c r="AK4" i="2"/>
  <c r="AK22" i="2" s="1"/>
  <c r="AJ22" i="2"/>
  <c r="AH24" i="2"/>
  <c r="AI6" i="2"/>
  <c r="Y9" i="2"/>
  <c r="Y25" i="2"/>
  <c r="Z21" i="2"/>
  <c r="Z8" i="2"/>
  <c r="Z10" i="2" s="1"/>
  <c r="X11" i="2"/>
  <c r="W12" i="2"/>
  <c r="W27" i="2" s="1"/>
  <c r="H16" i="2"/>
  <c r="AB3" i="2"/>
  <c r="AA21" i="2"/>
  <c r="AA8" i="2"/>
  <c r="AA10" i="2" s="1"/>
  <c r="Y26" i="2"/>
  <c r="AA24" i="2"/>
  <c r="AB23" i="2"/>
  <c r="AB22" i="2"/>
  <c r="AK5" i="2" l="1"/>
  <c r="AK23" i="2" s="1"/>
  <c r="AJ23" i="2"/>
  <c r="AJ6" i="2"/>
  <c r="AI24" i="2"/>
  <c r="Z25" i="2"/>
  <c r="W15" i="2"/>
  <c r="W16" i="2" s="1"/>
  <c r="W28" i="2" s="1"/>
  <c r="H28" i="2"/>
  <c r="H17" i="2"/>
  <c r="Y11" i="2"/>
  <c r="X12" i="2"/>
  <c r="X27" i="2" s="1"/>
  <c r="Z9" i="2"/>
  <c r="Z26" i="2"/>
  <c r="AA9" i="2"/>
  <c r="AA25" i="2"/>
  <c r="AC3" i="2"/>
  <c r="AB8" i="2"/>
  <c r="AB10" i="2" s="1"/>
  <c r="AB21" i="2"/>
  <c r="AB24" i="2"/>
  <c r="AC23" i="2"/>
  <c r="AC22" i="2"/>
  <c r="AJ24" i="2" l="1"/>
  <c r="AK6" i="2"/>
  <c r="H19" i="2"/>
  <c r="H29" i="2"/>
  <c r="W17" i="2"/>
  <c r="W29" i="2" s="1"/>
  <c r="Z11" i="2"/>
  <c r="Y12" i="2"/>
  <c r="Y27" i="2" s="1"/>
  <c r="AA26" i="2"/>
  <c r="AD3" i="2"/>
  <c r="AE3" i="2" s="1"/>
  <c r="AF3" i="2" s="1"/>
  <c r="AG3" i="2" s="1"/>
  <c r="AC8" i="2"/>
  <c r="AC10" i="2" s="1"/>
  <c r="AC21" i="2"/>
  <c r="AB9" i="2"/>
  <c r="AB25" i="2"/>
  <c r="AC24" i="2"/>
  <c r="AD23" i="2"/>
  <c r="AD22" i="2"/>
  <c r="AH3" i="2" l="1"/>
  <c r="AG21" i="2"/>
  <c r="AG8" i="2"/>
  <c r="AK24" i="2"/>
  <c r="W19" i="2"/>
  <c r="X13" i="2"/>
  <c r="X15" i="2" s="1"/>
  <c r="X16" i="2" s="1"/>
  <c r="X28" i="2" s="1"/>
  <c r="AA11" i="2"/>
  <c r="Z12" i="2"/>
  <c r="Z27" i="2" s="1"/>
  <c r="AB26" i="2"/>
  <c r="AC9" i="2"/>
  <c r="AC25" i="2"/>
  <c r="AD8" i="2"/>
  <c r="AD10" i="2" s="1"/>
  <c r="AD21" i="2"/>
  <c r="AD24" i="2"/>
  <c r="AE23" i="2"/>
  <c r="AF22" i="2"/>
  <c r="AE22" i="2"/>
  <c r="AG10" i="2" l="1"/>
  <c r="AG9" i="2" s="1"/>
  <c r="AI3" i="2"/>
  <c r="AH21" i="2"/>
  <c r="AH8" i="2"/>
  <c r="AB11" i="2"/>
  <c r="AA12" i="2"/>
  <c r="AA27" i="2" s="1"/>
  <c r="AD25" i="2"/>
  <c r="AE8" i="2"/>
  <c r="AE10" i="2" s="1"/>
  <c r="AE21" i="2"/>
  <c r="AC26" i="2"/>
  <c r="X17" i="2"/>
  <c r="X29" i="2" s="1"/>
  <c r="AF24" i="2"/>
  <c r="AE24" i="2"/>
  <c r="AF23" i="2"/>
  <c r="AH25" i="2" l="1"/>
  <c r="AH10" i="2"/>
  <c r="AI21" i="2"/>
  <c r="AJ3" i="2"/>
  <c r="AI8" i="2"/>
  <c r="AG12" i="2"/>
  <c r="AG27" i="2" s="1"/>
  <c r="AG26" i="2"/>
  <c r="AC11" i="2"/>
  <c r="AB12" i="2"/>
  <c r="AB27" i="2" s="1"/>
  <c r="X19" i="2"/>
  <c r="AF8" i="2"/>
  <c r="AF21" i="2"/>
  <c r="AD26" i="2"/>
  <c r="AE25" i="2"/>
  <c r="AE9" i="2"/>
  <c r="AD9" i="2"/>
  <c r="AK3" i="2" l="1"/>
  <c r="AJ21" i="2"/>
  <c r="AJ8" i="2"/>
  <c r="AH12" i="2"/>
  <c r="AH27" i="2" s="1"/>
  <c r="AH26" i="2"/>
  <c r="AI10" i="2"/>
  <c r="AI25" i="2"/>
  <c r="AH9" i="2"/>
  <c r="AF10" i="2"/>
  <c r="AF9" i="2" s="1"/>
  <c r="AG25" i="2"/>
  <c r="AD11" i="2"/>
  <c r="AC12" i="2"/>
  <c r="AC27" i="2" s="1"/>
  <c r="AE26" i="2"/>
  <c r="AF25" i="2"/>
  <c r="Y15" i="2"/>
  <c r="AI9" i="2" l="1"/>
  <c r="AI12" i="2"/>
  <c r="AI27" i="2" s="1"/>
  <c r="AI26" i="2"/>
  <c r="AJ10" i="2"/>
  <c r="AJ25" i="2"/>
  <c r="AJ9" i="2"/>
  <c r="AK21" i="2"/>
  <c r="AK8" i="2"/>
  <c r="AE11" i="2"/>
  <c r="AD12" i="2"/>
  <c r="AD27" i="2" s="1"/>
  <c r="Y28" i="2"/>
  <c r="AF26" i="2"/>
  <c r="AJ12" i="2" l="1"/>
  <c r="AJ27" i="2" s="1"/>
  <c r="AJ26" i="2"/>
  <c r="AK25" i="2"/>
  <c r="AK10" i="2"/>
  <c r="AF11" i="2"/>
  <c r="AF12" i="2" s="1"/>
  <c r="AF27" i="2" s="1"/>
  <c r="AE12" i="2"/>
  <c r="AE27" i="2" s="1"/>
  <c r="Y17" i="2"/>
  <c r="Y29" i="2" s="1"/>
  <c r="AK12" i="2" l="1"/>
  <c r="AK27" i="2" s="1"/>
  <c r="AK26" i="2"/>
  <c r="AK9" i="2"/>
  <c r="Y19" i="2"/>
  <c r="Z13" i="2"/>
  <c r="Z15" i="2" l="1"/>
  <c r="Z16" i="2" l="1"/>
  <c r="Z28" i="2" s="1"/>
  <c r="Z17" i="2" l="1"/>
  <c r="Z29" i="2" l="1"/>
  <c r="Z19" i="2"/>
  <c r="AA13" i="2"/>
  <c r="AA15" i="2" s="1"/>
  <c r="AA16" i="2" l="1"/>
  <c r="AA28" i="2" s="1"/>
  <c r="AA17" i="2" l="1"/>
  <c r="AA29" i="2" l="1"/>
  <c r="AA19" i="2"/>
  <c r="AB13" i="2"/>
  <c r="AB15" i="2" l="1"/>
  <c r="AB16" i="2" l="1"/>
  <c r="AB28" i="2" s="1"/>
  <c r="AB17" i="2" l="1"/>
  <c r="AB29" i="2" l="1"/>
  <c r="AB19" i="2"/>
  <c r="AC13" i="2"/>
  <c r="AC15" i="2" l="1"/>
  <c r="AC16" i="2" l="1"/>
  <c r="AC28" i="2" s="1"/>
  <c r="AC17" i="2" l="1"/>
  <c r="AC29" i="2" l="1"/>
  <c r="AC19" i="2"/>
  <c r="AD13" i="2"/>
  <c r="AD15" i="2" l="1"/>
  <c r="AD16" i="2" l="1"/>
  <c r="AD28" i="2" s="1"/>
  <c r="AD17" i="2" l="1"/>
  <c r="AD19" i="2" l="1"/>
  <c r="AD29" i="2"/>
  <c r="AE13" i="2"/>
  <c r="AE15" i="2" s="1"/>
  <c r="AE16" i="2" l="1"/>
  <c r="AE28" i="2" s="1"/>
  <c r="AE17" i="2" l="1"/>
  <c r="AE29" i="2" s="1"/>
  <c r="AE19" i="2" l="1"/>
  <c r="AF13" i="2"/>
  <c r="AF15" i="2" s="1"/>
  <c r="AF16" i="2" l="1"/>
  <c r="AF28" i="2" s="1"/>
  <c r="AF17" i="2" l="1"/>
  <c r="AG13" i="2" s="1"/>
  <c r="AG15" i="2" l="1"/>
  <c r="AF19" i="2"/>
  <c r="AF29" i="2"/>
  <c r="AG16" i="2" l="1"/>
  <c r="AG28" i="2" s="1"/>
  <c r="V9" i="2"/>
  <c r="V15" i="2"/>
  <c r="V17" i="2" s="1"/>
  <c r="V29" i="2" s="1"/>
  <c r="V27" i="2"/>
  <c r="AG17" i="2" l="1"/>
  <c r="AG19" i="2" s="1"/>
  <c r="V19" i="2"/>
  <c r="V28" i="2"/>
  <c r="AH13" i="2" l="1"/>
  <c r="AH15" i="2" s="1"/>
  <c r="AG29" i="2"/>
  <c r="AH16" i="2" l="1"/>
  <c r="AH28" i="2" s="1"/>
  <c r="AH17" i="2" l="1"/>
  <c r="AH19" i="2" s="1"/>
  <c r="AI13" i="2" l="1"/>
  <c r="AI15" i="2" s="1"/>
  <c r="AH29" i="2"/>
  <c r="AI16" i="2" l="1"/>
  <c r="AI28" i="2" s="1"/>
  <c r="AI17" i="2" l="1"/>
  <c r="AI29" i="2" s="1"/>
  <c r="AJ13" i="2" l="1"/>
  <c r="AJ15" i="2" s="1"/>
  <c r="AI19" i="2"/>
  <c r="AJ16" i="2" l="1"/>
  <c r="AJ28" i="2" s="1"/>
  <c r="AJ17" i="2" l="1"/>
  <c r="AK13" i="2" s="1"/>
  <c r="AK15" i="2" s="1"/>
  <c r="AJ19" i="2" l="1"/>
  <c r="AJ29" i="2"/>
  <c r="AK16" i="2"/>
  <c r="AK28" i="2" s="1"/>
  <c r="AK17" i="2" l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EW17" i="2" s="1"/>
  <c r="EX17" i="2" s="1"/>
  <c r="EY17" i="2" s="1"/>
  <c r="EZ17" i="2" s="1"/>
  <c r="FA17" i="2" s="1"/>
  <c r="FB17" i="2" s="1"/>
  <c r="FC17" i="2" s="1"/>
  <c r="AN25" i="2" s="1"/>
  <c r="AK29" i="2" l="1"/>
  <c r="AK19" i="2"/>
  <c r="AN27" i="2"/>
  <c r="AN28" i="2" s="1"/>
  <c r="AN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  <author>Anton</author>
  </authors>
  <commentList>
    <comment ref="B3" authorId="0" shapeId="0" xr:uid="{48EB3846-F099-4475-95E6-AED977C7A4BB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previously known as "domestic electrical"</t>
        </r>
      </text>
    </comment>
    <comment ref="B4" authorId="0" shapeId="0" xr:uid="{99B2ECFA-C3B0-45FF-AE77-0FDFC585617E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previously known as "domestic mobile"</t>
        </r>
      </text>
    </comment>
    <comment ref="R4" authorId="1" shapeId="0" xr:uid="{5188E6C8-9C3F-4003-8E5F-514FB0B4D527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V9" authorId="1" shapeId="0" xr:uid="{02F134D6-8384-4DF5-AA7A-186AE51BFF26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T11" authorId="1" shapeId="0" xr:uid="{40B3027B-BA04-4EEE-8BE7-EB43308F5FCB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impairment charge</t>
        </r>
      </text>
    </comment>
  </commentList>
</comments>
</file>

<file path=xl/sharedStrings.xml><?xml version="1.0" encoding="utf-8"?>
<sst xmlns="http://schemas.openxmlformats.org/spreadsheetml/2006/main" count="64" uniqueCount="59">
  <si>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</si>
  <si>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</si>
  <si>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</si>
  <si>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</si>
  <si>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</si>
  <si>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</si>
  <si>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</si>
  <si>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</si>
  <si>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</si>
  <si>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</si>
  <si>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H118</t>
  </si>
  <si>
    <t>H120</t>
  </si>
  <si>
    <t>Revenue</t>
  </si>
  <si>
    <t>H218</t>
  </si>
  <si>
    <t>H119</t>
  </si>
  <si>
    <t>H219</t>
  </si>
  <si>
    <t>H220</t>
  </si>
  <si>
    <t>Cost of sales</t>
  </si>
  <si>
    <t>Gross profit</t>
  </si>
  <si>
    <t>Operating expenses</t>
  </si>
  <si>
    <t>Operating profit</t>
  </si>
  <si>
    <t>Finance income</t>
  </si>
  <si>
    <t>Finance costs</t>
  </si>
  <si>
    <t>Pretax profit</t>
  </si>
  <si>
    <t>Taxes</t>
  </si>
  <si>
    <t>Net profit</t>
  </si>
  <si>
    <t>EPS</t>
  </si>
  <si>
    <t>Nordics</t>
  </si>
  <si>
    <t>Greece</t>
  </si>
  <si>
    <t>Inter-company elims</t>
  </si>
  <si>
    <t>Revenue y/y</t>
  </si>
  <si>
    <t>Operating Margin</t>
  </si>
  <si>
    <t>Gross Margin</t>
  </si>
  <si>
    <t>Nordics revenue y/y</t>
  </si>
  <si>
    <t>Greece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</si>
  <si>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</si>
  <si>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</si>
  <si>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</si>
  <si>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</si>
  <si>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</si>
  <si>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</si>
  <si>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</si>
  <si>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</si>
  <si>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</si>
  <si>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</si>
  <si>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Heavily undervalued</t>
  </si>
  <si>
    <t>H121</t>
  </si>
  <si>
    <t>H221</t>
  </si>
  <si>
    <t>H122</t>
  </si>
  <si>
    <t>H222</t>
  </si>
  <si>
    <t>H123</t>
  </si>
  <si>
    <t>H223</t>
  </si>
  <si>
    <t>H124</t>
  </si>
  <si>
    <t>H224</t>
  </si>
  <si>
    <t>UKI goods</t>
  </si>
  <si>
    <t>UKI services</t>
  </si>
  <si>
    <t>Goods revenue y/y</t>
  </si>
  <si>
    <t>Services revenue y/y</t>
  </si>
  <si>
    <t>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</si>
</sst>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1" fillId="0" borderId="0" xfId="0" applyNumberFormat="1" applyFont="1"/>
    <xf numFmtId="14" fontId="2" fillId="0" borderId="0" xfId="0" applyNumberFormat="1" applyFont="1"/>
    <xf numFmtId="3" fontId="2" fillId="0" borderId="0" xfId="0" applyNumberFormat="1" applyFont="1"/>
    <xf numFmtId="3" fontId="6" fillId="0" borderId="0" xfId="0" applyNumberFormat="1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0</xdr:row>
      <xdr:rowOff>0</xdr:rowOff>
    </xdr:from>
    <xdr:to>
      <xdr:col>7</xdr:col>
      <xdr:colOff>30480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8D8CF7-12BC-4AD9-9920-171C91FBFF43}"/>
            </a:ext>
          </a:extLst>
        </xdr:cNvPr>
        <xdr:cNvCxnSpPr/>
      </xdr:nvCxnSpPr>
      <xdr:spPr>
        <a:xfrm>
          <a:off x="559308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30480</xdr:colOff>
      <xdr:row>0</xdr:row>
      <xdr:rowOff>0</xdr:rowOff>
    </xdr:from>
    <xdr:to>
      <xdr:col>22</xdr:col>
      <xdr:colOff>30480</xdr:colOff>
      <xdr:row>33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11AB2DB-E591-4F37-A3B2-EBA3828C7550}"/>
            </a:ext>
          </a:extLst>
        </xdr:cNvPr>
        <xdr:cNvCxnSpPr/>
      </xdr:nvCxnSpPr>
      <xdr:spPr>
        <a:xfrm>
          <a:off x="997458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144E-40EC-48E7-90B2-8A637020E6E4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4" customWidth="1"/>
  </cols>
  <sheetData>
    <row r="2" spans="2:7" x14ac:dyDescent="0.3">
      <c r="E2" s="4" t="s">
        <v>7</v>
      </c>
      <c r="F2" s="4" t="s">
        <v>8</v>
      </c>
      <c r="G2" s="4" t="s">
        <v>9</v>
      </c>
    </row>
    <row r="3" spans="2:7" x14ac:dyDescent="0.3">
      <c r="B3" s="1" t="s">
        <v>58</v>
      </c>
      <c r="C3" t="s">
        <v>0</v>
      </c>
      <c r="D3" s="6">
        <v>0.90400000000000003</v>
      </c>
      <c r="E3" s="5">
        <v>45743</v>
      </c>
      <c r="F3" s="5">
        <f ca="1">TODAY()</f>
        <v>45743</v>
      </c>
      <c r="G3" s="5">
        <v>45841</v>
      </c>
    </row>
    <row r="4" spans="2:7" x14ac:dyDescent="0.3">
      <c r="C4" t="s">
        <v>1</v>
      </c>
      <c r="D4" s="7">
        <v>1133</v>
      </c>
      <c r="E4" s="4" t="s">
        <v>52</v>
      </c>
    </row>
    <row r="5" spans="2:7" x14ac:dyDescent="0.3">
      <c r="C5" t="s">
        <v>2</v>
      </c>
      <c r="D5" s="7">
        <f>D3*D4</f>
        <v>1024.232</v>
      </c>
    </row>
    <row r="6" spans="2:7" x14ac:dyDescent="0.3">
      <c r="C6" t="s">
        <v>3</v>
      </c>
      <c r="D6" s="7">
        <f>108</f>
        <v>108</v>
      </c>
      <c r="E6" s="4" t="s">
        <v>52</v>
      </c>
    </row>
    <row r="7" spans="2:7" x14ac:dyDescent="0.3">
      <c r="C7" t="s">
        <v>4</v>
      </c>
      <c r="D7" s="7">
        <f>1</f>
        <v>1</v>
      </c>
      <c r="E7" s="4" t="s">
        <v>52</v>
      </c>
    </row>
    <row r="8" spans="2:7" x14ac:dyDescent="0.3">
      <c r="C8" t="s">
        <v>5</v>
      </c>
      <c r="D8" s="7">
        <f>D6-D7</f>
        <v>107</v>
      </c>
    </row>
    <row r="9" spans="2:7" x14ac:dyDescent="0.3">
      <c r="C9" t="s">
        <v>6</v>
      </c>
      <c r="D9" s="7">
        <f>D5-D8</f>
        <v>917.23199999999997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0634-7704-4935-B443-B368F7A3D989}">
  <dimension ref="B1:FC31"/>
  <sheetViews>
    <sheetView tabSelected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M17" sqref="M8:M19"/>
    </sheetView>
  </sheetViews>
  <sheetFormatPr defaultRowHeight="14.4" x14ac:dyDescent="0.3"/>
  <cols>
    <col min="2" max="2" width="19.44140625" bestFit="1" customWidth="1"/>
    <col min="3" max="16" width="10.5546875" customWidth="1"/>
    <col min="18" max="37" width="10.5546875" bestFit="1" customWidth="1"/>
    <col min="39" max="39" width="12" bestFit="1" customWidth="1"/>
    <col min="40" max="40" width="17.5546875" bestFit="1" customWidth="1"/>
  </cols>
  <sheetData>
    <row r="1" spans="2:38" x14ac:dyDescent="0.3">
      <c r="C1" s="2">
        <v>43404</v>
      </c>
      <c r="D1" s="2">
        <v>43585</v>
      </c>
      <c r="E1" s="2">
        <v>43769</v>
      </c>
      <c r="F1" s="2">
        <v>43951</v>
      </c>
      <c r="G1" s="2">
        <v>44135</v>
      </c>
      <c r="H1" s="2">
        <v>44316</v>
      </c>
      <c r="I1" s="2">
        <v>44500</v>
      </c>
      <c r="J1" s="2">
        <v>44681</v>
      </c>
      <c r="K1" s="2">
        <v>44865</v>
      </c>
      <c r="L1" s="2">
        <v>45046</v>
      </c>
      <c r="M1" s="2">
        <v>45230</v>
      </c>
      <c r="N1" s="15">
        <v>45412</v>
      </c>
      <c r="O1" s="2">
        <v>45596</v>
      </c>
      <c r="P1" s="2">
        <v>45777</v>
      </c>
      <c r="R1" s="2">
        <v>42855</v>
      </c>
      <c r="S1" s="2">
        <v>43220</v>
      </c>
      <c r="T1" s="2">
        <v>43585</v>
      </c>
      <c r="U1" s="2">
        <v>43951</v>
      </c>
      <c r="V1" s="2">
        <v>44316</v>
      </c>
      <c r="W1" s="2">
        <v>44681</v>
      </c>
      <c r="X1" s="15">
        <v>45046</v>
      </c>
      <c r="Y1" s="15">
        <v>45412</v>
      </c>
      <c r="Z1" s="2">
        <v>45777</v>
      </c>
      <c r="AA1" s="2">
        <v>46142</v>
      </c>
      <c r="AB1" s="2">
        <v>46507</v>
      </c>
      <c r="AC1" s="2">
        <v>46873</v>
      </c>
      <c r="AD1" s="2">
        <v>47238</v>
      </c>
      <c r="AE1" s="2">
        <v>47603</v>
      </c>
      <c r="AF1" s="2">
        <v>47968</v>
      </c>
      <c r="AG1" s="2">
        <v>48334</v>
      </c>
      <c r="AH1" s="2">
        <v>48699</v>
      </c>
      <c r="AI1" s="2">
        <v>49064</v>
      </c>
      <c r="AJ1" s="2">
        <v>49429</v>
      </c>
      <c r="AK1" s="2">
        <v>49795</v>
      </c>
    </row>
    <row r="2" spans="2:38" x14ac:dyDescent="0.3">
      <c r="C2" s="8" t="s">
        <v>10</v>
      </c>
      <c r="D2" s="8" t="s">
        <v>13</v>
      </c>
      <c r="E2" s="8" t="s">
        <v>14</v>
      </c>
      <c r="F2" s="8" t="s">
        <v>15</v>
      </c>
      <c r="G2" s="8" t="s">
        <v>11</v>
      </c>
      <c r="H2" s="8" t="s">
        <v>16</v>
      </c>
      <c r="I2" s="8" t="s">
        <v>46</v>
      </c>
      <c r="J2" s="8" t="s">
        <v>47</v>
      </c>
      <c r="K2" s="8" t="s">
        <v>48</v>
      </c>
      <c r="L2" s="8" t="s">
        <v>49</v>
      </c>
      <c r="M2" s="8" t="s">
        <v>50</v>
      </c>
      <c r="N2" s="4" t="s">
        <v>51</v>
      </c>
      <c r="O2" s="8" t="s">
        <v>52</v>
      </c>
      <c r="P2" s="8" t="s">
        <v>53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 s="3">
        <v>2022</v>
      </c>
      <c r="Y2" s="3">
        <v>2023</v>
      </c>
      <c r="Z2">
        <v>2024</v>
      </c>
      <c r="AA2">
        <v>2025</v>
      </c>
      <c r="AB2">
        <v>2026</v>
      </c>
      <c r="AC2">
        <v>2027</v>
      </c>
      <c r="AD2">
        <v>2028</v>
      </c>
      <c r="AE2">
        <v>2029</v>
      </c>
      <c r="AF2">
        <v>2030</v>
      </c>
      <c r="AG2">
        <v>2031</v>
      </c>
      <c r="AH2">
        <v>2032</v>
      </c>
      <c r="AI2">
        <v>2033</v>
      </c>
      <c r="AJ2">
        <v>2034</v>
      </c>
      <c r="AK2">
        <v>2035</v>
      </c>
    </row>
    <row r="3" spans="2:38" x14ac:dyDescent="0.3">
      <c r="B3" t="s">
        <v>54</v>
      </c>
      <c r="C3" s="7">
        <v>2033</v>
      </c>
      <c r="D3" s="12">
        <f>T3-C3</f>
        <v>2521</v>
      </c>
      <c r="E3" s="7">
        <v>2022</v>
      </c>
      <c r="F3" s="12">
        <f>U3-E3</f>
        <v>2602</v>
      </c>
      <c r="G3" s="7">
        <v>2300</v>
      </c>
      <c r="H3" s="7">
        <f>F3*1.11</f>
        <v>2888.2200000000003</v>
      </c>
      <c r="I3" s="7"/>
      <c r="J3" s="7"/>
      <c r="K3" s="7"/>
      <c r="L3" s="7"/>
      <c r="M3" s="7"/>
      <c r="N3" s="16">
        <v>2300</v>
      </c>
      <c r="O3" s="7"/>
      <c r="P3" s="7"/>
      <c r="R3" s="7">
        <v>4250</v>
      </c>
      <c r="S3" s="7">
        <v>4412</v>
      </c>
      <c r="T3" s="7">
        <v>4554</v>
      </c>
      <c r="U3" s="7">
        <v>4624</v>
      </c>
      <c r="V3" s="7">
        <v>4987</v>
      </c>
      <c r="W3" s="7">
        <f>V3*1.06</f>
        <v>5286.22</v>
      </c>
      <c r="X3" s="16">
        <v>4391</v>
      </c>
      <c r="Y3" s="16">
        <v>4296</v>
      </c>
      <c r="Z3" s="7">
        <f>Y3*1.03</f>
        <v>4424.88</v>
      </c>
      <c r="AA3" s="7">
        <f>Z3*1.03</f>
        <v>4557.6264000000001</v>
      </c>
      <c r="AB3" s="7">
        <f>AA3*1.02</f>
        <v>4648.7789280000006</v>
      </c>
      <c r="AC3" s="7">
        <f>AB3*1.02</f>
        <v>4741.7545065600007</v>
      </c>
      <c r="AD3" s="7">
        <f>AC3*1.02</f>
        <v>4836.5895966912003</v>
      </c>
      <c r="AE3" s="7">
        <f>AD3*1.01</f>
        <v>4884.9554926581122</v>
      </c>
      <c r="AF3" s="7">
        <f t="shared" ref="AF3" si="0">AE3*1.01</f>
        <v>4933.8050475846931</v>
      </c>
      <c r="AG3" s="7">
        <f t="shared" ref="AG3" si="1">AF3*1.01</f>
        <v>4983.1430980605401</v>
      </c>
      <c r="AH3" s="7">
        <f t="shared" ref="AH3" si="2">AG3*1.01</f>
        <v>5032.9745290411456</v>
      </c>
      <c r="AI3" s="7">
        <f t="shared" ref="AI3" si="3">AH3*1.01</f>
        <v>5083.3042743315573</v>
      </c>
      <c r="AJ3" s="7">
        <f t="shared" ref="AJ3" si="4">AI3*1.01</f>
        <v>5134.137317074873</v>
      </c>
      <c r="AK3" s="7">
        <f t="shared" ref="AK3" si="5">AJ3*1.01</f>
        <v>5185.4786902456217</v>
      </c>
    </row>
    <row r="4" spans="2:38" x14ac:dyDescent="0.3">
      <c r="B4" t="s">
        <v>55</v>
      </c>
      <c r="C4" s="7">
        <v>1060</v>
      </c>
      <c r="D4" s="12">
        <f t="shared" ref="D4:D8" si="6">T4-C4</f>
        <v>1028</v>
      </c>
      <c r="E4" s="7">
        <v>872</v>
      </c>
      <c r="F4" s="12">
        <f t="shared" ref="F4:F8" si="7">U4-E4</f>
        <v>815</v>
      </c>
      <c r="G4" s="7">
        <v>437</v>
      </c>
      <c r="H4" s="7">
        <f>F4*0.55</f>
        <v>448.25000000000006</v>
      </c>
      <c r="I4" s="7"/>
      <c r="J4" s="7"/>
      <c r="K4" s="7"/>
      <c r="L4" s="7"/>
      <c r="M4" s="7"/>
      <c r="N4" s="16">
        <v>437</v>
      </c>
      <c r="O4" s="7"/>
      <c r="P4" s="7"/>
      <c r="Q4" s="7"/>
      <c r="R4" s="7">
        <f>6735-R3</f>
        <v>2485</v>
      </c>
      <c r="S4" s="7">
        <v>2233</v>
      </c>
      <c r="T4" s="7">
        <v>2088</v>
      </c>
      <c r="U4" s="7">
        <v>1687</v>
      </c>
      <c r="V4" s="7">
        <v>849</v>
      </c>
      <c r="W4" s="7">
        <f>V4*0.7</f>
        <v>594.29999999999995</v>
      </c>
      <c r="X4" s="16">
        <f>260+242+174</f>
        <v>676</v>
      </c>
      <c r="Y4" s="16">
        <f>178+229+267</f>
        <v>674</v>
      </c>
      <c r="Z4" s="7">
        <f t="shared" ref="Z4:AF4" si="8">Y4*0.7</f>
        <v>471.79999999999995</v>
      </c>
      <c r="AA4" s="7">
        <f t="shared" si="8"/>
        <v>330.25999999999993</v>
      </c>
      <c r="AB4" s="7">
        <f t="shared" si="8"/>
        <v>231.18199999999993</v>
      </c>
      <c r="AC4" s="7">
        <f t="shared" si="8"/>
        <v>161.82739999999995</v>
      </c>
      <c r="AD4" s="7">
        <f t="shared" si="8"/>
        <v>113.27917999999995</v>
      </c>
      <c r="AE4" s="7">
        <f t="shared" si="8"/>
        <v>79.295425999999964</v>
      </c>
      <c r="AF4" s="7">
        <f t="shared" si="8"/>
        <v>55.50679819999997</v>
      </c>
      <c r="AG4" s="7">
        <f t="shared" ref="AG4" si="9">AF4*0.7</f>
        <v>38.85475873999998</v>
      </c>
      <c r="AH4" s="7">
        <f t="shared" ref="AH4" si="10">AG4*0.7</f>
        <v>27.198331117999984</v>
      </c>
      <c r="AI4" s="7">
        <f t="shared" ref="AI4" si="11">AH4*0.7</f>
        <v>19.038831782599988</v>
      </c>
      <c r="AJ4" s="7">
        <f t="shared" ref="AJ4" si="12">AI4*0.7</f>
        <v>13.327182247819991</v>
      </c>
      <c r="AK4" s="7">
        <f t="shared" ref="AK4" si="13">AJ4*0.7</f>
        <v>9.3290275734739936</v>
      </c>
    </row>
    <row r="5" spans="2:38" x14ac:dyDescent="0.3">
      <c r="B5" t="s">
        <v>27</v>
      </c>
      <c r="C5" s="7">
        <v>1675</v>
      </c>
      <c r="D5" s="12">
        <f t="shared" si="6"/>
        <v>1826</v>
      </c>
      <c r="E5" s="7">
        <v>1677</v>
      </c>
      <c r="F5" s="12">
        <f t="shared" si="7"/>
        <v>1896</v>
      </c>
      <c r="G5" s="7">
        <v>1952</v>
      </c>
      <c r="H5" s="7">
        <f>F5*1.15</f>
        <v>2180.3999999999996</v>
      </c>
      <c r="I5" s="7"/>
      <c r="J5" s="7"/>
      <c r="K5" s="7"/>
      <c r="L5" s="7"/>
      <c r="M5" s="7"/>
      <c r="N5" s="16">
        <v>1952</v>
      </c>
      <c r="O5" s="7"/>
      <c r="P5" s="7"/>
      <c r="R5" s="7">
        <v>3159</v>
      </c>
      <c r="S5" s="7">
        <v>3470</v>
      </c>
      <c r="T5" s="7">
        <v>3501</v>
      </c>
      <c r="U5" s="7">
        <v>3573</v>
      </c>
      <c r="V5" s="7">
        <v>4186</v>
      </c>
      <c r="W5" s="7">
        <f>V5*1.12</f>
        <v>4688.3200000000006</v>
      </c>
      <c r="X5" s="16">
        <v>3807</v>
      </c>
      <c r="Y5" s="16">
        <v>3506</v>
      </c>
      <c r="Z5" s="7">
        <f>Y5*1.04</f>
        <v>3646.2400000000002</v>
      </c>
      <c r="AA5" s="7">
        <f>Z5*1.03</f>
        <v>3755.6272000000004</v>
      </c>
      <c r="AB5" s="7">
        <f>AA5*1.03</f>
        <v>3868.2960160000007</v>
      </c>
      <c r="AC5" s="7">
        <f t="shared" ref="AC5:AE6" si="14">AB5*1.02</f>
        <v>3945.6619363200007</v>
      </c>
      <c r="AD5" s="7">
        <f t="shared" si="14"/>
        <v>4024.5751750464005</v>
      </c>
      <c r="AE5" s="7">
        <f t="shared" si="14"/>
        <v>4105.0666785473286</v>
      </c>
      <c r="AF5" s="7">
        <f>AE5*1.01</f>
        <v>4146.117345332802</v>
      </c>
      <c r="AG5" s="7">
        <f t="shared" ref="AG5:AK7" si="15">AF5*1.01</f>
        <v>4187.5785187861302</v>
      </c>
      <c r="AH5" s="7">
        <f t="shared" si="15"/>
        <v>4229.454303973992</v>
      </c>
      <c r="AI5" s="7">
        <f t="shared" si="15"/>
        <v>4271.7488470137323</v>
      </c>
      <c r="AJ5" s="7">
        <f t="shared" si="15"/>
        <v>4314.4663354838694</v>
      </c>
      <c r="AK5" s="7">
        <f t="shared" si="15"/>
        <v>4357.6109988387079</v>
      </c>
      <c r="AL5" s="7"/>
    </row>
    <row r="6" spans="2:38" x14ac:dyDescent="0.3">
      <c r="B6" t="s">
        <v>28</v>
      </c>
      <c r="C6" s="7">
        <v>212</v>
      </c>
      <c r="D6" s="12">
        <f t="shared" si="6"/>
        <v>247</v>
      </c>
      <c r="E6" s="7">
        <v>227</v>
      </c>
      <c r="F6" s="12">
        <f t="shared" si="7"/>
        <v>243</v>
      </c>
      <c r="G6" s="7">
        <v>257</v>
      </c>
      <c r="H6" s="7">
        <f>F6*1.06</f>
        <v>257.58000000000004</v>
      </c>
      <c r="I6" s="7"/>
      <c r="J6" s="7"/>
      <c r="K6" s="7"/>
      <c r="L6" s="7"/>
      <c r="M6" s="7"/>
      <c r="N6" s="16">
        <v>257</v>
      </c>
      <c r="O6" s="7"/>
      <c r="P6" s="7"/>
      <c r="R6" s="7">
        <v>348</v>
      </c>
      <c r="S6" s="7">
        <v>410</v>
      </c>
      <c r="T6" s="7">
        <v>459</v>
      </c>
      <c r="U6" s="7">
        <v>470</v>
      </c>
      <c r="V6" s="7">
        <v>516</v>
      </c>
      <c r="W6" s="7">
        <f>V6*1.06</f>
        <v>546.96</v>
      </c>
      <c r="X6" s="16"/>
      <c r="Y6" s="16"/>
      <c r="Z6" s="7">
        <f>Y6*1.03</f>
        <v>0</v>
      </c>
      <c r="AA6" s="7">
        <f t="shared" ref="AA6:AB6" si="16">Z6*1.02</f>
        <v>0</v>
      </c>
      <c r="AB6" s="7">
        <f t="shared" si="16"/>
        <v>0</v>
      </c>
      <c r="AC6" s="7">
        <f t="shared" si="14"/>
        <v>0</v>
      </c>
      <c r="AD6" s="7">
        <f>AC6*1.01</f>
        <v>0</v>
      </c>
      <c r="AE6" s="7">
        <f t="shared" ref="AE6:AF6" si="17">AD6*1.01</f>
        <v>0</v>
      </c>
      <c r="AF6" s="7">
        <f t="shared" si="17"/>
        <v>0</v>
      </c>
      <c r="AG6" s="7">
        <f t="shared" si="15"/>
        <v>0</v>
      </c>
      <c r="AH6" s="7">
        <f t="shared" si="15"/>
        <v>0</v>
      </c>
      <c r="AI6" s="7">
        <f t="shared" si="15"/>
        <v>0</v>
      </c>
      <c r="AJ6" s="7">
        <f t="shared" si="15"/>
        <v>0</v>
      </c>
      <c r="AK6" s="7">
        <f t="shared" si="15"/>
        <v>0</v>
      </c>
    </row>
    <row r="7" spans="2:38" x14ac:dyDescent="0.3">
      <c r="B7" s="3" t="s">
        <v>29</v>
      </c>
      <c r="C7" s="7">
        <v>-77</v>
      </c>
      <c r="D7" s="12">
        <f t="shared" si="6"/>
        <v>-92</v>
      </c>
      <c r="E7" s="7">
        <v>-85</v>
      </c>
      <c r="F7" s="12">
        <f t="shared" si="7"/>
        <v>-99</v>
      </c>
      <c r="G7" s="7">
        <v>-87</v>
      </c>
      <c r="H7" s="7">
        <v>-80</v>
      </c>
      <c r="I7" s="7"/>
      <c r="J7" s="7"/>
      <c r="K7" s="7"/>
      <c r="L7" s="7"/>
      <c r="M7" s="7"/>
      <c r="N7" s="16">
        <v>-87</v>
      </c>
      <c r="O7" s="7"/>
      <c r="P7" s="7"/>
      <c r="R7" s="7">
        <v>0</v>
      </c>
      <c r="S7" s="7">
        <v>0</v>
      </c>
      <c r="T7" s="7">
        <v>-169</v>
      </c>
      <c r="U7" s="7">
        <v>-184</v>
      </c>
      <c r="V7" s="7">
        <v>-194</v>
      </c>
      <c r="W7" s="7">
        <f>V7*1.01</f>
        <v>-195.94</v>
      </c>
      <c r="X7" s="16"/>
      <c r="Y7" s="16"/>
      <c r="Z7" s="7">
        <f t="shared" ref="Z7:AF7" si="18">Y7*1.01</f>
        <v>0</v>
      </c>
      <c r="AA7" s="7">
        <f t="shared" si="18"/>
        <v>0</v>
      </c>
      <c r="AB7" s="7">
        <f t="shared" si="18"/>
        <v>0</v>
      </c>
      <c r="AC7" s="7">
        <f t="shared" si="18"/>
        <v>0</v>
      </c>
      <c r="AD7" s="7">
        <f t="shared" si="18"/>
        <v>0</v>
      </c>
      <c r="AE7" s="7">
        <f t="shared" si="18"/>
        <v>0</v>
      </c>
      <c r="AF7" s="7">
        <f t="shared" si="18"/>
        <v>0</v>
      </c>
      <c r="AG7" s="7">
        <f t="shared" si="15"/>
        <v>0</v>
      </c>
      <c r="AH7" s="7">
        <f t="shared" si="15"/>
        <v>0</v>
      </c>
      <c r="AI7" s="7">
        <f t="shared" si="15"/>
        <v>0</v>
      </c>
      <c r="AJ7" s="7">
        <f t="shared" si="15"/>
        <v>0</v>
      </c>
      <c r="AK7" s="7">
        <f t="shared" si="15"/>
        <v>0</v>
      </c>
    </row>
    <row r="8" spans="2:38" s="1" customFormat="1" x14ac:dyDescent="0.3">
      <c r="B8" s="1" t="s">
        <v>12</v>
      </c>
      <c r="C8" s="10">
        <f>SUM(C3:C7)</f>
        <v>4903</v>
      </c>
      <c r="D8" s="13">
        <f t="shared" si="6"/>
        <v>5530</v>
      </c>
      <c r="E8" s="10">
        <f>SUM(E3:E7)</f>
        <v>4713</v>
      </c>
      <c r="F8" s="13">
        <f t="shared" si="7"/>
        <v>5457</v>
      </c>
      <c r="G8" s="10">
        <f>SUM(G3:G7)</f>
        <v>4859</v>
      </c>
      <c r="H8" s="10">
        <f>SUM(H3:H7)</f>
        <v>5694.45</v>
      </c>
      <c r="I8" s="10"/>
      <c r="J8" s="10"/>
      <c r="K8" s="10"/>
      <c r="L8" s="10"/>
      <c r="M8" s="10">
        <v>3868</v>
      </c>
      <c r="N8" s="17">
        <v>3918</v>
      </c>
      <c r="O8" s="10">
        <v>3918</v>
      </c>
      <c r="P8" s="10"/>
      <c r="R8" s="10">
        <f>SUM(R3:R7)</f>
        <v>10242</v>
      </c>
      <c r="S8" s="10">
        <f>SUM(S3:S7)</f>
        <v>10525</v>
      </c>
      <c r="T8" s="10">
        <f>SUM(T3:T7)</f>
        <v>10433</v>
      </c>
      <c r="U8" s="10">
        <f>SUM(U3:U7)</f>
        <v>10170</v>
      </c>
      <c r="V8" s="10">
        <f>SUM(V3:V7)</f>
        <v>10344</v>
      </c>
      <c r="W8" s="10">
        <f t="shared" ref="W8:AF8" si="19">SUM(W3:W7)</f>
        <v>10919.859999999999</v>
      </c>
      <c r="X8" s="17">
        <f t="shared" si="19"/>
        <v>8874</v>
      </c>
      <c r="Y8" s="17">
        <f t="shared" si="19"/>
        <v>8476</v>
      </c>
      <c r="Z8" s="10">
        <f t="shared" si="19"/>
        <v>8542.92</v>
      </c>
      <c r="AA8" s="10">
        <f t="shared" si="19"/>
        <v>8643.5136000000002</v>
      </c>
      <c r="AB8" s="10">
        <f t="shared" si="19"/>
        <v>8748.2569440000007</v>
      </c>
      <c r="AC8" s="10">
        <f t="shared" si="19"/>
        <v>8849.2438428800015</v>
      </c>
      <c r="AD8" s="10">
        <f t="shared" si="19"/>
        <v>8974.4439517376013</v>
      </c>
      <c r="AE8" s="10">
        <f t="shared" si="19"/>
        <v>9069.3175972054414</v>
      </c>
      <c r="AF8" s="10">
        <f t="shared" si="19"/>
        <v>9135.4291911174951</v>
      </c>
      <c r="AG8" s="10">
        <f t="shared" ref="AG8:AK8" si="20">SUM(AG3:AG7)</f>
        <v>9209.5763755866701</v>
      </c>
      <c r="AH8" s="10">
        <f t="shared" si="20"/>
        <v>9289.6271641331368</v>
      </c>
      <c r="AI8" s="10">
        <f t="shared" si="20"/>
        <v>9374.0919531278887</v>
      </c>
      <c r="AJ8" s="10">
        <f t="shared" si="20"/>
        <v>9461.9308348065624</v>
      </c>
      <c r="AK8" s="10">
        <f t="shared" si="20"/>
        <v>9552.4187166578049</v>
      </c>
    </row>
    <row r="9" spans="2:38" x14ac:dyDescent="0.3">
      <c r="B9" t="s">
        <v>17</v>
      </c>
      <c r="G9" s="7"/>
      <c r="N9" s="16"/>
      <c r="R9" s="7">
        <v>7986</v>
      </c>
      <c r="S9" s="7">
        <v>8365</v>
      </c>
      <c r="T9" s="7">
        <v>8330</v>
      </c>
      <c r="U9" s="7">
        <v>8318</v>
      </c>
      <c r="V9" s="7">
        <f>V8-V10</f>
        <v>8585.52</v>
      </c>
      <c r="W9" s="7">
        <f t="shared" ref="W9:AF9" si="21">W8-W10</f>
        <v>8954.2851999999984</v>
      </c>
      <c r="X9" s="16">
        <f t="shared" si="21"/>
        <v>7276.68</v>
      </c>
      <c r="Y9" s="16">
        <f t="shared" si="21"/>
        <v>6865.5599999999995</v>
      </c>
      <c r="Z9" s="7">
        <f t="shared" si="21"/>
        <v>6919.7651999999998</v>
      </c>
      <c r="AA9" s="7">
        <f t="shared" si="21"/>
        <v>7001.2460160000001</v>
      </c>
      <c r="AB9" s="7">
        <f t="shared" si="21"/>
        <v>7086.0881246400004</v>
      </c>
      <c r="AC9" s="7">
        <f t="shared" si="21"/>
        <v>7167.887512732801</v>
      </c>
      <c r="AD9" s="7">
        <f t="shared" si="21"/>
        <v>7269.2996009074568</v>
      </c>
      <c r="AE9" s="7">
        <f t="shared" si="21"/>
        <v>7346.1472537364079</v>
      </c>
      <c r="AF9" s="7">
        <f t="shared" si="21"/>
        <v>7399.697644805171</v>
      </c>
      <c r="AG9" s="7">
        <f t="shared" ref="AG9:AK9" si="22">AG8-AG10</f>
        <v>7459.7568642252027</v>
      </c>
      <c r="AH9" s="7">
        <f t="shared" si="22"/>
        <v>7524.5980029478405</v>
      </c>
      <c r="AI9" s="7">
        <f t="shared" si="22"/>
        <v>7593.01448203359</v>
      </c>
      <c r="AJ9" s="7">
        <f t="shared" si="22"/>
        <v>7664.1639761933156</v>
      </c>
      <c r="AK9" s="7">
        <f t="shared" si="22"/>
        <v>7737.4591604928219</v>
      </c>
    </row>
    <row r="10" spans="2:38" s="1" customFormat="1" x14ac:dyDescent="0.3">
      <c r="B10" s="1" t="s">
        <v>18</v>
      </c>
      <c r="G10" s="10"/>
      <c r="N10" s="17"/>
      <c r="R10" s="10">
        <f>R8-R9</f>
        <v>2256</v>
      </c>
      <c r="S10" s="10">
        <f>S8-S9</f>
        <v>2160</v>
      </c>
      <c r="T10" s="10">
        <f>T8-T9</f>
        <v>2103</v>
      </c>
      <c r="U10" s="10">
        <f>U8-U9</f>
        <v>1852</v>
      </c>
      <c r="V10" s="10">
        <f>V8*0.17</f>
        <v>1758.48</v>
      </c>
      <c r="W10" s="10">
        <f>W8*0.18</f>
        <v>1965.5747999999996</v>
      </c>
      <c r="X10" s="17">
        <f t="shared" ref="X10" si="23">X8*0.18</f>
        <v>1597.32</v>
      </c>
      <c r="Y10" s="17">
        <f>Y8*0.19</f>
        <v>1610.44</v>
      </c>
      <c r="Z10" s="10">
        <f t="shared" ref="Z10:AF10" si="24">Z8*0.19</f>
        <v>1623.1548</v>
      </c>
      <c r="AA10" s="10">
        <f t="shared" si="24"/>
        <v>1642.2675840000002</v>
      </c>
      <c r="AB10" s="10">
        <f t="shared" si="24"/>
        <v>1662.16881936</v>
      </c>
      <c r="AC10" s="10">
        <f t="shared" si="24"/>
        <v>1681.3563301472002</v>
      </c>
      <c r="AD10" s="10">
        <f t="shared" si="24"/>
        <v>1705.1443508301443</v>
      </c>
      <c r="AE10" s="10">
        <f t="shared" si="24"/>
        <v>1723.1703434690339</v>
      </c>
      <c r="AF10" s="10">
        <f t="shared" si="24"/>
        <v>1735.7315463123241</v>
      </c>
      <c r="AG10" s="10">
        <f t="shared" ref="AG10:AK10" si="25">AG8*0.19</f>
        <v>1749.8195113614674</v>
      </c>
      <c r="AH10" s="10">
        <f t="shared" si="25"/>
        <v>1765.0291611852961</v>
      </c>
      <c r="AI10" s="10">
        <f t="shared" si="25"/>
        <v>1781.077471094299</v>
      </c>
      <c r="AJ10" s="10">
        <f t="shared" si="25"/>
        <v>1797.7668586132468</v>
      </c>
      <c r="AK10" s="10">
        <f t="shared" si="25"/>
        <v>1814.959556164983</v>
      </c>
    </row>
    <row r="11" spans="2:38" x14ac:dyDescent="0.3">
      <c r="B11" t="s">
        <v>19</v>
      </c>
      <c r="G11" s="7"/>
      <c r="N11" s="16"/>
      <c r="R11" s="7">
        <v>1818</v>
      </c>
      <c r="S11" s="7">
        <v>1839</v>
      </c>
      <c r="T11" s="7">
        <v>2326</v>
      </c>
      <c r="U11" s="7">
        <v>1880</v>
      </c>
      <c r="V11" s="7">
        <f>V10-V12</f>
        <v>1544.5909999999999</v>
      </c>
      <c r="W11" s="7">
        <f>V11*1.15</f>
        <v>1776.2796499999997</v>
      </c>
      <c r="X11" s="16">
        <f>W11*1.03</f>
        <v>1829.5680394999997</v>
      </c>
      <c r="Y11" s="16">
        <f t="shared" ref="Y11:AA11" si="26">X11*1.03</f>
        <v>1884.4550806849998</v>
      </c>
      <c r="Z11" s="7">
        <f t="shared" si="26"/>
        <v>1940.9887331055497</v>
      </c>
      <c r="AA11" s="7">
        <f t="shared" si="26"/>
        <v>1999.2183950987162</v>
      </c>
      <c r="AB11" s="7">
        <f>AA11*1.02</f>
        <v>2039.2027630006905</v>
      </c>
      <c r="AC11" s="7">
        <f t="shared" ref="AC11:AF11" si="27">AB11*1.02</f>
        <v>2079.9868182607042</v>
      </c>
      <c r="AD11" s="7">
        <f t="shared" si="27"/>
        <v>2121.5865546259183</v>
      </c>
      <c r="AE11" s="7">
        <f t="shared" si="27"/>
        <v>2164.0182857184368</v>
      </c>
      <c r="AF11" s="7">
        <f t="shared" si="27"/>
        <v>2207.2986514328054</v>
      </c>
      <c r="AG11" s="7">
        <f t="shared" ref="AG11" si="28">AF11*1.02</f>
        <v>2251.4446244614614</v>
      </c>
      <c r="AH11" s="7">
        <f t="shared" ref="AH11" si="29">AG11*1.02</f>
        <v>2296.4735169506907</v>
      </c>
      <c r="AI11" s="7">
        <f t="shared" ref="AI11" si="30">AH11*1.02</f>
        <v>2342.4029872897045</v>
      </c>
      <c r="AJ11" s="7">
        <f t="shared" ref="AJ11" si="31">AI11*1.02</f>
        <v>2389.2510470354987</v>
      </c>
      <c r="AK11" s="7">
        <f t="shared" ref="AK11" si="32">AJ11*1.02</f>
        <v>2437.0360679762089</v>
      </c>
    </row>
    <row r="12" spans="2:38" s="1" customFormat="1" x14ac:dyDescent="0.3">
      <c r="B12" s="1" t="s">
        <v>20</v>
      </c>
      <c r="C12" s="1">
        <v>-423</v>
      </c>
      <c r="D12" s="13">
        <f t="shared" ref="D12:D14" si="33">T12-C12</f>
        <v>200</v>
      </c>
      <c r="E12" s="1">
        <v>-33</v>
      </c>
      <c r="F12" s="13">
        <f t="shared" ref="F12:F16" si="34">U12-E12</f>
        <v>5</v>
      </c>
      <c r="G12" s="10">
        <v>100</v>
      </c>
      <c r="H12" s="10">
        <f>H8*0.02</f>
        <v>113.889</v>
      </c>
      <c r="I12" s="10"/>
      <c r="J12" s="10"/>
      <c r="K12" s="10"/>
      <c r="L12" s="10"/>
      <c r="M12" s="10">
        <v>6</v>
      </c>
      <c r="N12" s="17">
        <v>100</v>
      </c>
      <c r="O12" s="10">
        <v>29</v>
      </c>
      <c r="P12" s="10"/>
      <c r="R12" s="10">
        <f>R10-R11</f>
        <v>438</v>
      </c>
      <c r="S12" s="10">
        <f>S10-S11</f>
        <v>321</v>
      </c>
      <c r="T12" s="10">
        <f>T10-T11</f>
        <v>-223</v>
      </c>
      <c r="U12" s="10">
        <f>U10-U11</f>
        <v>-28</v>
      </c>
      <c r="V12" s="10">
        <f>SUM(G12:H12)</f>
        <v>213.88900000000001</v>
      </c>
      <c r="W12" s="10">
        <f>W10-W11</f>
        <v>189.29514999999992</v>
      </c>
      <c r="X12" s="17">
        <f t="shared" ref="X12:AF12" si="35">X10-X11</f>
        <v>-232.24803949999978</v>
      </c>
      <c r="Y12" s="17">
        <f t="shared" si="35"/>
        <v>-274.0150806849997</v>
      </c>
      <c r="Z12" s="10">
        <f t="shared" si="35"/>
        <v>-317.8339331055497</v>
      </c>
      <c r="AA12" s="10">
        <f t="shared" si="35"/>
        <v>-356.95081109871603</v>
      </c>
      <c r="AB12" s="10">
        <f t="shared" si="35"/>
        <v>-377.0339436406905</v>
      </c>
      <c r="AC12" s="10">
        <f t="shared" si="35"/>
        <v>-398.63048811350404</v>
      </c>
      <c r="AD12" s="10">
        <f t="shared" si="35"/>
        <v>-416.44220379577405</v>
      </c>
      <c r="AE12" s="10">
        <f t="shared" si="35"/>
        <v>-440.84794224940288</v>
      </c>
      <c r="AF12" s="10">
        <f t="shared" si="35"/>
        <v>-471.5671051204813</v>
      </c>
      <c r="AG12" s="10">
        <f t="shared" ref="AG12:AK12" si="36">AG10-AG11</f>
        <v>-501.625113099994</v>
      </c>
      <c r="AH12" s="10">
        <f t="shared" si="36"/>
        <v>-531.44435576539468</v>
      </c>
      <c r="AI12" s="10">
        <f t="shared" si="36"/>
        <v>-561.3255161954055</v>
      </c>
      <c r="AJ12" s="10">
        <f t="shared" si="36"/>
        <v>-591.48418842225192</v>
      </c>
      <c r="AK12" s="10">
        <f t="shared" si="36"/>
        <v>-622.07651181122583</v>
      </c>
    </row>
    <row r="13" spans="2:38" x14ac:dyDescent="0.3">
      <c r="B13" t="s">
        <v>21</v>
      </c>
      <c r="C13">
        <v>-6</v>
      </c>
      <c r="D13" s="12">
        <f t="shared" si="33"/>
        <v>-5</v>
      </c>
      <c r="E13">
        <v>-5</v>
      </c>
      <c r="F13" s="12">
        <f t="shared" si="34"/>
        <v>-5</v>
      </c>
      <c r="G13" s="7">
        <v>-4</v>
      </c>
      <c r="H13" s="7">
        <v>-4</v>
      </c>
      <c r="I13" s="7"/>
      <c r="J13" s="7"/>
      <c r="K13" s="7"/>
      <c r="L13" s="7"/>
      <c r="M13" s="7">
        <v>-2</v>
      </c>
      <c r="N13" s="16">
        <v>-4</v>
      </c>
      <c r="O13" s="7">
        <v>-4</v>
      </c>
      <c r="P13" s="7"/>
      <c r="R13" s="7">
        <v>-17</v>
      </c>
      <c r="S13" s="7">
        <v>-14</v>
      </c>
      <c r="T13" s="7">
        <v>-11</v>
      </c>
      <c r="U13" s="7">
        <v>-10</v>
      </c>
      <c r="V13" s="7">
        <v>-6</v>
      </c>
      <c r="W13" s="7">
        <v>-8</v>
      </c>
      <c r="X13" s="16">
        <f>W13-W17*0.01</f>
        <v>-8.5830660499999993</v>
      </c>
      <c r="Y13" s="16">
        <v>-4</v>
      </c>
      <c r="Z13" s="7">
        <f t="shared" ref="Z13:AF13" si="37">Y13-Y17*0.01</f>
        <v>-0.35984919315000274</v>
      </c>
      <c r="AA13" s="7">
        <f t="shared" si="37"/>
        <v>2.3832693942367955</v>
      </c>
      <c r="AB13" s="7">
        <f t="shared" si="37"/>
        <v>5.3152479576874647</v>
      </c>
      <c r="AC13" s="7">
        <f t="shared" si="37"/>
        <v>8.3250042988761113</v>
      </c>
      <c r="AD13" s="7">
        <f t="shared" si="37"/>
        <v>11.440342345762772</v>
      </c>
      <c r="AE13" s="7">
        <f t="shared" si="37"/>
        <v>14.64883984875353</v>
      </c>
      <c r="AF13" s="7">
        <f t="shared" si="37"/>
        <v>18.007973067440624</v>
      </c>
      <c r="AG13" s="7">
        <f t="shared" ref="AG13" si="38">AF13-AF17*0.01</f>
        <v>21.571523209956077</v>
      </c>
      <c r="AH13" s="7">
        <f t="shared" ref="AH13" si="39">AG13-AG17*0.01</f>
        <v>25.343119340285728</v>
      </c>
      <c r="AI13" s="7">
        <f t="shared" ref="AI13" si="40">AH13-AH17*0.01</f>
        <v>29.328007406953489</v>
      </c>
      <c r="AJ13" s="7">
        <f t="shared" ref="AJ13" si="41">AI13-AI17*0.01</f>
        <v>33.532482664912401</v>
      </c>
      <c r="AK13" s="7">
        <f t="shared" ref="AK13" si="42">AJ13-AJ17*0.01</f>
        <v>37.963519836716472</v>
      </c>
    </row>
    <row r="14" spans="2:38" x14ac:dyDescent="0.3">
      <c r="B14" t="s">
        <v>22</v>
      </c>
      <c r="C14">
        <v>23</v>
      </c>
      <c r="D14" s="12">
        <f t="shared" si="33"/>
        <v>24</v>
      </c>
      <c r="E14">
        <v>58</v>
      </c>
      <c r="F14" s="12">
        <f t="shared" si="34"/>
        <v>64</v>
      </c>
      <c r="G14" s="7">
        <v>59</v>
      </c>
      <c r="H14" s="7">
        <v>59</v>
      </c>
      <c r="I14" s="7"/>
      <c r="J14" s="7"/>
      <c r="K14" s="7"/>
      <c r="L14" s="7"/>
      <c r="M14" s="7">
        <v>52</v>
      </c>
      <c r="N14" s="16">
        <v>59</v>
      </c>
      <c r="O14" s="7">
        <v>43</v>
      </c>
      <c r="P14" s="7"/>
      <c r="R14" s="7">
        <v>49</v>
      </c>
      <c r="S14" s="7">
        <v>46</v>
      </c>
      <c r="T14" s="7">
        <v>47</v>
      </c>
      <c r="U14" s="7">
        <v>122</v>
      </c>
      <c r="V14" s="7">
        <v>120</v>
      </c>
      <c r="W14" s="7">
        <f>V14*0.95</f>
        <v>114</v>
      </c>
      <c r="X14" s="16">
        <f>W14*0.8</f>
        <v>91.2</v>
      </c>
      <c r="Y14" s="16">
        <v>93</v>
      </c>
      <c r="Z14" s="7">
        <f t="shared" ref="Z14:AF14" si="43">Y14*0.8</f>
        <v>74.400000000000006</v>
      </c>
      <c r="AA14" s="7">
        <f t="shared" si="43"/>
        <v>59.52000000000001</v>
      </c>
      <c r="AB14" s="7">
        <f t="shared" si="43"/>
        <v>47.616000000000014</v>
      </c>
      <c r="AC14" s="7">
        <f t="shared" si="43"/>
        <v>38.092800000000011</v>
      </c>
      <c r="AD14" s="7">
        <f t="shared" si="43"/>
        <v>30.474240000000009</v>
      </c>
      <c r="AE14" s="7">
        <f t="shared" si="43"/>
        <v>24.37939200000001</v>
      </c>
      <c r="AF14" s="7">
        <f t="shared" si="43"/>
        <v>19.503513600000009</v>
      </c>
      <c r="AG14" s="7">
        <f t="shared" ref="AG14" si="44">AF14*0.8</f>
        <v>15.602810880000007</v>
      </c>
      <c r="AH14" s="7">
        <f t="shared" ref="AH14" si="45">AG14*0.8</f>
        <v>12.482248704000007</v>
      </c>
      <c r="AI14" s="7">
        <f t="shared" ref="AI14" si="46">AH14*0.8</f>
        <v>9.9857989632000059</v>
      </c>
      <c r="AJ14" s="7">
        <f t="shared" ref="AJ14" si="47">AI14*0.8</f>
        <v>7.9886391705600053</v>
      </c>
      <c r="AK14" s="7">
        <f t="shared" ref="AK14" si="48">AJ14*0.8</f>
        <v>6.3909113364480046</v>
      </c>
    </row>
    <row r="15" spans="2:38" s="1" customFormat="1" x14ac:dyDescent="0.3">
      <c r="B15" s="1" t="s">
        <v>23</v>
      </c>
      <c r="C15" s="10">
        <f t="shared" ref="C15:H15" si="49">C12-C13-C14</f>
        <v>-440</v>
      </c>
      <c r="D15" s="10">
        <f t="shared" si="49"/>
        <v>181</v>
      </c>
      <c r="E15" s="10">
        <f t="shared" si="49"/>
        <v>-86</v>
      </c>
      <c r="F15" s="10">
        <f t="shared" si="49"/>
        <v>-54</v>
      </c>
      <c r="G15" s="10">
        <f t="shared" si="49"/>
        <v>45</v>
      </c>
      <c r="H15" s="10">
        <f t="shared" si="49"/>
        <v>58.888999999999996</v>
      </c>
      <c r="I15" s="10"/>
      <c r="J15" s="10"/>
      <c r="K15" s="10"/>
      <c r="L15" s="10"/>
      <c r="M15" s="10">
        <f t="shared" ref="M15" si="50">M12-M13-M14</f>
        <v>-44</v>
      </c>
      <c r="N15" s="17">
        <f t="shared" ref="N15:O15" si="51">N12-N13-N14</f>
        <v>45</v>
      </c>
      <c r="O15" s="10">
        <f t="shared" si="51"/>
        <v>-10</v>
      </c>
      <c r="P15" s="10"/>
      <c r="R15" s="10">
        <f>R12-R13-R14</f>
        <v>406</v>
      </c>
      <c r="S15" s="10">
        <f>S12-S13-S14</f>
        <v>289</v>
      </c>
      <c r="T15" s="10">
        <f>T12-T13-T14</f>
        <v>-259</v>
      </c>
      <c r="U15" s="10">
        <f>U12-U13-U14</f>
        <v>-140</v>
      </c>
      <c r="V15" s="10">
        <f>V12-V13-V14</f>
        <v>99.88900000000001</v>
      </c>
      <c r="W15" s="10">
        <f t="shared" ref="W15:AF15" si="52">W12-W13-W14</f>
        <v>83.295149999999921</v>
      </c>
      <c r="X15" s="17">
        <f t="shared" si="52"/>
        <v>-314.86497344999975</v>
      </c>
      <c r="Y15" s="17">
        <f t="shared" si="52"/>
        <v>-363.0150806849997</v>
      </c>
      <c r="Z15" s="10">
        <f t="shared" si="52"/>
        <v>-391.87408391239967</v>
      </c>
      <c r="AA15" s="10">
        <f t="shared" si="52"/>
        <v>-418.85408049295279</v>
      </c>
      <c r="AB15" s="10">
        <f t="shared" si="52"/>
        <v>-429.96519159837794</v>
      </c>
      <c r="AC15" s="10">
        <f t="shared" si="52"/>
        <v>-445.04829241238019</v>
      </c>
      <c r="AD15" s="10">
        <f t="shared" si="52"/>
        <v>-458.35678614153682</v>
      </c>
      <c r="AE15" s="10">
        <f t="shared" si="52"/>
        <v>-479.87617409815641</v>
      </c>
      <c r="AF15" s="10">
        <f t="shared" si="52"/>
        <v>-509.07859178792194</v>
      </c>
      <c r="AG15" s="10">
        <f t="shared" ref="AG15:AK15" si="53">AG12-AG13-AG14</f>
        <v>-538.79944718995011</v>
      </c>
      <c r="AH15" s="10">
        <f t="shared" si="53"/>
        <v>-569.26972380968039</v>
      </c>
      <c r="AI15" s="10">
        <f t="shared" si="53"/>
        <v>-600.63932256555893</v>
      </c>
      <c r="AJ15" s="10">
        <f t="shared" si="53"/>
        <v>-633.00531025772432</v>
      </c>
      <c r="AK15" s="10">
        <f t="shared" si="53"/>
        <v>-666.4309429843903</v>
      </c>
    </row>
    <row r="16" spans="2:38" x14ac:dyDescent="0.3">
      <c r="B16" t="s">
        <v>24</v>
      </c>
      <c r="C16" s="7">
        <v>20</v>
      </c>
      <c r="D16" s="12">
        <f t="shared" ref="D16" si="54">T16-C16</f>
        <v>32</v>
      </c>
      <c r="E16" s="7">
        <v>-16</v>
      </c>
      <c r="F16" s="12">
        <f t="shared" si="34"/>
        <v>37</v>
      </c>
      <c r="G16" s="7">
        <v>28</v>
      </c>
      <c r="H16" s="7">
        <f>H15*0.3</f>
        <v>17.666699999999999</v>
      </c>
      <c r="I16" s="7"/>
      <c r="J16" s="7"/>
      <c r="K16" s="7"/>
      <c r="L16" s="7"/>
      <c r="M16" s="7">
        <v>-7</v>
      </c>
      <c r="N16" s="16">
        <v>28</v>
      </c>
      <c r="O16" s="7">
        <v>-2</v>
      </c>
      <c r="P16" s="7"/>
      <c r="R16" s="7">
        <v>97</v>
      </c>
      <c r="S16" s="7">
        <v>53</v>
      </c>
      <c r="T16" s="7">
        <v>52</v>
      </c>
      <c r="U16" s="7">
        <v>21</v>
      </c>
      <c r="V16" s="7">
        <f>33-12</f>
        <v>21</v>
      </c>
      <c r="W16" s="7">
        <f>W15*0.3</f>
        <v>24.988544999999977</v>
      </c>
      <c r="X16" s="16">
        <f t="shared" ref="X16:AF16" si="55">X15*0.3</f>
        <v>-94.459492034999926</v>
      </c>
      <c r="Y16" s="16">
        <v>1</v>
      </c>
      <c r="Z16" s="7">
        <f t="shared" si="55"/>
        <v>-117.5622251737199</v>
      </c>
      <c r="AA16" s="7">
        <f t="shared" si="55"/>
        <v>-125.65622414788584</v>
      </c>
      <c r="AB16" s="7">
        <f t="shared" si="55"/>
        <v>-128.98955747951337</v>
      </c>
      <c r="AC16" s="7">
        <f t="shared" si="55"/>
        <v>-133.51448772371404</v>
      </c>
      <c r="AD16" s="7">
        <f t="shared" si="55"/>
        <v>-137.50703584246105</v>
      </c>
      <c r="AE16" s="7">
        <f t="shared" si="55"/>
        <v>-143.96285222944692</v>
      </c>
      <c r="AF16" s="7">
        <f t="shared" si="55"/>
        <v>-152.72357753637658</v>
      </c>
      <c r="AG16" s="7">
        <f t="shared" ref="AG16:AK16" si="56">AG15*0.3</f>
        <v>-161.63983415698502</v>
      </c>
      <c r="AH16" s="7">
        <f t="shared" si="56"/>
        <v>-170.78091714290412</v>
      </c>
      <c r="AI16" s="7">
        <f t="shared" si="56"/>
        <v>-180.19179676966766</v>
      </c>
      <c r="AJ16" s="7">
        <f t="shared" si="56"/>
        <v>-189.9015930773173</v>
      </c>
      <c r="AK16" s="7">
        <f t="shared" si="56"/>
        <v>-199.92928289531707</v>
      </c>
    </row>
    <row r="17" spans="2:159" s="1" customFormat="1" x14ac:dyDescent="0.3">
      <c r="B17" s="1" t="s">
        <v>25</v>
      </c>
      <c r="C17" s="10">
        <f t="shared" ref="C17:H17" si="57">C15-C16</f>
        <v>-460</v>
      </c>
      <c r="D17" s="10">
        <f t="shared" si="57"/>
        <v>149</v>
      </c>
      <c r="E17" s="10">
        <f t="shared" si="57"/>
        <v>-70</v>
      </c>
      <c r="F17" s="10">
        <f t="shared" si="57"/>
        <v>-91</v>
      </c>
      <c r="G17" s="10">
        <f t="shared" si="57"/>
        <v>17</v>
      </c>
      <c r="H17" s="10">
        <f t="shared" si="57"/>
        <v>41.222299999999997</v>
      </c>
      <c r="I17" s="10"/>
      <c r="J17" s="10"/>
      <c r="K17" s="10"/>
      <c r="L17" s="10"/>
      <c r="M17" s="10">
        <f t="shared" ref="M17" si="58">M15-M16</f>
        <v>-37</v>
      </c>
      <c r="N17" s="17">
        <f t="shared" ref="N17:O17" si="59">N15-N16</f>
        <v>17</v>
      </c>
      <c r="O17" s="10">
        <f t="shared" si="59"/>
        <v>-8</v>
      </c>
      <c r="P17" s="10"/>
      <c r="R17" s="10">
        <f>R15-R16</f>
        <v>309</v>
      </c>
      <c r="S17" s="10">
        <f>S15-S16</f>
        <v>236</v>
      </c>
      <c r="T17" s="10">
        <f>T15-T16</f>
        <v>-311</v>
      </c>
      <c r="U17" s="10">
        <f>U15-U16</f>
        <v>-161</v>
      </c>
      <c r="V17" s="10">
        <f>V15-V16</f>
        <v>78.88900000000001</v>
      </c>
      <c r="W17" s="10">
        <f t="shared" ref="W17:AF17" si="60">W15-W16</f>
        <v>58.306604999999948</v>
      </c>
      <c r="X17" s="17">
        <f t="shared" si="60"/>
        <v>-220.40548141499983</v>
      </c>
      <c r="Y17" s="17">
        <f t="shared" si="60"/>
        <v>-364.0150806849997</v>
      </c>
      <c r="Z17" s="10">
        <f t="shared" si="60"/>
        <v>-274.3118587386798</v>
      </c>
      <c r="AA17" s="10">
        <f t="shared" si="60"/>
        <v>-293.19785634506695</v>
      </c>
      <c r="AB17" s="10">
        <f t="shared" si="60"/>
        <v>-300.9756341188646</v>
      </c>
      <c r="AC17" s="10">
        <f t="shared" si="60"/>
        <v>-311.53380468866612</v>
      </c>
      <c r="AD17" s="10">
        <f t="shared" si="60"/>
        <v>-320.84975029907577</v>
      </c>
      <c r="AE17" s="10">
        <f t="shared" si="60"/>
        <v>-335.91332186870949</v>
      </c>
      <c r="AF17" s="10">
        <f t="shared" si="60"/>
        <v>-356.35501425154536</v>
      </c>
      <c r="AG17" s="10">
        <f t="shared" ref="AG17:AK17" si="61">AG15-AG16</f>
        <v>-377.15961303296513</v>
      </c>
      <c r="AH17" s="10">
        <f t="shared" si="61"/>
        <v>-398.48880666677627</v>
      </c>
      <c r="AI17" s="10">
        <f t="shared" si="61"/>
        <v>-420.44752579589124</v>
      </c>
      <c r="AJ17" s="10">
        <f t="shared" si="61"/>
        <v>-443.10371718040699</v>
      </c>
      <c r="AK17" s="10">
        <f t="shared" si="61"/>
        <v>-466.5016600890732</v>
      </c>
      <c r="AL17" s="1">
        <f>AK17*(1+$AN$23)</f>
        <v>-461.83664348818246</v>
      </c>
      <c r="AM17" s="1">
        <f t="shared" ref="AM17:CX17" si="62">AL17*(1+$AN$23)</f>
        <v>-457.21827705330065</v>
      </c>
      <c r="AN17" s="1">
        <f t="shared" si="62"/>
        <v>-452.64609428276765</v>
      </c>
      <c r="AO17" s="1">
        <f t="shared" si="62"/>
        <v>-448.11963333993998</v>
      </c>
      <c r="AP17" s="1">
        <f t="shared" si="62"/>
        <v>-443.63843700654058</v>
      </c>
      <c r="AQ17" s="1">
        <f t="shared" si="62"/>
        <v>-439.20205263647517</v>
      </c>
      <c r="AR17" s="1">
        <f t="shared" si="62"/>
        <v>-434.8100321101104</v>
      </c>
      <c r="AS17" s="1">
        <f t="shared" si="62"/>
        <v>-430.46193178900927</v>
      </c>
      <c r="AT17" s="1">
        <f t="shared" si="62"/>
        <v>-426.15731247111916</v>
      </c>
      <c r="AU17" s="1">
        <f t="shared" si="62"/>
        <v>-421.89573934640794</v>
      </c>
      <c r="AV17" s="1">
        <f t="shared" si="62"/>
        <v>-417.67678195294383</v>
      </c>
      <c r="AW17" s="1">
        <f t="shared" si="62"/>
        <v>-413.50001413341437</v>
      </c>
      <c r="AX17" s="1">
        <f t="shared" si="62"/>
        <v>-409.36501399208021</v>
      </c>
      <c r="AY17" s="1">
        <f t="shared" si="62"/>
        <v>-405.27136385215942</v>
      </c>
      <c r="AZ17" s="1">
        <f t="shared" si="62"/>
        <v>-401.21865021363783</v>
      </c>
      <c r="BA17" s="1">
        <f t="shared" si="62"/>
        <v>-397.20646371150144</v>
      </c>
      <c r="BB17" s="1">
        <f t="shared" si="62"/>
        <v>-393.23439907438643</v>
      </c>
      <c r="BC17" s="1">
        <f t="shared" si="62"/>
        <v>-389.30205508364259</v>
      </c>
      <c r="BD17" s="1">
        <f t="shared" si="62"/>
        <v>-385.40903453280617</v>
      </c>
      <c r="BE17" s="1">
        <f t="shared" si="62"/>
        <v>-381.5549441874781</v>
      </c>
      <c r="BF17" s="1">
        <f t="shared" si="62"/>
        <v>-377.73939474560331</v>
      </c>
      <c r="BG17" s="1">
        <f t="shared" si="62"/>
        <v>-373.96200079814724</v>
      </c>
      <c r="BH17" s="1">
        <f t="shared" si="62"/>
        <v>-370.22238079016574</v>
      </c>
      <c r="BI17" s="1">
        <f t="shared" si="62"/>
        <v>-366.5201569822641</v>
      </c>
      <c r="BJ17" s="1">
        <f t="shared" si="62"/>
        <v>-362.85495541244143</v>
      </c>
      <c r="BK17" s="1">
        <f t="shared" si="62"/>
        <v>-359.22640585831704</v>
      </c>
      <c r="BL17" s="1">
        <f t="shared" si="62"/>
        <v>-355.63414179973387</v>
      </c>
      <c r="BM17" s="1">
        <f t="shared" si="62"/>
        <v>-352.07780038173655</v>
      </c>
      <c r="BN17" s="1">
        <f t="shared" si="62"/>
        <v>-348.55702237791917</v>
      </c>
      <c r="BO17" s="1">
        <f t="shared" si="62"/>
        <v>-345.07145215413999</v>
      </c>
      <c r="BP17" s="1">
        <f t="shared" si="62"/>
        <v>-341.6207376325986</v>
      </c>
      <c r="BQ17" s="1">
        <f t="shared" si="62"/>
        <v>-338.20453025627262</v>
      </c>
      <c r="BR17" s="1">
        <f t="shared" si="62"/>
        <v>-334.82248495370987</v>
      </c>
      <c r="BS17" s="1">
        <f t="shared" si="62"/>
        <v>-331.4742601041728</v>
      </c>
      <c r="BT17" s="1">
        <f t="shared" si="62"/>
        <v>-328.15951750313104</v>
      </c>
      <c r="BU17" s="1">
        <f t="shared" si="62"/>
        <v>-324.87792232809971</v>
      </c>
      <c r="BV17" s="1">
        <f t="shared" si="62"/>
        <v>-321.6291431048187</v>
      </c>
      <c r="BW17" s="1">
        <f t="shared" si="62"/>
        <v>-318.41285167377049</v>
      </c>
      <c r="BX17" s="1">
        <f t="shared" si="62"/>
        <v>-315.22872315703279</v>
      </c>
      <c r="BY17" s="1">
        <f t="shared" si="62"/>
        <v>-312.07643592546248</v>
      </c>
      <c r="BZ17" s="1">
        <f t="shared" si="62"/>
        <v>-308.95567156620785</v>
      </c>
      <c r="CA17" s="1">
        <f t="shared" si="62"/>
        <v>-305.86611485054578</v>
      </c>
      <c r="CB17" s="1">
        <f t="shared" si="62"/>
        <v>-302.80745370204033</v>
      </c>
      <c r="CC17" s="1">
        <f t="shared" si="62"/>
        <v>-299.77937916501992</v>
      </c>
      <c r="CD17" s="1">
        <f t="shared" si="62"/>
        <v>-296.78158537336969</v>
      </c>
      <c r="CE17" s="1">
        <f t="shared" si="62"/>
        <v>-293.81376951963597</v>
      </c>
      <c r="CF17" s="1">
        <f t="shared" si="62"/>
        <v>-290.87563182443961</v>
      </c>
      <c r="CG17" s="1">
        <f t="shared" si="62"/>
        <v>-287.96687550619521</v>
      </c>
      <c r="CH17" s="1">
        <f t="shared" si="62"/>
        <v>-285.08720675113324</v>
      </c>
      <c r="CI17" s="1">
        <f t="shared" si="62"/>
        <v>-282.23633468362192</v>
      </c>
      <c r="CJ17" s="1">
        <f t="shared" si="62"/>
        <v>-279.41397133678572</v>
      </c>
      <c r="CK17" s="1">
        <f t="shared" si="62"/>
        <v>-276.61983162341784</v>
      </c>
      <c r="CL17" s="1">
        <f t="shared" si="62"/>
        <v>-273.85363330718366</v>
      </c>
      <c r="CM17" s="1">
        <f t="shared" si="62"/>
        <v>-271.11509697411179</v>
      </c>
      <c r="CN17" s="1">
        <f t="shared" si="62"/>
        <v>-268.40394600437065</v>
      </c>
      <c r="CO17" s="1">
        <f t="shared" si="62"/>
        <v>-265.71990654432693</v>
      </c>
      <c r="CP17" s="1">
        <f t="shared" si="62"/>
        <v>-263.06270747888368</v>
      </c>
      <c r="CQ17" s="1">
        <f t="shared" si="62"/>
        <v>-260.43208040409485</v>
      </c>
      <c r="CR17" s="1">
        <f t="shared" si="62"/>
        <v>-257.82775960005392</v>
      </c>
      <c r="CS17" s="1">
        <f t="shared" si="62"/>
        <v>-255.24948200405339</v>
      </c>
      <c r="CT17" s="1">
        <f t="shared" si="62"/>
        <v>-252.69698718401287</v>
      </c>
      <c r="CU17" s="1">
        <f t="shared" si="62"/>
        <v>-250.17001731217275</v>
      </c>
      <c r="CV17" s="1">
        <f t="shared" si="62"/>
        <v>-247.66831713905103</v>
      </c>
      <c r="CW17" s="1">
        <f t="shared" si="62"/>
        <v>-245.19163396766052</v>
      </c>
      <c r="CX17" s="1">
        <f t="shared" si="62"/>
        <v>-242.73971762798391</v>
      </c>
      <c r="CY17" s="1">
        <f t="shared" ref="CY17:FC17" si="63">CX17*(1+$AN$23)</f>
        <v>-240.31232045170407</v>
      </c>
      <c r="CZ17" s="1">
        <f t="shared" si="63"/>
        <v>-237.90919724718702</v>
      </c>
      <c r="DA17" s="1">
        <f t="shared" si="63"/>
        <v>-235.53010527471514</v>
      </c>
      <c r="DB17" s="1">
        <f t="shared" si="63"/>
        <v>-233.17480422196797</v>
      </c>
      <c r="DC17" s="1">
        <f t="shared" si="63"/>
        <v>-230.84305617974829</v>
      </c>
      <c r="DD17" s="1">
        <f t="shared" si="63"/>
        <v>-228.53462561795081</v>
      </c>
      <c r="DE17" s="1">
        <f t="shared" si="63"/>
        <v>-226.2492793617713</v>
      </c>
      <c r="DF17" s="1">
        <f t="shared" si="63"/>
        <v>-223.98678656815358</v>
      </c>
      <c r="DG17" s="1">
        <f t="shared" si="63"/>
        <v>-221.74691870247204</v>
      </c>
      <c r="DH17" s="1">
        <f t="shared" si="63"/>
        <v>-219.52944951544731</v>
      </c>
      <c r="DI17" s="1">
        <f t="shared" si="63"/>
        <v>-217.33415502029283</v>
      </c>
      <c r="DJ17" s="1">
        <f t="shared" si="63"/>
        <v>-215.16081347008989</v>
      </c>
      <c r="DK17" s="1">
        <f t="shared" si="63"/>
        <v>-213.009205335389</v>
      </c>
      <c r="DL17" s="1">
        <f t="shared" si="63"/>
        <v>-210.87911328203509</v>
      </c>
      <c r="DM17" s="1">
        <f t="shared" si="63"/>
        <v>-208.77032214921473</v>
      </c>
      <c r="DN17" s="1">
        <f t="shared" si="63"/>
        <v>-206.68261892772259</v>
      </c>
      <c r="DO17" s="1">
        <f t="shared" si="63"/>
        <v>-204.61579273844535</v>
      </c>
      <c r="DP17" s="1">
        <f t="shared" si="63"/>
        <v>-202.56963481106089</v>
      </c>
      <c r="DQ17" s="1">
        <f t="shared" si="63"/>
        <v>-200.54393846295028</v>
      </c>
      <c r="DR17" s="1">
        <f t="shared" si="63"/>
        <v>-198.53849907832077</v>
      </c>
      <c r="DS17" s="1">
        <f t="shared" si="63"/>
        <v>-196.55311408753755</v>
      </c>
      <c r="DT17" s="1">
        <f t="shared" si="63"/>
        <v>-194.58758294666217</v>
      </c>
      <c r="DU17" s="1">
        <f t="shared" si="63"/>
        <v>-192.64170711719555</v>
      </c>
      <c r="DV17" s="1">
        <f t="shared" si="63"/>
        <v>-190.7152900460236</v>
      </c>
      <c r="DW17" s="1">
        <f t="shared" si="63"/>
        <v>-188.80813714556336</v>
      </c>
      <c r="DX17" s="1">
        <f t="shared" si="63"/>
        <v>-186.92005577410774</v>
      </c>
      <c r="DY17" s="1">
        <f t="shared" si="63"/>
        <v>-185.05085521636667</v>
      </c>
      <c r="DZ17" s="1">
        <f t="shared" si="63"/>
        <v>-183.20034666420301</v>
      </c>
      <c r="EA17" s="1">
        <f t="shared" si="63"/>
        <v>-181.36834319756099</v>
      </c>
      <c r="EB17" s="1">
        <f t="shared" si="63"/>
        <v>-179.55465976558537</v>
      </c>
      <c r="EC17" s="1">
        <f t="shared" si="63"/>
        <v>-177.75911316792951</v>
      </c>
      <c r="ED17" s="1">
        <f t="shared" si="63"/>
        <v>-175.98152203625023</v>
      </c>
      <c r="EE17" s="1">
        <f t="shared" si="63"/>
        <v>-174.22170681588773</v>
      </c>
      <c r="EF17" s="1">
        <f t="shared" si="63"/>
        <v>-172.47948974772885</v>
      </c>
      <c r="EG17" s="1">
        <f t="shared" si="63"/>
        <v>-170.75469485025155</v>
      </c>
      <c r="EH17" s="1">
        <f t="shared" si="63"/>
        <v>-169.04714790174904</v>
      </c>
      <c r="EI17" s="1">
        <f t="shared" si="63"/>
        <v>-167.35667642273154</v>
      </c>
      <c r="EJ17" s="1">
        <f t="shared" si="63"/>
        <v>-165.68310965850424</v>
      </c>
      <c r="EK17" s="1">
        <f t="shared" si="63"/>
        <v>-164.02627856191918</v>
      </c>
      <c r="EL17" s="1">
        <f t="shared" si="63"/>
        <v>-162.38601577629998</v>
      </c>
      <c r="EM17" s="1">
        <f t="shared" si="63"/>
        <v>-160.76215561853698</v>
      </c>
      <c r="EN17" s="1">
        <f t="shared" si="63"/>
        <v>-159.15453406235162</v>
      </c>
      <c r="EO17" s="1">
        <f t="shared" si="63"/>
        <v>-157.56298872172809</v>
      </c>
      <c r="EP17" s="1">
        <f t="shared" si="63"/>
        <v>-155.98735883451081</v>
      </c>
      <c r="EQ17" s="1">
        <f t="shared" si="63"/>
        <v>-154.4274852461657</v>
      </c>
      <c r="ER17" s="1">
        <f t="shared" si="63"/>
        <v>-152.88321039370405</v>
      </c>
      <c r="ES17" s="1">
        <f t="shared" si="63"/>
        <v>-151.354378289767</v>
      </c>
      <c r="ET17" s="1">
        <f t="shared" si="63"/>
        <v>-149.84083450686933</v>
      </c>
      <c r="EU17" s="1">
        <f t="shared" si="63"/>
        <v>-148.34242616180063</v>
      </c>
      <c r="EV17" s="1">
        <f t="shared" si="63"/>
        <v>-146.85900190018262</v>
      </c>
      <c r="EW17" s="1">
        <f t="shared" si="63"/>
        <v>-145.3904118811808</v>
      </c>
      <c r="EX17" s="1">
        <f t="shared" si="63"/>
        <v>-143.93650776236899</v>
      </c>
      <c r="EY17" s="1">
        <f t="shared" si="63"/>
        <v>-142.49714268474528</v>
      </c>
      <c r="EZ17" s="1">
        <f t="shared" si="63"/>
        <v>-141.07217125789782</v>
      </c>
      <c r="FA17" s="1">
        <f t="shared" si="63"/>
        <v>-139.66144954531885</v>
      </c>
      <c r="FB17" s="1">
        <f t="shared" si="63"/>
        <v>-138.26483504986567</v>
      </c>
      <c r="FC17" s="1">
        <f t="shared" si="63"/>
        <v>-136.882186699367</v>
      </c>
    </row>
    <row r="18" spans="2:159" x14ac:dyDescent="0.3">
      <c r="B18" t="s">
        <v>1</v>
      </c>
      <c r="C18" s="7">
        <v>1165</v>
      </c>
      <c r="D18" s="7">
        <v>1165</v>
      </c>
      <c r="E18" s="7">
        <v>1165</v>
      </c>
      <c r="F18" s="7">
        <v>1165</v>
      </c>
      <c r="G18" s="7">
        <v>1165</v>
      </c>
      <c r="H18" s="7">
        <v>1166.5</v>
      </c>
      <c r="I18" s="7"/>
      <c r="J18" s="7"/>
      <c r="K18" s="7"/>
      <c r="L18" s="7"/>
      <c r="M18" s="7">
        <v>1133</v>
      </c>
      <c r="N18" s="16">
        <v>1106</v>
      </c>
      <c r="O18" s="7">
        <v>1133</v>
      </c>
      <c r="P18" s="7"/>
      <c r="R18" s="7">
        <v>1165</v>
      </c>
      <c r="S18" s="7">
        <v>1165</v>
      </c>
      <c r="T18" s="7">
        <v>1165</v>
      </c>
      <c r="U18" s="7">
        <v>1165</v>
      </c>
      <c r="V18" s="7">
        <v>1166.5</v>
      </c>
      <c r="W18" s="7">
        <v>1166.5</v>
      </c>
      <c r="X18" s="16">
        <v>1166.5</v>
      </c>
      <c r="Y18" s="16">
        <v>1106</v>
      </c>
      <c r="Z18" s="7">
        <v>1106</v>
      </c>
      <c r="AA18" s="7">
        <v>1106</v>
      </c>
      <c r="AB18" s="7">
        <v>1106</v>
      </c>
      <c r="AC18" s="7">
        <v>1106</v>
      </c>
      <c r="AD18" s="7">
        <v>1106</v>
      </c>
      <c r="AE18" s="7">
        <v>1106</v>
      </c>
      <c r="AF18" s="7">
        <v>1106</v>
      </c>
      <c r="AG18" s="7">
        <v>1106</v>
      </c>
      <c r="AH18" s="7">
        <v>1106</v>
      </c>
      <c r="AI18" s="7">
        <v>1106</v>
      </c>
      <c r="AJ18" s="7">
        <v>1106</v>
      </c>
      <c r="AK18" s="7">
        <v>1106</v>
      </c>
    </row>
    <row r="19" spans="2:159" s="1" customFormat="1" x14ac:dyDescent="0.3">
      <c r="B19" s="1" t="s">
        <v>26</v>
      </c>
      <c r="C19" s="9">
        <f t="shared" ref="C19:H19" si="64">C17/C18</f>
        <v>-0.39484978540772531</v>
      </c>
      <c r="D19" s="9">
        <f t="shared" si="64"/>
        <v>0.12789699570815449</v>
      </c>
      <c r="E19" s="9">
        <f t="shared" si="64"/>
        <v>-6.0085836909871244E-2</v>
      </c>
      <c r="F19" s="9">
        <f t="shared" si="64"/>
        <v>-7.8111587982832617E-2</v>
      </c>
      <c r="G19" s="9">
        <f t="shared" si="64"/>
        <v>1.4592274678111588E-2</v>
      </c>
      <c r="H19" s="9">
        <f t="shared" si="64"/>
        <v>3.5338448349764247E-2</v>
      </c>
      <c r="I19" s="9"/>
      <c r="J19" s="9"/>
      <c r="K19" s="9"/>
      <c r="L19" s="9"/>
      <c r="M19" s="9">
        <f t="shared" ref="M19" si="65">M17/M18</f>
        <v>-3.265666372462489E-2</v>
      </c>
      <c r="N19" s="18">
        <f t="shared" ref="N19:O19" si="66">N17/N18</f>
        <v>1.5370705244122965E-2</v>
      </c>
      <c r="O19" s="9">
        <f t="shared" si="66"/>
        <v>-7.0609002647837602E-3</v>
      </c>
      <c r="P19" s="9"/>
      <c r="R19" s="9">
        <f>R17/R18</f>
        <v>0.26523605150214591</v>
      </c>
      <c r="S19" s="9">
        <f>S17/S18</f>
        <v>0.20257510729613734</v>
      </c>
      <c r="T19" s="9">
        <f>T17/T18</f>
        <v>-0.26695278969957081</v>
      </c>
      <c r="U19" s="9">
        <f>U17/U18</f>
        <v>-0.13819742489270387</v>
      </c>
      <c r="V19" s="9">
        <f>V17/V18</f>
        <v>6.7628804114873556E-2</v>
      </c>
      <c r="W19" s="9">
        <f t="shared" ref="W19:AF19" si="67">W17/W18</f>
        <v>4.9984230604372008E-2</v>
      </c>
      <c r="X19" s="18">
        <f t="shared" si="67"/>
        <v>-0.1889459763523359</v>
      </c>
      <c r="Y19" s="18">
        <f t="shared" si="67"/>
        <v>-0.32912755938969229</v>
      </c>
      <c r="Z19" s="9">
        <f t="shared" si="67"/>
        <v>-0.24802157209645551</v>
      </c>
      <c r="AA19" s="9">
        <f t="shared" si="67"/>
        <v>-0.26509751929933723</v>
      </c>
      <c r="AB19" s="9">
        <f t="shared" si="67"/>
        <v>-0.27212986810023926</v>
      </c>
      <c r="AC19" s="9">
        <f t="shared" si="67"/>
        <v>-0.28167613443821532</v>
      </c>
      <c r="AD19" s="9">
        <f t="shared" si="67"/>
        <v>-0.2900992317351499</v>
      </c>
      <c r="AE19" s="9">
        <f t="shared" si="67"/>
        <v>-0.30371909753047877</v>
      </c>
      <c r="AF19" s="9">
        <f t="shared" si="67"/>
        <v>-0.32220164037210247</v>
      </c>
      <c r="AG19" s="9">
        <f t="shared" ref="AG19:AK19" si="68">AG17/AG18</f>
        <v>-0.34101230834806973</v>
      </c>
      <c r="AH19" s="9">
        <f t="shared" si="68"/>
        <v>-0.36029729355043061</v>
      </c>
      <c r="AI19" s="9">
        <f t="shared" si="68"/>
        <v>-0.38015146997820182</v>
      </c>
      <c r="AJ19" s="9">
        <f t="shared" si="68"/>
        <v>-0.40063627231501536</v>
      </c>
      <c r="AK19" s="9">
        <f t="shared" si="68"/>
        <v>-0.42179173606606979</v>
      </c>
    </row>
    <row r="21" spans="2:159" x14ac:dyDescent="0.3">
      <c r="B21" t="s">
        <v>56</v>
      </c>
      <c r="E21" s="11">
        <f>E3/C3-1</f>
        <v>-5.4107230693556385E-3</v>
      </c>
      <c r="F21" s="11">
        <f t="shared" ref="F21:H24" si="69">F3/D3-1</f>
        <v>3.2130107100357019E-2</v>
      </c>
      <c r="G21" s="11">
        <f t="shared" si="69"/>
        <v>0.13748763600395653</v>
      </c>
      <c r="H21" s="11">
        <f t="shared" si="69"/>
        <v>0.1100000000000001</v>
      </c>
      <c r="I21" s="11"/>
      <c r="J21" s="11"/>
      <c r="K21" s="11"/>
      <c r="L21" s="11"/>
      <c r="M21" s="11"/>
      <c r="N21" s="11"/>
      <c r="O21" s="11"/>
      <c r="P21" s="11"/>
      <c r="S21" s="11">
        <f>S3/R3-1</f>
        <v>3.8117647058823589E-2</v>
      </c>
      <c r="T21" s="11">
        <f t="shared" ref="T21:AF21" si="70">T3/S3-1</f>
        <v>3.2184950135992763E-2</v>
      </c>
      <c r="U21" s="11">
        <f t="shared" si="70"/>
        <v>1.5371102327624175E-2</v>
      </c>
      <c r="V21" s="11">
        <f t="shared" si="70"/>
        <v>7.8503460207612452E-2</v>
      </c>
      <c r="W21" s="11">
        <f t="shared" si="70"/>
        <v>6.0000000000000053E-2</v>
      </c>
      <c r="X21" s="11">
        <f t="shared" si="70"/>
        <v>-0.16934974329483077</v>
      </c>
      <c r="Y21" s="11">
        <f t="shared" si="70"/>
        <v>-2.1635162833067656E-2</v>
      </c>
      <c r="Z21" s="11">
        <f t="shared" si="70"/>
        <v>3.0000000000000027E-2</v>
      </c>
      <c r="AA21" s="11">
        <f t="shared" si="70"/>
        <v>3.0000000000000027E-2</v>
      </c>
      <c r="AB21" s="11">
        <f t="shared" si="70"/>
        <v>2.0000000000000018E-2</v>
      </c>
      <c r="AC21" s="11">
        <f t="shared" si="70"/>
        <v>2.0000000000000018E-2</v>
      </c>
      <c r="AD21" s="11">
        <f t="shared" si="70"/>
        <v>2.0000000000000018E-2</v>
      </c>
      <c r="AE21" s="11">
        <f t="shared" si="70"/>
        <v>1.0000000000000009E-2</v>
      </c>
      <c r="AF21" s="11">
        <f t="shared" si="70"/>
        <v>1.0000000000000009E-2</v>
      </c>
      <c r="AG21" s="11">
        <f t="shared" ref="AG21:AG24" si="71">AG3/AF3-1</f>
        <v>1.0000000000000009E-2</v>
      </c>
      <c r="AH21" s="11">
        <f t="shared" ref="AH21:AH24" si="72">AH3/AG3-1</f>
        <v>1.0000000000000009E-2</v>
      </c>
      <c r="AI21" s="11">
        <f t="shared" ref="AI21:AI24" si="73">AI3/AH3-1</f>
        <v>1.0000000000000009E-2</v>
      </c>
      <c r="AJ21" s="11">
        <f t="shared" ref="AJ21:AJ24" si="74">AJ3/AI3-1</f>
        <v>1.0000000000000009E-2</v>
      </c>
      <c r="AK21" s="11">
        <f t="shared" ref="AK21:AK24" si="75">AK3/AJ3-1</f>
        <v>1.0000000000000009E-2</v>
      </c>
    </row>
    <row r="22" spans="2:159" x14ac:dyDescent="0.3">
      <c r="B22" t="s">
        <v>57</v>
      </c>
      <c r="E22" s="11">
        <f t="shared" ref="E22:E24" si="76">E4/C4-1</f>
        <v>-0.1773584905660377</v>
      </c>
      <c r="F22" s="11">
        <f t="shared" si="69"/>
        <v>-0.20719844357976658</v>
      </c>
      <c r="G22" s="11">
        <f t="shared" si="69"/>
        <v>-0.49885321100917435</v>
      </c>
      <c r="H22" s="11">
        <f t="shared" si="69"/>
        <v>-0.44999999999999996</v>
      </c>
      <c r="I22" s="11"/>
      <c r="J22" s="11"/>
      <c r="K22" s="11"/>
      <c r="L22" s="11"/>
      <c r="M22" s="11"/>
      <c r="N22" s="11"/>
      <c r="O22" s="11"/>
      <c r="P22" s="11"/>
      <c r="S22" s="11">
        <f t="shared" ref="S22:AF22" si="77">S4/R4-1</f>
        <v>-0.10140845070422533</v>
      </c>
      <c r="T22" s="11">
        <f t="shared" si="77"/>
        <v>-6.4935064935064957E-2</v>
      </c>
      <c r="U22" s="11">
        <f t="shared" si="77"/>
        <v>-0.19204980842911878</v>
      </c>
      <c r="V22" s="11">
        <f t="shared" si="77"/>
        <v>-0.49673977474807351</v>
      </c>
      <c r="W22" s="11">
        <f t="shared" si="77"/>
        <v>-0.30000000000000004</v>
      </c>
      <c r="X22" s="11">
        <f t="shared" si="77"/>
        <v>0.13747265690728594</v>
      </c>
      <c r="Y22" s="11">
        <f t="shared" si="77"/>
        <v>-2.9585798816568198E-3</v>
      </c>
      <c r="Z22" s="11">
        <f t="shared" si="77"/>
        <v>-0.30000000000000004</v>
      </c>
      <c r="AA22" s="11">
        <f t="shared" si="77"/>
        <v>-0.30000000000000004</v>
      </c>
      <c r="AB22" s="11">
        <f t="shared" si="77"/>
        <v>-0.30000000000000004</v>
      </c>
      <c r="AC22" s="11">
        <f t="shared" si="77"/>
        <v>-0.29999999999999993</v>
      </c>
      <c r="AD22" s="11">
        <f t="shared" si="77"/>
        <v>-0.30000000000000004</v>
      </c>
      <c r="AE22" s="11">
        <f t="shared" si="77"/>
        <v>-0.30000000000000004</v>
      </c>
      <c r="AF22" s="11">
        <f t="shared" si="77"/>
        <v>-0.30000000000000004</v>
      </c>
      <c r="AG22" s="11">
        <f t="shared" si="71"/>
        <v>-0.29999999999999993</v>
      </c>
      <c r="AH22" s="11">
        <f t="shared" si="72"/>
        <v>-0.30000000000000004</v>
      </c>
      <c r="AI22" s="11">
        <f t="shared" si="73"/>
        <v>-0.30000000000000004</v>
      </c>
      <c r="AJ22" s="11">
        <f t="shared" si="74"/>
        <v>-0.30000000000000004</v>
      </c>
      <c r="AK22" s="11">
        <f t="shared" si="75"/>
        <v>-0.30000000000000004</v>
      </c>
    </row>
    <row r="23" spans="2:159" x14ac:dyDescent="0.3">
      <c r="B23" t="s">
        <v>33</v>
      </c>
      <c r="E23" s="11">
        <f t="shared" si="76"/>
        <v>1.1940298507462366E-3</v>
      </c>
      <c r="F23" s="11">
        <f t="shared" si="69"/>
        <v>3.8335158817086601E-2</v>
      </c>
      <c r="G23" s="11">
        <f t="shared" si="69"/>
        <v>0.16398330351818724</v>
      </c>
      <c r="H23" s="11">
        <f t="shared" si="69"/>
        <v>0.14999999999999991</v>
      </c>
      <c r="I23" s="11"/>
      <c r="J23" s="11"/>
      <c r="K23" s="11"/>
      <c r="L23" s="11"/>
      <c r="M23" s="11"/>
      <c r="N23" s="11"/>
      <c r="O23" s="11"/>
      <c r="P23" s="11"/>
      <c r="S23" s="11">
        <f t="shared" ref="S23:AF23" si="78">S5/R5-1</f>
        <v>9.8448876226653992E-2</v>
      </c>
      <c r="T23" s="11">
        <f t="shared" si="78"/>
        <v>8.9337175792507661E-3</v>
      </c>
      <c r="U23" s="11">
        <f t="shared" si="78"/>
        <v>2.0565552699228773E-2</v>
      </c>
      <c r="V23" s="11">
        <f t="shared" si="78"/>
        <v>0.17156451161488939</v>
      </c>
      <c r="W23" s="11">
        <f t="shared" si="78"/>
        <v>0.12000000000000011</v>
      </c>
      <c r="X23" s="11">
        <f t="shared" si="78"/>
        <v>-0.18798204900689386</v>
      </c>
      <c r="Y23" s="11">
        <f t="shared" si="78"/>
        <v>-7.9064880483320166E-2</v>
      </c>
      <c r="Z23" s="11">
        <f t="shared" si="78"/>
        <v>4.0000000000000036E-2</v>
      </c>
      <c r="AA23" s="11">
        <f t="shared" si="78"/>
        <v>3.0000000000000027E-2</v>
      </c>
      <c r="AB23" s="11">
        <f t="shared" si="78"/>
        <v>3.0000000000000027E-2</v>
      </c>
      <c r="AC23" s="11">
        <f t="shared" si="78"/>
        <v>2.0000000000000018E-2</v>
      </c>
      <c r="AD23" s="11">
        <f t="shared" si="78"/>
        <v>2.0000000000000018E-2</v>
      </c>
      <c r="AE23" s="11">
        <f t="shared" si="78"/>
        <v>2.0000000000000018E-2</v>
      </c>
      <c r="AF23" s="11">
        <f t="shared" si="78"/>
        <v>1.0000000000000009E-2</v>
      </c>
      <c r="AG23" s="11">
        <f t="shared" si="71"/>
        <v>1.0000000000000009E-2</v>
      </c>
      <c r="AH23" s="11">
        <f t="shared" si="72"/>
        <v>1.0000000000000009E-2</v>
      </c>
      <c r="AI23" s="11">
        <f t="shared" si="73"/>
        <v>1.0000000000000009E-2</v>
      </c>
      <c r="AJ23" s="11">
        <f t="shared" si="74"/>
        <v>1.0000000000000009E-2</v>
      </c>
      <c r="AK23" s="11">
        <f t="shared" si="75"/>
        <v>1.0000000000000009E-2</v>
      </c>
      <c r="AM23" t="s">
        <v>35</v>
      </c>
      <c r="AN23" s="11">
        <v>-0.01</v>
      </c>
    </row>
    <row r="24" spans="2:159" x14ac:dyDescent="0.3">
      <c r="B24" t="s">
        <v>34</v>
      </c>
      <c r="E24" s="11">
        <f t="shared" si="76"/>
        <v>7.0754716981132004E-2</v>
      </c>
      <c r="F24" s="11">
        <f t="shared" si="69"/>
        <v>-1.619433198380571E-2</v>
      </c>
      <c r="G24" s="11">
        <f t="shared" si="69"/>
        <v>0.13215859030836996</v>
      </c>
      <c r="H24" s="11">
        <f t="shared" si="69"/>
        <v>6.0000000000000275E-2</v>
      </c>
      <c r="I24" s="11"/>
      <c r="J24" s="11"/>
      <c r="K24" s="11"/>
      <c r="L24" s="11"/>
      <c r="M24" s="11"/>
      <c r="N24" s="11"/>
      <c r="O24" s="11"/>
      <c r="P24" s="11"/>
      <c r="S24" s="11">
        <f t="shared" ref="S24:AF24" si="79">S6/R6-1</f>
        <v>0.17816091954022983</v>
      </c>
      <c r="T24" s="11">
        <f t="shared" si="79"/>
        <v>0.11951219512195133</v>
      </c>
      <c r="U24" s="11">
        <f t="shared" si="79"/>
        <v>2.3965141612200425E-2</v>
      </c>
      <c r="V24" s="11">
        <f t="shared" si="79"/>
        <v>9.7872340425531945E-2</v>
      </c>
      <c r="W24" s="11">
        <f t="shared" si="79"/>
        <v>6.0000000000000053E-2</v>
      </c>
      <c r="X24" s="11">
        <f t="shared" si="79"/>
        <v>-1</v>
      </c>
      <c r="Y24" s="11" t="e">
        <f t="shared" si="79"/>
        <v>#DIV/0!</v>
      </c>
      <c r="Z24" s="11" t="e">
        <f t="shared" si="79"/>
        <v>#DIV/0!</v>
      </c>
      <c r="AA24" s="11" t="e">
        <f t="shared" si="79"/>
        <v>#DIV/0!</v>
      </c>
      <c r="AB24" s="11" t="e">
        <f t="shared" si="79"/>
        <v>#DIV/0!</v>
      </c>
      <c r="AC24" s="11" t="e">
        <f t="shared" si="79"/>
        <v>#DIV/0!</v>
      </c>
      <c r="AD24" s="11" t="e">
        <f t="shared" si="79"/>
        <v>#DIV/0!</v>
      </c>
      <c r="AE24" s="11" t="e">
        <f t="shared" si="79"/>
        <v>#DIV/0!</v>
      </c>
      <c r="AF24" s="11" t="e">
        <f t="shared" si="79"/>
        <v>#DIV/0!</v>
      </c>
      <c r="AG24" s="11" t="e">
        <f t="shared" si="71"/>
        <v>#DIV/0!</v>
      </c>
      <c r="AH24" s="11" t="e">
        <f t="shared" si="72"/>
        <v>#DIV/0!</v>
      </c>
      <c r="AI24" s="11" t="e">
        <f t="shared" si="73"/>
        <v>#DIV/0!</v>
      </c>
      <c r="AJ24" s="11" t="e">
        <f t="shared" si="74"/>
        <v>#DIV/0!</v>
      </c>
      <c r="AK24" s="11" t="e">
        <f t="shared" si="75"/>
        <v>#DIV/0!</v>
      </c>
      <c r="AM24" t="s">
        <v>36</v>
      </c>
      <c r="AN24" s="11">
        <v>0.1</v>
      </c>
    </row>
    <row r="25" spans="2:159" x14ac:dyDescent="0.3">
      <c r="B25" s="1" t="s">
        <v>30</v>
      </c>
      <c r="E25" s="11">
        <f>E8/C8-1</f>
        <v>-3.8751784621660179E-2</v>
      </c>
      <c r="F25" s="11">
        <f t="shared" ref="F25:H25" si="80">F8/D8-1</f>
        <v>-1.3200723327305597E-2</v>
      </c>
      <c r="G25" s="11">
        <f t="shared" si="80"/>
        <v>3.0978145554848346E-2</v>
      </c>
      <c r="H25" s="11">
        <f t="shared" si="80"/>
        <v>4.3512919186366128E-2</v>
      </c>
      <c r="I25" s="11"/>
      <c r="J25" s="11"/>
      <c r="K25" s="11"/>
      <c r="L25" s="11"/>
      <c r="M25" s="11"/>
      <c r="N25" s="11"/>
      <c r="O25" s="11"/>
      <c r="P25" s="11"/>
      <c r="S25" s="11">
        <f>S8/R8-1</f>
        <v>2.7631322007420467E-2</v>
      </c>
      <c r="T25" s="11">
        <f t="shared" ref="T25:AF25" si="81">T8/S8-1</f>
        <v>-8.7410926365795172E-3</v>
      </c>
      <c r="U25" s="11">
        <f t="shared" si="81"/>
        <v>-2.5208473114156971E-2</v>
      </c>
      <c r="V25" s="11">
        <f t="shared" si="81"/>
        <v>1.7109144542772903E-2</v>
      </c>
      <c r="W25" s="11">
        <f t="shared" si="81"/>
        <v>5.5670920340293861E-2</v>
      </c>
      <c r="X25" s="11">
        <f t="shared" si="81"/>
        <v>-0.1873522188013399</v>
      </c>
      <c r="Y25" s="11">
        <f t="shared" si="81"/>
        <v>-4.4850123957628996E-2</v>
      </c>
      <c r="Z25" s="11">
        <f t="shared" si="81"/>
        <v>7.8952336007551693E-3</v>
      </c>
      <c r="AA25" s="11">
        <f t="shared" si="81"/>
        <v>1.1775083929148389E-2</v>
      </c>
      <c r="AB25" s="11">
        <f t="shared" si="81"/>
        <v>1.2118144176923584E-2</v>
      </c>
      <c r="AC25" s="11">
        <f t="shared" si="81"/>
        <v>1.1543659442840415E-2</v>
      </c>
      <c r="AD25" s="11">
        <f t="shared" si="81"/>
        <v>1.4148113791477623E-2</v>
      </c>
      <c r="AE25" s="11">
        <f t="shared" si="81"/>
        <v>1.0571534679813865E-2</v>
      </c>
      <c r="AF25" s="11">
        <f t="shared" si="81"/>
        <v>7.2895885719588271E-3</v>
      </c>
      <c r="AG25" s="11">
        <f t="shared" ref="AG25" si="82">AG8/AF8-1</f>
        <v>8.1164423606139291E-3</v>
      </c>
      <c r="AH25" s="11">
        <f t="shared" ref="AH25" si="83">AH8/AG8-1</f>
        <v>8.6921249449292137E-3</v>
      </c>
      <c r="AI25" s="11">
        <f t="shared" ref="AI25" si="84">AI8/AH8-1</f>
        <v>9.0923766371235892E-3</v>
      </c>
      <c r="AJ25" s="11">
        <f t="shared" ref="AJ25" si="85">AJ8/AI8-1</f>
        <v>9.3703883125835219E-3</v>
      </c>
      <c r="AK25" s="11">
        <f t="shared" ref="AK25" si="86">AK8/AJ8-1</f>
        <v>9.5633632744782648E-3</v>
      </c>
      <c r="AM25" t="s">
        <v>37</v>
      </c>
      <c r="AN25" s="7">
        <f>NPV(AN24,Z17:FC17)</f>
        <v>-3651.0654806376465</v>
      </c>
    </row>
    <row r="26" spans="2:159" x14ac:dyDescent="0.3">
      <c r="B26" s="1" t="s">
        <v>32</v>
      </c>
      <c r="C26" s="11"/>
      <c r="R26" s="11">
        <f>R10/R8</f>
        <v>0.22026947861745752</v>
      </c>
      <c r="S26" s="11">
        <f t="shared" ref="S26:AF26" si="87">S10/S8</f>
        <v>0.20522565320665084</v>
      </c>
      <c r="T26" s="11">
        <f t="shared" si="87"/>
        <v>0.20157193520559763</v>
      </c>
      <c r="U26" s="11">
        <f t="shared" si="87"/>
        <v>0.18210422812192723</v>
      </c>
      <c r="V26" s="11">
        <f t="shared" si="87"/>
        <v>0.17</v>
      </c>
      <c r="W26" s="11">
        <f t="shared" si="87"/>
        <v>0.18</v>
      </c>
      <c r="X26" s="11">
        <f t="shared" si="87"/>
        <v>0.18</v>
      </c>
      <c r="Y26" s="11">
        <f t="shared" si="87"/>
        <v>0.19</v>
      </c>
      <c r="Z26" s="11">
        <f t="shared" si="87"/>
        <v>0.19</v>
      </c>
      <c r="AA26" s="11">
        <f t="shared" si="87"/>
        <v>0.19</v>
      </c>
      <c r="AB26" s="11">
        <f t="shared" si="87"/>
        <v>0.19</v>
      </c>
      <c r="AC26" s="11">
        <f t="shared" si="87"/>
        <v>0.19</v>
      </c>
      <c r="AD26" s="11">
        <f t="shared" si="87"/>
        <v>0.19</v>
      </c>
      <c r="AE26" s="11">
        <f t="shared" si="87"/>
        <v>0.19</v>
      </c>
      <c r="AF26" s="11">
        <f t="shared" si="87"/>
        <v>0.19</v>
      </c>
      <c r="AG26" s="11">
        <f t="shared" ref="AG26:AK26" si="88">AG10/AG8</f>
        <v>0.19</v>
      </c>
      <c r="AH26" s="11">
        <f t="shared" si="88"/>
        <v>0.19</v>
      </c>
      <c r="AI26" s="11">
        <f t="shared" si="88"/>
        <v>0.19</v>
      </c>
      <c r="AJ26" s="11">
        <f t="shared" si="88"/>
        <v>0.19</v>
      </c>
      <c r="AK26" s="11">
        <f t="shared" si="88"/>
        <v>0.19</v>
      </c>
      <c r="AM26" t="s">
        <v>38</v>
      </c>
      <c r="AN26" s="7">
        <f>Main!D8</f>
        <v>107</v>
      </c>
    </row>
    <row r="27" spans="2:159" x14ac:dyDescent="0.3">
      <c r="B27" t="s">
        <v>31</v>
      </c>
      <c r="C27" s="11">
        <f>C12/C8</f>
        <v>-8.6273709973485616E-2</v>
      </c>
      <c r="D27" s="11">
        <f t="shared" ref="D27:H27" si="89">D12/D8</f>
        <v>3.6166365280289332E-2</v>
      </c>
      <c r="E27" s="11">
        <f t="shared" si="89"/>
        <v>-7.0019096117122856E-3</v>
      </c>
      <c r="F27" s="11">
        <f t="shared" si="89"/>
        <v>9.1625435220817303E-4</v>
      </c>
      <c r="G27" s="11">
        <f t="shared" si="89"/>
        <v>2.0580366330520683E-2</v>
      </c>
      <c r="H27" s="11">
        <f t="shared" si="89"/>
        <v>0.02</v>
      </c>
      <c r="I27" s="11"/>
      <c r="J27" s="11"/>
      <c r="K27" s="11"/>
      <c r="L27" s="11"/>
      <c r="M27" s="11"/>
      <c r="N27" s="11"/>
      <c r="O27" s="11"/>
      <c r="P27" s="11"/>
      <c r="R27" s="11">
        <f t="shared" ref="R27:AF27" si="90">R12/R8</f>
        <v>4.2765084944346804E-2</v>
      </c>
      <c r="S27" s="11">
        <f t="shared" si="90"/>
        <v>3.0498812351543943E-2</v>
      </c>
      <c r="T27" s="11">
        <f t="shared" si="90"/>
        <v>-2.1374484807821337E-2</v>
      </c>
      <c r="U27" s="11">
        <f t="shared" si="90"/>
        <v>-2.7531956735496557E-3</v>
      </c>
      <c r="V27" s="11">
        <f t="shared" si="90"/>
        <v>2.0677590873936582E-2</v>
      </c>
      <c r="W27" s="11">
        <f t="shared" si="90"/>
        <v>1.7334942938828882E-2</v>
      </c>
      <c r="X27" s="11">
        <f t="shared" si="90"/>
        <v>-2.617174211178722E-2</v>
      </c>
      <c r="Y27" s="11">
        <f t="shared" si="90"/>
        <v>-3.2328348358305767E-2</v>
      </c>
      <c r="Z27" s="11">
        <f t="shared" si="90"/>
        <v>-3.7204367254469163E-2</v>
      </c>
      <c r="AA27" s="11">
        <f t="shared" si="90"/>
        <v>-4.129695718865023E-2</v>
      </c>
      <c r="AB27" s="11">
        <f t="shared" si="90"/>
        <v>-4.3098178992019606E-2</v>
      </c>
      <c r="AC27" s="11">
        <f t="shared" si="90"/>
        <v>-4.5046841876126793E-2</v>
      </c>
      <c r="AD27" s="11">
        <f t="shared" si="90"/>
        <v>-4.6403120464654966E-2</v>
      </c>
      <c r="AE27" s="11">
        <f t="shared" si="90"/>
        <v>-4.8608722489246907E-2</v>
      </c>
      <c r="AF27" s="11">
        <f t="shared" si="90"/>
        <v>-5.1619589540357072E-2</v>
      </c>
      <c r="AG27" s="11">
        <f t="shared" ref="AG27:AK27" si="91">AG12/AG8</f>
        <v>-5.4467772744654544E-2</v>
      </c>
      <c r="AH27" s="11">
        <f t="shared" si="91"/>
        <v>-5.7208362227633758E-2</v>
      </c>
      <c r="AI27" s="11">
        <f t="shared" si="91"/>
        <v>-5.9880521655018101E-2</v>
      </c>
      <c r="AJ27" s="11">
        <f t="shared" si="91"/>
        <v>-6.2511996626145719E-2</v>
      </c>
      <c r="AK27" s="11">
        <f t="shared" si="91"/>
        <v>-6.5122408288743605E-2</v>
      </c>
      <c r="AM27" t="s">
        <v>39</v>
      </c>
      <c r="AN27" s="7">
        <f>AN25+AN26</f>
        <v>-3544.0654806376465</v>
      </c>
    </row>
    <row r="28" spans="2:159" x14ac:dyDescent="0.3">
      <c r="B28" t="s">
        <v>24</v>
      </c>
      <c r="C28" s="11">
        <f>C16/C15</f>
        <v>-4.5454545454545456E-2</v>
      </c>
      <c r="D28" s="11">
        <f t="shared" ref="D28:H28" si="92">D16/D15</f>
        <v>0.17679558011049723</v>
      </c>
      <c r="E28" s="11">
        <f t="shared" si="92"/>
        <v>0.18604651162790697</v>
      </c>
      <c r="F28" s="11">
        <f t="shared" si="92"/>
        <v>-0.68518518518518523</v>
      </c>
      <c r="G28" s="11">
        <f t="shared" si="92"/>
        <v>0.62222222222222223</v>
      </c>
      <c r="H28" s="11">
        <f t="shared" si="92"/>
        <v>0.3</v>
      </c>
      <c r="I28" s="11"/>
      <c r="J28" s="11"/>
      <c r="K28" s="11"/>
      <c r="L28" s="11"/>
      <c r="M28" s="11"/>
      <c r="N28" s="11"/>
      <c r="O28" s="11"/>
      <c r="P28" s="11"/>
      <c r="R28" s="11">
        <f t="shared" ref="R28:AF28" si="93">R16/R15</f>
        <v>0.23891625615763548</v>
      </c>
      <c r="S28" s="11">
        <f t="shared" si="93"/>
        <v>0.18339100346020762</v>
      </c>
      <c r="T28" s="11">
        <f t="shared" si="93"/>
        <v>-0.20077220077220076</v>
      </c>
      <c r="U28" s="11">
        <f t="shared" si="93"/>
        <v>-0.15</v>
      </c>
      <c r="V28" s="11">
        <f t="shared" si="93"/>
        <v>0.21023335902852164</v>
      </c>
      <c r="W28" s="11">
        <f t="shared" si="93"/>
        <v>0.3</v>
      </c>
      <c r="X28" s="11">
        <f t="shared" si="93"/>
        <v>0.3</v>
      </c>
      <c r="Y28" s="11">
        <f t="shared" si="93"/>
        <v>-2.7547064934961567E-3</v>
      </c>
      <c r="Z28" s="11">
        <f t="shared" si="93"/>
        <v>0.3</v>
      </c>
      <c r="AA28" s="11">
        <f t="shared" si="93"/>
        <v>0.3</v>
      </c>
      <c r="AB28" s="11">
        <f t="shared" si="93"/>
        <v>0.29999999999999993</v>
      </c>
      <c r="AC28" s="11">
        <f t="shared" si="93"/>
        <v>0.3</v>
      </c>
      <c r="AD28" s="11">
        <f t="shared" si="93"/>
        <v>0.3</v>
      </c>
      <c r="AE28" s="11">
        <f t="shared" si="93"/>
        <v>0.3</v>
      </c>
      <c r="AF28" s="11">
        <f t="shared" si="93"/>
        <v>0.3</v>
      </c>
      <c r="AG28" s="11">
        <f t="shared" ref="AG28:AK28" si="94">AG16/AG15</f>
        <v>0.3</v>
      </c>
      <c r="AH28" s="11">
        <f t="shared" si="94"/>
        <v>0.3</v>
      </c>
      <c r="AI28" s="11">
        <f t="shared" si="94"/>
        <v>0.3</v>
      </c>
      <c r="AJ28" s="11">
        <f t="shared" si="94"/>
        <v>0.3</v>
      </c>
      <c r="AK28" s="11">
        <f t="shared" si="94"/>
        <v>0.3</v>
      </c>
      <c r="AM28" t="s">
        <v>40</v>
      </c>
      <c r="AN28" s="6">
        <f>AN27/AF18</f>
        <v>-3.2043991687501325</v>
      </c>
    </row>
    <row r="29" spans="2:159" x14ac:dyDescent="0.3">
      <c r="B29" t="s">
        <v>44</v>
      </c>
      <c r="C29" s="11">
        <f>C17/C8</f>
        <v>-9.3820110136651036E-2</v>
      </c>
      <c r="D29" s="11">
        <f t="shared" ref="D29:AF29" si="95">D17/D8</f>
        <v>2.6943942133815551E-2</v>
      </c>
      <c r="E29" s="11">
        <f t="shared" si="95"/>
        <v>-1.4852535539995756E-2</v>
      </c>
      <c r="F29" s="11">
        <f t="shared" si="95"/>
        <v>-1.6675829210188748E-2</v>
      </c>
      <c r="G29" s="11">
        <f t="shared" si="95"/>
        <v>3.4986622761885161E-3</v>
      </c>
      <c r="H29" s="11">
        <f t="shared" si="95"/>
        <v>7.2390309863112328E-3</v>
      </c>
      <c r="I29" s="11"/>
      <c r="J29" s="11"/>
      <c r="K29" s="11"/>
      <c r="L29" s="11"/>
      <c r="M29" s="11"/>
      <c r="N29" s="11"/>
      <c r="O29" s="11"/>
      <c r="P29" s="11"/>
      <c r="R29" s="11">
        <f t="shared" si="95"/>
        <v>3.0169888693614529E-2</v>
      </c>
      <c r="S29" s="11">
        <f t="shared" si="95"/>
        <v>2.2422802850356294E-2</v>
      </c>
      <c r="T29" s="11">
        <f t="shared" si="95"/>
        <v>-2.9809259081759801E-2</v>
      </c>
      <c r="U29" s="11">
        <f t="shared" si="95"/>
        <v>-1.583087512291052E-2</v>
      </c>
      <c r="V29" s="11">
        <f t="shared" si="95"/>
        <v>7.6265467904099004E-3</v>
      </c>
      <c r="W29" s="11">
        <f t="shared" si="95"/>
        <v>5.3395011474506038E-3</v>
      </c>
      <c r="X29" s="11">
        <f t="shared" si="95"/>
        <v>-2.4837219001014179E-2</v>
      </c>
      <c r="Y29" s="11">
        <f t="shared" si="95"/>
        <v>-4.2946564497994305E-2</v>
      </c>
      <c r="Z29" s="11">
        <f t="shared" si="95"/>
        <v>-3.2109847539094336E-2</v>
      </c>
      <c r="AA29" s="11">
        <f t="shared" si="95"/>
        <v>-3.3921142479033869E-2</v>
      </c>
      <c r="AB29" s="11">
        <f t="shared" si="95"/>
        <v>-3.4404068838568919E-2</v>
      </c>
      <c r="AC29" s="11">
        <f t="shared" si="95"/>
        <v>-3.5204567782288268E-2</v>
      </c>
      <c r="AD29" s="11">
        <f t="shared" si="95"/>
        <v>-3.5751490791466133E-2</v>
      </c>
      <c r="AE29" s="11">
        <f t="shared" si="95"/>
        <v>-3.7038434068315744E-2</v>
      </c>
      <c r="AF29" s="11">
        <f t="shared" si="95"/>
        <v>-3.9008021056967337E-2</v>
      </c>
      <c r="AG29" s="11">
        <f t="shared" ref="AG29:AK29" si="96">AG17/AG8</f>
        <v>-4.0952981728102474E-2</v>
      </c>
      <c r="AH29" s="11">
        <f t="shared" si="96"/>
        <v>-4.2896103323212469E-2</v>
      </c>
      <c r="AI29" s="11">
        <f t="shared" si="96"/>
        <v>-4.4852080382633643E-2</v>
      </c>
      <c r="AJ29" s="11">
        <f t="shared" si="96"/>
        <v>-4.6830158126966025E-2</v>
      </c>
      <c r="AK29" s="11">
        <f t="shared" si="96"/>
        <v>-4.8835972744324233E-2</v>
      </c>
      <c r="AM29" t="s">
        <v>41</v>
      </c>
      <c r="AN29" s="6">
        <f>Main!D3</f>
        <v>0.90400000000000003</v>
      </c>
    </row>
    <row r="30" spans="2:159" x14ac:dyDescent="0.3">
      <c r="AM30" s="1" t="s">
        <v>42</v>
      </c>
      <c r="AN30" s="14">
        <f>AN28/AN29-1</f>
        <v>-4.5446893459625359</v>
      </c>
    </row>
    <row r="31" spans="2:159" x14ac:dyDescent="0.3">
      <c r="AM31" t="s">
        <v>43</v>
      </c>
      <c r="AN31" s="8" t="s">
        <v>45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2021-06-30T08:05:32Z</cp:lastPrinted>
  <dcterms:created xsi:type="dcterms:W3CDTF">2021-01-26T12:23:52Z</dcterms:created>
  <dcterms:modified xsi:type="dcterms:W3CDTF">2025-03-27T09:25:40Z</dcterms:modified>
</cp:coreProperties>
</file>