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6412A67-2892-4439-9C81-AA46841F8921}" xr6:coauthVersionLast="47" xr6:coauthVersionMax="47" xr10:uidLastSave="{00000000-0000-0000-0000-000000000000}"/>
  <bookViews>
    <workbookView xWindow="-108" yWindow="-108" windowWidth="23256" windowHeight="12576" activeTab="1" xr2:uid="{9EA5A098-45C5-472E-8765-EE9A7145AF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1" i="2" l="1"/>
  <c r="AR50" i="2"/>
  <c r="AR49" i="2"/>
  <c r="AR48" i="2"/>
  <c r="AR47" i="2"/>
  <c r="AR46" i="2"/>
  <c r="AP43" i="2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X43" i="2" s="1"/>
  <c r="DY43" i="2" s="1"/>
  <c r="DZ43" i="2" s="1"/>
  <c r="EA43" i="2" s="1"/>
  <c r="EB43" i="2" s="1"/>
  <c r="EC43" i="2" s="1"/>
  <c r="ED43" i="2" s="1"/>
  <c r="EE43" i="2" s="1"/>
  <c r="EF43" i="2" s="1"/>
  <c r="AO43" i="2"/>
  <c r="AE41" i="2"/>
  <c r="AF41" i="2" s="1"/>
  <c r="AG41" i="2" s="1"/>
  <c r="AH41" i="2" s="1"/>
  <c r="AI41" i="2" s="1"/>
  <c r="AJ41" i="2" s="1"/>
  <c r="AK41" i="2" s="1"/>
  <c r="AL41" i="2" s="1"/>
  <c r="AM41" i="2" s="1"/>
  <c r="AN41" i="2" s="1"/>
  <c r="AD41" i="2"/>
  <c r="AD42" i="2" s="1"/>
  <c r="AF40" i="2"/>
  <c r="AE40" i="2"/>
  <c r="AN39" i="2"/>
  <c r="AM39" i="2"/>
  <c r="AL39" i="2"/>
  <c r="AK39" i="2"/>
  <c r="AJ39" i="2"/>
  <c r="AI39" i="2"/>
  <c r="AH39" i="2"/>
  <c r="AG39" i="2"/>
  <c r="AF39" i="2"/>
  <c r="AE39" i="2"/>
  <c r="AD40" i="2"/>
  <c r="AD39" i="2"/>
  <c r="AJ30" i="2"/>
  <c r="AK30" i="2" s="1"/>
  <c r="AL30" i="2" s="1"/>
  <c r="AM30" i="2" s="1"/>
  <c r="AN30" i="2" s="1"/>
  <c r="AI30" i="2"/>
  <c r="AE30" i="2"/>
  <c r="AF30" i="2" s="1"/>
  <c r="AG30" i="2" s="1"/>
  <c r="AH30" i="2" s="1"/>
  <c r="AD30" i="2"/>
  <c r="AE29" i="2"/>
  <c r="AF29" i="2" s="1"/>
  <c r="AG29" i="2" s="1"/>
  <c r="AH29" i="2" s="1"/>
  <c r="AI29" i="2" s="1"/>
  <c r="AJ29" i="2" s="1"/>
  <c r="AK29" i="2" s="1"/>
  <c r="AL29" i="2" s="1"/>
  <c r="AM29" i="2" s="1"/>
  <c r="AN29" i="2" s="1"/>
  <c r="AD29" i="2"/>
  <c r="AN28" i="2"/>
  <c r="AM28" i="2"/>
  <c r="AL28" i="2"/>
  <c r="AK28" i="2"/>
  <c r="AJ28" i="2"/>
  <c r="AI28" i="2"/>
  <c r="AH28" i="2"/>
  <c r="AG28" i="2"/>
  <c r="AF28" i="2"/>
  <c r="AE28" i="2"/>
  <c r="AD28" i="2"/>
  <c r="AR28" i="2"/>
  <c r="AR27" i="2"/>
  <c r="AR26" i="2"/>
  <c r="AR25" i="2"/>
  <c r="AR24" i="2"/>
  <c r="AR23" i="2"/>
  <c r="AP15" i="2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AO15" i="2"/>
  <c r="AF12" i="2"/>
  <c r="AG12" i="2" s="1"/>
  <c r="AH12" i="2" s="1"/>
  <c r="AI12" i="2" s="1"/>
  <c r="AJ12" i="2" s="1"/>
  <c r="AK12" i="2" s="1"/>
  <c r="AL12" i="2" s="1"/>
  <c r="AM12" i="2" s="1"/>
  <c r="AN12" i="2" s="1"/>
  <c r="AG11" i="2"/>
  <c r="AF11" i="2"/>
  <c r="AF13" i="2" s="1"/>
  <c r="AE14" i="2"/>
  <c r="AE25" i="2" s="1"/>
  <c r="AE13" i="2"/>
  <c r="AE12" i="2"/>
  <c r="AE11" i="2"/>
  <c r="AH10" i="2"/>
  <c r="AG10" i="2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G9" i="2"/>
  <c r="AF9" i="2"/>
  <c r="AF10" i="2" s="1"/>
  <c r="AE9" i="2"/>
  <c r="AE10" i="2" s="1"/>
  <c r="AE24" i="2" s="1"/>
  <c r="AM8" i="2"/>
  <c r="AN8" i="2" s="1"/>
  <c r="AL8" i="2"/>
  <c r="AK8" i="2"/>
  <c r="AJ8" i="2"/>
  <c r="AI8" i="2"/>
  <c r="AH8" i="2"/>
  <c r="AG8" i="2"/>
  <c r="AF8" i="2"/>
  <c r="AE8" i="2"/>
  <c r="AN7" i="2"/>
  <c r="AM7" i="2"/>
  <c r="AL7" i="2"/>
  <c r="AK7" i="2"/>
  <c r="AJ7" i="2"/>
  <c r="AI7" i="2"/>
  <c r="AH7" i="2"/>
  <c r="AG7" i="2"/>
  <c r="AF7" i="2"/>
  <c r="AE7" i="2"/>
  <c r="AI6" i="2"/>
  <c r="AH6" i="2"/>
  <c r="AG6" i="2"/>
  <c r="AG21" i="2" s="1"/>
  <c r="AF6" i="2"/>
  <c r="AE6" i="2"/>
  <c r="AN5" i="2"/>
  <c r="AM5" i="2"/>
  <c r="AM4" i="2" s="1"/>
  <c r="AL5" i="2"/>
  <c r="AK5" i="2"/>
  <c r="AJ5" i="2"/>
  <c r="AI5" i="2"/>
  <c r="AH5" i="2"/>
  <c r="AG5" i="2"/>
  <c r="AG4" i="2" s="1"/>
  <c r="AF5" i="2"/>
  <c r="AN4" i="2"/>
  <c r="AL4" i="2"/>
  <c r="AK4" i="2"/>
  <c r="AJ4" i="2"/>
  <c r="AI4" i="2"/>
  <c r="AH4" i="2"/>
  <c r="AF4" i="2"/>
  <c r="AE5" i="2"/>
  <c r="AE20" i="2" s="1"/>
  <c r="AM3" i="2"/>
  <c r="AN3" i="2" s="1"/>
  <c r="AL3" i="2"/>
  <c r="AK3" i="2"/>
  <c r="AJ3" i="2"/>
  <c r="AI3" i="2"/>
  <c r="AH3" i="2"/>
  <c r="AG3" i="2"/>
  <c r="AF3" i="2"/>
  <c r="AF20" i="2" s="1"/>
  <c r="AE3" i="2"/>
  <c r="AD14" i="2"/>
  <c r="AD12" i="2"/>
  <c r="AD11" i="2"/>
  <c r="AD8" i="2"/>
  <c r="AD23" i="2" s="1"/>
  <c r="AD7" i="2"/>
  <c r="AD6" i="2"/>
  <c r="AD5" i="2"/>
  <c r="AD4" i="2"/>
  <c r="V17" i="2"/>
  <c r="U17" i="2"/>
  <c r="V15" i="2"/>
  <c r="U15" i="2"/>
  <c r="T15" i="2"/>
  <c r="T17" i="2" s="1"/>
  <c r="S15" i="2"/>
  <c r="S17" i="2" s="1"/>
  <c r="V14" i="2"/>
  <c r="U14" i="2"/>
  <c r="T14" i="2"/>
  <c r="S14" i="2"/>
  <c r="S25" i="2" s="1"/>
  <c r="V13" i="2"/>
  <c r="U13" i="2"/>
  <c r="U25" i="2" s="1"/>
  <c r="T13" i="2"/>
  <c r="S13" i="2"/>
  <c r="V12" i="2"/>
  <c r="U12" i="2"/>
  <c r="T12" i="2"/>
  <c r="S12" i="2"/>
  <c r="V10" i="2"/>
  <c r="U10" i="2"/>
  <c r="T10" i="2"/>
  <c r="S10" i="2"/>
  <c r="V9" i="2"/>
  <c r="U9" i="2"/>
  <c r="T9" i="2"/>
  <c r="S9" i="2"/>
  <c r="V8" i="2"/>
  <c r="V23" i="2" s="1"/>
  <c r="T8" i="2"/>
  <c r="T23" i="2" s="1"/>
  <c r="S8" i="2"/>
  <c r="S23" i="2" s="1"/>
  <c r="U8" i="2"/>
  <c r="U23" i="2" s="1"/>
  <c r="S7" i="2"/>
  <c r="S22" i="2" s="1"/>
  <c r="T7" i="2"/>
  <c r="V7" i="2"/>
  <c r="U7" i="2"/>
  <c r="V6" i="2"/>
  <c r="U6" i="2"/>
  <c r="U21" i="2" s="1"/>
  <c r="V21" i="2"/>
  <c r="S6" i="2"/>
  <c r="T6" i="2"/>
  <c r="S21" i="2"/>
  <c r="V3" i="2"/>
  <c r="V5" i="2" s="1"/>
  <c r="V4" i="2" s="1"/>
  <c r="U3" i="2"/>
  <c r="T3" i="2"/>
  <c r="T5" i="2"/>
  <c r="T4" i="2" s="1"/>
  <c r="S5" i="2"/>
  <c r="S4" i="2" s="1"/>
  <c r="S26" i="2"/>
  <c r="V25" i="2"/>
  <c r="T25" i="2"/>
  <c r="S24" i="2"/>
  <c r="T21" i="2"/>
  <c r="S20" i="2"/>
  <c r="S19" i="2"/>
  <c r="AA42" i="2"/>
  <c r="AB31" i="2"/>
  <c r="AB42" i="2"/>
  <c r="AC31" i="2"/>
  <c r="AC42" i="2"/>
  <c r="Z42" i="2"/>
  <c r="Y42" i="2"/>
  <c r="X42" i="2"/>
  <c r="Y23" i="2"/>
  <c r="Y22" i="2"/>
  <c r="X22" i="2"/>
  <c r="Y21" i="2"/>
  <c r="Y19" i="2"/>
  <c r="X9" i="2"/>
  <c r="X5" i="2"/>
  <c r="X20" i="2" s="1"/>
  <c r="Y9" i="2"/>
  <c r="Y5" i="2"/>
  <c r="Y20" i="2" s="1"/>
  <c r="Z14" i="2"/>
  <c r="Z12" i="2"/>
  <c r="Z11" i="2"/>
  <c r="Z8" i="2"/>
  <c r="Z23" i="2" s="1"/>
  <c r="Z7" i="2"/>
  <c r="Z6" i="2"/>
  <c r="Z4" i="2"/>
  <c r="Z3" i="2"/>
  <c r="Z19" i="2" s="1"/>
  <c r="AA14" i="2"/>
  <c r="AA12" i="2"/>
  <c r="AA11" i="2"/>
  <c r="AA8" i="2"/>
  <c r="AA7" i="2"/>
  <c r="AA6" i="2"/>
  <c r="AA21" i="2" s="1"/>
  <c r="AA4" i="2"/>
  <c r="AA3" i="2"/>
  <c r="AB14" i="2"/>
  <c r="AB12" i="2"/>
  <c r="AB11" i="2"/>
  <c r="AB8" i="2"/>
  <c r="AB7" i="2"/>
  <c r="AB6" i="2"/>
  <c r="AB21" i="2" s="1"/>
  <c r="AB4" i="2"/>
  <c r="AB3" i="2"/>
  <c r="AC14" i="2"/>
  <c r="AC12" i="2"/>
  <c r="AC11" i="2"/>
  <c r="AC8" i="2"/>
  <c r="AC23" i="2" s="1"/>
  <c r="AC7" i="2"/>
  <c r="AC6" i="2"/>
  <c r="AC21" i="2" s="1"/>
  <c r="AC4" i="2"/>
  <c r="AC3" i="2"/>
  <c r="Q23" i="2"/>
  <c r="P23" i="2"/>
  <c r="O23" i="2"/>
  <c r="N23" i="2"/>
  <c r="M23" i="2"/>
  <c r="L23" i="2"/>
  <c r="K23" i="2"/>
  <c r="J23" i="2"/>
  <c r="I23" i="2"/>
  <c r="H23" i="2"/>
  <c r="G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Q19" i="2"/>
  <c r="P19" i="2"/>
  <c r="O19" i="2"/>
  <c r="N19" i="2"/>
  <c r="M19" i="2"/>
  <c r="L19" i="2"/>
  <c r="K19" i="2"/>
  <c r="J19" i="2"/>
  <c r="I19" i="2"/>
  <c r="H19" i="2"/>
  <c r="G19" i="2"/>
  <c r="R22" i="2"/>
  <c r="R23" i="2"/>
  <c r="R21" i="2"/>
  <c r="R19" i="2"/>
  <c r="C9" i="2"/>
  <c r="C5" i="2"/>
  <c r="C20" i="2" s="1"/>
  <c r="G9" i="2"/>
  <c r="G5" i="2"/>
  <c r="G20" i="2" s="1"/>
  <c r="D9" i="2"/>
  <c r="D5" i="2"/>
  <c r="D20" i="2" s="1"/>
  <c r="H9" i="2"/>
  <c r="H5" i="2"/>
  <c r="H20" i="2" s="1"/>
  <c r="E9" i="2"/>
  <c r="E5" i="2"/>
  <c r="E20" i="2" s="1"/>
  <c r="I9" i="2"/>
  <c r="I5" i="2"/>
  <c r="I20" i="2" s="1"/>
  <c r="F9" i="2"/>
  <c r="F5" i="2"/>
  <c r="F20" i="2" s="1"/>
  <c r="J9" i="2"/>
  <c r="J5" i="2"/>
  <c r="J20" i="2" s="1"/>
  <c r="K9" i="2"/>
  <c r="K5" i="2"/>
  <c r="K20" i="2" s="1"/>
  <c r="O9" i="2"/>
  <c r="O5" i="2"/>
  <c r="O20" i="2" s="1"/>
  <c r="L9" i="2"/>
  <c r="L5" i="2"/>
  <c r="L20" i="2" s="1"/>
  <c r="P9" i="2"/>
  <c r="P5" i="2"/>
  <c r="P20" i="2" s="1"/>
  <c r="M9" i="2"/>
  <c r="M5" i="2"/>
  <c r="M20" i="2" s="1"/>
  <c r="Q9" i="2"/>
  <c r="Q5" i="2"/>
  <c r="Q20" i="2" s="1"/>
  <c r="N9" i="2"/>
  <c r="N5" i="2"/>
  <c r="N20" i="2" s="1"/>
  <c r="R9" i="2"/>
  <c r="R5" i="2"/>
  <c r="R20" i="2" s="1"/>
  <c r="D8" i="1"/>
  <c r="D6" i="1"/>
  <c r="D5" i="1"/>
  <c r="D9" i="1" s="1"/>
  <c r="F3" i="1"/>
  <c r="AE42" i="2" l="1"/>
  <c r="AE43" i="2" s="1"/>
  <c r="AF42" i="2"/>
  <c r="AF43" i="2" s="1"/>
  <c r="AG40" i="2"/>
  <c r="AD43" i="2"/>
  <c r="AF14" i="2"/>
  <c r="AF25" i="2" s="1"/>
  <c r="AG13" i="2"/>
  <c r="AE15" i="2"/>
  <c r="AE17" i="2" s="1"/>
  <c r="AH11" i="2"/>
  <c r="AG23" i="2"/>
  <c r="AF23" i="2"/>
  <c r="AE22" i="2"/>
  <c r="AJ6" i="2"/>
  <c r="AK6" i="2" s="1"/>
  <c r="AL6" i="2" s="1"/>
  <c r="AM6" i="2" s="1"/>
  <c r="AN6" i="2" s="1"/>
  <c r="AF21" i="2"/>
  <c r="AE4" i="2"/>
  <c r="AF22" i="2"/>
  <c r="AF19" i="2"/>
  <c r="AF24" i="2"/>
  <c r="AG20" i="2"/>
  <c r="AE23" i="2"/>
  <c r="AD9" i="2"/>
  <c r="AD10" i="2" s="1"/>
  <c r="AD13" i="2" s="1"/>
  <c r="AD21" i="2"/>
  <c r="AE21" i="2"/>
  <c r="AD3" i="2"/>
  <c r="V19" i="2"/>
  <c r="U5" i="2"/>
  <c r="U4" i="2" s="1"/>
  <c r="U26" i="2"/>
  <c r="T24" i="2"/>
  <c r="T26" i="2"/>
  <c r="T22" i="2"/>
  <c r="T20" i="2"/>
  <c r="V20" i="2"/>
  <c r="V26" i="2"/>
  <c r="V24" i="2"/>
  <c r="U20" i="2"/>
  <c r="U22" i="2"/>
  <c r="U24" i="2"/>
  <c r="U19" i="2"/>
  <c r="V22" i="2"/>
  <c r="T19" i="2"/>
  <c r="AB19" i="2"/>
  <c r="AB23" i="2"/>
  <c r="AA19" i="2"/>
  <c r="AC19" i="2"/>
  <c r="AC5" i="2"/>
  <c r="AC20" i="2" s="1"/>
  <c r="AC22" i="2"/>
  <c r="AB22" i="2"/>
  <c r="AA22" i="2"/>
  <c r="Z22" i="2"/>
  <c r="AA9" i="2"/>
  <c r="I10" i="2"/>
  <c r="I13" i="2" s="1"/>
  <c r="I15" i="2" s="1"/>
  <c r="I17" i="2" s="1"/>
  <c r="AA23" i="2"/>
  <c r="Q10" i="2"/>
  <c r="X10" i="2"/>
  <c r="Y10" i="2"/>
  <c r="Z21" i="2"/>
  <c r="Z9" i="2"/>
  <c r="Z5" i="2"/>
  <c r="Z20" i="2" s="1"/>
  <c r="AA5" i="2"/>
  <c r="AB9" i="2"/>
  <c r="AB5" i="2"/>
  <c r="AB20" i="2" s="1"/>
  <c r="AC9" i="2"/>
  <c r="C10" i="2"/>
  <c r="G10" i="2"/>
  <c r="D10" i="2"/>
  <c r="H10" i="2"/>
  <c r="E10" i="2"/>
  <c r="F10" i="2"/>
  <c r="J10" i="2"/>
  <c r="K10" i="2"/>
  <c r="R10" i="2"/>
  <c r="O10" i="2"/>
  <c r="L10" i="2"/>
  <c r="P10" i="2"/>
  <c r="M10" i="2"/>
  <c r="N10" i="2"/>
  <c r="AG42" i="2" l="1"/>
  <c r="AG43" i="2" s="1"/>
  <c r="AH40" i="2"/>
  <c r="AG14" i="2"/>
  <c r="AG25" i="2" s="1"/>
  <c r="AH13" i="2"/>
  <c r="AI11" i="2"/>
  <c r="AE26" i="2"/>
  <c r="AF15" i="2"/>
  <c r="AH23" i="2"/>
  <c r="AH21" i="2"/>
  <c r="AG22" i="2"/>
  <c r="AG24" i="2"/>
  <c r="AG19" i="2"/>
  <c r="AD25" i="2"/>
  <c r="AD15" i="2"/>
  <c r="AD17" i="2" s="1"/>
  <c r="AD19" i="2"/>
  <c r="AD24" i="2"/>
  <c r="AE19" i="2"/>
  <c r="AD20" i="2"/>
  <c r="AD22" i="2"/>
  <c r="I24" i="2"/>
  <c r="I26" i="2"/>
  <c r="AC10" i="2"/>
  <c r="AC24" i="2" s="1"/>
  <c r="I25" i="2"/>
  <c r="N13" i="2"/>
  <c r="N24" i="2"/>
  <c r="H13" i="2"/>
  <c r="H24" i="2"/>
  <c r="D13" i="2"/>
  <c r="D24" i="2"/>
  <c r="F13" i="2"/>
  <c r="F24" i="2"/>
  <c r="E13" i="2"/>
  <c r="E24" i="2"/>
  <c r="L13" i="2"/>
  <c r="L24" i="2"/>
  <c r="Q13" i="2"/>
  <c r="Q24" i="2"/>
  <c r="AA10" i="2"/>
  <c r="AA20" i="2"/>
  <c r="C13" i="2"/>
  <c r="C24" i="2"/>
  <c r="K13" i="2"/>
  <c r="K24" i="2"/>
  <c r="Y13" i="2"/>
  <c r="Y24" i="2"/>
  <c r="M13" i="2"/>
  <c r="M24" i="2"/>
  <c r="P13" i="2"/>
  <c r="P24" i="2"/>
  <c r="O13" i="2"/>
  <c r="O24" i="2"/>
  <c r="G13" i="2"/>
  <c r="G24" i="2"/>
  <c r="R13" i="2"/>
  <c r="R24" i="2"/>
  <c r="J13" i="2"/>
  <c r="J24" i="2"/>
  <c r="X13" i="2"/>
  <c r="X24" i="2"/>
  <c r="Z10" i="2"/>
  <c r="AB10" i="2"/>
  <c r="AH42" i="2" l="1"/>
  <c r="AH43" i="2" s="1"/>
  <c r="AI40" i="2"/>
  <c r="AI13" i="2"/>
  <c r="AJ11" i="2"/>
  <c r="AF17" i="2"/>
  <c r="AF26" i="2"/>
  <c r="AH14" i="2"/>
  <c r="AH25" i="2" s="1"/>
  <c r="AH15" i="2"/>
  <c r="AH17" i="2" s="1"/>
  <c r="AG15" i="2"/>
  <c r="AI23" i="2"/>
  <c r="AI21" i="2"/>
  <c r="AH22" i="2"/>
  <c r="AH24" i="2"/>
  <c r="AH20" i="2"/>
  <c r="AH19" i="2"/>
  <c r="AD26" i="2"/>
  <c r="AC13" i="2"/>
  <c r="AC15" i="2" s="1"/>
  <c r="AC28" i="2" s="1"/>
  <c r="AC39" i="2" s="1"/>
  <c r="AC43" i="2" s="1"/>
  <c r="F15" i="2"/>
  <c r="F25" i="2"/>
  <c r="O15" i="2"/>
  <c r="O25" i="2"/>
  <c r="Q15" i="2"/>
  <c r="Q25" i="2"/>
  <c r="D15" i="2"/>
  <c r="D25" i="2"/>
  <c r="G15" i="2"/>
  <c r="G25" i="2"/>
  <c r="K15" i="2"/>
  <c r="K25" i="2"/>
  <c r="Y15" i="2"/>
  <c r="Y25" i="2"/>
  <c r="J15" i="2"/>
  <c r="J25" i="2"/>
  <c r="H15" i="2"/>
  <c r="H25" i="2"/>
  <c r="AB13" i="2"/>
  <c r="AB24" i="2"/>
  <c r="Z13" i="2"/>
  <c r="Z24" i="2"/>
  <c r="AA13" i="2"/>
  <c r="AA24" i="2"/>
  <c r="X15" i="2"/>
  <c r="X25" i="2"/>
  <c r="P15" i="2"/>
  <c r="P25" i="2"/>
  <c r="L15" i="2"/>
  <c r="L25" i="2"/>
  <c r="R15" i="2"/>
  <c r="R25" i="2"/>
  <c r="M15" i="2"/>
  <c r="M25" i="2"/>
  <c r="C15" i="2"/>
  <c r="C25" i="2"/>
  <c r="E15" i="2"/>
  <c r="E25" i="2"/>
  <c r="N15" i="2"/>
  <c r="N25" i="2"/>
  <c r="AJ40" i="2" l="1"/>
  <c r="AI42" i="2"/>
  <c r="AI43" i="2" s="1"/>
  <c r="AG17" i="2"/>
  <c r="AG26" i="2"/>
  <c r="AI14" i="2"/>
  <c r="AI25" i="2" s="1"/>
  <c r="AI15" i="2"/>
  <c r="AI17" i="2" s="1"/>
  <c r="AH26" i="2"/>
  <c r="AK11" i="2"/>
  <c r="AJ13" i="2"/>
  <c r="AJ23" i="2"/>
  <c r="AJ21" i="2"/>
  <c r="AI22" i="2"/>
  <c r="AI20" i="2"/>
  <c r="AI24" i="2"/>
  <c r="AI19" i="2"/>
  <c r="AC25" i="2"/>
  <c r="L17" i="2"/>
  <c r="L26" i="2"/>
  <c r="C17" i="2"/>
  <c r="C26" i="2"/>
  <c r="P17" i="2"/>
  <c r="P26" i="2"/>
  <c r="Z15" i="2"/>
  <c r="Z28" i="2" s="1"/>
  <c r="Z39" i="2" s="1"/>
  <c r="Z43" i="2" s="1"/>
  <c r="Z25" i="2"/>
  <c r="Y17" i="2"/>
  <c r="Y28" i="2"/>
  <c r="Y39" i="2" s="1"/>
  <c r="Y43" i="2" s="1"/>
  <c r="Y26" i="2"/>
  <c r="Q17" i="2"/>
  <c r="Q26" i="2"/>
  <c r="E17" i="2"/>
  <c r="E26" i="2"/>
  <c r="D17" i="2"/>
  <c r="D26" i="2"/>
  <c r="AA15" i="2"/>
  <c r="AA28" i="2" s="1"/>
  <c r="AA39" i="2" s="1"/>
  <c r="AA43" i="2" s="1"/>
  <c r="AA25" i="2"/>
  <c r="AB15" i="2"/>
  <c r="AB28" i="2" s="1"/>
  <c r="AB39" i="2" s="1"/>
  <c r="AB43" i="2" s="1"/>
  <c r="AB25" i="2"/>
  <c r="O17" i="2"/>
  <c r="O26" i="2"/>
  <c r="J17" i="2"/>
  <c r="J26" i="2"/>
  <c r="M17" i="2"/>
  <c r="M26" i="2"/>
  <c r="AC17" i="2"/>
  <c r="AC26" i="2"/>
  <c r="K17" i="2"/>
  <c r="K26" i="2"/>
  <c r="N17" i="2"/>
  <c r="N26" i="2"/>
  <c r="R17" i="2"/>
  <c r="R26" i="2"/>
  <c r="X17" i="2"/>
  <c r="X26" i="2"/>
  <c r="X28" i="2"/>
  <c r="H17" i="2"/>
  <c r="H26" i="2"/>
  <c r="G17" i="2"/>
  <c r="G26" i="2"/>
  <c r="F17" i="2"/>
  <c r="F26" i="2"/>
  <c r="AJ42" i="2" l="1"/>
  <c r="AJ43" i="2" s="1"/>
  <c r="AK40" i="2"/>
  <c r="AL11" i="2"/>
  <c r="AK13" i="2"/>
  <c r="AJ14" i="2"/>
  <c r="AJ25" i="2" s="1"/>
  <c r="AI26" i="2"/>
  <c r="AK23" i="2"/>
  <c r="AK21" i="2"/>
  <c r="AJ24" i="2"/>
  <c r="AJ22" i="2"/>
  <c r="AJ20" i="2"/>
  <c r="AJ19" i="2"/>
  <c r="AA17" i="2"/>
  <c r="AA26" i="2"/>
  <c r="Z17" i="2"/>
  <c r="Z26" i="2"/>
  <c r="AB17" i="2"/>
  <c r="AB26" i="2"/>
  <c r="AL40" i="2" l="1"/>
  <c r="AK42" i="2"/>
  <c r="AK43" i="2" s="1"/>
  <c r="AL13" i="2"/>
  <c r="AM11" i="2"/>
  <c r="AK15" i="2"/>
  <c r="AK17" i="2" s="1"/>
  <c r="AK14" i="2"/>
  <c r="AK25" i="2" s="1"/>
  <c r="AJ15" i="2"/>
  <c r="AL23" i="2"/>
  <c r="AL21" i="2"/>
  <c r="AK19" i="2"/>
  <c r="AK24" i="2"/>
  <c r="AK22" i="2"/>
  <c r="AK26" i="2"/>
  <c r="AK20" i="2"/>
  <c r="AL42" i="2" l="1"/>
  <c r="AL43" i="2" s="1"/>
  <c r="AM40" i="2"/>
  <c r="AM13" i="2"/>
  <c r="AN11" i="2"/>
  <c r="AN13" i="2" s="1"/>
  <c r="AJ17" i="2"/>
  <c r="AJ26" i="2"/>
  <c r="AL14" i="2"/>
  <c r="AL25" i="2" s="1"/>
  <c r="AL15" i="2"/>
  <c r="AL17" i="2" s="1"/>
  <c r="AM23" i="2"/>
  <c r="AN23" i="2"/>
  <c r="AN21" i="2"/>
  <c r="AM21" i="2"/>
  <c r="AL24" i="2"/>
  <c r="AL22" i="2"/>
  <c r="AL20" i="2"/>
  <c r="AL19" i="2"/>
  <c r="AM42" i="2" l="1"/>
  <c r="AM43" i="2" s="1"/>
  <c r="AN40" i="2"/>
  <c r="AN42" i="2" s="1"/>
  <c r="AN43" i="2" s="1"/>
  <c r="AM14" i="2"/>
  <c r="AM25" i="2" s="1"/>
  <c r="AN14" i="2"/>
  <c r="AN25" i="2" s="1"/>
  <c r="AL26" i="2"/>
  <c r="AM24" i="2"/>
  <c r="AM20" i="2"/>
  <c r="AM19" i="2"/>
  <c r="AM22" i="2"/>
  <c r="AN15" i="2" l="1"/>
  <c r="AN17" i="2" s="1"/>
  <c r="AM15" i="2"/>
  <c r="AN19" i="2"/>
  <c r="AN24" i="2"/>
  <c r="AN20" i="2"/>
  <c r="AN22" i="2"/>
  <c r="AN26" i="2" l="1"/>
  <c r="AM17" i="2"/>
  <c r="AM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S3" authorId="0" shapeId="0" xr:uid="{5A9B56E9-5761-456F-B5F0-A93F3A0EFB7E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Q424 guidance: 220.5-223.5</t>
        </r>
      </text>
    </comment>
    <comment ref="AD3" authorId="0" shapeId="0" xr:uid="{58708693-72ED-4B1C-ACAC-E527BE89624F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Q424 guidance: 962.5-978.5</t>
        </r>
      </text>
    </comment>
  </commentList>
</comments>
</file>

<file path=xl/sharedStrings.xml><?xml version="1.0" encoding="utf-8"?>
<sst xmlns="http://schemas.openxmlformats.org/spreadsheetml/2006/main" count="80" uniqueCount="77">
  <si>
    <t>DUOL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</si>
  <si>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</si>
  <si>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</si>
  <si>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</si>
  <si>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</si>
  <si>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</si>
  <si>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</si>
  <si>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</si>
  <si>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</si>
  <si>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</si>
  <si>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</si>
  <si>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</si>
  <si>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Cost of sales</t>
  </si>
  <si>
    <t>Gross profit</t>
  </si>
  <si>
    <t>R&amp;D</t>
  </si>
  <si>
    <t>S&amp;M</t>
  </si>
  <si>
    <t>G&amp;A</t>
  </si>
  <si>
    <t>Total operating expenses</t>
  </si>
  <si>
    <t>Operating profit</t>
  </si>
  <si>
    <t>Other income</t>
  </si>
  <si>
    <t>Pretax profit</t>
  </si>
  <si>
    <t>Taxes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</si>
  <si>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</si>
  <si>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</si>
  <si>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</si>
  <si>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</si>
  <si>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</si>
  <si>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</si>
  <si>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</si>
  <si>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</si>
  <si>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</si>
  <si>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</si>
  <si>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</si>
  <si>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</si>
  <si>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</si>
  <si>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</si>
  <si>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</si>
  <si>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</si>
  <si>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</si>
  <si>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</si>
  <si>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Interest income</t>
  </si>
  <si>
    <t>Q121</t>
  </si>
  <si>
    <t>Q221</t>
  </si>
  <si>
    <t>Q321</t>
  </si>
  <si>
    <t>Q421</t>
  </si>
  <si>
    <t>Revenue y/y</t>
  </si>
  <si>
    <t>Gross Margin</t>
  </si>
  <si>
    <t>R&amp;D y/y</t>
  </si>
  <si>
    <t>S&amp;M Margin</t>
  </si>
  <si>
    <t>G&amp;A y/y</t>
  </si>
  <si>
    <t>Operating Margin</t>
  </si>
  <si>
    <t>Net Margin</t>
  </si>
  <si>
    <t>Net income</t>
  </si>
  <si>
    <t>FCF</t>
  </si>
  <si>
    <t>CFFO</t>
  </si>
  <si>
    <t>D&amp;A</t>
  </si>
  <si>
    <t>SBC</t>
  </si>
  <si>
    <t>D/R</t>
  </si>
  <si>
    <t>A/R</t>
  </si>
  <si>
    <t>D/C</t>
  </si>
  <si>
    <t>Prepaids</t>
  </si>
  <si>
    <t>A/P</t>
  </si>
  <si>
    <t>A/L</t>
  </si>
  <si>
    <t>Other</t>
  </si>
  <si>
    <t>PP&amp;E</t>
  </si>
  <si>
    <t>Intangibles</t>
  </si>
  <si>
    <t>Total CapEx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</si>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</sst>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0</xdr:row>
      <xdr:rowOff>7620</xdr:rowOff>
    </xdr:from>
    <xdr:to>
      <xdr:col>18</xdr:col>
      <xdr:colOff>22860</xdr:colOff>
      <xdr:row>44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F55132-ED7A-021D-8D34-1322C6FE5DE7}"/>
            </a:ext>
          </a:extLst>
        </xdr:cNvPr>
        <xdr:cNvCxnSpPr/>
      </xdr:nvCxnSpPr>
      <xdr:spPr>
        <a:xfrm>
          <a:off x="118719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22860</xdr:colOff>
      <xdr:row>0</xdr:row>
      <xdr:rowOff>7620</xdr:rowOff>
    </xdr:from>
    <xdr:to>
      <xdr:col>29</xdr:col>
      <xdr:colOff>22860</xdr:colOff>
      <xdr:row>44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52813AB-D726-0FF1-B87D-C81B196CADA8}"/>
            </a:ext>
          </a:extLst>
        </xdr:cNvPr>
        <xdr:cNvCxnSpPr/>
      </xdr:nvCxnSpPr>
      <xdr:spPr>
        <a:xfrm>
          <a:off x="210159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FDA7-63FF-4543-B3B8-CA8BD33FB716}">
  <dimension ref="B2:G9"/>
  <sheetViews>
    <sheetView workbookViewId="0">
      <selection activeCell="D4" sqref="D4"/>
    </sheetView>
  </sheetViews>
  <sheetFormatPr defaultRowHeight="14.4" x14ac:dyDescent="0.3"/>
  <cols>
    <col min="4" max="4" width="8.88671875" customWidth="1"/>
    <col min="5" max="7" width="13.4414062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310.01</v>
      </c>
      <c r="E3" s="3">
        <v>45751</v>
      </c>
      <c r="F3" s="3">
        <f ca="1">TODAY()</f>
        <v>45751</v>
      </c>
      <c r="G3" s="3">
        <v>45784</v>
      </c>
    </row>
    <row r="4" spans="2:7" x14ac:dyDescent="0.3">
      <c r="C4" t="s">
        <v>2</v>
      </c>
      <c r="D4" s="5">
        <v>44.9</v>
      </c>
    </row>
    <row r="5" spans="2:7" x14ac:dyDescent="0.3">
      <c r="C5" t="s">
        <v>3</v>
      </c>
      <c r="D5" s="5">
        <f>D3*D4</f>
        <v>13919.448999999999</v>
      </c>
    </row>
    <row r="6" spans="2:7" x14ac:dyDescent="0.3">
      <c r="C6" t="s">
        <v>4</v>
      </c>
      <c r="D6" s="5">
        <f>785.8</f>
        <v>785.8</v>
      </c>
    </row>
    <row r="7" spans="2:7" x14ac:dyDescent="0.3">
      <c r="C7" t="s">
        <v>5</v>
      </c>
      <c r="D7" s="5">
        <v>0</v>
      </c>
    </row>
    <row r="8" spans="2:7" x14ac:dyDescent="0.3">
      <c r="C8" t="s">
        <v>6</v>
      </c>
      <c r="D8" s="5">
        <f>D6-D7</f>
        <v>785.8</v>
      </c>
    </row>
    <row r="9" spans="2:7" x14ac:dyDescent="0.3">
      <c r="C9" t="s">
        <v>7</v>
      </c>
      <c r="D9" s="5">
        <f>D5-D8</f>
        <v>13133.648999999999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8E88-5DFE-4C14-B33B-D0E125BC477D}">
  <dimension ref="B2:EI51"/>
  <sheetViews>
    <sheetView tabSelected="1" workbookViewId="0">
      <pane xSplit="2" ySplit="2" topLeftCell="Z21" activePane="bottomRight" state="frozen"/>
      <selection pane="topRight" activeCell="C1" sqref="C1"/>
      <selection pane="bottomLeft" activeCell="A3" sqref="A3"/>
      <selection pane="bottomRight" activeCell="AR51" sqref="AR51"/>
    </sheetView>
  </sheetViews>
  <sheetFormatPr defaultRowHeight="14.4" x14ac:dyDescent="0.3"/>
  <cols>
    <col min="2" max="2" width="21.6640625" bestFit="1" customWidth="1"/>
    <col min="3" max="6" width="8.88671875" customWidth="1"/>
    <col min="43" max="44" width="12" bestFit="1" customWidth="1"/>
  </cols>
  <sheetData>
    <row r="2" spans="2:139" x14ac:dyDescent="0.3">
      <c r="C2" s="6" t="s">
        <v>41</v>
      </c>
      <c r="D2" s="6" t="s">
        <v>42</v>
      </c>
      <c r="E2" s="6" t="s">
        <v>43</v>
      </c>
      <c r="F2" s="6" t="s">
        <v>44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</row>
    <row r="3" spans="2:139" s="1" customFormat="1" x14ac:dyDescent="0.3">
      <c r="B3" s="1" t="s">
        <v>11</v>
      </c>
      <c r="C3" s="8">
        <v>55.4</v>
      </c>
      <c r="D3" s="8">
        <v>58.8</v>
      </c>
      <c r="E3" s="8">
        <v>63.6</v>
      </c>
      <c r="F3" s="8">
        <v>73</v>
      </c>
      <c r="G3" s="8">
        <v>81.2</v>
      </c>
      <c r="H3" s="8">
        <v>88.4</v>
      </c>
      <c r="I3" s="8">
        <v>96.1</v>
      </c>
      <c r="J3" s="8">
        <v>103.8</v>
      </c>
      <c r="K3" s="8">
        <v>115.7</v>
      </c>
      <c r="L3" s="8">
        <v>126.8</v>
      </c>
      <c r="M3" s="8">
        <v>137.6</v>
      </c>
      <c r="N3" s="8">
        <v>151</v>
      </c>
      <c r="O3" s="8">
        <v>167.6</v>
      </c>
      <c r="P3" s="8">
        <v>178.3</v>
      </c>
      <c r="Q3" s="8">
        <v>192.6</v>
      </c>
      <c r="R3" s="8">
        <v>209.6</v>
      </c>
      <c r="S3" s="8">
        <v>221.5</v>
      </c>
      <c r="T3" s="8">
        <f>P3*1.3</f>
        <v>231.79000000000002</v>
      </c>
      <c r="U3" s="8">
        <f>Q3*1.29</f>
        <v>248.45400000000001</v>
      </c>
      <c r="V3" s="8">
        <f>R3*1.28</f>
        <v>268.28800000000001</v>
      </c>
      <c r="X3" s="8">
        <v>70.8</v>
      </c>
      <c r="Y3" s="8">
        <v>161.69999999999999</v>
      </c>
      <c r="Z3" s="8">
        <f>SUM(C3:F3)</f>
        <v>250.79999999999998</v>
      </c>
      <c r="AA3" s="8">
        <f>SUM(G3:J3)</f>
        <v>369.50000000000006</v>
      </c>
      <c r="AB3" s="8">
        <f>SUM(K3:N3)</f>
        <v>531.1</v>
      </c>
      <c r="AC3" s="8">
        <f>SUM(O3:R3)</f>
        <v>748.1</v>
      </c>
      <c r="AD3" s="8">
        <f>SUM(S3:V3)</f>
        <v>970.03200000000004</v>
      </c>
      <c r="AE3" s="8">
        <f>AD3*1.25</f>
        <v>1212.54</v>
      </c>
      <c r="AF3" s="8">
        <f>AE3*1.2</f>
        <v>1455.048</v>
      </c>
      <c r="AG3" s="8">
        <f>AF3*1.15</f>
        <v>1673.3051999999998</v>
      </c>
      <c r="AH3" s="8">
        <f>AG3*1.1</f>
        <v>1840.63572</v>
      </c>
      <c r="AI3" s="8">
        <f>AH3*1.08</f>
        <v>1987.8865776</v>
      </c>
      <c r="AJ3" s="8">
        <f>AI3*1.06</f>
        <v>2107.159772256</v>
      </c>
      <c r="AK3" s="8">
        <f>AJ3*1.05</f>
        <v>2212.5177608688</v>
      </c>
      <c r="AL3" s="8">
        <f t="shared" ref="AL3:AN3" si="0">AK3*1.05</f>
        <v>2323.1436489122402</v>
      </c>
      <c r="AM3" s="8">
        <f t="shared" si="0"/>
        <v>2439.3008313578525</v>
      </c>
      <c r="AN3" s="8">
        <f t="shared" si="0"/>
        <v>2561.265872925745</v>
      </c>
    </row>
    <row r="4" spans="2:139" x14ac:dyDescent="0.3">
      <c r="B4" t="s">
        <v>12</v>
      </c>
      <c r="C4" s="5">
        <v>15</v>
      </c>
      <c r="D4" s="5">
        <v>16.100000000000001</v>
      </c>
      <c r="E4" s="5">
        <v>18.100000000000001</v>
      </c>
      <c r="F4" s="5">
        <v>20</v>
      </c>
      <c r="G4" s="5">
        <v>21.5</v>
      </c>
      <c r="H4" s="5">
        <v>23.9</v>
      </c>
      <c r="I4" s="5">
        <v>26.3</v>
      </c>
      <c r="J4" s="5">
        <v>27.8</v>
      </c>
      <c r="K4" s="5">
        <v>31.5</v>
      </c>
      <c r="L4" s="5">
        <v>33.799999999999997</v>
      </c>
      <c r="M4" s="5">
        <v>36.299999999999997</v>
      </c>
      <c r="N4" s="5">
        <v>40.6</v>
      </c>
      <c r="O4" s="5">
        <v>45.2</v>
      </c>
      <c r="P4" s="5">
        <v>47.3</v>
      </c>
      <c r="Q4" s="5">
        <v>52.2</v>
      </c>
      <c r="R4" s="5">
        <v>58.9</v>
      </c>
      <c r="S4" s="5">
        <f>S3-S5</f>
        <v>62.02000000000001</v>
      </c>
      <c r="T4" s="5">
        <f t="shared" ref="T4:V4" si="1">T3-T5</f>
        <v>64.901200000000017</v>
      </c>
      <c r="U4" s="5">
        <f t="shared" si="1"/>
        <v>69.567120000000017</v>
      </c>
      <c r="V4" s="5">
        <f t="shared" si="1"/>
        <v>75.120640000000009</v>
      </c>
      <c r="X4" s="5">
        <v>20.7</v>
      </c>
      <c r="Y4" s="5">
        <v>46</v>
      </c>
      <c r="Z4" s="5">
        <f>SUM(C4:F4)</f>
        <v>69.2</v>
      </c>
      <c r="AA4" s="5">
        <f>SUM(G4:J4)</f>
        <v>99.5</v>
      </c>
      <c r="AB4" s="5">
        <f>SUM(K4:N4)</f>
        <v>142.19999999999999</v>
      </c>
      <c r="AC4" s="5">
        <f>SUM(O4:R4)</f>
        <v>203.6</v>
      </c>
      <c r="AD4" s="5">
        <f>SUM(S4:V4)</f>
        <v>271.60896000000002</v>
      </c>
      <c r="AE4" s="5">
        <f>AE3-AE5</f>
        <v>339.51120000000003</v>
      </c>
      <c r="AF4" s="5">
        <f t="shared" ref="AF4:AN4" si="2">AF3-AF5</f>
        <v>407.41344000000004</v>
      </c>
      <c r="AG4" s="5">
        <f t="shared" si="2"/>
        <v>468.52545600000008</v>
      </c>
      <c r="AH4" s="5">
        <f t="shared" si="2"/>
        <v>515.37800160000006</v>
      </c>
      <c r="AI4" s="5">
        <f t="shared" si="2"/>
        <v>556.60824172800017</v>
      </c>
      <c r="AJ4" s="5">
        <f t="shared" si="2"/>
        <v>590.00473623168</v>
      </c>
      <c r="AK4" s="5">
        <f t="shared" si="2"/>
        <v>619.50497304326404</v>
      </c>
      <c r="AL4" s="5">
        <f t="shared" si="2"/>
        <v>650.48022169542742</v>
      </c>
      <c r="AM4" s="5">
        <f t="shared" si="2"/>
        <v>683.00423278019866</v>
      </c>
      <c r="AN4" s="5">
        <f t="shared" si="2"/>
        <v>717.15444441920863</v>
      </c>
    </row>
    <row r="5" spans="2:139" s="1" customFormat="1" x14ac:dyDescent="0.3">
      <c r="B5" s="1" t="s">
        <v>13</v>
      </c>
      <c r="C5" s="8">
        <f t="shared" ref="C5:R5" si="3">C3-C4</f>
        <v>40.4</v>
      </c>
      <c r="D5" s="8">
        <f t="shared" si="3"/>
        <v>42.699999999999996</v>
      </c>
      <c r="E5" s="8">
        <f t="shared" si="3"/>
        <v>45.5</v>
      </c>
      <c r="F5" s="8">
        <f t="shared" si="3"/>
        <v>53</v>
      </c>
      <c r="G5" s="8">
        <f t="shared" si="3"/>
        <v>59.7</v>
      </c>
      <c r="H5" s="8">
        <f t="shared" si="3"/>
        <v>64.5</v>
      </c>
      <c r="I5" s="8">
        <f t="shared" si="3"/>
        <v>69.8</v>
      </c>
      <c r="J5" s="8">
        <f t="shared" si="3"/>
        <v>76</v>
      </c>
      <c r="K5" s="8">
        <f t="shared" si="3"/>
        <v>84.2</v>
      </c>
      <c r="L5" s="8">
        <f t="shared" si="3"/>
        <v>93</v>
      </c>
      <c r="M5" s="8">
        <f t="shared" si="3"/>
        <v>101.3</v>
      </c>
      <c r="N5" s="8">
        <f t="shared" si="3"/>
        <v>110.4</v>
      </c>
      <c r="O5" s="8">
        <f t="shared" si="3"/>
        <v>122.39999999999999</v>
      </c>
      <c r="P5" s="8">
        <f t="shared" si="3"/>
        <v>131</v>
      </c>
      <c r="Q5" s="8">
        <f t="shared" si="3"/>
        <v>140.39999999999998</v>
      </c>
      <c r="R5" s="8">
        <f t="shared" si="3"/>
        <v>150.69999999999999</v>
      </c>
      <c r="S5" s="8">
        <f>S3*0.72</f>
        <v>159.47999999999999</v>
      </c>
      <c r="T5" s="8">
        <f t="shared" ref="T5:V5" si="4">T3*0.72</f>
        <v>166.8888</v>
      </c>
      <c r="U5" s="8">
        <f t="shared" si="4"/>
        <v>178.88687999999999</v>
      </c>
      <c r="V5" s="8">
        <f t="shared" si="4"/>
        <v>193.16736</v>
      </c>
      <c r="X5" s="8">
        <f t="shared" ref="X5:AD5" si="5">X3-X4</f>
        <v>50.099999999999994</v>
      </c>
      <c r="Y5" s="8">
        <f t="shared" si="5"/>
        <v>115.69999999999999</v>
      </c>
      <c r="Z5" s="8">
        <f t="shared" si="5"/>
        <v>181.59999999999997</v>
      </c>
      <c r="AA5" s="8">
        <f t="shared" si="5"/>
        <v>270.00000000000006</v>
      </c>
      <c r="AB5" s="8">
        <f t="shared" si="5"/>
        <v>388.90000000000003</v>
      </c>
      <c r="AC5" s="8">
        <f t="shared" si="5"/>
        <v>544.5</v>
      </c>
      <c r="AD5" s="8">
        <f t="shared" si="5"/>
        <v>698.42304000000001</v>
      </c>
      <c r="AE5" s="8">
        <f>AE3*0.72</f>
        <v>873.02879999999993</v>
      </c>
      <c r="AF5" s="8">
        <f t="shared" ref="AF5:AN5" si="6">AF3*0.72</f>
        <v>1047.63456</v>
      </c>
      <c r="AG5" s="8">
        <f t="shared" si="6"/>
        <v>1204.7797439999997</v>
      </c>
      <c r="AH5" s="8">
        <f t="shared" si="6"/>
        <v>1325.2577183999999</v>
      </c>
      <c r="AI5" s="8">
        <f t="shared" si="6"/>
        <v>1431.2783358719998</v>
      </c>
      <c r="AJ5" s="8">
        <f t="shared" si="6"/>
        <v>1517.15503602432</v>
      </c>
      <c r="AK5" s="8">
        <f t="shared" si="6"/>
        <v>1593.012787825536</v>
      </c>
      <c r="AL5" s="8">
        <f t="shared" si="6"/>
        <v>1672.6634272168128</v>
      </c>
      <c r="AM5" s="8">
        <f t="shared" si="6"/>
        <v>1756.2965985776539</v>
      </c>
      <c r="AN5" s="8">
        <f t="shared" si="6"/>
        <v>1844.1114285065364</v>
      </c>
    </row>
    <row r="6" spans="2:139" x14ac:dyDescent="0.3">
      <c r="B6" t="s">
        <v>14</v>
      </c>
      <c r="C6" s="5">
        <v>22.5</v>
      </c>
      <c r="D6" s="5">
        <v>21.9</v>
      </c>
      <c r="E6" s="5">
        <v>29.3</v>
      </c>
      <c r="F6" s="5">
        <v>30</v>
      </c>
      <c r="G6" s="5">
        <v>29.8</v>
      </c>
      <c r="H6" s="5">
        <v>34.200000000000003</v>
      </c>
      <c r="I6" s="5">
        <v>42</v>
      </c>
      <c r="J6" s="5">
        <v>44.5</v>
      </c>
      <c r="K6" s="5">
        <v>45.8</v>
      </c>
      <c r="L6" s="5">
        <v>47.9</v>
      </c>
      <c r="M6" s="5">
        <v>50.3</v>
      </c>
      <c r="N6" s="5">
        <v>50.3</v>
      </c>
      <c r="O6" s="5">
        <v>50.9</v>
      </c>
      <c r="P6" s="5">
        <v>55.1</v>
      </c>
      <c r="Q6" s="5">
        <v>62.9</v>
      </c>
      <c r="R6" s="5">
        <v>66.400000000000006</v>
      </c>
      <c r="S6" s="5">
        <f>O6*1.35</f>
        <v>68.715000000000003</v>
      </c>
      <c r="T6" s="5">
        <f t="shared" ref="T6" si="7">P6*1.3</f>
        <v>71.63000000000001</v>
      </c>
      <c r="U6" s="5">
        <f>Q6*1.23</f>
        <v>77.36699999999999</v>
      </c>
      <c r="V6" s="5">
        <f>R6*1.22</f>
        <v>81.00800000000001</v>
      </c>
      <c r="X6" s="5">
        <v>31.6</v>
      </c>
      <c r="Y6" s="5">
        <v>53</v>
      </c>
      <c r="Z6" s="5">
        <f>SUM(C6:F6)</f>
        <v>103.7</v>
      </c>
      <c r="AA6" s="5">
        <f>SUM(G6:J6)</f>
        <v>150.5</v>
      </c>
      <c r="AB6" s="5">
        <f>SUM(K6:N6)</f>
        <v>194.3</v>
      </c>
      <c r="AC6" s="5">
        <f>SUM(O6:R6)</f>
        <v>235.3</v>
      </c>
      <c r="AD6" s="5">
        <f>SUM(S6:V6)</f>
        <v>298.72000000000003</v>
      </c>
      <c r="AE6" s="5">
        <f>AD6*1.18</f>
        <v>352.4896</v>
      </c>
      <c r="AF6" s="5">
        <f>AE6*1.12</f>
        <v>394.78835200000003</v>
      </c>
      <c r="AG6" s="5">
        <f>AF6*1.06</f>
        <v>418.47565312000006</v>
      </c>
      <c r="AH6" s="5">
        <f>AG6*1.04</f>
        <v>435.2146792448001</v>
      </c>
      <c r="AI6" s="5">
        <f>AH6*1.03</f>
        <v>448.27111962214411</v>
      </c>
      <c r="AJ6" s="5">
        <f>AI6*1.02</f>
        <v>457.23654201458703</v>
      </c>
      <c r="AK6" s="5">
        <f t="shared" ref="AK6:AN6" si="8">AJ6*1.02</f>
        <v>466.38127285487877</v>
      </c>
      <c r="AL6" s="5">
        <f t="shared" si="8"/>
        <v>475.70889831197638</v>
      </c>
      <c r="AM6" s="5">
        <f t="shared" si="8"/>
        <v>485.2230762782159</v>
      </c>
      <c r="AN6" s="5">
        <f t="shared" si="8"/>
        <v>494.92753780378024</v>
      </c>
    </row>
    <row r="7" spans="2:139" x14ac:dyDescent="0.3">
      <c r="B7" t="s">
        <v>15</v>
      </c>
      <c r="C7" s="5">
        <v>19.8</v>
      </c>
      <c r="D7" s="5">
        <v>9.6</v>
      </c>
      <c r="E7" s="5">
        <v>15.3</v>
      </c>
      <c r="F7" s="5">
        <v>14.5</v>
      </c>
      <c r="G7" s="5">
        <v>14.9</v>
      </c>
      <c r="H7" s="5">
        <v>15.3</v>
      </c>
      <c r="I7" s="5">
        <v>17.7</v>
      </c>
      <c r="J7" s="5">
        <v>19</v>
      </c>
      <c r="K7" s="5">
        <v>16.600000000000001</v>
      </c>
      <c r="L7" s="5">
        <v>17.7</v>
      </c>
      <c r="M7" s="5">
        <v>22.3</v>
      </c>
      <c r="N7" s="5">
        <v>19.100000000000001</v>
      </c>
      <c r="O7" s="5">
        <v>19.899999999999999</v>
      </c>
      <c r="P7" s="5">
        <v>20.2</v>
      </c>
      <c r="Q7" s="5">
        <v>25.6</v>
      </c>
      <c r="R7" s="5">
        <v>24.8</v>
      </c>
      <c r="S7" s="5">
        <f>S3*0.11</f>
        <v>24.364999999999998</v>
      </c>
      <c r="T7" s="5">
        <f t="shared" ref="T7:V7" si="9">T3*0.11</f>
        <v>25.496900000000004</v>
      </c>
      <c r="U7" s="5">
        <f t="shared" si="9"/>
        <v>27.329940000000001</v>
      </c>
      <c r="V7" s="5">
        <f t="shared" si="9"/>
        <v>29.511680000000002</v>
      </c>
      <c r="X7" s="5">
        <v>15</v>
      </c>
      <c r="Y7" s="5">
        <v>35</v>
      </c>
      <c r="Z7" s="5">
        <f>SUM(C7:F7)</f>
        <v>59.2</v>
      </c>
      <c r="AA7" s="5">
        <f>SUM(G7:J7)</f>
        <v>66.900000000000006</v>
      </c>
      <c r="AB7" s="5">
        <f>SUM(K7:N7)</f>
        <v>75.699999999999989</v>
      </c>
      <c r="AC7" s="5">
        <f>SUM(O7:R7)</f>
        <v>90.499999999999986</v>
      </c>
      <c r="AD7" s="5">
        <f>SUM(S7:V7)</f>
        <v>106.70352000000001</v>
      </c>
      <c r="AE7" s="5">
        <f>AE3*0.1</f>
        <v>121.254</v>
      </c>
      <c r="AF7" s="5">
        <f>AF3*0.09</f>
        <v>130.95432</v>
      </c>
      <c r="AG7" s="5">
        <f>AG3*0.09</f>
        <v>150.59746799999996</v>
      </c>
      <c r="AH7" s="5">
        <f t="shared" ref="AH7:AN7" si="10">AH3*0.09</f>
        <v>165.65721479999999</v>
      </c>
      <c r="AI7" s="5">
        <f t="shared" si="10"/>
        <v>178.90979198399998</v>
      </c>
      <c r="AJ7" s="5">
        <f t="shared" si="10"/>
        <v>189.64437950304</v>
      </c>
      <c r="AK7" s="5">
        <f t="shared" si="10"/>
        <v>199.12659847819199</v>
      </c>
      <c r="AL7" s="5">
        <f t="shared" si="10"/>
        <v>209.0829284021016</v>
      </c>
      <c r="AM7" s="5">
        <f t="shared" si="10"/>
        <v>219.53707482220673</v>
      </c>
      <c r="AN7" s="5">
        <f t="shared" si="10"/>
        <v>230.51392856331705</v>
      </c>
    </row>
    <row r="8" spans="2:139" x14ac:dyDescent="0.3">
      <c r="B8" t="s">
        <v>16</v>
      </c>
      <c r="C8" s="5">
        <v>11.5</v>
      </c>
      <c r="D8" s="5">
        <v>11.6</v>
      </c>
      <c r="E8" s="5">
        <v>29.6</v>
      </c>
      <c r="F8" s="5">
        <v>25.9</v>
      </c>
      <c r="G8" s="5">
        <v>26.9</v>
      </c>
      <c r="H8" s="5">
        <v>30.1</v>
      </c>
      <c r="I8" s="5">
        <v>30.2</v>
      </c>
      <c r="J8" s="5">
        <v>30.7</v>
      </c>
      <c r="K8" s="5">
        <v>30.2</v>
      </c>
      <c r="L8" s="5">
        <v>32.200000000000003</v>
      </c>
      <c r="M8" s="5">
        <v>33.4</v>
      </c>
      <c r="N8" s="5">
        <v>36.200000000000003</v>
      </c>
      <c r="O8" s="5">
        <v>35.1</v>
      </c>
      <c r="P8" s="5">
        <v>37</v>
      </c>
      <c r="Q8" s="5">
        <v>38.4</v>
      </c>
      <c r="R8" s="5">
        <v>45.5</v>
      </c>
      <c r="S8" s="5">
        <f>O8*1.3</f>
        <v>45.63</v>
      </c>
      <c r="T8" s="5">
        <f>P8*1.3</f>
        <v>48.1</v>
      </c>
      <c r="U8" s="5">
        <f t="shared" ref="U8" si="11">Q8*1.25</f>
        <v>48</v>
      </c>
      <c r="V8" s="5">
        <f>R8*1.18</f>
        <v>53.69</v>
      </c>
      <c r="X8" s="5">
        <v>16.399999999999999</v>
      </c>
      <c r="Y8" s="5">
        <v>43.7</v>
      </c>
      <c r="Z8" s="5">
        <f>SUM(C8:F8)</f>
        <v>78.599999999999994</v>
      </c>
      <c r="AA8" s="5">
        <f>SUM(G8:J8)</f>
        <v>117.9</v>
      </c>
      <c r="AB8" s="5">
        <f>SUM(K8:N8)</f>
        <v>132</v>
      </c>
      <c r="AC8" s="5">
        <f>SUM(O8:R8)</f>
        <v>156</v>
      </c>
      <c r="AD8" s="5">
        <f>SUM(S8:V8)</f>
        <v>195.42000000000002</v>
      </c>
      <c r="AE8" s="5">
        <f>AD8*1.17</f>
        <v>228.6414</v>
      </c>
      <c r="AF8" s="5">
        <f>AE8*1.11</f>
        <v>253.79195400000003</v>
      </c>
      <c r="AG8" s="5">
        <f>AF8*1.07</f>
        <v>271.55739078000005</v>
      </c>
      <c r="AH8" s="5">
        <f>AG8*1.04</f>
        <v>282.41968641120008</v>
      </c>
      <c r="AI8" s="5">
        <f>AH8*1.03</f>
        <v>290.89227700353609</v>
      </c>
      <c r="AJ8" s="5">
        <f>AI8*1.02</f>
        <v>296.71012254360681</v>
      </c>
      <c r="AK8" s="5">
        <f>AJ8*1.01</f>
        <v>299.67722376904288</v>
      </c>
      <c r="AL8" s="5">
        <f t="shared" ref="AL8:AN8" si="12">AK8*1.01</f>
        <v>302.67399600673332</v>
      </c>
      <c r="AM8" s="5">
        <f t="shared" si="12"/>
        <v>305.70073596680066</v>
      </c>
      <c r="AN8" s="5">
        <f t="shared" si="12"/>
        <v>308.7577433264687</v>
      </c>
    </row>
    <row r="9" spans="2:139" x14ac:dyDescent="0.3">
      <c r="B9" t="s">
        <v>17</v>
      </c>
      <c r="C9" s="5">
        <f t="shared" ref="C9:R9" si="13">SUM(C6:C8)</f>
        <v>53.8</v>
      </c>
      <c r="D9" s="5">
        <f t="shared" si="13"/>
        <v>43.1</v>
      </c>
      <c r="E9" s="5">
        <f t="shared" si="13"/>
        <v>74.2</v>
      </c>
      <c r="F9" s="5">
        <f t="shared" si="13"/>
        <v>70.400000000000006</v>
      </c>
      <c r="G9" s="5">
        <f t="shared" si="13"/>
        <v>71.599999999999994</v>
      </c>
      <c r="H9" s="5">
        <f t="shared" si="13"/>
        <v>79.599999999999994</v>
      </c>
      <c r="I9" s="5">
        <f t="shared" si="13"/>
        <v>89.9</v>
      </c>
      <c r="J9" s="5">
        <f t="shared" si="13"/>
        <v>94.2</v>
      </c>
      <c r="K9" s="5">
        <f t="shared" si="13"/>
        <v>92.6</v>
      </c>
      <c r="L9" s="5">
        <f t="shared" si="13"/>
        <v>97.8</v>
      </c>
      <c r="M9" s="5">
        <f t="shared" si="13"/>
        <v>106</v>
      </c>
      <c r="N9" s="5">
        <f t="shared" si="13"/>
        <v>105.60000000000001</v>
      </c>
      <c r="O9" s="5">
        <f t="shared" si="13"/>
        <v>105.9</v>
      </c>
      <c r="P9" s="5">
        <f t="shared" si="13"/>
        <v>112.3</v>
      </c>
      <c r="Q9" s="5">
        <f t="shared" si="13"/>
        <v>126.9</v>
      </c>
      <c r="R9" s="5">
        <f t="shared" si="13"/>
        <v>136.69999999999999</v>
      </c>
      <c r="S9" s="5">
        <f t="shared" ref="S9" si="14">SUM(S6:S8)</f>
        <v>138.71</v>
      </c>
      <c r="T9" s="5">
        <f t="shared" ref="T9" si="15">SUM(T6:T8)</f>
        <v>145.2269</v>
      </c>
      <c r="U9" s="5">
        <f t="shared" ref="U9" si="16">SUM(U6:U8)</f>
        <v>152.69693999999998</v>
      </c>
      <c r="V9" s="5">
        <f t="shared" ref="V9" si="17">SUM(V6:V8)</f>
        <v>164.20967999999999</v>
      </c>
      <c r="X9" s="5">
        <f t="shared" ref="X9:AD9" si="18">SUM(X6:X8)</f>
        <v>63</v>
      </c>
      <c r="Y9" s="5">
        <f t="shared" si="18"/>
        <v>131.69999999999999</v>
      </c>
      <c r="Z9" s="5">
        <f t="shared" si="18"/>
        <v>241.5</v>
      </c>
      <c r="AA9" s="5">
        <f t="shared" si="18"/>
        <v>335.3</v>
      </c>
      <c r="AB9" s="5">
        <f t="shared" si="18"/>
        <v>402</v>
      </c>
      <c r="AC9" s="5">
        <f t="shared" si="18"/>
        <v>481.8</v>
      </c>
      <c r="AD9" s="5">
        <f t="shared" si="18"/>
        <v>600.84352000000013</v>
      </c>
      <c r="AE9" s="5">
        <f t="shared" ref="AE9" si="19">SUM(AE6:AE8)</f>
        <v>702.38499999999999</v>
      </c>
      <c r="AF9" s="5">
        <f t="shared" ref="AF9" si="20">SUM(AF6:AF8)</f>
        <v>779.53462600000012</v>
      </c>
      <c r="AG9" s="5">
        <f t="shared" ref="AG9" si="21">SUM(AG6:AG8)</f>
        <v>840.6305119000001</v>
      </c>
      <c r="AH9" s="5">
        <f t="shared" ref="AH9" si="22">SUM(AH6:AH8)</f>
        <v>883.29158045600025</v>
      </c>
      <c r="AI9" s="5">
        <f t="shared" ref="AI9" si="23">SUM(AI6:AI8)</f>
        <v>918.07318860968007</v>
      </c>
      <c r="AJ9" s="5">
        <f t="shared" ref="AJ9" si="24">SUM(AJ6:AJ8)</f>
        <v>943.59104406123379</v>
      </c>
      <c r="AK9" s="5">
        <f t="shared" ref="AK9" si="25">SUM(AK6:AK8)</f>
        <v>965.18509510211356</v>
      </c>
      <c r="AL9" s="5">
        <f t="shared" ref="AL9" si="26">SUM(AL6:AL8)</f>
        <v>987.46582272081127</v>
      </c>
      <c r="AM9" s="5">
        <f t="shared" ref="AM9" si="27">SUM(AM6:AM8)</f>
        <v>1010.4608870672232</v>
      </c>
      <c r="AN9" s="5">
        <f t="shared" ref="AN9" si="28">SUM(AN6:AN8)</f>
        <v>1034.199209693566</v>
      </c>
    </row>
    <row r="10" spans="2:139" s="1" customFormat="1" x14ac:dyDescent="0.3">
      <c r="B10" s="1" t="s">
        <v>18</v>
      </c>
      <c r="C10" s="8">
        <f t="shared" ref="C10:R10" si="29">C5-C9</f>
        <v>-13.399999999999999</v>
      </c>
      <c r="D10" s="8">
        <f t="shared" si="29"/>
        <v>-0.40000000000000568</v>
      </c>
      <c r="E10" s="8">
        <f t="shared" si="29"/>
        <v>-28.700000000000003</v>
      </c>
      <c r="F10" s="8">
        <f t="shared" si="29"/>
        <v>-17.400000000000006</v>
      </c>
      <c r="G10" s="8">
        <f t="shared" si="29"/>
        <v>-11.899999999999991</v>
      </c>
      <c r="H10" s="8">
        <f t="shared" si="29"/>
        <v>-15.099999999999994</v>
      </c>
      <c r="I10" s="8">
        <f t="shared" si="29"/>
        <v>-20.100000000000009</v>
      </c>
      <c r="J10" s="8">
        <f t="shared" si="29"/>
        <v>-18.200000000000003</v>
      </c>
      <c r="K10" s="8">
        <f t="shared" si="29"/>
        <v>-8.3999999999999915</v>
      </c>
      <c r="L10" s="8">
        <f t="shared" si="29"/>
        <v>-4.7999999999999972</v>
      </c>
      <c r="M10" s="8">
        <f t="shared" si="29"/>
        <v>-4.7000000000000028</v>
      </c>
      <c r="N10" s="8">
        <f t="shared" si="29"/>
        <v>4.7999999999999972</v>
      </c>
      <c r="O10" s="8">
        <f t="shared" si="29"/>
        <v>16.499999999999986</v>
      </c>
      <c r="P10" s="8">
        <f t="shared" si="29"/>
        <v>18.700000000000003</v>
      </c>
      <c r="Q10" s="8">
        <f t="shared" si="29"/>
        <v>13.499999999999972</v>
      </c>
      <c r="R10" s="8">
        <f t="shared" si="29"/>
        <v>14</v>
      </c>
      <c r="S10" s="8">
        <f t="shared" ref="S10" si="30">S5-S9</f>
        <v>20.769999999999982</v>
      </c>
      <c r="T10" s="8">
        <f t="shared" ref="T10" si="31">T5-T9</f>
        <v>21.661900000000003</v>
      </c>
      <c r="U10" s="8">
        <f t="shared" ref="U10" si="32">U5-U9</f>
        <v>26.189940000000007</v>
      </c>
      <c r="V10" s="8">
        <f t="shared" ref="V10" si="33">V5-V9</f>
        <v>28.957680000000011</v>
      </c>
      <c r="X10" s="8">
        <f t="shared" ref="X10:AD10" si="34">X5-X9</f>
        <v>-12.900000000000006</v>
      </c>
      <c r="Y10" s="8">
        <f t="shared" si="34"/>
        <v>-16</v>
      </c>
      <c r="Z10" s="8">
        <f t="shared" si="34"/>
        <v>-59.900000000000034</v>
      </c>
      <c r="AA10" s="8">
        <f t="shared" si="34"/>
        <v>-65.299999999999955</v>
      </c>
      <c r="AB10" s="8">
        <f t="shared" si="34"/>
        <v>-13.099999999999966</v>
      </c>
      <c r="AC10" s="8">
        <f t="shared" si="34"/>
        <v>62.699999999999989</v>
      </c>
      <c r="AD10" s="8">
        <f t="shared" si="34"/>
        <v>97.579519999999889</v>
      </c>
      <c r="AE10" s="8">
        <f t="shared" ref="AE10" si="35">AE5-AE9</f>
        <v>170.64379999999994</v>
      </c>
      <c r="AF10" s="8">
        <f t="shared" ref="AF10" si="36">AF5-AF9</f>
        <v>268.09993399999985</v>
      </c>
      <c r="AG10" s="8">
        <f t="shared" ref="AG10" si="37">AG5-AG9</f>
        <v>364.14923209999961</v>
      </c>
      <c r="AH10" s="8">
        <f t="shared" ref="AH10" si="38">AH5-AH9</f>
        <v>441.96613794399968</v>
      </c>
      <c r="AI10" s="8">
        <f t="shared" ref="AI10" si="39">AI5-AI9</f>
        <v>513.20514726231977</v>
      </c>
      <c r="AJ10" s="8">
        <f t="shared" ref="AJ10" si="40">AJ5-AJ9</f>
        <v>573.56399196308621</v>
      </c>
      <c r="AK10" s="8">
        <f t="shared" ref="AK10" si="41">AK5-AK9</f>
        <v>627.82769272342239</v>
      </c>
      <c r="AL10" s="8">
        <f t="shared" ref="AL10" si="42">AL5-AL9</f>
        <v>685.19760449600153</v>
      </c>
      <c r="AM10" s="8">
        <f t="shared" ref="AM10" si="43">AM5-AM9</f>
        <v>745.83571151043066</v>
      </c>
      <c r="AN10" s="8">
        <f t="shared" ref="AN10" si="44">AN5-AN9</f>
        <v>809.91221881297042</v>
      </c>
    </row>
    <row r="11" spans="2:139" x14ac:dyDescent="0.3">
      <c r="B11" t="s">
        <v>19</v>
      </c>
      <c r="C11" s="5">
        <v>0</v>
      </c>
      <c r="D11" s="5">
        <v>-0.3</v>
      </c>
      <c r="E11" s="5">
        <v>0.2</v>
      </c>
      <c r="F11" s="5">
        <v>0</v>
      </c>
      <c r="G11" s="5">
        <v>0.3</v>
      </c>
      <c r="H11" s="5">
        <v>-0.1</v>
      </c>
      <c r="I11" s="5">
        <v>-1.8</v>
      </c>
      <c r="J11" s="5">
        <v>-0.7</v>
      </c>
      <c r="K11" s="5">
        <v>-0.2</v>
      </c>
      <c r="L11" s="5">
        <v>0.3</v>
      </c>
      <c r="M11" s="5">
        <v>1</v>
      </c>
      <c r="N11" s="5">
        <v>-1.1000000000000001</v>
      </c>
      <c r="O11" s="5">
        <v>0.6</v>
      </c>
      <c r="P11" s="5">
        <v>0.7</v>
      </c>
      <c r="Q11" s="5">
        <v>-0.6</v>
      </c>
      <c r="R11" s="5">
        <v>2.2000000000000002</v>
      </c>
      <c r="S11" s="5">
        <v>1</v>
      </c>
      <c r="T11" s="5">
        <v>1</v>
      </c>
      <c r="U11" s="5">
        <v>1</v>
      </c>
      <c r="V11" s="5">
        <v>1</v>
      </c>
      <c r="X11" s="5">
        <v>-0.6</v>
      </c>
      <c r="Y11" s="5">
        <v>-0.3</v>
      </c>
      <c r="Z11" s="5">
        <f>SUM(C11:F11)</f>
        <v>-9.9999999999999978E-2</v>
      </c>
      <c r="AA11" s="5">
        <f>SUM(G11:J11)</f>
        <v>-2.2999999999999998</v>
      </c>
      <c r="AB11" s="5">
        <f>SUM(K11:N11)</f>
        <v>0</v>
      </c>
      <c r="AC11" s="5">
        <f>SUM(O11:R11)</f>
        <v>2.9</v>
      </c>
      <c r="AD11" s="5">
        <f>SUM(S11:V11)</f>
        <v>4</v>
      </c>
      <c r="AE11" s="5">
        <f>AD11*1.05</f>
        <v>4.2</v>
      </c>
      <c r="AF11" s="5">
        <f t="shared" ref="AF11:AN11" si="45">AE11*1.05</f>
        <v>4.41</v>
      </c>
      <c r="AG11" s="5">
        <f t="shared" si="45"/>
        <v>4.6305000000000005</v>
      </c>
      <c r="AH11" s="5">
        <f t="shared" si="45"/>
        <v>4.8620250000000009</v>
      </c>
      <c r="AI11" s="5">
        <f t="shared" si="45"/>
        <v>5.1051262500000014</v>
      </c>
      <c r="AJ11" s="5">
        <f t="shared" si="45"/>
        <v>5.3603825625000017</v>
      </c>
      <c r="AK11" s="5">
        <f t="shared" si="45"/>
        <v>5.6284016906250018</v>
      </c>
      <c r="AL11" s="5">
        <f t="shared" si="45"/>
        <v>5.9098217751562521</v>
      </c>
      <c r="AM11" s="5">
        <f t="shared" si="45"/>
        <v>6.2053128639140649</v>
      </c>
      <c r="AN11" s="5">
        <f t="shared" si="45"/>
        <v>6.515578507109768</v>
      </c>
    </row>
    <row r="12" spans="2:139" x14ac:dyDescent="0.3">
      <c r="B12" t="s">
        <v>40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-4.3</v>
      </c>
      <c r="K12" s="5">
        <v>-5.6</v>
      </c>
      <c r="L12" s="5">
        <v>-7.5</v>
      </c>
      <c r="M12" s="5">
        <v>-8.6</v>
      </c>
      <c r="N12" s="5">
        <v>-9.3000000000000007</v>
      </c>
      <c r="O12" s="5">
        <v>-10</v>
      </c>
      <c r="P12" s="5">
        <v>-10.7</v>
      </c>
      <c r="Q12" s="5">
        <v>-11.2</v>
      </c>
      <c r="R12" s="5">
        <v>-10.7</v>
      </c>
      <c r="S12" s="5">
        <f>O12*1.05</f>
        <v>-10.5</v>
      </c>
      <c r="T12" s="5">
        <f t="shared" ref="T12:V12" si="46">P12*1.05</f>
        <v>-11.234999999999999</v>
      </c>
      <c r="U12" s="5">
        <f t="shared" si="46"/>
        <v>-11.76</v>
      </c>
      <c r="V12" s="5">
        <f t="shared" si="46"/>
        <v>-11.234999999999999</v>
      </c>
      <c r="X12" s="5">
        <v>0</v>
      </c>
      <c r="Y12" s="5">
        <v>0</v>
      </c>
      <c r="Z12" s="5">
        <f>SUM(C12:F12)</f>
        <v>0</v>
      </c>
      <c r="AA12" s="5">
        <f>SUM(G12:J12)</f>
        <v>-4.3</v>
      </c>
      <c r="AB12" s="5">
        <f>SUM(K12:N12)</f>
        <v>-31</v>
      </c>
      <c r="AC12" s="5">
        <f>SUM(O12:R12)</f>
        <v>-42.599999999999994</v>
      </c>
      <c r="AD12" s="5">
        <f>SUM(S12:V12)</f>
        <v>-44.73</v>
      </c>
      <c r="AE12" s="5">
        <f>AD12*1.05</f>
        <v>-46.966499999999996</v>
      </c>
      <c r="AF12" s="5">
        <f t="shared" ref="AF12:AN12" si="47">AE12*1.05</f>
        <v>-49.314824999999999</v>
      </c>
      <c r="AG12" s="5">
        <f t="shared" si="47"/>
        <v>-51.78056625</v>
      </c>
      <c r="AH12" s="5">
        <f t="shared" si="47"/>
        <v>-54.369594562500005</v>
      </c>
      <c r="AI12" s="5">
        <f t="shared" si="47"/>
        <v>-57.088074290625009</v>
      </c>
      <c r="AJ12" s="5">
        <f t="shared" si="47"/>
        <v>-59.942478005156261</v>
      </c>
      <c r="AK12" s="5">
        <f t="shared" si="47"/>
        <v>-62.939601905414079</v>
      </c>
      <c r="AL12" s="5">
        <f t="shared" si="47"/>
        <v>-66.086582000684785</v>
      </c>
      <c r="AM12" s="5">
        <f t="shared" si="47"/>
        <v>-69.390911100719023</v>
      </c>
      <c r="AN12" s="5">
        <f t="shared" si="47"/>
        <v>-72.860456655754973</v>
      </c>
    </row>
    <row r="13" spans="2:139" s="1" customFormat="1" x14ac:dyDescent="0.3">
      <c r="B13" s="1" t="s">
        <v>20</v>
      </c>
      <c r="C13" s="8">
        <f t="shared" ref="C13:R13" si="48">C10-C11-C12</f>
        <v>-13.399999999999999</v>
      </c>
      <c r="D13" s="8">
        <f t="shared" si="48"/>
        <v>-0.1000000000000057</v>
      </c>
      <c r="E13" s="8">
        <f t="shared" si="48"/>
        <v>-28.900000000000002</v>
      </c>
      <c r="F13" s="8">
        <f t="shared" si="48"/>
        <v>-17.400000000000006</v>
      </c>
      <c r="G13" s="8">
        <f t="shared" si="48"/>
        <v>-12.199999999999992</v>
      </c>
      <c r="H13" s="8">
        <f t="shared" si="48"/>
        <v>-14.999999999999995</v>
      </c>
      <c r="I13" s="8">
        <f t="shared" si="48"/>
        <v>-18.300000000000008</v>
      </c>
      <c r="J13" s="8">
        <f t="shared" si="48"/>
        <v>-13.200000000000003</v>
      </c>
      <c r="K13" s="8">
        <f t="shared" si="48"/>
        <v>-2.5999999999999925</v>
      </c>
      <c r="L13" s="8">
        <f t="shared" si="48"/>
        <v>2.400000000000003</v>
      </c>
      <c r="M13" s="8">
        <f t="shared" si="48"/>
        <v>2.8999999999999968</v>
      </c>
      <c r="N13" s="8">
        <f t="shared" si="48"/>
        <v>15.199999999999998</v>
      </c>
      <c r="O13" s="8">
        <f t="shared" si="48"/>
        <v>25.899999999999984</v>
      </c>
      <c r="P13" s="8">
        <f t="shared" si="48"/>
        <v>28.700000000000003</v>
      </c>
      <c r="Q13" s="8">
        <f t="shared" si="48"/>
        <v>25.299999999999969</v>
      </c>
      <c r="R13" s="8">
        <f t="shared" si="48"/>
        <v>22.5</v>
      </c>
      <c r="S13" s="8">
        <f t="shared" ref="S13" si="49">S10-S11-S12</f>
        <v>30.269999999999982</v>
      </c>
      <c r="T13" s="8">
        <f t="shared" ref="T13" si="50">T10-T11-T12</f>
        <v>31.896900000000002</v>
      </c>
      <c r="U13" s="8">
        <f t="shared" ref="U13" si="51">U10-U11-U12</f>
        <v>36.949940000000005</v>
      </c>
      <c r="V13" s="8">
        <f t="shared" ref="V13" si="52">V10-V11-V12</f>
        <v>39.19268000000001</v>
      </c>
      <c r="X13" s="8">
        <f t="shared" ref="X13:AE13" si="53">X10-X11-X12</f>
        <v>-12.300000000000006</v>
      </c>
      <c r="Y13" s="8">
        <f t="shared" si="53"/>
        <v>-15.7</v>
      </c>
      <c r="Z13" s="8">
        <f t="shared" si="53"/>
        <v>-59.800000000000033</v>
      </c>
      <c r="AA13" s="8">
        <f t="shared" si="53"/>
        <v>-58.69999999999996</v>
      </c>
      <c r="AB13" s="8">
        <f t="shared" si="53"/>
        <v>17.900000000000034</v>
      </c>
      <c r="AC13" s="8">
        <f t="shared" si="53"/>
        <v>102.39999999999998</v>
      </c>
      <c r="AD13" s="8">
        <f t="shared" si="53"/>
        <v>138.30951999999988</v>
      </c>
      <c r="AE13" s="8">
        <f t="shared" si="53"/>
        <v>213.41029999999995</v>
      </c>
      <c r="AF13" s="8">
        <f t="shared" ref="AF13" si="54">AF10-AF11-AF12</f>
        <v>313.00475899999981</v>
      </c>
      <c r="AG13" s="8">
        <f t="shared" ref="AG13" si="55">AG10-AG11-AG12</f>
        <v>411.29929834999962</v>
      </c>
      <c r="AH13" s="8">
        <f t="shared" ref="AH13" si="56">AH10-AH11-AH12</f>
        <v>491.47370750649969</v>
      </c>
      <c r="AI13" s="8">
        <f t="shared" ref="AI13" si="57">AI10-AI11-AI12</f>
        <v>565.18809530294482</v>
      </c>
      <c r="AJ13" s="8">
        <f t="shared" ref="AJ13" si="58">AJ10-AJ11-AJ12</f>
        <v>628.14608740574249</v>
      </c>
      <c r="AK13" s="8">
        <f t="shared" ref="AK13" si="59">AK10-AK11-AK12</f>
        <v>685.13889293821148</v>
      </c>
      <c r="AL13" s="8">
        <f t="shared" ref="AL13" si="60">AL10-AL11-AL12</f>
        <v>745.37436472153001</v>
      </c>
      <c r="AM13" s="8">
        <f t="shared" ref="AM13" si="61">AM10-AM11-AM12</f>
        <v>809.02130974723559</v>
      </c>
      <c r="AN13" s="8">
        <f t="shared" ref="AN13" si="62">AN10-AN11-AN12</f>
        <v>876.25709696161562</v>
      </c>
    </row>
    <row r="14" spans="2:139" x14ac:dyDescent="0.3">
      <c r="B14" t="s">
        <v>21</v>
      </c>
      <c r="C14" s="5">
        <v>0</v>
      </c>
      <c r="D14" s="5">
        <v>0</v>
      </c>
      <c r="E14" s="5">
        <v>0.1</v>
      </c>
      <c r="F14" s="5">
        <v>0.1</v>
      </c>
      <c r="G14" s="5">
        <v>0</v>
      </c>
      <c r="H14" s="5">
        <v>0.1</v>
      </c>
      <c r="I14" s="5">
        <v>0.1</v>
      </c>
      <c r="J14" s="5">
        <v>0.7</v>
      </c>
      <c r="K14" s="5">
        <v>-0.1</v>
      </c>
      <c r="L14" s="5">
        <v>-1.3</v>
      </c>
      <c r="M14" s="5">
        <v>0.1</v>
      </c>
      <c r="N14" s="5">
        <v>3</v>
      </c>
      <c r="O14" s="5">
        <v>-1.1000000000000001</v>
      </c>
      <c r="P14" s="5">
        <v>4.4000000000000004</v>
      </c>
      <c r="Q14" s="5">
        <v>2</v>
      </c>
      <c r="R14" s="5">
        <v>8.4</v>
      </c>
      <c r="S14" s="5">
        <f>S13*0.15</f>
        <v>4.5404999999999971</v>
      </c>
      <c r="T14" s="5">
        <f t="shared" ref="T14:V14" si="63">T13*0.15</f>
        <v>4.784535</v>
      </c>
      <c r="U14" s="5">
        <f t="shared" si="63"/>
        <v>5.5424910000000009</v>
      </c>
      <c r="V14" s="5">
        <f t="shared" si="63"/>
        <v>5.878902000000001</v>
      </c>
      <c r="X14" s="5">
        <v>0</v>
      </c>
      <c r="Y14" s="5">
        <v>0.1</v>
      </c>
      <c r="Z14" s="5">
        <f>SUM(C14:F14)</f>
        <v>0.2</v>
      </c>
      <c r="AA14" s="5">
        <f>SUM(G14:J14)</f>
        <v>0.89999999999999991</v>
      </c>
      <c r="AB14" s="5">
        <f>SUM(K14:N14)</f>
        <v>1.7</v>
      </c>
      <c r="AC14" s="5">
        <f>SUM(O14:R14)</f>
        <v>13.700000000000001</v>
      </c>
      <c r="AD14" s="5">
        <f>SUM(S14:V14)</f>
        <v>20.746427999999998</v>
      </c>
      <c r="AE14" s="5">
        <f>AE13*0.15</f>
        <v>32.011544999999991</v>
      </c>
      <c r="AF14" s="5">
        <f t="shared" ref="AF14:AN14" si="64">AF13*0.15</f>
        <v>46.950713849999971</v>
      </c>
      <c r="AG14" s="5">
        <f t="shared" si="64"/>
        <v>61.694894752499941</v>
      </c>
      <c r="AH14" s="5">
        <f t="shared" si="64"/>
        <v>73.721056125974954</v>
      </c>
      <c r="AI14" s="5">
        <f t="shared" si="64"/>
        <v>84.778214295441714</v>
      </c>
      <c r="AJ14" s="5">
        <f t="shared" si="64"/>
        <v>94.221913110861365</v>
      </c>
      <c r="AK14" s="5">
        <f t="shared" si="64"/>
        <v>102.77083394073172</v>
      </c>
      <c r="AL14" s="5">
        <f t="shared" si="64"/>
        <v>111.8061547082295</v>
      </c>
      <c r="AM14" s="5">
        <f t="shared" si="64"/>
        <v>121.35319646208534</v>
      </c>
      <c r="AN14" s="5">
        <f t="shared" si="64"/>
        <v>131.43856454424233</v>
      </c>
    </row>
    <row r="15" spans="2:139" s="1" customFormat="1" x14ac:dyDescent="0.3">
      <c r="B15" s="1" t="s">
        <v>22</v>
      </c>
      <c r="C15" s="8">
        <f t="shared" ref="C15:R15" si="65">C13-C14</f>
        <v>-13.399999999999999</v>
      </c>
      <c r="D15" s="8">
        <f t="shared" si="65"/>
        <v>-0.1000000000000057</v>
      </c>
      <c r="E15" s="8">
        <f t="shared" si="65"/>
        <v>-29.000000000000004</v>
      </c>
      <c r="F15" s="8">
        <f t="shared" si="65"/>
        <v>-17.500000000000007</v>
      </c>
      <c r="G15" s="8">
        <f t="shared" si="65"/>
        <v>-12.199999999999992</v>
      </c>
      <c r="H15" s="8">
        <f t="shared" si="65"/>
        <v>-15.099999999999994</v>
      </c>
      <c r="I15" s="8">
        <f t="shared" si="65"/>
        <v>-18.400000000000009</v>
      </c>
      <c r="J15" s="8">
        <f t="shared" si="65"/>
        <v>-13.900000000000002</v>
      </c>
      <c r="K15" s="8">
        <f t="shared" si="65"/>
        <v>-2.4999999999999925</v>
      </c>
      <c r="L15" s="8">
        <f t="shared" si="65"/>
        <v>3.7000000000000028</v>
      </c>
      <c r="M15" s="8">
        <f t="shared" si="65"/>
        <v>2.7999999999999967</v>
      </c>
      <c r="N15" s="8">
        <f t="shared" si="65"/>
        <v>12.199999999999998</v>
      </c>
      <c r="O15" s="8">
        <f t="shared" si="65"/>
        <v>26.999999999999986</v>
      </c>
      <c r="P15" s="8">
        <f t="shared" si="65"/>
        <v>24.300000000000004</v>
      </c>
      <c r="Q15" s="8">
        <f t="shared" si="65"/>
        <v>23.299999999999969</v>
      </c>
      <c r="R15" s="8">
        <f t="shared" si="65"/>
        <v>14.1</v>
      </c>
      <c r="S15" s="8">
        <f t="shared" ref="S15" si="66">S13-S14</f>
        <v>25.729499999999984</v>
      </c>
      <c r="T15" s="8">
        <f t="shared" ref="T15" si="67">T13-T14</f>
        <v>27.112365000000004</v>
      </c>
      <c r="U15" s="8">
        <f t="shared" ref="U15" si="68">U13-U14</f>
        <v>31.407449000000003</v>
      </c>
      <c r="V15" s="8">
        <f t="shared" ref="V15" si="69">V13-V14</f>
        <v>33.313778000000006</v>
      </c>
      <c r="X15" s="8">
        <f t="shared" ref="X15:AE15" si="70">X13-X14</f>
        <v>-12.300000000000006</v>
      </c>
      <c r="Y15" s="8">
        <f t="shared" si="70"/>
        <v>-15.799999999999999</v>
      </c>
      <c r="Z15" s="8">
        <f t="shared" si="70"/>
        <v>-60.000000000000036</v>
      </c>
      <c r="AA15" s="8">
        <f t="shared" si="70"/>
        <v>-59.599999999999959</v>
      </c>
      <c r="AB15" s="8">
        <f t="shared" si="70"/>
        <v>16.200000000000035</v>
      </c>
      <c r="AC15" s="8">
        <f t="shared" si="70"/>
        <v>88.699999999999974</v>
      </c>
      <c r="AD15" s="8">
        <f t="shared" si="70"/>
        <v>117.56309199999988</v>
      </c>
      <c r="AE15" s="8">
        <f t="shared" si="70"/>
        <v>181.39875499999997</v>
      </c>
      <c r="AF15" s="8">
        <f t="shared" ref="AF15" si="71">AF13-AF14</f>
        <v>266.05404514999987</v>
      </c>
      <c r="AG15" s="8">
        <f t="shared" ref="AG15" si="72">AG13-AG14</f>
        <v>349.6044035974997</v>
      </c>
      <c r="AH15" s="8">
        <f t="shared" ref="AH15" si="73">AH13-AH14</f>
        <v>417.75265138052475</v>
      </c>
      <c r="AI15" s="8">
        <f t="shared" ref="AI15" si="74">AI13-AI14</f>
        <v>480.40988100750309</v>
      </c>
      <c r="AJ15" s="8">
        <f t="shared" ref="AJ15" si="75">AJ13-AJ14</f>
        <v>533.92417429488114</v>
      </c>
      <c r="AK15" s="8">
        <f t="shared" ref="AK15" si="76">AK13-AK14</f>
        <v>582.36805899747981</v>
      </c>
      <c r="AL15" s="8">
        <f t="shared" ref="AL15" si="77">AL13-AL14</f>
        <v>633.56821001330047</v>
      </c>
      <c r="AM15" s="8">
        <f t="shared" ref="AM15" si="78">AM13-AM14</f>
        <v>687.6681132851503</v>
      </c>
      <c r="AN15" s="8">
        <f t="shared" ref="AN15" si="79">AN13-AN14</f>
        <v>744.81853241737326</v>
      </c>
      <c r="AO15" s="1">
        <f>AN15*(1+$AR$21)</f>
        <v>737.37034709319948</v>
      </c>
      <c r="AP15" s="1">
        <f t="shared" ref="AP15:DA15" si="80">AO15*(1+$AR$21)</f>
        <v>729.99664362226747</v>
      </c>
      <c r="AQ15" s="1">
        <f t="shared" si="80"/>
        <v>722.69667718604478</v>
      </c>
      <c r="AR15" s="1">
        <f t="shared" si="80"/>
        <v>715.46971041418431</v>
      </c>
      <c r="AS15" s="1">
        <f t="shared" si="80"/>
        <v>708.31501331004245</v>
      </c>
      <c r="AT15" s="1">
        <f t="shared" si="80"/>
        <v>701.23186317694206</v>
      </c>
      <c r="AU15" s="1">
        <f t="shared" si="80"/>
        <v>694.21954454517265</v>
      </c>
      <c r="AV15" s="1">
        <f t="shared" si="80"/>
        <v>687.27734909972094</v>
      </c>
      <c r="AW15" s="1">
        <f t="shared" si="80"/>
        <v>680.40457560872369</v>
      </c>
      <c r="AX15" s="1">
        <f t="shared" si="80"/>
        <v>673.60052985263644</v>
      </c>
      <c r="AY15" s="1">
        <f t="shared" si="80"/>
        <v>666.86452455411006</v>
      </c>
      <c r="AZ15" s="1">
        <f t="shared" si="80"/>
        <v>660.19587930856892</v>
      </c>
      <c r="BA15" s="1">
        <f t="shared" si="80"/>
        <v>653.59392051548321</v>
      </c>
      <c r="BB15" s="1">
        <f t="shared" si="80"/>
        <v>647.05798131032839</v>
      </c>
      <c r="BC15" s="1">
        <f t="shared" si="80"/>
        <v>640.58740149722507</v>
      </c>
      <c r="BD15" s="1">
        <f t="shared" si="80"/>
        <v>634.18152748225282</v>
      </c>
      <c r="BE15" s="1">
        <f t="shared" si="80"/>
        <v>627.83971220743024</v>
      </c>
      <c r="BF15" s="1">
        <f t="shared" si="80"/>
        <v>621.56131508535589</v>
      </c>
      <c r="BG15" s="1">
        <f t="shared" si="80"/>
        <v>615.34570193450236</v>
      </c>
      <c r="BH15" s="1">
        <f t="shared" si="80"/>
        <v>609.19224491515729</v>
      </c>
      <c r="BI15" s="1">
        <f t="shared" si="80"/>
        <v>603.10032246600576</v>
      </c>
      <c r="BJ15" s="1">
        <f t="shared" si="80"/>
        <v>597.06931924134574</v>
      </c>
      <c r="BK15" s="1">
        <f t="shared" si="80"/>
        <v>591.09862604893226</v>
      </c>
      <c r="BL15" s="1">
        <f t="shared" si="80"/>
        <v>585.18763978844288</v>
      </c>
      <c r="BM15" s="1">
        <f t="shared" si="80"/>
        <v>579.33576339055844</v>
      </c>
      <c r="BN15" s="1">
        <f t="shared" si="80"/>
        <v>573.5424057566529</v>
      </c>
      <c r="BO15" s="1">
        <f t="shared" si="80"/>
        <v>567.80698169908635</v>
      </c>
      <c r="BP15" s="1">
        <f t="shared" si="80"/>
        <v>562.12891188209551</v>
      </c>
      <c r="BQ15" s="1">
        <f t="shared" si="80"/>
        <v>556.50762276327453</v>
      </c>
      <c r="BR15" s="1">
        <f t="shared" si="80"/>
        <v>550.94254653564178</v>
      </c>
      <c r="BS15" s="1">
        <f t="shared" si="80"/>
        <v>545.43312107028532</v>
      </c>
      <c r="BT15" s="1">
        <f t="shared" si="80"/>
        <v>539.97878985958243</v>
      </c>
      <c r="BU15" s="1">
        <f t="shared" si="80"/>
        <v>534.5790019609866</v>
      </c>
      <c r="BV15" s="1">
        <f t="shared" si="80"/>
        <v>529.23321194137668</v>
      </c>
      <c r="BW15" s="1">
        <f t="shared" si="80"/>
        <v>523.94087982196288</v>
      </c>
      <c r="BX15" s="1">
        <f t="shared" si="80"/>
        <v>518.70147102374324</v>
      </c>
      <c r="BY15" s="1">
        <f t="shared" si="80"/>
        <v>513.51445631350578</v>
      </c>
      <c r="BZ15" s="1">
        <f t="shared" si="80"/>
        <v>508.37931175037073</v>
      </c>
      <c r="CA15" s="1">
        <f t="shared" si="80"/>
        <v>503.29551863286702</v>
      </c>
      <c r="CB15" s="1">
        <f t="shared" si="80"/>
        <v>498.26256344653837</v>
      </c>
      <c r="CC15" s="1">
        <f t="shared" si="80"/>
        <v>493.279937812073</v>
      </c>
      <c r="CD15" s="1">
        <f t="shared" si="80"/>
        <v>488.34713843395224</v>
      </c>
      <c r="CE15" s="1">
        <f t="shared" si="80"/>
        <v>483.4636670496127</v>
      </c>
      <c r="CF15" s="1">
        <f t="shared" si="80"/>
        <v>478.62903037911656</v>
      </c>
      <c r="CG15" s="1">
        <f t="shared" si="80"/>
        <v>473.84274007532537</v>
      </c>
      <c r="CH15" s="1">
        <f t="shared" si="80"/>
        <v>469.1043126745721</v>
      </c>
      <c r="CI15" s="1">
        <f t="shared" si="80"/>
        <v>464.41326954782636</v>
      </c>
      <c r="CJ15" s="1">
        <f t="shared" si="80"/>
        <v>459.76913685234808</v>
      </c>
      <c r="CK15" s="1">
        <f t="shared" si="80"/>
        <v>455.17144548382458</v>
      </c>
      <c r="CL15" s="1">
        <f t="shared" si="80"/>
        <v>450.61973102898634</v>
      </c>
      <c r="CM15" s="1">
        <f t="shared" si="80"/>
        <v>446.11353371869649</v>
      </c>
      <c r="CN15" s="1">
        <f t="shared" si="80"/>
        <v>441.6523983815095</v>
      </c>
      <c r="CO15" s="1">
        <f t="shared" si="80"/>
        <v>437.23587439769437</v>
      </c>
      <c r="CP15" s="1">
        <f t="shared" si="80"/>
        <v>432.8635156537174</v>
      </c>
      <c r="CQ15" s="1">
        <f t="shared" si="80"/>
        <v>428.53488049718021</v>
      </c>
      <c r="CR15" s="1">
        <f t="shared" si="80"/>
        <v>424.24953169220839</v>
      </c>
      <c r="CS15" s="1">
        <f t="shared" si="80"/>
        <v>420.0070363752863</v>
      </c>
      <c r="CT15" s="1">
        <f t="shared" si="80"/>
        <v>415.80696601153346</v>
      </c>
      <c r="CU15" s="1">
        <f t="shared" si="80"/>
        <v>411.6488963514181</v>
      </c>
      <c r="CV15" s="1">
        <f t="shared" si="80"/>
        <v>407.5324073879039</v>
      </c>
      <c r="CW15" s="1">
        <f t="shared" si="80"/>
        <v>403.45708331402489</v>
      </c>
      <c r="CX15" s="1">
        <f t="shared" si="80"/>
        <v>399.42251248088462</v>
      </c>
      <c r="CY15" s="1">
        <f t="shared" si="80"/>
        <v>395.42828735607577</v>
      </c>
      <c r="CZ15" s="1">
        <f t="shared" si="80"/>
        <v>391.474004482515</v>
      </c>
      <c r="DA15" s="1">
        <f t="shared" si="80"/>
        <v>387.55926443768982</v>
      </c>
      <c r="DB15" s="1">
        <f t="shared" ref="DB15:EI15" si="81">DA15*(1+$AR$21)</f>
        <v>383.6836717933129</v>
      </c>
      <c r="DC15" s="1">
        <f t="shared" si="81"/>
        <v>379.84683507537977</v>
      </c>
      <c r="DD15" s="1">
        <f t="shared" si="81"/>
        <v>376.04836672462596</v>
      </c>
      <c r="DE15" s="1">
        <f t="shared" si="81"/>
        <v>372.2878830573797</v>
      </c>
      <c r="DF15" s="1">
        <f t="shared" si="81"/>
        <v>368.56500422680591</v>
      </c>
      <c r="DG15" s="1">
        <f t="shared" si="81"/>
        <v>364.87935418453787</v>
      </c>
      <c r="DH15" s="1">
        <f t="shared" si="81"/>
        <v>361.23056064269247</v>
      </c>
      <c r="DI15" s="1">
        <f t="shared" si="81"/>
        <v>357.61825503626557</v>
      </c>
      <c r="DJ15" s="1">
        <f t="shared" si="81"/>
        <v>354.04207248590291</v>
      </c>
      <c r="DK15" s="1">
        <f t="shared" si="81"/>
        <v>350.50165176104389</v>
      </c>
      <c r="DL15" s="1">
        <f t="shared" si="81"/>
        <v>346.99663524343345</v>
      </c>
      <c r="DM15" s="1">
        <f t="shared" si="81"/>
        <v>343.52666889099913</v>
      </c>
      <c r="DN15" s="1">
        <f t="shared" si="81"/>
        <v>340.09140220208911</v>
      </c>
      <c r="DO15" s="1">
        <f t="shared" si="81"/>
        <v>336.6904881800682</v>
      </c>
      <c r="DP15" s="1">
        <f t="shared" si="81"/>
        <v>333.32358329826752</v>
      </c>
      <c r="DQ15" s="1">
        <f t="shared" si="81"/>
        <v>329.99034746528486</v>
      </c>
      <c r="DR15" s="1">
        <f t="shared" si="81"/>
        <v>326.69044399063199</v>
      </c>
      <c r="DS15" s="1">
        <f t="shared" si="81"/>
        <v>323.42353955072565</v>
      </c>
      <c r="DT15" s="1">
        <f t="shared" si="81"/>
        <v>320.18930415521839</v>
      </c>
      <c r="DU15" s="1">
        <f t="shared" si="81"/>
        <v>316.98741111366621</v>
      </c>
      <c r="DV15" s="1">
        <f t="shared" si="81"/>
        <v>313.81753700252955</v>
      </c>
      <c r="DW15" s="1">
        <f t="shared" si="81"/>
        <v>310.67936163250425</v>
      </c>
      <c r="DX15" s="1">
        <f t="shared" si="81"/>
        <v>307.57256801617922</v>
      </c>
      <c r="DY15" s="1">
        <f t="shared" si="81"/>
        <v>304.49684233601744</v>
      </c>
      <c r="DZ15" s="1">
        <f t="shared" si="81"/>
        <v>301.45187391265728</v>
      </c>
      <c r="EA15" s="1">
        <f t="shared" si="81"/>
        <v>298.4373551735307</v>
      </c>
      <c r="EB15" s="1">
        <f t="shared" si="81"/>
        <v>295.4529816217954</v>
      </c>
      <c r="EC15" s="1">
        <f t="shared" si="81"/>
        <v>292.49845180557742</v>
      </c>
      <c r="ED15" s="1">
        <f t="shared" si="81"/>
        <v>289.57346728752162</v>
      </c>
      <c r="EE15" s="1">
        <f t="shared" si="81"/>
        <v>286.6777326146464</v>
      </c>
      <c r="EF15" s="1">
        <f t="shared" si="81"/>
        <v>283.81095528849994</v>
      </c>
      <c r="EG15" s="1">
        <f t="shared" si="81"/>
        <v>280.97284573561495</v>
      </c>
      <c r="EH15" s="1">
        <f t="shared" si="81"/>
        <v>278.16311727825882</v>
      </c>
      <c r="EI15" s="1">
        <f t="shared" si="81"/>
        <v>275.38148610547626</v>
      </c>
    </row>
    <row r="16" spans="2:139" x14ac:dyDescent="0.3">
      <c r="B16" t="s">
        <v>2</v>
      </c>
      <c r="C16" s="5">
        <v>44.9</v>
      </c>
      <c r="D16" s="5">
        <v>44.9</v>
      </c>
      <c r="E16" s="5">
        <v>44.9</v>
      </c>
      <c r="F16" s="5">
        <v>44.9</v>
      </c>
      <c r="G16" s="5">
        <v>44.9</v>
      </c>
      <c r="H16" s="5">
        <v>44.9</v>
      </c>
      <c r="I16" s="5">
        <v>44.9</v>
      </c>
      <c r="J16" s="5">
        <v>44.9</v>
      </c>
      <c r="K16" s="5">
        <v>44.9</v>
      </c>
      <c r="L16" s="5">
        <v>44.9</v>
      </c>
      <c r="M16" s="5">
        <v>44.9</v>
      </c>
      <c r="N16" s="5">
        <v>44.9</v>
      </c>
      <c r="O16" s="5">
        <v>44.9</v>
      </c>
      <c r="P16" s="5">
        <v>44.9</v>
      </c>
      <c r="Q16" s="5">
        <v>44.9</v>
      </c>
      <c r="R16" s="5">
        <v>44.9</v>
      </c>
      <c r="S16" s="5">
        <v>44.9</v>
      </c>
      <c r="T16" s="5">
        <v>44.9</v>
      </c>
      <c r="U16" s="5">
        <v>44.9</v>
      </c>
      <c r="V16" s="5">
        <v>44.9</v>
      </c>
      <c r="X16" s="5">
        <v>44.9</v>
      </c>
      <c r="Y16" s="5">
        <v>44.9</v>
      </c>
      <c r="Z16" s="5">
        <v>44.9</v>
      </c>
      <c r="AA16" s="5">
        <v>44.9</v>
      </c>
      <c r="AB16" s="5">
        <v>44.9</v>
      </c>
      <c r="AC16" s="5">
        <v>44.9</v>
      </c>
      <c r="AD16" s="5">
        <v>44.9</v>
      </c>
      <c r="AE16" s="5">
        <v>44.9</v>
      </c>
      <c r="AF16" s="5">
        <v>44.9</v>
      </c>
      <c r="AG16" s="5">
        <v>44.9</v>
      </c>
      <c r="AH16" s="5">
        <v>44.9</v>
      </c>
      <c r="AI16" s="5">
        <v>44.9</v>
      </c>
      <c r="AJ16" s="5">
        <v>44.9</v>
      </c>
      <c r="AK16" s="5">
        <v>44.9</v>
      </c>
      <c r="AL16" s="5">
        <v>44.9</v>
      </c>
      <c r="AM16" s="5">
        <v>44.9</v>
      </c>
      <c r="AN16" s="5">
        <v>44.9</v>
      </c>
    </row>
    <row r="17" spans="2:44" x14ac:dyDescent="0.3">
      <c r="B17" t="s">
        <v>23</v>
      </c>
      <c r="C17" s="7">
        <f t="shared" ref="C17:R17" si="82">C15/C16</f>
        <v>-0.29844097995545654</v>
      </c>
      <c r="D17" s="7">
        <f t="shared" si="82"/>
        <v>-2.2271714922050267E-3</v>
      </c>
      <c r="E17" s="7">
        <f t="shared" si="82"/>
        <v>-0.64587973273942101</v>
      </c>
      <c r="F17" s="7">
        <f t="shared" si="82"/>
        <v>-0.38975501113585764</v>
      </c>
      <c r="G17" s="7">
        <f t="shared" si="82"/>
        <v>-0.27171492204899761</v>
      </c>
      <c r="H17" s="7">
        <f t="shared" si="82"/>
        <v>-0.33630289532293978</v>
      </c>
      <c r="I17" s="7">
        <f t="shared" si="82"/>
        <v>-0.40979955456570177</v>
      </c>
      <c r="J17" s="7">
        <f t="shared" si="82"/>
        <v>-0.30957683741648112</v>
      </c>
      <c r="K17" s="7">
        <f t="shared" si="82"/>
        <v>-5.5679287305122331E-2</v>
      </c>
      <c r="L17" s="7">
        <f t="shared" si="82"/>
        <v>8.2405345211581355E-2</v>
      </c>
      <c r="M17" s="7">
        <f t="shared" si="82"/>
        <v>6.236080178173712E-2</v>
      </c>
      <c r="N17" s="7">
        <f t="shared" si="82"/>
        <v>0.27171492204899772</v>
      </c>
      <c r="O17" s="7">
        <f t="shared" si="82"/>
        <v>0.60133630289532269</v>
      </c>
      <c r="P17" s="7">
        <f t="shared" si="82"/>
        <v>0.5412026726057908</v>
      </c>
      <c r="Q17" s="7">
        <f t="shared" si="82"/>
        <v>0.51893095768374098</v>
      </c>
      <c r="R17" s="7">
        <f t="shared" si="82"/>
        <v>0.3140311804008909</v>
      </c>
      <c r="S17" s="7">
        <f t="shared" ref="S17" si="83">S15/S16</f>
        <v>0.57304008908685933</v>
      </c>
      <c r="T17" s="7">
        <f t="shared" ref="T17" si="84">T15/T16</f>
        <v>0.60383886414253907</v>
      </c>
      <c r="U17" s="7">
        <f t="shared" ref="U17" si="85">U15/U16</f>
        <v>0.69949775055679297</v>
      </c>
      <c r="V17" s="7">
        <f t="shared" ref="V17" si="86">V15/V16</f>
        <v>0.74195496659242777</v>
      </c>
      <c r="X17" s="7">
        <f t="shared" ref="X17:AE17" si="87">X15/X16</f>
        <v>-0.2739420935412028</v>
      </c>
      <c r="Y17" s="7">
        <f t="shared" si="87"/>
        <v>-0.35189309576837413</v>
      </c>
      <c r="Z17" s="7">
        <f t="shared" si="87"/>
        <v>-1.3363028953229408</v>
      </c>
      <c r="AA17" s="7">
        <f t="shared" si="87"/>
        <v>-1.3273942093541193</v>
      </c>
      <c r="AB17" s="7">
        <f t="shared" si="87"/>
        <v>0.36080178173719457</v>
      </c>
      <c r="AC17" s="7">
        <f t="shared" si="87"/>
        <v>1.9755011135857456</v>
      </c>
      <c r="AD17" s="7">
        <f t="shared" si="87"/>
        <v>2.6183316703786166</v>
      </c>
      <c r="AE17" s="7">
        <f t="shared" si="87"/>
        <v>4.0400613585746097</v>
      </c>
      <c r="AF17" s="7">
        <f t="shared" ref="AF17" si="88">AF15/AF16</f>
        <v>5.9254798474387496</v>
      </c>
      <c r="AG17" s="7">
        <f t="shared" ref="AG17" si="89">AG15/AG16</f>
        <v>7.7862896124164749</v>
      </c>
      <c r="AH17" s="7">
        <f t="shared" ref="AH17" si="90">AH15/AH16</f>
        <v>9.304067959477166</v>
      </c>
      <c r="AI17" s="7">
        <f t="shared" ref="AI17" si="91">AI15/AI16</f>
        <v>10.69955191553459</v>
      </c>
      <c r="AJ17" s="7">
        <f t="shared" ref="AJ17" si="92">AJ15/AJ16</f>
        <v>11.891406999885994</v>
      </c>
      <c r="AK17" s="7">
        <f t="shared" ref="AK17" si="93">AK15/AK16</f>
        <v>12.970335389698883</v>
      </c>
      <c r="AL17" s="7">
        <f t="shared" ref="AL17" si="94">AL15/AL16</f>
        <v>14.110650557089098</v>
      </c>
      <c r="AM17" s="7">
        <f t="shared" ref="AM17" si="95">AM15/AM16</f>
        <v>15.315548180070163</v>
      </c>
      <c r="AN17" s="7">
        <f t="shared" ref="AN17" si="96">AN15/AN16</f>
        <v>16.588386022658646</v>
      </c>
    </row>
    <row r="19" spans="2:44" x14ac:dyDescent="0.3">
      <c r="B19" t="s">
        <v>45</v>
      </c>
      <c r="C19" s="9"/>
      <c r="D19" s="9"/>
      <c r="E19" s="9"/>
      <c r="F19" s="9"/>
      <c r="G19" s="9">
        <f t="shared" ref="G19:Q19" si="97">G3/C3-1</f>
        <v>0.46570397111913375</v>
      </c>
      <c r="H19" s="9">
        <f t="shared" si="97"/>
        <v>0.5034013605442178</v>
      </c>
      <c r="I19" s="9">
        <f t="shared" si="97"/>
        <v>0.51100628930817593</v>
      </c>
      <c r="J19" s="9">
        <f t="shared" si="97"/>
        <v>0.42191780821917813</v>
      </c>
      <c r="K19" s="9">
        <f t="shared" si="97"/>
        <v>0.42487684729064035</v>
      </c>
      <c r="L19" s="9">
        <f t="shared" si="97"/>
        <v>0.434389140271493</v>
      </c>
      <c r="M19" s="9">
        <f t="shared" si="97"/>
        <v>0.43184183142559829</v>
      </c>
      <c r="N19" s="9">
        <f t="shared" si="97"/>
        <v>0.4547206165703277</v>
      </c>
      <c r="O19" s="9">
        <f t="shared" si="97"/>
        <v>0.44857389801210013</v>
      </c>
      <c r="P19" s="9">
        <f t="shared" si="97"/>
        <v>0.40615141955835976</v>
      </c>
      <c r="Q19" s="9">
        <f t="shared" si="97"/>
        <v>0.39970930232558133</v>
      </c>
      <c r="R19" s="9">
        <f>R3/N3-1</f>
        <v>0.38807947019867539</v>
      </c>
      <c r="S19" s="9">
        <f t="shared" ref="S19:V19" si="98">S3/O3-1</f>
        <v>0.32159904534606221</v>
      </c>
      <c r="T19" s="9">
        <f t="shared" si="98"/>
        <v>0.30000000000000004</v>
      </c>
      <c r="U19" s="9">
        <f t="shared" si="98"/>
        <v>0.29000000000000004</v>
      </c>
      <c r="V19" s="9">
        <f t="shared" si="98"/>
        <v>0.28000000000000003</v>
      </c>
      <c r="X19" s="9"/>
      <c r="Y19" s="9">
        <f t="shared" ref="Y19" si="99">Y3/X3-1</f>
        <v>1.2838983050847457</v>
      </c>
      <c r="Z19" s="9">
        <f t="shared" ref="Z19:AB19" si="100">Z3/Y3-1</f>
        <v>0.55102040816326525</v>
      </c>
      <c r="AA19" s="9">
        <f t="shared" si="100"/>
        <v>0.47328548644338153</v>
      </c>
      <c r="AB19" s="9">
        <f t="shared" si="100"/>
        <v>0.43734776725304458</v>
      </c>
      <c r="AC19" s="9">
        <f>AC3/AB3-1</f>
        <v>0.40858595368103923</v>
      </c>
      <c r="AD19" s="9">
        <f t="shared" ref="AD19:AN19" si="101">AD3/AC3-1</f>
        <v>0.29666087421467724</v>
      </c>
      <c r="AE19" s="9">
        <f t="shared" si="101"/>
        <v>0.25</v>
      </c>
      <c r="AF19" s="9">
        <f t="shared" si="101"/>
        <v>0.19999999999999996</v>
      </c>
      <c r="AG19" s="9">
        <f t="shared" si="101"/>
        <v>0.14999999999999991</v>
      </c>
      <c r="AH19" s="9">
        <f t="shared" si="101"/>
        <v>0.10000000000000009</v>
      </c>
      <c r="AI19" s="9">
        <f t="shared" si="101"/>
        <v>8.0000000000000071E-2</v>
      </c>
      <c r="AJ19" s="9">
        <f t="shared" si="101"/>
        <v>6.0000000000000053E-2</v>
      </c>
      <c r="AK19" s="9">
        <f t="shared" si="101"/>
        <v>5.0000000000000044E-2</v>
      </c>
      <c r="AL19" s="9">
        <f t="shared" si="101"/>
        <v>5.0000000000000044E-2</v>
      </c>
      <c r="AM19" s="9">
        <f t="shared" si="101"/>
        <v>5.0000000000000044E-2</v>
      </c>
      <c r="AN19" s="9">
        <f t="shared" si="101"/>
        <v>5.0000000000000044E-2</v>
      </c>
    </row>
    <row r="20" spans="2:44" x14ac:dyDescent="0.3">
      <c r="B20" t="s">
        <v>46</v>
      </c>
      <c r="C20" s="9">
        <f t="shared" ref="C20:Q20" si="102">C5/C3</f>
        <v>0.72924187725631773</v>
      </c>
      <c r="D20" s="9">
        <f t="shared" si="102"/>
        <v>0.72619047619047616</v>
      </c>
      <c r="E20" s="9">
        <f t="shared" si="102"/>
        <v>0.71540880503144655</v>
      </c>
      <c r="F20" s="9">
        <f t="shared" si="102"/>
        <v>0.72602739726027399</v>
      </c>
      <c r="G20" s="9">
        <f t="shared" si="102"/>
        <v>0.73522167487684731</v>
      </c>
      <c r="H20" s="9">
        <f t="shared" si="102"/>
        <v>0.72963800904977372</v>
      </c>
      <c r="I20" s="9">
        <f t="shared" si="102"/>
        <v>0.72632674297606659</v>
      </c>
      <c r="J20" s="9">
        <f t="shared" si="102"/>
        <v>0.73217726396917149</v>
      </c>
      <c r="K20" s="9">
        <f t="shared" si="102"/>
        <v>0.72774416594641311</v>
      </c>
      <c r="L20" s="9">
        <f t="shared" si="102"/>
        <v>0.7334384858044164</v>
      </c>
      <c r="M20" s="9">
        <f t="shared" si="102"/>
        <v>0.73619186046511631</v>
      </c>
      <c r="N20" s="9">
        <f t="shared" si="102"/>
        <v>0.73112582781456958</v>
      </c>
      <c r="O20" s="9">
        <f t="shared" si="102"/>
        <v>0.73031026252983289</v>
      </c>
      <c r="P20" s="9">
        <f t="shared" si="102"/>
        <v>0.73471676948962417</v>
      </c>
      <c r="Q20" s="9">
        <f t="shared" si="102"/>
        <v>0.72897196261682229</v>
      </c>
      <c r="R20" s="9">
        <f>R5/R3</f>
        <v>0.71898854961832059</v>
      </c>
      <c r="S20" s="9">
        <f t="shared" ref="S20:V20" si="103">S5/S3</f>
        <v>0.72</v>
      </c>
      <c r="T20" s="9">
        <f t="shared" si="103"/>
        <v>0.72</v>
      </c>
      <c r="U20" s="9">
        <f t="shared" si="103"/>
        <v>0.72</v>
      </c>
      <c r="V20" s="9">
        <f t="shared" si="103"/>
        <v>0.72</v>
      </c>
      <c r="X20" s="9">
        <f t="shared" ref="X20:Y20" si="104">X5/X3</f>
        <v>0.7076271186440678</v>
      </c>
      <c r="Y20" s="9">
        <f t="shared" si="104"/>
        <v>0.71552257266542973</v>
      </c>
      <c r="Z20" s="9">
        <f t="shared" ref="Z20:AB20" si="105">Z5/Z3</f>
        <v>0.72408293460925033</v>
      </c>
      <c r="AA20" s="9">
        <f t="shared" si="105"/>
        <v>0.73071718538565633</v>
      </c>
      <c r="AB20" s="9">
        <f t="shared" si="105"/>
        <v>0.73225381284127289</v>
      </c>
      <c r="AC20" s="9">
        <f>AC5/AC3</f>
        <v>0.72784387114022187</v>
      </c>
      <c r="AD20" s="9">
        <f t="shared" ref="AD20:AN20" si="106">AD5/AD3</f>
        <v>0.72</v>
      </c>
      <c r="AE20" s="9">
        <f t="shared" si="106"/>
        <v>0.72</v>
      </c>
      <c r="AF20" s="9">
        <f t="shared" si="106"/>
        <v>0.72</v>
      </c>
      <c r="AG20" s="9">
        <f t="shared" si="106"/>
        <v>0.72</v>
      </c>
      <c r="AH20" s="9">
        <f t="shared" si="106"/>
        <v>0.72</v>
      </c>
      <c r="AI20" s="9">
        <f t="shared" si="106"/>
        <v>0.71999999999999986</v>
      </c>
      <c r="AJ20" s="9">
        <f t="shared" si="106"/>
        <v>0.72</v>
      </c>
      <c r="AK20" s="9">
        <f t="shared" si="106"/>
        <v>0.72</v>
      </c>
      <c r="AL20" s="9">
        <f t="shared" si="106"/>
        <v>0.72</v>
      </c>
      <c r="AM20" s="9">
        <f t="shared" si="106"/>
        <v>0.72</v>
      </c>
      <c r="AN20" s="9">
        <f t="shared" si="106"/>
        <v>0.72</v>
      </c>
    </row>
    <row r="21" spans="2:44" x14ac:dyDescent="0.3">
      <c r="B21" t="s">
        <v>47</v>
      </c>
      <c r="C21" s="9"/>
      <c r="D21" s="9"/>
      <c r="E21" s="9"/>
      <c r="F21" s="9"/>
      <c r="G21" s="9">
        <f t="shared" ref="G21:Q21" si="107">G6/C6-1</f>
        <v>0.32444444444444454</v>
      </c>
      <c r="H21" s="9">
        <f t="shared" si="107"/>
        <v>0.5616438356164386</v>
      </c>
      <c r="I21" s="9">
        <f t="shared" si="107"/>
        <v>0.43344709897610922</v>
      </c>
      <c r="J21" s="9">
        <f t="shared" si="107"/>
        <v>0.48333333333333339</v>
      </c>
      <c r="K21" s="9">
        <f t="shared" si="107"/>
        <v>0.53691275167785224</v>
      </c>
      <c r="L21" s="9">
        <f t="shared" si="107"/>
        <v>0.40058479532163727</v>
      </c>
      <c r="M21" s="9">
        <f t="shared" si="107"/>
        <v>0.19761904761904758</v>
      </c>
      <c r="N21" s="9">
        <f t="shared" si="107"/>
        <v>0.13033707865168531</v>
      </c>
      <c r="O21" s="9">
        <f t="shared" si="107"/>
        <v>0.11135371179039311</v>
      </c>
      <c r="P21" s="9">
        <f t="shared" si="107"/>
        <v>0.1503131524008352</v>
      </c>
      <c r="Q21" s="9">
        <f t="shared" si="107"/>
        <v>0.25049701789264422</v>
      </c>
      <c r="R21" s="9">
        <f>R6/N6-1</f>
        <v>0.32007952286282326</v>
      </c>
      <c r="S21" s="9">
        <f t="shared" ref="S21:V21" si="108">S6/O6-1</f>
        <v>0.35000000000000009</v>
      </c>
      <c r="T21" s="9">
        <f t="shared" si="108"/>
        <v>0.30000000000000004</v>
      </c>
      <c r="U21" s="9">
        <f t="shared" si="108"/>
        <v>0.22999999999999998</v>
      </c>
      <c r="V21" s="9">
        <f t="shared" si="108"/>
        <v>0.21999999999999997</v>
      </c>
      <c r="X21" s="9"/>
      <c r="Y21" s="9">
        <f t="shared" ref="Y21" si="109">Y6/X6-1</f>
        <v>0.67721518987341756</v>
      </c>
      <c r="Z21" s="9">
        <f t="shared" ref="Z21:AB21" si="110">Z6/Y6-1</f>
        <v>0.95660377358490578</v>
      </c>
      <c r="AA21" s="9">
        <f t="shared" si="110"/>
        <v>0.45130183220829312</v>
      </c>
      <c r="AB21" s="9">
        <f t="shared" si="110"/>
        <v>0.29102990033222609</v>
      </c>
      <c r="AC21" s="9">
        <f>AC6/AB6-1</f>
        <v>0.211013896037056</v>
      </c>
      <c r="AD21" s="9">
        <f t="shared" ref="AD21:AN21" si="111">AD6/AC6-1</f>
        <v>0.26952826179345513</v>
      </c>
      <c r="AE21" s="9">
        <f t="shared" si="111"/>
        <v>0.17999999999999994</v>
      </c>
      <c r="AF21" s="9">
        <f t="shared" si="111"/>
        <v>0.12000000000000011</v>
      </c>
      <c r="AG21" s="9">
        <f t="shared" si="111"/>
        <v>6.0000000000000053E-2</v>
      </c>
      <c r="AH21" s="9">
        <f t="shared" si="111"/>
        <v>4.0000000000000036E-2</v>
      </c>
      <c r="AI21" s="9">
        <f t="shared" si="111"/>
        <v>3.0000000000000027E-2</v>
      </c>
      <c r="AJ21" s="9">
        <f t="shared" si="111"/>
        <v>2.0000000000000018E-2</v>
      </c>
      <c r="AK21" s="9">
        <f t="shared" si="111"/>
        <v>2.0000000000000018E-2</v>
      </c>
      <c r="AL21" s="9">
        <f t="shared" si="111"/>
        <v>2.0000000000000018E-2</v>
      </c>
      <c r="AM21" s="9">
        <f t="shared" si="111"/>
        <v>2.0000000000000018E-2</v>
      </c>
      <c r="AN21" s="9">
        <f t="shared" si="111"/>
        <v>2.0000000000000018E-2</v>
      </c>
      <c r="AQ21" t="s">
        <v>67</v>
      </c>
      <c r="AR21" s="9">
        <v>-0.01</v>
      </c>
    </row>
    <row r="22" spans="2:44" x14ac:dyDescent="0.3">
      <c r="B22" t="s">
        <v>48</v>
      </c>
      <c r="C22" s="9">
        <f t="shared" ref="C22:Q22" si="112">C7/C3</f>
        <v>0.35740072202166068</v>
      </c>
      <c r="D22" s="9">
        <f t="shared" si="112"/>
        <v>0.16326530612244899</v>
      </c>
      <c r="E22" s="9">
        <f t="shared" si="112"/>
        <v>0.24056603773584906</v>
      </c>
      <c r="F22" s="9">
        <f t="shared" si="112"/>
        <v>0.19863013698630136</v>
      </c>
      <c r="G22" s="9">
        <f t="shared" si="112"/>
        <v>0.18349753694581281</v>
      </c>
      <c r="H22" s="9">
        <f t="shared" si="112"/>
        <v>0.17307692307692307</v>
      </c>
      <c r="I22" s="9">
        <f t="shared" si="112"/>
        <v>0.18418314255983351</v>
      </c>
      <c r="J22" s="9">
        <f t="shared" si="112"/>
        <v>0.18304431599229287</v>
      </c>
      <c r="K22" s="9">
        <f t="shared" si="112"/>
        <v>0.14347450302506484</v>
      </c>
      <c r="L22" s="9">
        <f t="shared" si="112"/>
        <v>0.13958990536277602</v>
      </c>
      <c r="M22" s="9">
        <f t="shared" si="112"/>
        <v>0.1620639534883721</v>
      </c>
      <c r="N22" s="9">
        <f t="shared" si="112"/>
        <v>0.12649006622516556</v>
      </c>
      <c r="O22" s="9">
        <f t="shared" si="112"/>
        <v>0.11873508353221957</v>
      </c>
      <c r="P22" s="9">
        <f t="shared" si="112"/>
        <v>0.11329220415030845</v>
      </c>
      <c r="Q22" s="9">
        <f t="shared" si="112"/>
        <v>0.13291796469366565</v>
      </c>
      <c r="R22" s="9">
        <f>R7/R3</f>
        <v>0.1183206106870229</v>
      </c>
      <c r="S22" s="9">
        <f t="shared" ref="S22:V22" si="113">S7/S3</f>
        <v>0.10999999999999999</v>
      </c>
      <c r="T22" s="9">
        <f t="shared" si="113"/>
        <v>0.11</v>
      </c>
      <c r="U22" s="9">
        <f t="shared" si="113"/>
        <v>0.11</v>
      </c>
      <c r="V22" s="9">
        <f t="shared" si="113"/>
        <v>0.11</v>
      </c>
      <c r="X22" s="9">
        <f t="shared" ref="X22:Y22" si="114">X7/X3</f>
        <v>0.21186440677966104</v>
      </c>
      <c r="Y22" s="9">
        <f t="shared" si="114"/>
        <v>0.21645021645021648</v>
      </c>
      <c r="Z22" s="9">
        <f t="shared" ref="Z22:AB22" si="115">Z7/Z3</f>
        <v>0.2360446570972887</v>
      </c>
      <c r="AA22" s="9">
        <f t="shared" si="115"/>
        <v>0.18105548037889038</v>
      </c>
      <c r="AB22" s="9">
        <f t="shared" si="115"/>
        <v>0.14253436264356992</v>
      </c>
      <c r="AC22" s="9">
        <f>AC7/AC3</f>
        <v>0.12097313193423337</v>
      </c>
      <c r="AD22" s="9">
        <f t="shared" ref="AD22:AN22" si="116">AD7/AD3</f>
        <v>0.11000000000000001</v>
      </c>
      <c r="AE22" s="9">
        <f t="shared" si="116"/>
        <v>0.1</v>
      </c>
      <c r="AF22" s="9">
        <f t="shared" si="116"/>
        <v>0.09</v>
      </c>
      <c r="AG22" s="9">
        <f t="shared" si="116"/>
        <v>0.09</v>
      </c>
      <c r="AH22" s="9">
        <f t="shared" si="116"/>
        <v>0.09</v>
      </c>
      <c r="AI22" s="9">
        <f t="shared" si="116"/>
        <v>8.9999999999999983E-2</v>
      </c>
      <c r="AJ22" s="9">
        <f t="shared" si="116"/>
        <v>0.09</v>
      </c>
      <c r="AK22" s="9">
        <f t="shared" si="116"/>
        <v>0.09</v>
      </c>
      <c r="AL22" s="9">
        <f t="shared" si="116"/>
        <v>0.09</v>
      </c>
      <c r="AM22" s="9">
        <f t="shared" si="116"/>
        <v>0.09</v>
      </c>
      <c r="AN22" s="9">
        <f t="shared" si="116"/>
        <v>0.09</v>
      </c>
      <c r="AQ22" t="s">
        <v>68</v>
      </c>
      <c r="AR22" s="9">
        <v>0.08</v>
      </c>
    </row>
    <row r="23" spans="2:44" x14ac:dyDescent="0.3">
      <c r="B23" t="s">
        <v>49</v>
      </c>
      <c r="C23" s="9"/>
      <c r="D23" s="9"/>
      <c r="E23" s="9"/>
      <c r="F23" s="9"/>
      <c r="G23" s="9">
        <f t="shared" ref="G23:Q23" si="117">G8/C8-1</f>
        <v>1.3391304347826085</v>
      </c>
      <c r="H23" s="9">
        <f t="shared" si="117"/>
        <v>1.5948275862068968</v>
      </c>
      <c r="I23" s="9">
        <f t="shared" si="117"/>
        <v>2.0270270270270174E-2</v>
      </c>
      <c r="J23" s="9">
        <f t="shared" si="117"/>
        <v>0.1853281853281854</v>
      </c>
      <c r="K23" s="9">
        <f t="shared" si="117"/>
        <v>0.12267657992565062</v>
      </c>
      <c r="L23" s="9">
        <f t="shared" si="117"/>
        <v>6.976744186046524E-2</v>
      </c>
      <c r="M23" s="9">
        <f t="shared" si="117"/>
        <v>0.10596026490066213</v>
      </c>
      <c r="N23" s="9">
        <f t="shared" si="117"/>
        <v>0.1791530944625408</v>
      </c>
      <c r="O23" s="9">
        <f t="shared" si="117"/>
        <v>0.16225165562913912</v>
      </c>
      <c r="P23" s="9">
        <f t="shared" si="117"/>
        <v>0.1490683229813663</v>
      </c>
      <c r="Q23" s="9">
        <f t="shared" si="117"/>
        <v>0.14970059880239517</v>
      </c>
      <c r="R23" s="9">
        <f>R8/N8-1</f>
        <v>0.25690607734806625</v>
      </c>
      <c r="S23" s="9">
        <f t="shared" ref="S23:V23" si="118">S8/O8-1</f>
        <v>0.30000000000000004</v>
      </c>
      <c r="T23" s="9">
        <f t="shared" si="118"/>
        <v>0.30000000000000004</v>
      </c>
      <c r="U23" s="9">
        <f t="shared" si="118"/>
        <v>0.25</v>
      </c>
      <c r="V23" s="9">
        <f t="shared" si="118"/>
        <v>0.17999999999999994</v>
      </c>
      <c r="X23" s="9"/>
      <c r="Y23" s="9">
        <f t="shared" ref="Y23" si="119">Y8/X8-1</f>
        <v>1.6646341463414638</v>
      </c>
      <c r="Z23" s="9">
        <f t="shared" ref="Z23:AB23" si="120">Z8/Y8-1</f>
        <v>0.79862700228832928</v>
      </c>
      <c r="AA23" s="9">
        <f t="shared" si="120"/>
        <v>0.50000000000000022</v>
      </c>
      <c r="AB23" s="9">
        <f t="shared" si="120"/>
        <v>0.11959287531806617</v>
      </c>
      <c r="AC23" s="9">
        <f>AC8/AB8-1</f>
        <v>0.18181818181818188</v>
      </c>
      <c r="AD23" s="9">
        <f t="shared" ref="AD23:AN23" si="121">AD8/AC8-1</f>
        <v>0.25269230769230777</v>
      </c>
      <c r="AE23" s="9">
        <f t="shared" si="121"/>
        <v>0.16999999999999993</v>
      </c>
      <c r="AF23" s="9">
        <f t="shared" si="121"/>
        <v>0.1100000000000001</v>
      </c>
      <c r="AG23" s="9">
        <f t="shared" si="121"/>
        <v>7.0000000000000062E-2</v>
      </c>
      <c r="AH23" s="9">
        <f t="shared" si="121"/>
        <v>4.0000000000000036E-2</v>
      </c>
      <c r="AI23" s="9">
        <f t="shared" si="121"/>
        <v>3.0000000000000027E-2</v>
      </c>
      <c r="AJ23" s="9">
        <f t="shared" si="121"/>
        <v>2.0000000000000018E-2</v>
      </c>
      <c r="AK23" s="9">
        <f t="shared" si="121"/>
        <v>1.0000000000000009E-2</v>
      </c>
      <c r="AL23" s="9">
        <f t="shared" si="121"/>
        <v>1.0000000000000009E-2</v>
      </c>
      <c r="AM23" s="9">
        <f t="shared" si="121"/>
        <v>1.0000000000000009E-2</v>
      </c>
      <c r="AN23" s="9">
        <f t="shared" si="121"/>
        <v>1.0000000000000009E-2</v>
      </c>
      <c r="AQ23" t="s">
        <v>69</v>
      </c>
      <c r="AR23" s="5">
        <f>NPV(AR22,AD15:EI15)</f>
        <v>6413.8831946323335</v>
      </c>
    </row>
    <row r="24" spans="2:44" x14ac:dyDescent="0.3">
      <c r="B24" t="s">
        <v>50</v>
      </c>
      <c r="C24" s="9">
        <f t="shared" ref="C24:Q24" si="122">C10/C3</f>
        <v>-0.2418772563176895</v>
      </c>
      <c r="D24" s="9">
        <f t="shared" si="122"/>
        <v>-6.802721088435471E-3</v>
      </c>
      <c r="E24" s="9">
        <f t="shared" si="122"/>
        <v>-0.45125786163522014</v>
      </c>
      <c r="F24" s="9">
        <f t="shared" si="122"/>
        <v>-0.23835616438356172</v>
      </c>
      <c r="G24" s="9">
        <f t="shared" si="122"/>
        <v>-0.14655172413793091</v>
      </c>
      <c r="H24" s="9">
        <f t="shared" si="122"/>
        <v>-0.17081447963800897</v>
      </c>
      <c r="I24" s="9">
        <f t="shared" si="122"/>
        <v>-0.20915712799167543</v>
      </c>
      <c r="J24" s="9">
        <f t="shared" si="122"/>
        <v>-0.17533718689788058</v>
      </c>
      <c r="K24" s="9">
        <f t="shared" si="122"/>
        <v>-7.2601555747623087E-2</v>
      </c>
      <c r="L24" s="9">
        <f t="shared" si="122"/>
        <v>-3.7854889589905343E-2</v>
      </c>
      <c r="M24" s="9">
        <f t="shared" si="122"/>
        <v>-3.4156976744186066E-2</v>
      </c>
      <c r="N24" s="9">
        <f t="shared" si="122"/>
        <v>3.1788079470198655E-2</v>
      </c>
      <c r="O24" s="9">
        <f t="shared" si="122"/>
        <v>9.8448687350835243E-2</v>
      </c>
      <c r="P24" s="9">
        <f t="shared" si="122"/>
        <v>0.10487941671340438</v>
      </c>
      <c r="Q24" s="9">
        <f t="shared" si="122"/>
        <v>7.0093457943925089E-2</v>
      </c>
      <c r="R24" s="9">
        <f>R10/R3</f>
        <v>6.6793893129770993E-2</v>
      </c>
      <c r="S24" s="9">
        <f t="shared" ref="S24:V24" si="123">S10/S3</f>
        <v>9.3769751693002182E-2</v>
      </c>
      <c r="T24" s="9">
        <f t="shared" si="123"/>
        <v>9.3454851374088613E-2</v>
      </c>
      <c r="U24" s="9">
        <f t="shared" si="123"/>
        <v>0.10541162549204282</v>
      </c>
      <c r="V24" s="9">
        <f t="shared" si="123"/>
        <v>0.10793505486641225</v>
      </c>
      <c r="X24" s="9">
        <f t="shared" ref="X24:Y24" si="124">X10/X3</f>
        <v>-0.18220338983050857</v>
      </c>
      <c r="Y24" s="9">
        <f t="shared" si="124"/>
        <v>-9.894867037724181E-2</v>
      </c>
      <c r="Z24" s="9">
        <f t="shared" ref="Z24:AB24" si="125">Z10/Z3</f>
        <v>-0.2388357256778311</v>
      </c>
      <c r="AA24" s="9">
        <f t="shared" si="125"/>
        <v>-0.17672530446549375</v>
      </c>
      <c r="AB24" s="9">
        <f t="shared" si="125"/>
        <v>-2.4665787987196319E-2</v>
      </c>
      <c r="AC24" s="9">
        <f>AC10/AC3</f>
        <v>8.381232455554069E-2</v>
      </c>
      <c r="AD24" s="9">
        <f t="shared" ref="AD24:AN24" si="126">AD10/AD3</f>
        <v>0.1005941247299057</v>
      </c>
      <c r="AE24" s="9">
        <f t="shared" si="126"/>
        <v>0.1407325119171326</v>
      </c>
      <c r="AF24" s="9">
        <f t="shared" si="126"/>
        <v>0.18425504450712268</v>
      </c>
      <c r="AG24" s="9">
        <f t="shared" si="126"/>
        <v>0.21762272184416784</v>
      </c>
      <c r="AH24" s="9">
        <f t="shared" si="126"/>
        <v>0.24011602792539508</v>
      </c>
      <c r="AI24" s="9">
        <f t="shared" si="126"/>
        <v>0.25816621181773797</v>
      </c>
      <c r="AJ24" s="9">
        <f t="shared" si="126"/>
        <v>0.272197675522729</v>
      </c>
      <c r="AK24" s="9">
        <f t="shared" si="126"/>
        <v>0.28376165101467493</v>
      </c>
      <c r="AL24" s="9">
        <f t="shared" si="126"/>
        <v>0.29494413951407178</v>
      </c>
      <c r="AM24" s="9">
        <f t="shared" si="126"/>
        <v>0.30575798684709848</v>
      </c>
      <c r="AN24" s="9">
        <f t="shared" si="126"/>
        <v>0.31621559767545887</v>
      </c>
      <c r="AQ24" t="s">
        <v>70</v>
      </c>
      <c r="AR24" s="5">
        <f>Main!D8</f>
        <v>785.8</v>
      </c>
    </row>
    <row r="25" spans="2:44" x14ac:dyDescent="0.3">
      <c r="B25" t="s">
        <v>21</v>
      </c>
      <c r="C25" s="9">
        <f t="shared" ref="C25:Q25" si="127">C14/C13</f>
        <v>0</v>
      </c>
      <c r="D25" s="9">
        <f t="shared" si="127"/>
        <v>0</v>
      </c>
      <c r="E25" s="9">
        <f t="shared" si="127"/>
        <v>-3.4602076124567475E-3</v>
      </c>
      <c r="F25" s="9">
        <f t="shared" si="127"/>
        <v>-5.7471264367816074E-3</v>
      </c>
      <c r="G25" s="9">
        <f t="shared" si="127"/>
        <v>0</v>
      </c>
      <c r="H25" s="9">
        <f t="shared" si="127"/>
        <v>-6.6666666666666697E-3</v>
      </c>
      <c r="I25" s="9">
        <f t="shared" si="127"/>
        <v>-5.4644808743169382E-3</v>
      </c>
      <c r="J25" s="9">
        <f t="shared" si="127"/>
        <v>-5.3030303030303018E-2</v>
      </c>
      <c r="K25" s="9">
        <f t="shared" si="127"/>
        <v>3.8461538461538575E-2</v>
      </c>
      <c r="L25" s="9">
        <f t="shared" si="127"/>
        <v>-0.54166666666666596</v>
      </c>
      <c r="M25" s="9">
        <f t="shared" si="127"/>
        <v>3.4482758620689696E-2</v>
      </c>
      <c r="N25" s="9">
        <f t="shared" si="127"/>
        <v>0.19736842105263161</v>
      </c>
      <c r="O25" s="9">
        <f t="shared" si="127"/>
        <v>-4.2471042471042497E-2</v>
      </c>
      <c r="P25" s="9">
        <f t="shared" si="127"/>
        <v>0.15331010452961671</v>
      </c>
      <c r="Q25" s="9">
        <f t="shared" si="127"/>
        <v>7.9051383399209585E-2</v>
      </c>
      <c r="R25" s="9">
        <f>R14/R13</f>
        <v>0.37333333333333335</v>
      </c>
      <c r="S25" s="9">
        <f t="shared" ref="S25:V25" si="128">S14/S13</f>
        <v>0.15</v>
      </c>
      <c r="T25" s="9">
        <f t="shared" si="128"/>
        <v>0.15</v>
      </c>
      <c r="U25" s="9">
        <f t="shared" si="128"/>
        <v>0.15</v>
      </c>
      <c r="V25" s="9">
        <f t="shared" si="128"/>
        <v>0.15</v>
      </c>
      <c r="X25" s="9">
        <f t="shared" ref="X25:Y25" si="129">X14/X13</f>
        <v>0</v>
      </c>
      <c r="Y25" s="9">
        <f t="shared" si="129"/>
        <v>-6.369426751592357E-3</v>
      </c>
      <c r="Z25" s="9">
        <f t="shared" ref="Z25:AB25" si="130">Z14/Z13</f>
        <v>-3.3444816053511688E-3</v>
      </c>
      <c r="AA25" s="9">
        <f t="shared" si="130"/>
        <v>-1.5332197614991491E-2</v>
      </c>
      <c r="AB25" s="9">
        <f t="shared" si="130"/>
        <v>9.4972067039105962E-2</v>
      </c>
      <c r="AC25" s="9">
        <f>AC14/AC13</f>
        <v>0.13378906250000003</v>
      </c>
      <c r="AD25" s="9">
        <f t="shared" ref="AD25:AN25" si="131">AD14/AD13</f>
        <v>0.15000000000000011</v>
      </c>
      <c r="AE25" s="9">
        <f t="shared" si="131"/>
        <v>0.15</v>
      </c>
      <c r="AF25" s="9">
        <f t="shared" si="131"/>
        <v>0.15</v>
      </c>
      <c r="AG25" s="9">
        <f t="shared" si="131"/>
        <v>0.15</v>
      </c>
      <c r="AH25" s="9">
        <f t="shared" si="131"/>
        <v>0.15</v>
      </c>
      <c r="AI25" s="9">
        <f t="shared" si="131"/>
        <v>0.15</v>
      </c>
      <c r="AJ25" s="9">
        <f t="shared" si="131"/>
        <v>0.15</v>
      </c>
      <c r="AK25" s="9">
        <f t="shared" si="131"/>
        <v>0.15</v>
      </c>
      <c r="AL25" s="9">
        <f t="shared" si="131"/>
        <v>0.15</v>
      </c>
      <c r="AM25" s="9">
        <f t="shared" si="131"/>
        <v>0.15</v>
      </c>
      <c r="AN25" s="9">
        <f t="shared" si="131"/>
        <v>0.14999999999999997</v>
      </c>
      <c r="AQ25" t="s">
        <v>71</v>
      </c>
      <c r="AR25" s="5">
        <f>AR23+AR24</f>
        <v>7199.6831946323337</v>
      </c>
    </row>
    <row r="26" spans="2:44" x14ac:dyDescent="0.3">
      <c r="B26" t="s">
        <v>51</v>
      </c>
      <c r="C26" s="9">
        <f t="shared" ref="C26:Q26" si="132">C15/C3</f>
        <v>-0.2418772563176895</v>
      </c>
      <c r="D26" s="9">
        <f t="shared" si="132"/>
        <v>-1.7006802721089404E-3</v>
      </c>
      <c r="E26" s="9">
        <f t="shared" si="132"/>
        <v>-0.45597484276729566</v>
      </c>
      <c r="F26" s="9">
        <f t="shared" si="132"/>
        <v>-0.23972602739726037</v>
      </c>
      <c r="G26" s="9">
        <f t="shared" si="132"/>
        <v>-0.15024630541871911</v>
      </c>
      <c r="H26" s="9">
        <f t="shared" si="132"/>
        <v>-0.17081447963800897</v>
      </c>
      <c r="I26" s="9">
        <f t="shared" si="132"/>
        <v>-0.19146722164412081</v>
      </c>
      <c r="J26" s="9">
        <f t="shared" si="132"/>
        <v>-0.13391136801541428</v>
      </c>
      <c r="K26" s="9">
        <f t="shared" si="132"/>
        <v>-2.1607605877268732E-2</v>
      </c>
      <c r="L26" s="9">
        <f t="shared" si="132"/>
        <v>2.9179810725552074E-2</v>
      </c>
      <c r="M26" s="9">
        <f t="shared" si="132"/>
        <v>2.0348837209302303E-2</v>
      </c>
      <c r="N26" s="9">
        <f t="shared" si="132"/>
        <v>8.0794701986754952E-2</v>
      </c>
      <c r="O26" s="9">
        <f t="shared" si="132"/>
        <v>0.16109785202863955</v>
      </c>
      <c r="P26" s="9">
        <f t="shared" si="132"/>
        <v>0.13628715647784634</v>
      </c>
      <c r="Q26" s="9">
        <f t="shared" si="132"/>
        <v>0.12097611630321894</v>
      </c>
      <c r="R26" s="9">
        <f>R15/R3</f>
        <v>6.7270992366412208E-2</v>
      </c>
      <c r="S26" s="9">
        <f t="shared" ref="S26:V26" si="133">S15/S3</f>
        <v>0.1161602708803611</v>
      </c>
      <c r="T26" s="9">
        <f t="shared" si="133"/>
        <v>0.1169695198239786</v>
      </c>
      <c r="U26" s="9">
        <f t="shared" si="133"/>
        <v>0.12641152486979482</v>
      </c>
      <c r="V26" s="9">
        <f t="shared" si="133"/>
        <v>0.12417170354246185</v>
      </c>
      <c r="X26" s="9">
        <f t="shared" ref="X26:Y26" si="134">X15/X3</f>
        <v>-0.17372881355932213</v>
      </c>
      <c r="Y26" s="9">
        <f t="shared" si="134"/>
        <v>-9.7711811997526279E-2</v>
      </c>
      <c r="Z26" s="9">
        <f t="shared" ref="Z26:AB26" si="135">Z15/Z3</f>
        <v>-0.23923444976076572</v>
      </c>
      <c r="AA26" s="9">
        <f t="shared" si="135"/>
        <v>-0.16129905277401882</v>
      </c>
      <c r="AB26" s="9">
        <f t="shared" si="135"/>
        <v>3.0502730182639867E-2</v>
      </c>
      <c r="AC26" s="9">
        <f>AC15/AC3</f>
        <v>0.1185670364924475</v>
      </c>
      <c r="AD26" s="9">
        <f t="shared" ref="AD26:AN26" si="136">AD15/AD3</f>
        <v>0.12119506572979023</v>
      </c>
      <c r="AE26" s="9">
        <f t="shared" si="136"/>
        <v>0.14960228528543387</v>
      </c>
      <c r="AF26" s="9">
        <f t="shared" si="136"/>
        <v>0.18284898171744154</v>
      </c>
      <c r="AG26" s="9">
        <f t="shared" si="136"/>
        <v>0.20893044711598324</v>
      </c>
      <c r="AH26" s="9">
        <f t="shared" si="136"/>
        <v>0.22696106939646088</v>
      </c>
      <c r="AI26" s="9">
        <f t="shared" si="136"/>
        <v>0.2416686577699558</v>
      </c>
      <c r="AJ26" s="9">
        <f t="shared" si="136"/>
        <v>0.25338570967651064</v>
      </c>
      <c r="AK26" s="9">
        <f t="shared" si="136"/>
        <v>0.26321508884466471</v>
      </c>
      <c r="AL26" s="9">
        <f t="shared" si="136"/>
        <v>0.27272020406915198</v>
      </c>
      <c r="AM26" s="9">
        <f t="shared" si="136"/>
        <v>0.2819119743022247</v>
      </c>
      <c r="AN26" s="9">
        <f t="shared" si="136"/>
        <v>0.29080094350633107</v>
      </c>
      <c r="AQ26" t="s">
        <v>72</v>
      </c>
      <c r="AR26" s="4">
        <f>AR25/AN16</f>
        <v>160.34929163991836</v>
      </c>
    </row>
    <row r="27" spans="2:44" x14ac:dyDescent="0.3">
      <c r="AQ27" t="s">
        <v>73</v>
      </c>
      <c r="AR27" s="4">
        <f>Main!D3</f>
        <v>310.01</v>
      </c>
    </row>
    <row r="28" spans="2:44" s="1" customFormat="1" x14ac:dyDescent="0.3">
      <c r="B28" s="1" t="s">
        <v>52</v>
      </c>
      <c r="X28" s="8">
        <f>X15</f>
        <v>-12.300000000000006</v>
      </c>
      <c r="Y28" s="8">
        <f>Y15</f>
        <v>-15.799999999999999</v>
      </c>
      <c r="Z28" s="8">
        <f>Z15</f>
        <v>-60.000000000000036</v>
      </c>
      <c r="AA28" s="8">
        <f t="shared" ref="AA28:AN28" si="137">AA15</f>
        <v>-59.599999999999959</v>
      </c>
      <c r="AB28" s="8">
        <f t="shared" si="137"/>
        <v>16.200000000000035</v>
      </c>
      <c r="AC28" s="8">
        <f t="shared" si="137"/>
        <v>88.699999999999974</v>
      </c>
      <c r="AD28" s="8">
        <f t="shared" si="137"/>
        <v>117.56309199999988</v>
      </c>
      <c r="AE28" s="8">
        <f t="shared" si="137"/>
        <v>181.39875499999997</v>
      </c>
      <c r="AF28" s="8">
        <f t="shared" si="137"/>
        <v>266.05404514999987</v>
      </c>
      <c r="AG28" s="8">
        <f t="shared" si="137"/>
        <v>349.6044035974997</v>
      </c>
      <c r="AH28" s="8">
        <f t="shared" si="137"/>
        <v>417.75265138052475</v>
      </c>
      <c r="AI28" s="8">
        <f t="shared" si="137"/>
        <v>480.40988100750309</v>
      </c>
      <c r="AJ28" s="8">
        <f t="shared" si="137"/>
        <v>533.92417429488114</v>
      </c>
      <c r="AK28" s="8">
        <f t="shared" si="137"/>
        <v>582.36805899747981</v>
      </c>
      <c r="AL28" s="8">
        <f t="shared" si="137"/>
        <v>633.56821001330047</v>
      </c>
      <c r="AM28" s="8">
        <f t="shared" si="137"/>
        <v>687.6681132851503</v>
      </c>
      <c r="AN28" s="8">
        <f t="shared" si="137"/>
        <v>744.81853241737326</v>
      </c>
      <c r="AQ28" s="1" t="s">
        <v>74</v>
      </c>
      <c r="AR28" s="10">
        <f>AR26/AR27-1</f>
        <v>-0.48276090564846819</v>
      </c>
    </row>
    <row r="29" spans="2:44" x14ac:dyDescent="0.3">
      <c r="B29" t="s">
        <v>55</v>
      </c>
      <c r="X29" s="5"/>
      <c r="Y29" s="5">
        <v>2.2999999999999998</v>
      </c>
      <c r="Z29" s="5">
        <v>2.7</v>
      </c>
      <c r="AA29" s="5">
        <v>4.9000000000000004</v>
      </c>
      <c r="AB29" s="5">
        <v>7.1</v>
      </c>
      <c r="AC29" s="5">
        <v>10.9</v>
      </c>
      <c r="AD29" s="5">
        <f>AC29*1.05</f>
        <v>11.445</v>
      </c>
      <c r="AE29" s="5">
        <f t="shared" ref="AE29:AN29" si="138">AD29*1.05</f>
        <v>12.017250000000001</v>
      </c>
      <c r="AF29" s="5">
        <f t="shared" si="138"/>
        <v>12.618112500000001</v>
      </c>
      <c r="AG29" s="5">
        <f t="shared" si="138"/>
        <v>13.249018125000001</v>
      </c>
      <c r="AH29" s="5">
        <f t="shared" si="138"/>
        <v>13.911469031250002</v>
      </c>
      <c r="AI29" s="5">
        <f t="shared" si="138"/>
        <v>14.607042482812503</v>
      </c>
      <c r="AJ29" s="5">
        <f t="shared" si="138"/>
        <v>15.337394606953129</v>
      </c>
      <c r="AK29" s="5">
        <f t="shared" si="138"/>
        <v>16.104264337300787</v>
      </c>
      <c r="AL29" s="5">
        <f t="shared" si="138"/>
        <v>16.909477554165829</v>
      </c>
      <c r="AM29" s="5">
        <f t="shared" si="138"/>
        <v>17.754951431874122</v>
      </c>
      <c r="AN29" s="5">
        <f t="shared" si="138"/>
        <v>18.642699003467829</v>
      </c>
      <c r="AQ29" t="s">
        <v>75</v>
      </c>
      <c r="AR29" s="6" t="s">
        <v>76</v>
      </c>
    </row>
    <row r="30" spans="2:44" x14ac:dyDescent="0.3">
      <c r="B30" t="s">
        <v>56</v>
      </c>
      <c r="X30" s="5"/>
      <c r="Y30" s="5">
        <v>17</v>
      </c>
      <c r="Z30" s="5">
        <v>40.799999999999997</v>
      </c>
      <c r="AA30" s="5">
        <v>73.8</v>
      </c>
      <c r="AB30" s="5">
        <v>95.2</v>
      </c>
      <c r="AC30" s="5">
        <v>110.5</v>
      </c>
      <c r="AD30" s="5">
        <f>AC30*1.1</f>
        <v>121.55000000000001</v>
      </c>
      <c r="AE30" s="5">
        <f t="shared" ref="AE30:AH30" si="139">AD30*1.1</f>
        <v>133.70500000000001</v>
      </c>
      <c r="AF30" s="5">
        <f t="shared" si="139"/>
        <v>147.07550000000003</v>
      </c>
      <c r="AG30" s="5">
        <f t="shared" si="139"/>
        <v>161.78305000000006</v>
      </c>
      <c r="AH30" s="5">
        <f t="shared" si="139"/>
        <v>177.96135500000008</v>
      </c>
      <c r="AI30" s="5">
        <f>AH30*1.02</f>
        <v>181.5205821000001</v>
      </c>
      <c r="AJ30" s="5">
        <f t="shared" ref="AJ30:AN30" si="140">AI30*1.02</f>
        <v>185.15099374200011</v>
      </c>
      <c r="AK30" s="5">
        <f t="shared" si="140"/>
        <v>188.85401361684012</v>
      </c>
      <c r="AL30" s="5">
        <f t="shared" si="140"/>
        <v>192.63109388917692</v>
      </c>
      <c r="AM30" s="5">
        <f t="shared" si="140"/>
        <v>196.48371576696047</v>
      </c>
      <c r="AN30" s="5">
        <f t="shared" si="140"/>
        <v>200.41339008229968</v>
      </c>
    </row>
    <row r="31" spans="2:44" x14ac:dyDescent="0.3">
      <c r="B31" t="s">
        <v>63</v>
      </c>
      <c r="X31" s="5"/>
      <c r="Y31" s="5"/>
      <c r="Z31" s="5"/>
      <c r="AA31" s="5">
        <v>0</v>
      </c>
      <c r="AB31" s="5">
        <f>-0.1+0.4</f>
        <v>0.30000000000000004</v>
      </c>
      <c r="AC31" s="5">
        <f>-0.6+0.2</f>
        <v>-0.39999999999999997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</row>
    <row r="32" spans="2:44" x14ac:dyDescent="0.3">
      <c r="B32" t="s">
        <v>57</v>
      </c>
      <c r="X32" s="5"/>
      <c r="Y32" s="5">
        <v>28.5</v>
      </c>
      <c r="Z32" s="5">
        <v>43.5</v>
      </c>
      <c r="AA32" s="5">
        <v>59.3</v>
      </c>
      <c r="AB32" s="5">
        <v>91.6</v>
      </c>
      <c r="AC32" s="5">
        <v>123.7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</row>
    <row r="33" spans="2:136" x14ac:dyDescent="0.3">
      <c r="B33" t="s">
        <v>58</v>
      </c>
      <c r="X33" s="5"/>
      <c r="Y33" s="5">
        <v>-10.4</v>
      </c>
      <c r="Z33" s="5">
        <v>-12.7</v>
      </c>
      <c r="AA33" s="5">
        <v>-13.6</v>
      </c>
      <c r="AB33" s="5">
        <v>-42.2</v>
      </c>
      <c r="AC33" s="5">
        <v>-39.9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</row>
    <row r="34" spans="2:136" x14ac:dyDescent="0.3">
      <c r="B34" t="s">
        <v>59</v>
      </c>
      <c r="X34" s="5"/>
      <c r="Y34" s="5">
        <v>-6.7</v>
      </c>
      <c r="Z34" s="5">
        <v>-10.6</v>
      </c>
      <c r="AA34" s="5">
        <v>-10.8</v>
      </c>
      <c r="AB34" s="5">
        <v>-18.899999999999999</v>
      </c>
      <c r="AC34" s="5">
        <v>-26.2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</row>
    <row r="35" spans="2:136" x14ac:dyDescent="0.3">
      <c r="B35" t="s">
        <v>60</v>
      </c>
      <c r="X35" s="5"/>
      <c r="Y35" s="5">
        <v>-1.7</v>
      </c>
      <c r="Z35" s="5">
        <v>-4</v>
      </c>
      <c r="AA35" s="5">
        <v>-1.4</v>
      </c>
      <c r="AB35" s="5">
        <v>-0.1</v>
      </c>
      <c r="AC35" s="5">
        <v>-7.6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</row>
    <row r="36" spans="2:136" x14ac:dyDescent="0.3">
      <c r="B36" t="s">
        <v>61</v>
      </c>
      <c r="X36" s="5"/>
      <c r="Y36" s="5">
        <v>-1.6</v>
      </c>
      <c r="Z36" s="5">
        <v>5.6</v>
      </c>
      <c r="AA36" s="5">
        <v>-6.7</v>
      </c>
      <c r="AB36" s="5">
        <v>1.3</v>
      </c>
      <c r="AC36" s="5">
        <v>3.9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</row>
    <row r="37" spans="2:136" x14ac:dyDescent="0.3">
      <c r="B37" t="s">
        <v>62</v>
      </c>
      <c r="X37" s="5"/>
      <c r="Y37" s="5">
        <v>6.2</v>
      </c>
      <c r="Z37" s="5">
        <v>3.7</v>
      </c>
      <c r="AA37" s="5">
        <v>8.6999999999999993</v>
      </c>
      <c r="AB37" s="5">
        <v>3.4</v>
      </c>
      <c r="AC37" s="5">
        <v>16.899999999999999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</row>
    <row r="38" spans="2:136" x14ac:dyDescent="0.3">
      <c r="B38" t="s">
        <v>63</v>
      </c>
      <c r="X38" s="5"/>
      <c r="Y38" s="5">
        <v>-0.1</v>
      </c>
      <c r="Z38" s="5">
        <v>0.4</v>
      </c>
      <c r="AA38" s="5">
        <v>-1</v>
      </c>
      <c r="AB38" s="5">
        <v>-0.3</v>
      </c>
      <c r="AC38" s="5">
        <v>5.2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</row>
    <row r="39" spans="2:136" s="1" customFormat="1" x14ac:dyDescent="0.3">
      <c r="B39" s="1" t="s">
        <v>54</v>
      </c>
      <c r="X39" s="8">
        <v>2.2000000000000002</v>
      </c>
      <c r="Y39" s="8">
        <f t="shared" ref="Y39:AD39" si="141">Y28+SUM(Y29:Y38)</f>
        <v>17.700000000000003</v>
      </c>
      <c r="Z39" s="8">
        <f t="shared" si="141"/>
        <v>9.3999999999999702</v>
      </c>
      <c r="AA39" s="8">
        <f t="shared" si="141"/>
        <v>53.600000000000044</v>
      </c>
      <c r="AB39" s="8">
        <f t="shared" si="141"/>
        <v>153.60000000000005</v>
      </c>
      <c r="AC39" s="8">
        <f t="shared" si="141"/>
        <v>285.7</v>
      </c>
      <c r="AD39" s="8">
        <f t="shared" si="141"/>
        <v>250.55809199999987</v>
      </c>
      <c r="AE39" s="8">
        <f t="shared" ref="AE39:AN39" si="142">AE28+SUM(AE29:AE38)</f>
        <v>327.12100499999997</v>
      </c>
      <c r="AF39" s="8">
        <f t="shared" si="142"/>
        <v>425.74765764999989</v>
      </c>
      <c r="AG39" s="8">
        <f t="shared" si="142"/>
        <v>524.63647172249978</v>
      </c>
      <c r="AH39" s="8">
        <f t="shared" si="142"/>
        <v>609.6254754117748</v>
      </c>
      <c r="AI39" s="8">
        <f t="shared" si="142"/>
        <v>676.53750559031573</v>
      </c>
      <c r="AJ39" s="8">
        <f t="shared" si="142"/>
        <v>734.41256264383435</v>
      </c>
      <c r="AK39" s="8">
        <f t="shared" si="142"/>
        <v>787.32633695162076</v>
      </c>
      <c r="AL39" s="8">
        <f t="shared" si="142"/>
        <v>843.10878145664321</v>
      </c>
      <c r="AM39" s="8">
        <f t="shared" si="142"/>
        <v>901.9067804839849</v>
      </c>
      <c r="AN39" s="8">
        <f t="shared" si="142"/>
        <v>963.87462150314082</v>
      </c>
    </row>
    <row r="40" spans="2:136" s="1" customFormat="1" x14ac:dyDescent="0.3">
      <c r="B40" t="s">
        <v>65</v>
      </c>
      <c r="X40" s="8"/>
      <c r="Y40" s="5">
        <v>0.6</v>
      </c>
      <c r="Z40" s="5">
        <v>2.6</v>
      </c>
      <c r="AA40" s="5">
        <v>4.5999999999999996</v>
      </c>
      <c r="AB40" s="5">
        <v>10.5</v>
      </c>
      <c r="AC40" s="5">
        <v>9</v>
      </c>
      <c r="AD40" s="5">
        <f>AC40*1.1</f>
        <v>9.9</v>
      </c>
      <c r="AE40" s="5">
        <f t="shared" ref="AE40:AN40" si="143">AD40*1.1</f>
        <v>10.89</v>
      </c>
      <c r="AF40" s="5">
        <f t="shared" si="143"/>
        <v>11.979000000000001</v>
      </c>
      <c r="AG40" s="5">
        <f t="shared" si="143"/>
        <v>13.176900000000002</v>
      </c>
      <c r="AH40" s="5">
        <f t="shared" si="143"/>
        <v>14.494590000000002</v>
      </c>
      <c r="AI40" s="5">
        <f t="shared" si="143"/>
        <v>15.944049000000003</v>
      </c>
      <c r="AJ40" s="5">
        <f t="shared" si="143"/>
        <v>17.538453900000004</v>
      </c>
      <c r="AK40" s="5">
        <f t="shared" si="143"/>
        <v>19.292299290000006</v>
      </c>
      <c r="AL40" s="5">
        <f t="shared" si="143"/>
        <v>21.221529219000008</v>
      </c>
      <c r="AM40" s="5">
        <f t="shared" si="143"/>
        <v>23.343682140900011</v>
      </c>
      <c r="AN40" s="5">
        <f t="shared" si="143"/>
        <v>25.678050354990013</v>
      </c>
    </row>
    <row r="41" spans="2:136" s="1" customFormat="1" x14ac:dyDescent="0.3">
      <c r="B41" t="s">
        <v>64</v>
      </c>
      <c r="X41" s="8"/>
      <c r="Y41" s="5">
        <v>3.4</v>
      </c>
      <c r="Z41" s="5">
        <v>3.6</v>
      </c>
      <c r="AA41" s="5">
        <v>5.6</v>
      </c>
      <c r="AB41" s="5">
        <v>3.2</v>
      </c>
      <c r="AC41" s="5">
        <v>12.1</v>
      </c>
      <c r="AD41" s="5">
        <f>AC41*1.1</f>
        <v>13.31</v>
      </c>
      <c r="AE41" s="5">
        <f t="shared" ref="AE41:AN41" si="144">AD41*1.1</f>
        <v>14.641000000000002</v>
      </c>
      <c r="AF41" s="5">
        <f t="shared" si="144"/>
        <v>16.105100000000004</v>
      </c>
      <c r="AG41" s="5">
        <f t="shared" si="144"/>
        <v>17.715610000000005</v>
      </c>
      <c r="AH41" s="5">
        <f t="shared" si="144"/>
        <v>19.487171000000007</v>
      </c>
      <c r="AI41" s="5">
        <f t="shared" si="144"/>
        <v>21.43588810000001</v>
      </c>
      <c r="AJ41" s="5">
        <f t="shared" si="144"/>
        <v>23.579476910000015</v>
      </c>
      <c r="AK41" s="5">
        <f t="shared" si="144"/>
        <v>25.937424601000018</v>
      </c>
      <c r="AL41" s="5">
        <f t="shared" si="144"/>
        <v>28.531167061100021</v>
      </c>
      <c r="AM41" s="5">
        <f t="shared" si="144"/>
        <v>31.384283767210025</v>
      </c>
      <c r="AN41" s="5">
        <f t="shared" si="144"/>
        <v>34.522712143931031</v>
      </c>
    </row>
    <row r="42" spans="2:136" x14ac:dyDescent="0.3">
      <c r="B42" t="s">
        <v>66</v>
      </c>
      <c r="X42" s="5">
        <f>X39-X43</f>
        <v>5.3000000000000007</v>
      </c>
      <c r="Y42" s="5">
        <f t="shared" ref="Y42:AD42" si="145">SUM(Y40:Y41)</f>
        <v>4</v>
      </c>
      <c r="Z42" s="5">
        <f t="shared" si="145"/>
        <v>6.2</v>
      </c>
      <c r="AA42" s="5">
        <f t="shared" si="145"/>
        <v>10.199999999999999</v>
      </c>
      <c r="AB42" s="5">
        <f t="shared" si="145"/>
        <v>13.7</v>
      </c>
      <c r="AC42" s="5">
        <f t="shared" si="145"/>
        <v>21.1</v>
      </c>
      <c r="AD42" s="5">
        <f t="shared" si="145"/>
        <v>23.21</v>
      </c>
      <c r="AE42" s="5">
        <f t="shared" ref="AE42:AN42" si="146">SUM(AE40:AE41)</f>
        <v>25.531000000000002</v>
      </c>
      <c r="AF42" s="5">
        <f t="shared" si="146"/>
        <v>28.084100000000007</v>
      </c>
      <c r="AG42" s="5">
        <f t="shared" si="146"/>
        <v>30.892510000000009</v>
      </c>
      <c r="AH42" s="5">
        <f t="shared" si="146"/>
        <v>33.981761000000006</v>
      </c>
      <c r="AI42" s="5">
        <f t="shared" si="146"/>
        <v>37.379937100000014</v>
      </c>
      <c r="AJ42" s="5">
        <f t="shared" si="146"/>
        <v>41.117930810000018</v>
      </c>
      <c r="AK42" s="5">
        <f t="shared" si="146"/>
        <v>45.22972389100002</v>
      </c>
      <c r="AL42" s="5">
        <f t="shared" si="146"/>
        <v>49.752696280100025</v>
      </c>
      <c r="AM42" s="5">
        <f t="shared" si="146"/>
        <v>54.727965908110036</v>
      </c>
      <c r="AN42" s="5">
        <f t="shared" si="146"/>
        <v>60.200762498921044</v>
      </c>
    </row>
    <row r="43" spans="2:136" s="1" customFormat="1" x14ac:dyDescent="0.3">
      <c r="B43" s="1" t="s">
        <v>53</v>
      </c>
      <c r="X43" s="1">
        <v>-3.1</v>
      </c>
      <c r="Y43" s="8">
        <f t="shared" ref="Y43:AD43" si="147">Y39-Y42</f>
        <v>13.700000000000003</v>
      </c>
      <c r="Z43" s="8">
        <f t="shared" si="147"/>
        <v>3.19999999999997</v>
      </c>
      <c r="AA43" s="8">
        <f t="shared" si="147"/>
        <v>43.400000000000048</v>
      </c>
      <c r="AB43" s="8">
        <f t="shared" si="147"/>
        <v>139.90000000000006</v>
      </c>
      <c r="AC43" s="8">
        <f t="shared" si="147"/>
        <v>264.59999999999997</v>
      </c>
      <c r="AD43" s="8">
        <f t="shared" si="147"/>
        <v>227.34809199999987</v>
      </c>
      <c r="AE43" s="8">
        <f t="shared" ref="AE43:AN43" si="148">AE39-AE42</f>
        <v>301.59000499999996</v>
      </c>
      <c r="AF43" s="8">
        <f t="shared" si="148"/>
        <v>397.66355764999992</v>
      </c>
      <c r="AG43" s="8">
        <f t="shared" si="148"/>
        <v>493.74396172249976</v>
      </c>
      <c r="AH43" s="8">
        <f t="shared" si="148"/>
        <v>575.64371441177479</v>
      </c>
      <c r="AI43" s="8">
        <f t="shared" si="148"/>
        <v>639.15756849031573</v>
      </c>
      <c r="AJ43" s="8">
        <f t="shared" si="148"/>
        <v>693.29463183383427</v>
      </c>
      <c r="AK43" s="8">
        <f t="shared" si="148"/>
        <v>742.09661306062071</v>
      </c>
      <c r="AL43" s="8">
        <f t="shared" si="148"/>
        <v>793.35608517654316</v>
      </c>
      <c r="AM43" s="8">
        <f t="shared" si="148"/>
        <v>847.17881457587487</v>
      </c>
      <c r="AN43" s="8">
        <f t="shared" si="148"/>
        <v>903.67385900421982</v>
      </c>
      <c r="AO43" s="1">
        <f>AN43*(1+$AR$21)</f>
        <v>894.63712041417762</v>
      </c>
      <c r="AP43" s="1">
        <f t="shared" ref="AP43:DA43" si="149">AO43*(1+$AR$21)</f>
        <v>885.69074921003585</v>
      </c>
      <c r="AQ43" s="1">
        <f t="shared" si="149"/>
        <v>876.83384171793546</v>
      </c>
      <c r="AR43" s="1">
        <f t="shared" si="149"/>
        <v>868.06550330075606</v>
      </c>
      <c r="AS43" s="1">
        <f t="shared" si="149"/>
        <v>859.38484826774845</v>
      </c>
      <c r="AT43" s="1">
        <f t="shared" si="149"/>
        <v>850.79099978507099</v>
      </c>
      <c r="AU43" s="1">
        <f t="shared" si="149"/>
        <v>842.28308978722032</v>
      </c>
      <c r="AV43" s="1">
        <f t="shared" si="149"/>
        <v>833.86025888934807</v>
      </c>
      <c r="AW43" s="1">
        <f t="shared" si="149"/>
        <v>825.52165630045454</v>
      </c>
      <c r="AX43" s="1">
        <f t="shared" si="149"/>
        <v>817.26643973745001</v>
      </c>
      <c r="AY43" s="1">
        <f t="shared" si="149"/>
        <v>809.09377534007547</v>
      </c>
      <c r="AZ43" s="1">
        <f t="shared" si="149"/>
        <v>801.00283758667467</v>
      </c>
      <c r="BA43" s="1">
        <f t="shared" si="149"/>
        <v>792.99280921080788</v>
      </c>
      <c r="BB43" s="1">
        <f t="shared" si="149"/>
        <v>785.06288111869981</v>
      </c>
      <c r="BC43" s="1">
        <f t="shared" si="149"/>
        <v>777.21225230751281</v>
      </c>
      <c r="BD43" s="1">
        <f t="shared" si="149"/>
        <v>769.44012978443766</v>
      </c>
      <c r="BE43" s="1">
        <f t="shared" si="149"/>
        <v>761.74572848659329</v>
      </c>
      <c r="BF43" s="1">
        <f t="shared" si="149"/>
        <v>754.12827120172733</v>
      </c>
      <c r="BG43" s="1">
        <f t="shared" si="149"/>
        <v>746.58698848971005</v>
      </c>
      <c r="BH43" s="1">
        <f t="shared" si="149"/>
        <v>739.12111860481298</v>
      </c>
      <c r="BI43" s="1">
        <f t="shared" si="149"/>
        <v>731.72990741876481</v>
      </c>
      <c r="BJ43" s="1">
        <f t="shared" si="149"/>
        <v>724.41260834457717</v>
      </c>
      <c r="BK43" s="1">
        <f t="shared" si="149"/>
        <v>717.16848226113143</v>
      </c>
      <c r="BL43" s="1">
        <f t="shared" si="149"/>
        <v>709.99679743852016</v>
      </c>
      <c r="BM43" s="1">
        <f t="shared" si="149"/>
        <v>702.89682946413495</v>
      </c>
      <c r="BN43" s="1">
        <f t="shared" si="149"/>
        <v>695.86786116949361</v>
      </c>
      <c r="BO43" s="1">
        <f t="shared" si="149"/>
        <v>688.90918255779866</v>
      </c>
      <c r="BP43" s="1">
        <f t="shared" si="149"/>
        <v>682.02009073222064</v>
      </c>
      <c r="BQ43" s="1">
        <f t="shared" si="149"/>
        <v>675.19988982489838</v>
      </c>
      <c r="BR43" s="1">
        <f t="shared" si="149"/>
        <v>668.44789092664939</v>
      </c>
      <c r="BS43" s="1">
        <f t="shared" si="149"/>
        <v>661.76341201738285</v>
      </c>
      <c r="BT43" s="1">
        <f t="shared" si="149"/>
        <v>655.14577789720897</v>
      </c>
      <c r="BU43" s="1">
        <f t="shared" si="149"/>
        <v>648.59432011823685</v>
      </c>
      <c r="BV43" s="1">
        <f t="shared" si="149"/>
        <v>642.10837691705444</v>
      </c>
      <c r="BW43" s="1">
        <f t="shared" si="149"/>
        <v>635.68729314788391</v>
      </c>
      <c r="BX43" s="1">
        <f t="shared" si="149"/>
        <v>629.33042021640506</v>
      </c>
      <c r="BY43" s="1">
        <f t="shared" si="149"/>
        <v>623.03711601424095</v>
      </c>
      <c r="BZ43" s="1">
        <f t="shared" si="149"/>
        <v>616.8067448540985</v>
      </c>
      <c r="CA43" s="1">
        <f t="shared" si="149"/>
        <v>610.63867740555747</v>
      </c>
      <c r="CB43" s="1">
        <f t="shared" si="149"/>
        <v>604.53229063150184</v>
      </c>
      <c r="CC43" s="1">
        <f t="shared" si="149"/>
        <v>598.48696772518679</v>
      </c>
      <c r="CD43" s="1">
        <f t="shared" si="149"/>
        <v>592.50209804793496</v>
      </c>
      <c r="CE43" s="1">
        <f t="shared" si="149"/>
        <v>586.57707706745566</v>
      </c>
      <c r="CF43" s="1">
        <f t="shared" si="149"/>
        <v>580.71130629678112</v>
      </c>
      <c r="CG43" s="1">
        <f t="shared" si="149"/>
        <v>574.90419323381332</v>
      </c>
      <c r="CH43" s="1">
        <f t="shared" si="149"/>
        <v>569.15515130147514</v>
      </c>
      <c r="CI43" s="1">
        <f t="shared" si="149"/>
        <v>563.46359978846044</v>
      </c>
      <c r="CJ43" s="1">
        <f t="shared" si="149"/>
        <v>557.82896379057581</v>
      </c>
      <c r="CK43" s="1">
        <f t="shared" si="149"/>
        <v>552.25067415267006</v>
      </c>
      <c r="CL43" s="1">
        <f t="shared" si="149"/>
        <v>546.72816741114332</v>
      </c>
      <c r="CM43" s="1">
        <f t="shared" si="149"/>
        <v>541.26088573703191</v>
      </c>
      <c r="CN43" s="1">
        <f t="shared" si="149"/>
        <v>535.84827687966163</v>
      </c>
      <c r="CO43" s="1">
        <f t="shared" si="149"/>
        <v>530.48979411086498</v>
      </c>
      <c r="CP43" s="1">
        <f t="shared" si="149"/>
        <v>525.18489616975637</v>
      </c>
      <c r="CQ43" s="1">
        <f t="shared" si="149"/>
        <v>519.93304720805884</v>
      </c>
      <c r="CR43" s="1">
        <f t="shared" si="149"/>
        <v>514.73371673597819</v>
      </c>
      <c r="CS43" s="1">
        <f t="shared" si="149"/>
        <v>509.58637956861838</v>
      </c>
      <c r="CT43" s="1">
        <f t="shared" si="149"/>
        <v>504.49051577293221</v>
      </c>
      <c r="CU43" s="1">
        <f t="shared" si="149"/>
        <v>499.4456106152029</v>
      </c>
      <c r="CV43" s="1">
        <f t="shared" si="149"/>
        <v>494.45115450905087</v>
      </c>
      <c r="CW43" s="1">
        <f t="shared" si="149"/>
        <v>489.50664296396036</v>
      </c>
      <c r="CX43" s="1">
        <f t="shared" si="149"/>
        <v>484.61157653432076</v>
      </c>
      <c r="CY43" s="1">
        <f t="shared" si="149"/>
        <v>479.76546076897756</v>
      </c>
      <c r="CZ43" s="1">
        <f t="shared" si="149"/>
        <v>474.9678061612878</v>
      </c>
      <c r="DA43" s="1">
        <f t="shared" si="149"/>
        <v>470.21812809967491</v>
      </c>
      <c r="DB43" s="1">
        <f t="shared" ref="DB43:EF43" si="150">DA43*(1+$AR$21)</f>
        <v>465.51594681867817</v>
      </c>
      <c r="DC43" s="1">
        <f t="shared" si="150"/>
        <v>460.86078735049136</v>
      </c>
      <c r="DD43" s="1">
        <f t="shared" si="150"/>
        <v>456.25217947698644</v>
      </c>
      <c r="DE43" s="1">
        <f t="shared" si="150"/>
        <v>451.68965768221659</v>
      </c>
      <c r="DF43" s="1">
        <f t="shared" si="150"/>
        <v>447.17276110539444</v>
      </c>
      <c r="DG43" s="1">
        <f t="shared" si="150"/>
        <v>442.70103349434049</v>
      </c>
      <c r="DH43" s="1">
        <f t="shared" si="150"/>
        <v>438.27402315939707</v>
      </c>
      <c r="DI43" s="1">
        <f t="shared" si="150"/>
        <v>433.8912829278031</v>
      </c>
      <c r="DJ43" s="1">
        <f t="shared" si="150"/>
        <v>429.55237009852505</v>
      </c>
      <c r="DK43" s="1">
        <f t="shared" si="150"/>
        <v>425.25684639753979</v>
      </c>
      <c r="DL43" s="1">
        <f t="shared" si="150"/>
        <v>421.00427793356437</v>
      </c>
      <c r="DM43" s="1">
        <f t="shared" si="150"/>
        <v>416.79423515422872</v>
      </c>
      <c r="DN43" s="1">
        <f t="shared" si="150"/>
        <v>412.62629280268641</v>
      </c>
      <c r="DO43" s="1">
        <f t="shared" si="150"/>
        <v>408.50002987465956</v>
      </c>
      <c r="DP43" s="1">
        <f t="shared" si="150"/>
        <v>404.41502957591297</v>
      </c>
      <c r="DQ43" s="1">
        <f t="shared" si="150"/>
        <v>400.37087928015382</v>
      </c>
      <c r="DR43" s="1">
        <f t="shared" si="150"/>
        <v>396.36717048735227</v>
      </c>
      <c r="DS43" s="1">
        <f t="shared" si="150"/>
        <v>392.40349878247872</v>
      </c>
      <c r="DT43" s="1">
        <f t="shared" si="150"/>
        <v>388.47946379465395</v>
      </c>
      <c r="DU43" s="1">
        <f t="shared" si="150"/>
        <v>384.59466915670743</v>
      </c>
      <c r="DV43" s="1">
        <f t="shared" si="150"/>
        <v>380.74872246514036</v>
      </c>
      <c r="DW43" s="1">
        <f t="shared" si="150"/>
        <v>376.94123524048894</v>
      </c>
      <c r="DX43" s="1">
        <f t="shared" si="150"/>
        <v>373.17182288808402</v>
      </c>
      <c r="DY43" s="1">
        <f t="shared" si="150"/>
        <v>369.4401046592032</v>
      </c>
      <c r="DZ43" s="1">
        <f t="shared" si="150"/>
        <v>365.74570361261118</v>
      </c>
      <c r="EA43" s="1">
        <f t="shared" si="150"/>
        <v>362.08824657648506</v>
      </c>
      <c r="EB43" s="1">
        <f t="shared" si="150"/>
        <v>358.46736411072021</v>
      </c>
      <c r="EC43" s="1">
        <f t="shared" si="150"/>
        <v>354.88269046961301</v>
      </c>
      <c r="ED43" s="1">
        <f t="shared" si="150"/>
        <v>351.3338635649169</v>
      </c>
      <c r="EE43" s="1">
        <f t="shared" si="150"/>
        <v>347.82052492926772</v>
      </c>
      <c r="EF43" s="1">
        <f t="shared" si="150"/>
        <v>344.34231967997505</v>
      </c>
    </row>
    <row r="46" spans="2:136" x14ac:dyDescent="0.3">
      <c r="AR46" s="5">
        <f>NPV(AR22,AD43:EF43)</f>
        <v>8186.801914214996</v>
      </c>
    </row>
    <row r="47" spans="2:136" x14ac:dyDescent="0.3">
      <c r="AR47" s="5">
        <f>Main!D8</f>
        <v>785.8</v>
      </c>
    </row>
    <row r="48" spans="2:136" x14ac:dyDescent="0.3">
      <c r="AR48" s="5">
        <f>AR46+AR47</f>
        <v>8972.6019142149962</v>
      </c>
    </row>
    <row r="49" spans="44:44" x14ac:dyDescent="0.3">
      <c r="AR49" s="4">
        <f>AR48/AN16</f>
        <v>199.83523194242753</v>
      </c>
    </row>
    <row r="50" spans="44:44" x14ac:dyDescent="0.3">
      <c r="AR50" s="4">
        <f>Main!D3</f>
        <v>310.01</v>
      </c>
    </row>
    <row r="51" spans="44:44" x14ac:dyDescent="0.3">
      <c r="AR51" s="10">
        <f>AR49/AR50-1</f>
        <v>-0.3553910133788345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2025-04-01T12:20:19Z</dcterms:created>
  <dcterms:modified xsi:type="dcterms:W3CDTF">2025-04-04T09:28:39Z</dcterms:modified>
</cp:coreProperties>
</file>