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49E805D6-2262-415F-8DAC-9AA96B36505D}" xr6:coauthVersionLast="47" xr6:coauthVersionMax="47" xr10:uidLastSave="{00000000-0000-0000-0000-000000000000}"/>
  <bookViews>
    <workbookView xWindow="-108" yWindow="-108" windowWidth="23256" windowHeight="12576" activeTab="1" xr2:uid="{DBEEBD90-F12B-4C1A-B913-1AA5EC76930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6" i="2" l="1"/>
  <c r="AQ11" i="2"/>
  <c r="AQ3" i="2"/>
  <c r="AQ5" i="2" s="1"/>
  <c r="AR7" i="2"/>
  <c r="AS7" i="2" s="1"/>
  <c r="AT7" i="2" s="1"/>
  <c r="AU7" i="2" s="1"/>
  <c r="AV7" i="2" s="1"/>
  <c r="AW7" i="2" s="1"/>
  <c r="AX7" i="2" s="1"/>
  <c r="AY7" i="2" s="1"/>
  <c r="AZ7" i="2" s="1"/>
  <c r="BA7" i="2" s="1"/>
  <c r="AQ7" i="2"/>
  <c r="AD14" i="2"/>
  <c r="AD12" i="2"/>
  <c r="AD11" i="2"/>
  <c r="AD9" i="2"/>
  <c r="AD7" i="2"/>
  <c r="AD6" i="2"/>
  <c r="AD4" i="2"/>
  <c r="AD3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P9" i="2"/>
  <c r="D7" i="1"/>
  <c r="D6" i="1"/>
  <c r="D4" i="1"/>
  <c r="AO20" i="2"/>
  <c r="AN20" i="2"/>
  <c r="AM20" i="2"/>
  <c r="AC20" i="2"/>
  <c r="AB20" i="2"/>
  <c r="AA20" i="2"/>
  <c r="Y20" i="2"/>
  <c r="X20" i="2"/>
  <c r="W20" i="2"/>
  <c r="U20" i="2"/>
  <c r="T20" i="2"/>
  <c r="S20" i="2"/>
  <c r="Q20" i="2"/>
  <c r="P20" i="2"/>
  <c r="O20" i="2"/>
  <c r="M20" i="2"/>
  <c r="L20" i="2"/>
  <c r="K20" i="2"/>
  <c r="I20" i="2"/>
  <c r="H20" i="2"/>
  <c r="G20" i="2"/>
  <c r="N12" i="2"/>
  <c r="N11" i="2"/>
  <c r="N7" i="2"/>
  <c r="N6" i="2"/>
  <c r="N4" i="2"/>
  <c r="N3" i="2"/>
  <c r="AL9" i="2"/>
  <c r="V12" i="2"/>
  <c r="V11" i="2"/>
  <c r="V7" i="2"/>
  <c r="V6" i="2"/>
  <c r="V4" i="2"/>
  <c r="V3" i="2"/>
  <c r="V14" i="2"/>
  <c r="R12" i="2"/>
  <c r="R11" i="2"/>
  <c r="R7" i="2"/>
  <c r="R6" i="2"/>
  <c r="R4" i="2"/>
  <c r="R3" i="2"/>
  <c r="R14" i="2"/>
  <c r="T9" i="2"/>
  <c r="S9" i="2"/>
  <c r="O14" i="2"/>
  <c r="O9" i="2"/>
  <c r="O5" i="2"/>
  <c r="O17" i="2" s="1"/>
  <c r="S14" i="2"/>
  <c r="S5" i="2"/>
  <c r="S17" i="2" s="1"/>
  <c r="P9" i="2"/>
  <c r="P14" i="2"/>
  <c r="P5" i="2"/>
  <c r="P17" i="2" s="1"/>
  <c r="T14" i="2"/>
  <c r="T5" i="2"/>
  <c r="T17" i="2" s="1"/>
  <c r="Q9" i="2"/>
  <c r="Q14" i="2"/>
  <c r="Q5" i="2"/>
  <c r="Q17" i="2" s="1"/>
  <c r="U9" i="2"/>
  <c r="U14" i="2"/>
  <c r="U5" i="2"/>
  <c r="U8" i="2" s="1"/>
  <c r="AC21" i="2"/>
  <c r="AB21" i="2"/>
  <c r="AA21" i="2"/>
  <c r="Y21" i="2"/>
  <c r="X21" i="2"/>
  <c r="W21" i="2"/>
  <c r="U21" i="2"/>
  <c r="T21" i="2"/>
  <c r="S21" i="2"/>
  <c r="Q21" i="2"/>
  <c r="P21" i="2"/>
  <c r="O21" i="2"/>
  <c r="AC19" i="2"/>
  <c r="AB19" i="2"/>
  <c r="AA19" i="2"/>
  <c r="Y19" i="2"/>
  <c r="X19" i="2"/>
  <c r="W19" i="2"/>
  <c r="U19" i="2"/>
  <c r="T19" i="2"/>
  <c r="S19" i="2"/>
  <c r="Q19" i="2"/>
  <c r="P19" i="2"/>
  <c r="O19" i="2"/>
  <c r="Z12" i="2"/>
  <c r="Z11" i="2"/>
  <c r="Z7" i="2"/>
  <c r="Z6" i="2"/>
  <c r="AD19" i="2" s="1"/>
  <c r="Z4" i="2"/>
  <c r="Z3" i="2"/>
  <c r="Z14" i="2"/>
  <c r="AM9" i="2"/>
  <c r="AN9" i="2"/>
  <c r="AN14" i="2"/>
  <c r="AO9" i="2"/>
  <c r="AO5" i="2"/>
  <c r="W9" i="2"/>
  <c r="W14" i="2"/>
  <c r="W5" i="2"/>
  <c r="W8" i="2" s="1"/>
  <c r="W18" i="2" s="1"/>
  <c r="AA9" i="2"/>
  <c r="AA14" i="2"/>
  <c r="AA5" i="2"/>
  <c r="AA8" i="2" s="1"/>
  <c r="AA18" i="2" s="1"/>
  <c r="X9" i="2"/>
  <c r="X14" i="2"/>
  <c r="X5" i="2"/>
  <c r="X8" i="2" s="1"/>
  <c r="X18" i="2" s="1"/>
  <c r="AB9" i="2"/>
  <c r="Y14" i="2"/>
  <c r="AB14" i="2"/>
  <c r="AC14" i="2"/>
  <c r="AB5" i="2"/>
  <c r="AB8" i="2" s="1"/>
  <c r="AB18" i="2" s="1"/>
  <c r="AC9" i="2"/>
  <c r="AC5" i="2"/>
  <c r="AC8" i="2" s="1"/>
  <c r="AC18" i="2" s="1"/>
  <c r="Y9" i="2"/>
  <c r="Y5" i="2"/>
  <c r="Y8" i="2" s="1"/>
  <c r="Y18" i="2" s="1"/>
  <c r="M19" i="2"/>
  <c r="L19" i="2"/>
  <c r="K19" i="2"/>
  <c r="I19" i="2"/>
  <c r="H19" i="2"/>
  <c r="G19" i="2"/>
  <c r="M9" i="2"/>
  <c r="M5" i="2"/>
  <c r="L21" i="2"/>
  <c r="V20" i="2" l="1"/>
  <c r="V5" i="2"/>
  <c r="V17" i="2" s="1"/>
  <c r="V9" i="2"/>
  <c r="Z20" i="2"/>
  <c r="AB17" i="2"/>
  <c r="Z9" i="2"/>
  <c r="R20" i="2"/>
  <c r="AR3" i="2"/>
  <c r="O8" i="2"/>
  <c r="O18" i="2" s="1"/>
  <c r="AA17" i="2"/>
  <c r="R9" i="2"/>
  <c r="AQ6" i="2"/>
  <c r="AS6" i="2" s="1"/>
  <c r="AT6" i="2" s="1"/>
  <c r="AU6" i="2" s="1"/>
  <c r="AV6" i="2" s="1"/>
  <c r="AW6" i="2" s="1"/>
  <c r="AX6" i="2" s="1"/>
  <c r="AY6" i="2" s="1"/>
  <c r="AZ6" i="2" s="1"/>
  <c r="BA6" i="2" s="1"/>
  <c r="AD21" i="2"/>
  <c r="AD5" i="2"/>
  <c r="AD17" i="2" s="1"/>
  <c r="Z19" i="2"/>
  <c r="AC17" i="2"/>
  <c r="W17" i="2"/>
  <c r="X17" i="2"/>
  <c r="Y17" i="2"/>
  <c r="R19" i="2"/>
  <c r="V19" i="2"/>
  <c r="V8" i="2"/>
  <c r="Z21" i="2"/>
  <c r="V21" i="2"/>
  <c r="R21" i="2"/>
  <c r="R5" i="2"/>
  <c r="S8" i="2"/>
  <c r="P8" i="2"/>
  <c r="T8" i="2"/>
  <c r="Q8" i="2"/>
  <c r="Q18" i="2" s="1"/>
  <c r="U10" i="2"/>
  <c r="U18" i="2"/>
  <c r="U17" i="2"/>
  <c r="Z5" i="2"/>
  <c r="AQ9" i="2"/>
  <c r="AR9" i="2" s="1"/>
  <c r="AS9" i="2" s="1"/>
  <c r="AT9" i="2" s="1"/>
  <c r="AU9" i="2" s="1"/>
  <c r="AV9" i="2" s="1"/>
  <c r="AW9" i="2" s="1"/>
  <c r="AX9" i="2" s="1"/>
  <c r="AY9" i="2" s="1"/>
  <c r="AZ9" i="2" s="1"/>
  <c r="BA9" i="2" s="1"/>
  <c r="W10" i="2"/>
  <c r="AA10" i="2"/>
  <c r="X10" i="2"/>
  <c r="AB10" i="2"/>
  <c r="AC10" i="2"/>
  <c r="Y10" i="2"/>
  <c r="BD25" i="2"/>
  <c r="AO14" i="2"/>
  <c r="AM14" i="2"/>
  <c r="N14" i="2"/>
  <c r="M14" i="2"/>
  <c r="M21" i="2"/>
  <c r="K21" i="2"/>
  <c r="I21" i="2"/>
  <c r="H21" i="2"/>
  <c r="G21" i="2"/>
  <c r="AL14" i="2"/>
  <c r="F12" i="2"/>
  <c r="AJ12" i="2" s="1"/>
  <c r="F3" i="2"/>
  <c r="AJ3" i="2" s="1"/>
  <c r="C9" i="2"/>
  <c r="C5" i="2"/>
  <c r="C8" i="2" s="1"/>
  <c r="C18" i="2" s="1"/>
  <c r="D9" i="2"/>
  <c r="D5" i="2"/>
  <c r="D8" i="2" s="1"/>
  <c r="F11" i="2"/>
  <c r="AJ11" i="2" s="1"/>
  <c r="F7" i="2"/>
  <c r="AJ7" i="2" s="1"/>
  <c r="F6" i="2"/>
  <c r="AJ6" i="2" s="1"/>
  <c r="F4" i="2"/>
  <c r="AJ4" i="2" s="1"/>
  <c r="J12" i="2"/>
  <c r="J11" i="2"/>
  <c r="J7" i="2"/>
  <c r="J6" i="2"/>
  <c r="J4" i="2"/>
  <c r="J3" i="2"/>
  <c r="J14" i="2"/>
  <c r="AS3" i="2" l="1"/>
  <c r="AS5" i="2" s="1"/>
  <c r="AR5" i="2"/>
  <c r="O10" i="2"/>
  <c r="J20" i="2"/>
  <c r="AP5" i="2"/>
  <c r="AD8" i="2"/>
  <c r="AD20" i="2"/>
  <c r="N20" i="2"/>
  <c r="W13" i="2"/>
  <c r="W22" i="2"/>
  <c r="Z8" i="2"/>
  <c r="Z17" i="2"/>
  <c r="Y13" i="2"/>
  <c r="Y22" i="2"/>
  <c r="AB13" i="2"/>
  <c r="AB22" i="2"/>
  <c r="X13" i="2"/>
  <c r="X22" i="2"/>
  <c r="AC13" i="2"/>
  <c r="AC22" i="2"/>
  <c r="AA13" i="2"/>
  <c r="AA22" i="2"/>
  <c r="V18" i="2"/>
  <c r="V10" i="2"/>
  <c r="R8" i="2"/>
  <c r="R17" i="2"/>
  <c r="S10" i="2"/>
  <c r="S18" i="2"/>
  <c r="P10" i="2"/>
  <c r="P18" i="2"/>
  <c r="T18" i="2"/>
  <c r="T10" i="2"/>
  <c r="Q10" i="2"/>
  <c r="Q13" i="2" s="1"/>
  <c r="U22" i="2"/>
  <c r="U13" i="2"/>
  <c r="D10" i="2"/>
  <c r="D13" i="2" s="1"/>
  <c r="D18" i="2"/>
  <c r="N5" i="2"/>
  <c r="C17" i="2"/>
  <c r="J19" i="2"/>
  <c r="D17" i="2"/>
  <c r="N21" i="2"/>
  <c r="J21" i="2"/>
  <c r="C10" i="2"/>
  <c r="M8" i="2"/>
  <c r="M17" i="2"/>
  <c r="AJ5" i="2"/>
  <c r="F5" i="2"/>
  <c r="J5" i="2"/>
  <c r="AK12" i="2"/>
  <c r="AQ12" i="2" s="1"/>
  <c r="AR12" i="2" s="1"/>
  <c r="AS12" i="2" s="1"/>
  <c r="AT12" i="2" s="1"/>
  <c r="AU12" i="2" s="1"/>
  <c r="AV12" i="2" s="1"/>
  <c r="AW12" i="2" s="1"/>
  <c r="AX12" i="2" s="1"/>
  <c r="AY12" i="2" s="1"/>
  <c r="AZ12" i="2" s="1"/>
  <c r="BA12" i="2" s="1"/>
  <c r="AK11" i="2"/>
  <c r="AT3" i="2" l="1"/>
  <c r="AT5" i="2" s="1"/>
  <c r="O13" i="2"/>
  <c r="O22" i="2"/>
  <c r="AP20" i="2"/>
  <c r="AD10" i="2"/>
  <c r="AD18" i="2"/>
  <c r="AB15" i="2"/>
  <c r="AB23" i="2"/>
  <c r="AA15" i="2"/>
  <c r="AA23" i="2"/>
  <c r="AC15" i="2"/>
  <c r="AC23" i="2"/>
  <c r="Z10" i="2"/>
  <c r="Z18" i="2"/>
  <c r="Y15" i="2"/>
  <c r="Y23" i="2"/>
  <c r="X15" i="2"/>
  <c r="X23" i="2"/>
  <c r="W15" i="2"/>
  <c r="W23" i="2"/>
  <c r="V13" i="2"/>
  <c r="V22" i="2"/>
  <c r="R10" i="2"/>
  <c r="R18" i="2"/>
  <c r="S22" i="2"/>
  <c r="S13" i="2"/>
  <c r="P13" i="2"/>
  <c r="P22" i="2"/>
  <c r="T13" i="2"/>
  <c r="T22" i="2"/>
  <c r="Q22" i="2"/>
  <c r="Q23" i="2"/>
  <c r="Q15" i="2"/>
  <c r="U15" i="2"/>
  <c r="U23" i="2"/>
  <c r="D15" i="2"/>
  <c r="D23" i="2"/>
  <c r="D22" i="2"/>
  <c r="N8" i="2"/>
  <c r="N19" i="2"/>
  <c r="N17" i="2"/>
  <c r="AL5" i="2"/>
  <c r="AL17" i="2" s="1"/>
  <c r="F8" i="2"/>
  <c r="F18" i="2" s="1"/>
  <c r="F17" i="2"/>
  <c r="AJ8" i="2"/>
  <c r="AJ18" i="2" s="1"/>
  <c r="AJ17" i="2"/>
  <c r="C13" i="2"/>
  <c r="C22" i="2"/>
  <c r="J8" i="2"/>
  <c r="J17" i="2"/>
  <c r="M18" i="2"/>
  <c r="M10" i="2"/>
  <c r="AK7" i="2"/>
  <c r="AK6" i="2"/>
  <c r="AK19" i="2" s="1"/>
  <c r="AK4" i="2"/>
  <c r="AK3" i="2"/>
  <c r="AK14" i="2"/>
  <c r="E9" i="2"/>
  <c r="E5" i="2"/>
  <c r="I9" i="2"/>
  <c r="I14" i="2"/>
  <c r="I5" i="2"/>
  <c r="G9" i="2"/>
  <c r="G14" i="2"/>
  <c r="G5" i="2"/>
  <c r="G17" i="2" s="1"/>
  <c r="L14" i="2"/>
  <c r="K14" i="2"/>
  <c r="H14" i="2"/>
  <c r="K9" i="2"/>
  <c r="K5" i="2"/>
  <c r="K17" i="2" s="1"/>
  <c r="H9" i="2"/>
  <c r="H5" i="2"/>
  <c r="L9" i="2"/>
  <c r="L5" i="2"/>
  <c r="AU3" i="2" l="1"/>
  <c r="AU5" i="2" s="1"/>
  <c r="O15" i="2"/>
  <c r="O23" i="2"/>
  <c r="AD22" i="2"/>
  <c r="AD13" i="2"/>
  <c r="AK20" i="2"/>
  <c r="AL20" i="2"/>
  <c r="Z13" i="2"/>
  <c r="Z22" i="2"/>
  <c r="N9" i="2"/>
  <c r="N10" i="2" s="1"/>
  <c r="V15" i="2"/>
  <c r="V23" i="2"/>
  <c r="R22" i="2"/>
  <c r="R13" i="2"/>
  <c r="S15" i="2"/>
  <c r="S23" i="2"/>
  <c r="P23" i="2"/>
  <c r="P15" i="2"/>
  <c r="T15" i="2"/>
  <c r="T23" i="2"/>
  <c r="C15" i="2"/>
  <c r="C23" i="2"/>
  <c r="N18" i="2"/>
  <c r="AL19" i="2"/>
  <c r="L8" i="2"/>
  <c r="L17" i="2"/>
  <c r="I8" i="2"/>
  <c r="I17" i="2"/>
  <c r="AK21" i="2"/>
  <c r="AL21" i="2"/>
  <c r="J9" i="2"/>
  <c r="AK9" i="2" s="1"/>
  <c r="H8" i="2"/>
  <c r="H18" i="2" s="1"/>
  <c r="H17" i="2"/>
  <c r="F9" i="2"/>
  <c r="F10" i="2" s="1"/>
  <c r="E8" i="2"/>
  <c r="E18" i="2" s="1"/>
  <c r="E17" i="2"/>
  <c r="K8" i="2"/>
  <c r="G8" i="2"/>
  <c r="J18" i="2"/>
  <c r="AL8" i="2"/>
  <c r="AK5" i="2"/>
  <c r="D8" i="1"/>
  <c r="BD22" i="2" s="1"/>
  <c r="F3" i="1"/>
  <c r="D5" i="1"/>
  <c r="AV3" i="2" l="1"/>
  <c r="AV5" i="2" s="1"/>
  <c r="AD15" i="2"/>
  <c r="AD23" i="2"/>
  <c r="AQ20" i="2"/>
  <c r="N22" i="2"/>
  <c r="N13" i="2"/>
  <c r="N15" i="2" s="1"/>
  <c r="Z15" i="2"/>
  <c r="Z23" i="2"/>
  <c r="R23" i="2"/>
  <c r="R15" i="2"/>
  <c r="AL10" i="2"/>
  <c r="AL22" i="2" s="1"/>
  <c r="AJ9" i="2"/>
  <c r="AJ10" i="2" s="1"/>
  <c r="AJ22" i="2" s="1"/>
  <c r="J10" i="2"/>
  <c r="J22" i="2" s="1"/>
  <c r="AM19" i="2"/>
  <c r="L10" i="2"/>
  <c r="L18" i="2"/>
  <c r="F13" i="2"/>
  <c r="F22" i="2"/>
  <c r="E10" i="2"/>
  <c r="AK8" i="2"/>
  <c r="AK17" i="2"/>
  <c r="AM21" i="2"/>
  <c r="K10" i="2"/>
  <c r="K18" i="2"/>
  <c r="I10" i="2"/>
  <c r="I18" i="2"/>
  <c r="G10" i="2"/>
  <c r="G18" i="2"/>
  <c r="H10" i="2"/>
  <c r="D9" i="1"/>
  <c r="M22" i="2"/>
  <c r="M13" i="2"/>
  <c r="AL18" i="2"/>
  <c r="AW3" i="2" l="1"/>
  <c r="AW5" i="2" s="1"/>
  <c r="AR20" i="2"/>
  <c r="N23" i="2"/>
  <c r="F15" i="2"/>
  <c r="F23" i="2"/>
  <c r="M15" i="2"/>
  <c r="M23" i="2"/>
  <c r="AJ13" i="2"/>
  <c r="J13" i="2"/>
  <c r="L22" i="2"/>
  <c r="L13" i="2"/>
  <c r="AN19" i="2"/>
  <c r="I13" i="2"/>
  <c r="I22" i="2"/>
  <c r="K13" i="2"/>
  <c r="K22" i="2"/>
  <c r="AK10" i="2"/>
  <c r="AK18" i="2"/>
  <c r="H13" i="2"/>
  <c r="H22" i="2"/>
  <c r="E13" i="2"/>
  <c r="E22" i="2"/>
  <c r="G13" i="2"/>
  <c r="G22" i="2"/>
  <c r="AN21" i="2"/>
  <c r="AL13" i="2"/>
  <c r="AL23" i="2" s="1"/>
  <c r="AX3" i="2" l="1"/>
  <c r="AX5" i="2" s="1"/>
  <c r="AS20" i="2"/>
  <c r="L15" i="2"/>
  <c r="L23" i="2"/>
  <c r="I15" i="2"/>
  <c r="I23" i="2"/>
  <c r="K15" i="2"/>
  <c r="K23" i="2"/>
  <c r="J15" i="2"/>
  <c r="J23" i="2"/>
  <c r="AJ15" i="2"/>
  <c r="AJ23" i="2"/>
  <c r="H15" i="2"/>
  <c r="H23" i="2"/>
  <c r="E15" i="2"/>
  <c r="E23" i="2"/>
  <c r="G15" i="2"/>
  <c r="G23" i="2"/>
  <c r="AO19" i="2"/>
  <c r="AL15" i="2"/>
  <c r="AO21" i="2"/>
  <c r="AK13" i="2"/>
  <c r="AK22" i="2"/>
  <c r="AY3" i="2" l="1"/>
  <c r="AY5" i="2" s="1"/>
  <c r="AT20" i="2"/>
  <c r="AK15" i="2"/>
  <c r="AK23" i="2"/>
  <c r="AP19" i="2"/>
  <c r="AO8" i="2"/>
  <c r="AO17" i="2"/>
  <c r="AP21" i="2"/>
  <c r="AZ3" i="2" l="1"/>
  <c r="AZ5" i="2" s="1"/>
  <c r="AU20" i="2"/>
  <c r="AQ4" i="2"/>
  <c r="AQ19" i="2"/>
  <c r="AQ21" i="2"/>
  <c r="AP17" i="2"/>
  <c r="AP8" i="2"/>
  <c r="AO18" i="2"/>
  <c r="AO10" i="2"/>
  <c r="BA3" i="2" l="1"/>
  <c r="BA5" i="2" s="1"/>
  <c r="AV20" i="2"/>
  <c r="AR19" i="2"/>
  <c r="AR4" i="2"/>
  <c r="AQ17" i="2"/>
  <c r="AQ8" i="2"/>
  <c r="AP10" i="2"/>
  <c r="AP18" i="2"/>
  <c r="AO22" i="2"/>
  <c r="AO13" i="2"/>
  <c r="AR21" i="2"/>
  <c r="AW20" i="2" l="1"/>
  <c r="AO15" i="2"/>
  <c r="AO23" i="2"/>
  <c r="AS19" i="2"/>
  <c r="AP22" i="2"/>
  <c r="AP13" i="2"/>
  <c r="AS21" i="2"/>
  <c r="AR17" i="2"/>
  <c r="AR8" i="2"/>
  <c r="AQ18" i="2"/>
  <c r="AQ10" i="2"/>
  <c r="AX20" i="2" l="1"/>
  <c r="AP23" i="2"/>
  <c r="AP15" i="2"/>
  <c r="AT19" i="2"/>
  <c r="AR18" i="2"/>
  <c r="AR10" i="2"/>
  <c r="AR11" i="2" s="1"/>
  <c r="AT21" i="2"/>
  <c r="AS4" i="2"/>
  <c r="AS8" i="2"/>
  <c r="AS17" i="2"/>
  <c r="AQ22" i="2"/>
  <c r="AY20" i="2" l="1"/>
  <c r="AU19" i="2"/>
  <c r="AQ13" i="2"/>
  <c r="AS10" i="2"/>
  <c r="AS11" i="2" s="1"/>
  <c r="AS18" i="2"/>
  <c r="AT4" i="2"/>
  <c r="AT8" i="2"/>
  <c r="AT17" i="2"/>
  <c r="AU21" i="2"/>
  <c r="AR22" i="2"/>
  <c r="BA20" i="2" l="1"/>
  <c r="AZ20" i="2"/>
  <c r="AV19" i="2"/>
  <c r="AQ15" i="2"/>
  <c r="AQ23" i="2"/>
  <c r="AR13" i="2"/>
  <c r="AV21" i="2"/>
  <c r="AT10" i="2"/>
  <c r="AT11" i="2" s="1"/>
  <c r="AT18" i="2"/>
  <c r="AU4" i="2"/>
  <c r="AU17" i="2"/>
  <c r="AU8" i="2"/>
  <c r="AS22" i="2"/>
  <c r="AW19" i="2" l="1"/>
  <c r="AW21" i="2"/>
  <c r="AR15" i="2"/>
  <c r="AR23" i="2"/>
  <c r="AS13" i="2"/>
  <c r="AV8" i="2"/>
  <c r="AV17" i="2"/>
  <c r="AU18" i="2"/>
  <c r="AU10" i="2"/>
  <c r="AU11" i="2" s="1"/>
  <c r="AT22" i="2"/>
  <c r="AT13" i="2"/>
  <c r="AV4" i="2"/>
  <c r="AX19" i="2" l="1"/>
  <c r="AW17" i="2"/>
  <c r="AW8" i="2"/>
  <c r="AX21" i="2"/>
  <c r="AX4" i="2"/>
  <c r="AW4" i="2"/>
  <c r="AT15" i="2"/>
  <c r="AT23" i="2"/>
  <c r="AS15" i="2"/>
  <c r="AS23" i="2"/>
  <c r="AU22" i="2"/>
  <c r="AV10" i="2"/>
  <c r="AV11" i="2" s="1"/>
  <c r="AV18" i="2"/>
  <c r="AY19" i="2" l="1"/>
  <c r="AX8" i="2"/>
  <c r="AX17" i="2"/>
  <c r="AY21" i="2"/>
  <c r="AY4" i="2"/>
  <c r="AW10" i="2"/>
  <c r="AW11" i="2" s="1"/>
  <c r="AW18" i="2"/>
  <c r="AU13" i="2"/>
  <c r="AV22" i="2"/>
  <c r="AV13" i="2"/>
  <c r="AV23" i="2" s="1"/>
  <c r="BA19" i="2" l="1"/>
  <c r="AZ19" i="2"/>
  <c r="AW22" i="2"/>
  <c r="AZ4" i="2"/>
  <c r="AZ21" i="2"/>
  <c r="AY17" i="2"/>
  <c r="AY8" i="2"/>
  <c r="AX18" i="2"/>
  <c r="AX10" i="2"/>
  <c r="AX11" i="2" s="1"/>
  <c r="AU15" i="2"/>
  <c r="AU23" i="2"/>
  <c r="AV15" i="2"/>
  <c r="AW13" i="2" l="1"/>
  <c r="AW15" i="2" s="1"/>
  <c r="BA21" i="2"/>
  <c r="AX22" i="2"/>
  <c r="AY18" i="2"/>
  <c r="AY10" i="2"/>
  <c r="AY11" i="2" s="1"/>
  <c r="AZ17" i="2"/>
  <c r="AZ8" i="2"/>
  <c r="AW23" i="2" l="1"/>
  <c r="BA17" i="2"/>
  <c r="BA8" i="2"/>
  <c r="AY22" i="2"/>
  <c r="AX13" i="2"/>
  <c r="AZ18" i="2"/>
  <c r="AZ10" i="2"/>
  <c r="AZ11" i="2" s="1"/>
  <c r="BA4" i="2"/>
  <c r="AY13" i="2" l="1"/>
  <c r="AY23" i="2" s="1"/>
  <c r="AZ22" i="2"/>
  <c r="AX23" i="2"/>
  <c r="AX15" i="2"/>
  <c r="BA18" i="2"/>
  <c r="BA10" i="2"/>
  <c r="BA11" i="2" s="1"/>
  <c r="AY15" i="2" l="1"/>
  <c r="AZ13" i="2"/>
  <c r="AZ23" i="2" s="1"/>
  <c r="BA22" i="2"/>
  <c r="BA13" i="2" l="1"/>
  <c r="BB13" i="2" s="1"/>
  <c r="BC13" i="2" s="1"/>
  <c r="BD13" i="2" s="1"/>
  <c r="BE13" i="2" s="1"/>
  <c r="BF13" i="2" s="1"/>
  <c r="BG13" i="2" s="1"/>
  <c r="BH13" i="2" s="1"/>
  <c r="BI13" i="2" s="1"/>
  <c r="BJ13" i="2" s="1"/>
  <c r="BK13" i="2" s="1"/>
  <c r="BL13" i="2" s="1"/>
  <c r="BM13" i="2" s="1"/>
  <c r="BN13" i="2" s="1"/>
  <c r="BO13" i="2" s="1"/>
  <c r="BP13" i="2" s="1"/>
  <c r="BQ13" i="2" s="1"/>
  <c r="BR13" i="2" s="1"/>
  <c r="BS13" i="2" s="1"/>
  <c r="BT13" i="2" s="1"/>
  <c r="BU13" i="2" s="1"/>
  <c r="BV13" i="2" s="1"/>
  <c r="BW13" i="2" s="1"/>
  <c r="BX13" i="2" s="1"/>
  <c r="BY13" i="2" s="1"/>
  <c r="BZ13" i="2" s="1"/>
  <c r="CA13" i="2" s="1"/>
  <c r="CB13" i="2" s="1"/>
  <c r="CC13" i="2" s="1"/>
  <c r="CD13" i="2" s="1"/>
  <c r="CE13" i="2" s="1"/>
  <c r="CF13" i="2" s="1"/>
  <c r="CG13" i="2" s="1"/>
  <c r="CH13" i="2" s="1"/>
  <c r="CI13" i="2" s="1"/>
  <c r="CJ13" i="2" s="1"/>
  <c r="CK13" i="2" s="1"/>
  <c r="CL13" i="2" s="1"/>
  <c r="CM13" i="2" s="1"/>
  <c r="CN13" i="2" s="1"/>
  <c r="CO13" i="2" s="1"/>
  <c r="CP13" i="2" s="1"/>
  <c r="CQ13" i="2" s="1"/>
  <c r="CR13" i="2" s="1"/>
  <c r="CS13" i="2" s="1"/>
  <c r="CT13" i="2" s="1"/>
  <c r="CU13" i="2" s="1"/>
  <c r="CV13" i="2" s="1"/>
  <c r="CW13" i="2" s="1"/>
  <c r="CX13" i="2" s="1"/>
  <c r="CY13" i="2" s="1"/>
  <c r="CZ13" i="2" s="1"/>
  <c r="DA13" i="2" s="1"/>
  <c r="DB13" i="2" s="1"/>
  <c r="DC13" i="2" s="1"/>
  <c r="DD13" i="2" s="1"/>
  <c r="DE13" i="2" s="1"/>
  <c r="DF13" i="2" s="1"/>
  <c r="DG13" i="2" s="1"/>
  <c r="DH13" i="2" s="1"/>
  <c r="DI13" i="2" s="1"/>
  <c r="DJ13" i="2" s="1"/>
  <c r="DK13" i="2" s="1"/>
  <c r="DL13" i="2" s="1"/>
  <c r="DM13" i="2" s="1"/>
  <c r="DN13" i="2" s="1"/>
  <c r="DO13" i="2" s="1"/>
  <c r="DP13" i="2" s="1"/>
  <c r="DQ13" i="2" s="1"/>
  <c r="DR13" i="2" s="1"/>
  <c r="DS13" i="2" s="1"/>
  <c r="DT13" i="2" s="1"/>
  <c r="DU13" i="2" s="1"/>
  <c r="DV13" i="2" s="1"/>
  <c r="DW13" i="2" s="1"/>
  <c r="DX13" i="2" s="1"/>
  <c r="DY13" i="2" s="1"/>
  <c r="DZ13" i="2" s="1"/>
  <c r="EA13" i="2" s="1"/>
  <c r="EB13" i="2" s="1"/>
  <c r="EC13" i="2" s="1"/>
  <c r="ED13" i="2" s="1"/>
  <c r="EE13" i="2" s="1"/>
  <c r="EF13" i="2" s="1"/>
  <c r="EG13" i="2" s="1"/>
  <c r="EH13" i="2" s="1"/>
  <c r="EI13" i="2" s="1"/>
  <c r="AZ15" i="2"/>
  <c r="BA23" i="2" l="1"/>
  <c r="BA15" i="2"/>
  <c r="AN5" i="2" l="1"/>
  <c r="AN8" i="2" s="1"/>
  <c r="AN18" i="2" s="1"/>
  <c r="AN17" i="2" l="1"/>
  <c r="AN10" i="2"/>
  <c r="AN22" i="2" s="1"/>
  <c r="AN13" i="2" l="1"/>
  <c r="AN15" i="2" l="1"/>
  <c r="AN23" i="2"/>
  <c r="AM5" i="2"/>
  <c r="AM8" i="2" s="1"/>
  <c r="AM10" i="2" l="1"/>
  <c r="AM18" i="2"/>
  <c r="AM17" i="2"/>
  <c r="AM22" i="2" l="1"/>
  <c r="AM13" i="2" l="1"/>
  <c r="AM23" i="2" s="1"/>
  <c r="AM15" i="2" l="1"/>
  <c r="BD21" i="2"/>
  <c r="BD23" i="2" s="1"/>
  <c r="BD24" i="2" s="1"/>
  <c r="BD26" i="2" s="1"/>
</calcChain>
</file>

<file path=xl/sharedStrings.xml><?xml version="1.0" encoding="utf-8"?>
<sst xmlns="http://schemas.openxmlformats.org/spreadsheetml/2006/main" count="76" uniqueCount="71">
  <si>
    <t>F</t>
  </si>
  <si>
    <t>Price</t>
  </si>
  <si>
    <t>Shares</t>
  </si>
  <si>
    <t>MC</t>
  </si>
  <si>
    <t>Time last checked</t>
  </si>
  <si>
    <t>Today</t>
  </si>
  <si>
    <t>Cash</t>
  </si>
  <si>
    <t>Debt</t>
  </si>
  <si>
    <t>Net Cash</t>
  </si>
  <si>
    <t>EV</t>
  </si>
  <si>
    <t>Q220</t>
  </si>
  <si>
    <t>Revenue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</si>
  <si>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</si>
  <si>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</si>
  <si>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</si>
  <si>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</si>
  <si>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</si>
  <si>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</si>
  <si>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</si>
  <si>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</si>
  <si>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</si>
  <si>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Q320</t>
  </si>
  <si>
    <t>Q420</t>
  </si>
  <si>
    <t>Cost of sales</t>
  </si>
  <si>
    <t>Gross profit</t>
  </si>
  <si>
    <t>SG&amp;A</t>
  </si>
  <si>
    <t>Other operating expense</t>
  </si>
  <si>
    <t>Operating profit</t>
  </si>
  <si>
    <t>Net financing expense</t>
  </si>
  <si>
    <t>Pretax income</t>
  </si>
  <si>
    <t>Taxes</t>
  </si>
  <si>
    <t>Net income</t>
  </si>
  <si>
    <t>Minority interest</t>
  </si>
  <si>
    <t>EPS</t>
  </si>
  <si>
    <t>Gross Margin</t>
  </si>
  <si>
    <t>Operating Margin</t>
  </si>
  <si>
    <t>Revenue y/y</t>
  </si>
  <si>
    <t>Maturity</t>
  </si>
  <si>
    <t>Discount rate</t>
  </si>
  <si>
    <t>NPV</t>
  </si>
  <si>
    <t>Net cash</t>
  </si>
  <si>
    <t>Value</t>
  </si>
  <si>
    <t>Per share</t>
  </si>
  <si>
    <t>Current price</t>
  </si>
  <si>
    <t>Variance</t>
  </si>
  <si>
    <t>Earnings</t>
  </si>
  <si>
    <t>Consensus</t>
  </si>
  <si>
    <t>SG&amp;A y/y</t>
  </si>
  <si>
    <t>Q324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</si>
  <si>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</si>
  <si>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</si>
  <si>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</si>
  <si>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</si>
  <si>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</si>
  <si>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</si>
  <si>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</si>
  <si>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</si>
  <si>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</si>
  <si>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</si>
  <si>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</si>
  <si>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</si>
  <si>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</si>
  <si>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</si>
  <si>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Q424</t>
  </si>
  <si>
    <t>Net Margin</t>
  </si>
  <si>
    <t>Other operating y/y</t>
  </si>
  <si>
    <t>Q125</t>
  </si>
  <si>
    <t>Q225</t>
  </si>
  <si>
    <t>Q325</t>
  </si>
  <si>
    <t>Q425</t>
  </si>
  <si>
    <t>Heavily overvalued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</si>
</sst>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2" fillId="2" borderId="1" xfId="0" applyFont="1" applyFill="1" applyBorder="1"/>
    <xf numFmtId="164" fontId="3" fillId="2" borderId="1" xfId="0" applyNumberFormat="1" applyFont="1" applyFill="1" applyBorder="1"/>
    <xf numFmtId="14" fontId="4" fillId="2" borderId="1" xfId="0" applyNumberFormat="1" applyFont="1" applyFill="1" applyBorder="1" applyAlignment="1">
      <alignment horizontal="right"/>
    </xf>
    <xf numFmtId="3" fontId="3" fillId="2" borderId="1" xfId="0" applyNumberFormat="1" applyFont="1" applyFill="1" applyBorder="1"/>
    <xf numFmtId="0" fontId="3" fillId="2" borderId="1" xfId="0" applyFont="1" applyFill="1" applyBorder="1" applyAlignment="1">
      <alignment horizontal="right"/>
    </xf>
    <xf numFmtId="3" fontId="2" fillId="2" borderId="1" xfId="0" applyNumberFormat="1" applyFont="1" applyFill="1" applyBorder="1"/>
    <xf numFmtId="2" fontId="2" fillId="2" borderId="1" xfId="0" applyNumberFormat="1" applyFont="1" applyFill="1" applyBorder="1"/>
    <xf numFmtId="9" fontId="2" fillId="2" borderId="1" xfId="0" applyNumberFormat="1" applyFont="1" applyFill="1" applyBorder="1"/>
    <xf numFmtId="9" fontId="3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38100</xdr:colOff>
      <xdr:row>0</xdr:row>
      <xdr:rowOff>0</xdr:rowOff>
    </xdr:from>
    <xdr:to>
      <xdr:col>30</xdr:col>
      <xdr:colOff>38100</xdr:colOff>
      <xdr:row>34</xdr:row>
      <xdr:rowOff>83820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798D98C-A719-6EED-A8F0-D9D18A5DFEB2}"/>
            </a:ext>
          </a:extLst>
        </xdr:cNvPr>
        <xdr:cNvCxnSpPr/>
      </xdr:nvCxnSpPr>
      <xdr:spPr>
        <a:xfrm>
          <a:off x="19629120" y="0"/>
          <a:ext cx="0" cy="63017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30480</xdr:colOff>
      <xdr:row>0</xdr:row>
      <xdr:rowOff>15240</xdr:rowOff>
    </xdr:from>
    <xdr:to>
      <xdr:col>42</xdr:col>
      <xdr:colOff>30480</xdr:colOff>
      <xdr:row>34</xdr:row>
      <xdr:rowOff>106680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F34FFC18-1D80-33EB-6ED5-7CB795096152}"/>
            </a:ext>
          </a:extLst>
        </xdr:cNvPr>
        <xdr:cNvCxnSpPr/>
      </xdr:nvCxnSpPr>
      <xdr:spPr>
        <a:xfrm>
          <a:off x="26997660" y="15240"/>
          <a:ext cx="0" cy="63093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9CA4-60CA-4981-A890-E233DC6588EE}">
  <dimension ref="B2:G9"/>
  <sheetViews>
    <sheetView workbookViewId="0">
      <selection activeCell="D4" sqref="D4"/>
    </sheetView>
  </sheetViews>
  <sheetFormatPr defaultRowHeight="14.4" x14ac:dyDescent="0.3"/>
  <cols>
    <col min="1" max="4" width="8.88671875" style="1"/>
    <col min="5" max="6" width="15.33203125" style="2" customWidth="1"/>
    <col min="7" max="7" width="15.77734375" style="2" customWidth="1"/>
    <col min="8" max="16384" width="8.88671875" style="1"/>
  </cols>
  <sheetData>
    <row r="2" spans="2:7" x14ac:dyDescent="0.3">
      <c r="E2" s="2" t="s">
        <v>4</v>
      </c>
      <c r="F2" s="2" t="s">
        <v>5</v>
      </c>
      <c r="G2" s="2" t="s">
        <v>45</v>
      </c>
    </row>
    <row r="3" spans="2:7" x14ac:dyDescent="0.3">
      <c r="B3" s="3" t="s">
        <v>0</v>
      </c>
      <c r="C3" s="1" t="s">
        <v>1</v>
      </c>
      <c r="D3" s="4">
        <v>9.77</v>
      </c>
      <c r="E3" s="5">
        <v>45771</v>
      </c>
      <c r="F3" s="5">
        <f ca="1">TODAY()</f>
        <v>45771</v>
      </c>
      <c r="G3" s="5">
        <v>45782</v>
      </c>
    </row>
    <row r="4" spans="2:7" x14ac:dyDescent="0.3">
      <c r="C4" s="1" t="s">
        <v>2</v>
      </c>
      <c r="D4" s="6">
        <f>3892.6+70.9</f>
        <v>3963.5</v>
      </c>
      <c r="E4" s="2" t="s">
        <v>63</v>
      </c>
    </row>
    <row r="5" spans="2:7" x14ac:dyDescent="0.3">
      <c r="C5" s="1" t="s">
        <v>3</v>
      </c>
      <c r="D5" s="6">
        <f>D3*D4</f>
        <v>38723.394999999997</v>
      </c>
    </row>
    <row r="6" spans="2:7" x14ac:dyDescent="0.3">
      <c r="C6" s="1" t="s">
        <v>6</v>
      </c>
      <c r="D6" s="6">
        <f>24862+15309</f>
        <v>40171</v>
      </c>
      <c r="E6" s="2" t="s">
        <v>63</v>
      </c>
    </row>
    <row r="7" spans="2:7" x14ac:dyDescent="0.3">
      <c r="C7" s="1" t="s">
        <v>7</v>
      </c>
      <c r="D7" s="6">
        <f>477+49192+19467+80095</f>
        <v>149231</v>
      </c>
      <c r="E7" s="2" t="s">
        <v>63</v>
      </c>
    </row>
    <row r="8" spans="2:7" x14ac:dyDescent="0.3">
      <c r="C8" s="1" t="s">
        <v>8</v>
      </c>
      <c r="D8" s="6">
        <f>D6-D7</f>
        <v>-109060</v>
      </c>
    </row>
    <row r="9" spans="2:7" x14ac:dyDescent="0.3">
      <c r="C9" s="1" t="s">
        <v>9</v>
      </c>
      <c r="D9" s="6">
        <f>D5-D8</f>
        <v>147783.39499999999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944DE-D88E-43F6-8A3B-B934A18A62BC}">
  <dimension ref="B2:EI27"/>
  <sheetViews>
    <sheetView tabSelected="1" zoomScaleNormal="100" workbookViewId="0">
      <pane xSplit="2" ySplit="2" topLeftCell="Y3" activePane="bottomRight" state="frozen"/>
      <selection pane="topRight" activeCell="C1" sqref="C1"/>
      <selection pane="bottomLeft" activeCell="A3" sqref="A3"/>
      <selection pane="bottomRight" activeCell="AG7" sqref="AG7"/>
    </sheetView>
  </sheetViews>
  <sheetFormatPr defaultRowHeight="14.4" x14ac:dyDescent="0.3"/>
  <cols>
    <col min="1" max="1" width="8.88671875" style="1"/>
    <col min="2" max="2" width="21.33203125" style="1" bestFit="1" customWidth="1"/>
    <col min="3" max="6" width="9.109375" style="1" bestFit="1" customWidth="1"/>
    <col min="7" max="7" width="9.44140625" style="1" customWidth="1"/>
    <col min="8" max="14" width="9.109375" style="1" bestFit="1" customWidth="1"/>
    <col min="15" max="34" width="9.109375" style="1" customWidth="1"/>
    <col min="35" max="54" width="8.88671875" style="1"/>
    <col min="55" max="55" width="12" style="1" bestFit="1" customWidth="1"/>
    <col min="56" max="56" width="16.44140625" style="1" bestFit="1" customWidth="1"/>
    <col min="57" max="16384" width="8.88671875" style="1"/>
  </cols>
  <sheetData>
    <row r="2" spans="2:139" x14ac:dyDescent="0.3">
      <c r="C2" s="7" t="s">
        <v>12</v>
      </c>
      <c r="D2" s="7" t="s">
        <v>13</v>
      </c>
      <c r="E2" s="7" t="s">
        <v>14</v>
      </c>
      <c r="F2" s="7" t="s">
        <v>15</v>
      </c>
      <c r="G2" s="7" t="s">
        <v>16</v>
      </c>
      <c r="H2" s="7" t="s">
        <v>17</v>
      </c>
      <c r="I2" s="7" t="s">
        <v>18</v>
      </c>
      <c r="J2" s="7" t="s">
        <v>19</v>
      </c>
      <c r="K2" s="7" t="s">
        <v>20</v>
      </c>
      <c r="L2" s="7" t="s">
        <v>10</v>
      </c>
      <c r="M2" s="7" t="s">
        <v>21</v>
      </c>
      <c r="N2" s="7" t="s">
        <v>22</v>
      </c>
      <c r="O2" s="7" t="s">
        <v>49</v>
      </c>
      <c r="P2" s="7" t="s">
        <v>50</v>
      </c>
      <c r="Q2" s="7" t="s">
        <v>51</v>
      </c>
      <c r="R2" s="7" t="s">
        <v>52</v>
      </c>
      <c r="S2" s="7" t="s">
        <v>53</v>
      </c>
      <c r="T2" s="7" t="s">
        <v>54</v>
      </c>
      <c r="U2" s="7" t="s">
        <v>55</v>
      </c>
      <c r="V2" s="7" t="s">
        <v>56</v>
      </c>
      <c r="W2" s="7" t="s">
        <v>57</v>
      </c>
      <c r="X2" s="7" t="s">
        <v>58</v>
      </c>
      <c r="Y2" s="7" t="s">
        <v>59</v>
      </c>
      <c r="Z2" s="7" t="s">
        <v>60</v>
      </c>
      <c r="AA2" s="7" t="s">
        <v>61</v>
      </c>
      <c r="AB2" s="7" t="s">
        <v>62</v>
      </c>
      <c r="AC2" s="7" t="s">
        <v>48</v>
      </c>
      <c r="AD2" s="7" t="s">
        <v>63</v>
      </c>
      <c r="AE2" s="7" t="s">
        <v>66</v>
      </c>
      <c r="AF2" s="7" t="s">
        <v>67</v>
      </c>
      <c r="AG2" s="7" t="s">
        <v>68</v>
      </c>
      <c r="AH2" s="7" t="s">
        <v>69</v>
      </c>
      <c r="AJ2" s="1">
        <v>2018</v>
      </c>
      <c r="AK2" s="1">
        <v>2019</v>
      </c>
      <c r="AL2" s="1">
        <v>2020</v>
      </c>
      <c r="AM2" s="1">
        <v>2021</v>
      </c>
      <c r="AN2" s="1">
        <v>2022</v>
      </c>
      <c r="AO2" s="1">
        <v>2023</v>
      </c>
      <c r="AP2" s="1">
        <v>2024</v>
      </c>
      <c r="AQ2" s="1">
        <v>2025</v>
      </c>
      <c r="AR2" s="1">
        <v>2026</v>
      </c>
      <c r="AS2" s="1">
        <v>2027</v>
      </c>
      <c r="AT2" s="1">
        <v>2028</v>
      </c>
      <c r="AU2" s="1">
        <v>2029</v>
      </c>
      <c r="AV2" s="1">
        <v>2030</v>
      </c>
      <c r="AW2" s="1">
        <v>2031</v>
      </c>
      <c r="AX2" s="1">
        <v>2032</v>
      </c>
      <c r="AY2" s="1">
        <v>2033</v>
      </c>
      <c r="AZ2" s="1">
        <v>2034</v>
      </c>
      <c r="BA2" s="1">
        <v>2035</v>
      </c>
    </row>
    <row r="3" spans="2:139" s="3" customFormat="1" x14ac:dyDescent="0.3">
      <c r="B3" s="3" t="s">
        <v>11</v>
      </c>
      <c r="C3" s="8">
        <v>41959</v>
      </c>
      <c r="D3" s="8">
        <v>38920</v>
      </c>
      <c r="E3" s="8">
        <v>37666</v>
      </c>
      <c r="F3" s="8">
        <f>160338-E3-D3-C3</f>
        <v>41793</v>
      </c>
      <c r="G3" s="8">
        <v>40342</v>
      </c>
      <c r="H3" s="8">
        <v>38853</v>
      </c>
      <c r="I3" s="8">
        <v>36990</v>
      </c>
      <c r="J3" s="8">
        <f>155900-I3-H3-G3</f>
        <v>39715</v>
      </c>
      <c r="K3" s="8">
        <v>34320</v>
      </c>
      <c r="L3" s="8">
        <v>19371</v>
      </c>
      <c r="M3" s="8">
        <v>37501</v>
      </c>
      <c r="N3" s="8">
        <f>AL3-M3-L3-K3</f>
        <v>35952</v>
      </c>
      <c r="O3" s="8">
        <v>36228</v>
      </c>
      <c r="P3" s="8">
        <v>26752</v>
      </c>
      <c r="Q3" s="8">
        <v>35683</v>
      </c>
      <c r="R3" s="8">
        <f>AM3-Q3-P3-O3</f>
        <v>37678</v>
      </c>
      <c r="S3" s="8">
        <v>34476</v>
      </c>
      <c r="T3" s="8">
        <v>40190</v>
      </c>
      <c r="U3" s="8">
        <v>39392</v>
      </c>
      <c r="V3" s="8">
        <f>AN3-U3-T3-S3</f>
        <v>43999</v>
      </c>
      <c r="W3" s="8">
        <v>41474</v>
      </c>
      <c r="X3" s="8">
        <v>44954</v>
      </c>
      <c r="Y3" s="8">
        <v>43801</v>
      </c>
      <c r="Z3" s="8">
        <f>AO3-Y3-X3-W3</f>
        <v>45962</v>
      </c>
      <c r="AA3" s="8">
        <v>42777</v>
      </c>
      <c r="AB3" s="8">
        <v>47808</v>
      </c>
      <c r="AC3" s="8">
        <v>46196</v>
      </c>
      <c r="AD3" s="8">
        <f>AP3-AC3-AB3-AA3</f>
        <v>48211</v>
      </c>
      <c r="AE3" s="8"/>
      <c r="AF3" s="8"/>
      <c r="AG3" s="8"/>
      <c r="AH3" s="8"/>
      <c r="AJ3" s="8">
        <f>SUM(C3:F3)</f>
        <v>160338</v>
      </c>
      <c r="AK3" s="8">
        <f>SUM(G3:J3)</f>
        <v>155900</v>
      </c>
      <c r="AL3" s="8">
        <v>127144</v>
      </c>
      <c r="AM3" s="8">
        <v>136341</v>
      </c>
      <c r="AN3" s="8">
        <v>158057</v>
      </c>
      <c r="AO3" s="8">
        <v>176191</v>
      </c>
      <c r="AP3" s="8">
        <v>184992</v>
      </c>
      <c r="AQ3" s="8">
        <f>AP3*1.04</f>
        <v>192391.67999999999</v>
      </c>
      <c r="AR3" s="8">
        <f>AQ3*1.02</f>
        <v>196239.51360000001</v>
      </c>
      <c r="AS3" s="8">
        <f t="shared" ref="AS3:BA3" si="0">AR3*1.01</f>
        <v>198201.90873600001</v>
      </c>
      <c r="AT3" s="8">
        <f t="shared" si="0"/>
        <v>200183.92782336002</v>
      </c>
      <c r="AU3" s="8">
        <f t="shared" si="0"/>
        <v>202185.76710159364</v>
      </c>
      <c r="AV3" s="8">
        <f t="shared" si="0"/>
        <v>204207.62477260956</v>
      </c>
      <c r="AW3" s="8">
        <f t="shared" si="0"/>
        <v>206249.70102033566</v>
      </c>
      <c r="AX3" s="8">
        <f t="shared" si="0"/>
        <v>208312.19803053903</v>
      </c>
      <c r="AY3" s="8">
        <f t="shared" si="0"/>
        <v>210395.32001084441</v>
      </c>
      <c r="AZ3" s="8">
        <f t="shared" si="0"/>
        <v>212499.27321095287</v>
      </c>
      <c r="BA3" s="8">
        <f t="shared" si="0"/>
        <v>214624.2659430624</v>
      </c>
    </row>
    <row r="4" spans="2:139" x14ac:dyDescent="0.3">
      <c r="B4" s="1" t="s">
        <v>23</v>
      </c>
      <c r="C4" s="6">
        <v>35753</v>
      </c>
      <c r="D4" s="6">
        <v>33194</v>
      </c>
      <c r="E4" s="6">
        <v>31568</v>
      </c>
      <c r="F4" s="6">
        <f>136269-E4-D4-C4</f>
        <v>35754</v>
      </c>
      <c r="G4" s="6">
        <v>33942</v>
      </c>
      <c r="H4" s="6">
        <v>33657</v>
      </c>
      <c r="I4" s="6">
        <v>32282</v>
      </c>
      <c r="J4" s="6">
        <f>134693-I4-H4-G4</f>
        <v>34812</v>
      </c>
      <c r="K4" s="6">
        <v>30522</v>
      </c>
      <c r="L4" s="6">
        <v>17932</v>
      </c>
      <c r="M4" s="6">
        <v>31223</v>
      </c>
      <c r="N4" s="6">
        <f>AL4-M4-L4-K4</f>
        <v>33075</v>
      </c>
      <c r="O4" s="6">
        <v>29297</v>
      </c>
      <c r="P4" s="6">
        <v>22904</v>
      </c>
      <c r="Q4" s="6">
        <v>30057</v>
      </c>
      <c r="R4" s="6">
        <f>AM4-Q4-P4-O4</f>
        <v>32393</v>
      </c>
      <c r="S4" s="6">
        <v>29036</v>
      </c>
      <c r="T4" s="6">
        <v>33191</v>
      </c>
      <c r="U4" s="6">
        <v>34354</v>
      </c>
      <c r="V4" s="6">
        <f>AN4-U4-T4-S4</f>
        <v>37816</v>
      </c>
      <c r="W4" s="6">
        <v>34669</v>
      </c>
      <c r="X4" s="6">
        <v>37471</v>
      </c>
      <c r="Y4" s="6">
        <v>37548</v>
      </c>
      <c r="Z4" s="6">
        <f>AO4-Y4-X4-W4</f>
        <v>40862</v>
      </c>
      <c r="AA4" s="6">
        <v>36476</v>
      </c>
      <c r="AB4" s="6">
        <v>40489</v>
      </c>
      <c r="AC4" s="6">
        <v>40168</v>
      </c>
      <c r="AD4" s="6">
        <f>AP4-AC4-AB4-AA4</f>
        <v>41301</v>
      </c>
      <c r="AE4" s="6"/>
      <c r="AF4" s="6"/>
      <c r="AG4" s="6"/>
      <c r="AH4" s="6"/>
      <c r="AJ4" s="6">
        <f>SUM(C4:F4)</f>
        <v>136269</v>
      </c>
      <c r="AK4" s="6">
        <f>SUM(G4:J4)</f>
        <v>134693</v>
      </c>
      <c r="AL4" s="6">
        <v>112752</v>
      </c>
      <c r="AM4" s="6">
        <v>114651</v>
      </c>
      <c r="AN4" s="6">
        <v>134397</v>
      </c>
      <c r="AO4" s="6">
        <v>150550</v>
      </c>
      <c r="AP4" s="6">
        <v>158434</v>
      </c>
      <c r="AQ4" s="6">
        <f t="shared" ref="AQ4:AV4" si="1">AQ3-AQ5</f>
        <v>165456.84479999999</v>
      </c>
      <c r="AR4" s="6">
        <f t="shared" si="1"/>
        <v>168765.981696</v>
      </c>
      <c r="AS4" s="6">
        <f t="shared" si="1"/>
        <v>170453.64151296002</v>
      </c>
      <c r="AT4" s="6">
        <f t="shared" si="1"/>
        <v>172158.17792808963</v>
      </c>
      <c r="AU4" s="6">
        <f t="shared" si="1"/>
        <v>173879.75970737054</v>
      </c>
      <c r="AV4" s="6">
        <f t="shared" si="1"/>
        <v>175618.55730444423</v>
      </c>
      <c r="AW4" s="6">
        <f t="shared" ref="AW4:BA4" si="2">AW3-AW5</f>
        <v>177374.74287748866</v>
      </c>
      <c r="AX4" s="6">
        <f t="shared" si="2"/>
        <v>179148.49030626356</v>
      </c>
      <c r="AY4" s="6">
        <f t="shared" si="2"/>
        <v>180939.97520932619</v>
      </c>
      <c r="AZ4" s="6">
        <f t="shared" si="2"/>
        <v>182749.37496141947</v>
      </c>
      <c r="BA4" s="6">
        <f t="shared" si="2"/>
        <v>184576.86871103366</v>
      </c>
    </row>
    <row r="5" spans="2:139" s="3" customFormat="1" x14ac:dyDescent="0.3">
      <c r="B5" s="3" t="s">
        <v>24</v>
      </c>
      <c r="C5" s="8">
        <f t="shared" ref="C5:M5" si="3">C3-C4</f>
        <v>6206</v>
      </c>
      <c r="D5" s="8">
        <f t="shared" si="3"/>
        <v>5726</v>
      </c>
      <c r="E5" s="8">
        <f t="shared" si="3"/>
        <v>6098</v>
      </c>
      <c r="F5" s="8">
        <f t="shared" si="3"/>
        <v>6039</v>
      </c>
      <c r="G5" s="8">
        <f t="shared" si="3"/>
        <v>6400</v>
      </c>
      <c r="H5" s="8">
        <f t="shared" si="3"/>
        <v>5196</v>
      </c>
      <c r="I5" s="8">
        <f t="shared" si="3"/>
        <v>4708</v>
      </c>
      <c r="J5" s="8">
        <f t="shared" si="3"/>
        <v>4903</v>
      </c>
      <c r="K5" s="8">
        <f t="shared" si="3"/>
        <v>3798</v>
      </c>
      <c r="L5" s="8">
        <f t="shared" si="3"/>
        <v>1439</v>
      </c>
      <c r="M5" s="8">
        <f t="shared" si="3"/>
        <v>6278</v>
      </c>
      <c r="N5" s="8">
        <f>N3*0.15</f>
        <v>5392.8</v>
      </c>
      <c r="O5" s="8">
        <f t="shared" ref="O5" si="4">O3-O4</f>
        <v>6931</v>
      </c>
      <c r="P5" s="8">
        <f t="shared" ref="P5" si="5">P3-P4</f>
        <v>3848</v>
      </c>
      <c r="Q5" s="8">
        <f t="shared" ref="Q5:R5" si="6">Q3-Q4</f>
        <v>5626</v>
      </c>
      <c r="R5" s="8">
        <f t="shared" si="6"/>
        <v>5285</v>
      </c>
      <c r="S5" s="8">
        <f t="shared" ref="S5" si="7">S3-S4</f>
        <v>5440</v>
      </c>
      <c r="T5" s="8">
        <f t="shared" ref="T5" si="8">T3-T4</f>
        <v>6999</v>
      </c>
      <c r="U5" s="8">
        <f t="shared" ref="U5:W5" si="9">U3-U4</f>
        <v>5038</v>
      </c>
      <c r="V5" s="8">
        <f t="shared" si="9"/>
        <v>6183</v>
      </c>
      <c r="W5" s="8">
        <f t="shared" si="9"/>
        <v>6805</v>
      </c>
      <c r="X5" s="8">
        <f t="shared" ref="X5" si="10">X3-X4</f>
        <v>7483</v>
      </c>
      <c r="Y5" s="8">
        <f t="shared" ref="Y5:Z5" si="11">Y3-Y4</f>
        <v>6253</v>
      </c>
      <c r="Z5" s="8">
        <f t="shared" si="11"/>
        <v>5100</v>
      </c>
      <c r="AA5" s="8">
        <f t="shared" ref="AA5" si="12">AA3-AA4</f>
        <v>6301</v>
      </c>
      <c r="AB5" s="8">
        <f t="shared" ref="AB5" si="13">AB3-AB4</f>
        <v>7319</v>
      </c>
      <c r="AC5" s="8">
        <f t="shared" ref="AC5" si="14">AC3-AC4</f>
        <v>6028</v>
      </c>
      <c r="AD5" s="8">
        <f>AD3*0.13</f>
        <v>6267.43</v>
      </c>
      <c r="AE5" s="8"/>
      <c r="AF5" s="8"/>
      <c r="AG5" s="8"/>
      <c r="AH5" s="8"/>
      <c r="AJ5" s="8">
        <f>AJ3-AJ4</f>
        <v>24069</v>
      </c>
      <c r="AK5" s="8">
        <f>AK3-AK4</f>
        <v>21207</v>
      </c>
      <c r="AL5" s="8">
        <f>AL3-AL4</f>
        <v>14392</v>
      </c>
      <c r="AM5" s="8">
        <f t="shared" ref="AM5:AP5" si="15">AM3-AM4</f>
        <v>21690</v>
      </c>
      <c r="AN5" s="8">
        <f t="shared" si="15"/>
        <v>23660</v>
      </c>
      <c r="AO5" s="8">
        <f t="shared" si="15"/>
        <v>25641</v>
      </c>
      <c r="AP5" s="8">
        <f t="shared" si="15"/>
        <v>26558</v>
      </c>
      <c r="AQ5" s="8">
        <f>AQ3*0.14</f>
        <v>26934.835200000001</v>
      </c>
      <c r="AR5" s="8">
        <f t="shared" ref="AR5:BA5" si="16">AR3*0.14</f>
        <v>27473.531904000003</v>
      </c>
      <c r="AS5" s="8">
        <f t="shared" si="16"/>
        <v>27748.267223040006</v>
      </c>
      <c r="AT5" s="8">
        <f t="shared" si="16"/>
        <v>28025.749895270405</v>
      </c>
      <c r="AU5" s="8">
        <f t="shared" si="16"/>
        <v>28306.00739422311</v>
      </c>
      <c r="AV5" s="8">
        <f t="shared" si="16"/>
        <v>28589.06746816534</v>
      </c>
      <c r="AW5" s="8">
        <f t="shared" si="16"/>
        <v>28874.958142846994</v>
      </c>
      <c r="AX5" s="8">
        <f t="shared" si="16"/>
        <v>29163.707724275468</v>
      </c>
      <c r="AY5" s="8">
        <f t="shared" si="16"/>
        <v>29455.344801518222</v>
      </c>
      <c r="AZ5" s="8">
        <f t="shared" si="16"/>
        <v>29749.898249533406</v>
      </c>
      <c r="BA5" s="8">
        <f t="shared" si="16"/>
        <v>30047.397232028739</v>
      </c>
    </row>
    <row r="6" spans="2:139" x14ac:dyDescent="0.3">
      <c r="B6" s="1" t="s">
        <v>25</v>
      </c>
      <c r="C6" s="6">
        <v>2747</v>
      </c>
      <c r="D6" s="6">
        <v>2778</v>
      </c>
      <c r="E6" s="6">
        <v>2882</v>
      </c>
      <c r="F6" s="6">
        <f>11403-E6-D6-C6</f>
        <v>2996</v>
      </c>
      <c r="G6" s="6">
        <v>2843</v>
      </c>
      <c r="H6" s="6">
        <v>2725</v>
      </c>
      <c r="I6" s="6">
        <v>2601</v>
      </c>
      <c r="J6" s="6">
        <f>11161-I6-H6-G6</f>
        <v>2992</v>
      </c>
      <c r="K6" s="6">
        <v>2432</v>
      </c>
      <c r="L6" s="6">
        <v>1965</v>
      </c>
      <c r="M6" s="6">
        <v>2266</v>
      </c>
      <c r="N6" s="6">
        <f>AL6-M6-L6-K6</f>
        <v>3530</v>
      </c>
      <c r="O6" s="6">
        <v>2843</v>
      </c>
      <c r="P6" s="6">
        <v>2877</v>
      </c>
      <c r="Q6" s="6">
        <v>2947</v>
      </c>
      <c r="R6" s="6">
        <f>AM6-Q6-P6-O6</f>
        <v>3248</v>
      </c>
      <c r="S6" s="6">
        <v>2740</v>
      </c>
      <c r="T6" s="6">
        <v>2759</v>
      </c>
      <c r="U6" s="6">
        <v>2847</v>
      </c>
      <c r="V6" s="6">
        <f>AN6-U6-T6-S6</f>
        <v>2542</v>
      </c>
      <c r="W6" s="6">
        <v>2506</v>
      </c>
      <c r="X6" s="6">
        <v>2750</v>
      </c>
      <c r="Y6" s="6">
        <v>2671</v>
      </c>
      <c r="Z6" s="6">
        <f>AO6-Y6-X6-W6</f>
        <v>2775</v>
      </c>
      <c r="AA6" s="6">
        <v>2376</v>
      </c>
      <c r="AB6" s="6">
        <v>2678</v>
      </c>
      <c r="AC6" s="6">
        <v>2456</v>
      </c>
      <c r="AD6" s="6">
        <f t="shared" ref="AD6:AD7" si="17">AP6-AC6-AB6-AA6</f>
        <v>2777</v>
      </c>
      <c r="AE6" s="6"/>
      <c r="AF6" s="6"/>
      <c r="AG6" s="6"/>
      <c r="AH6" s="6"/>
      <c r="AJ6" s="6">
        <f>SUM(C6:F6)</f>
        <v>11403</v>
      </c>
      <c r="AK6" s="6">
        <f>SUM(G6:J6)</f>
        <v>11161</v>
      </c>
      <c r="AL6" s="6">
        <v>10193</v>
      </c>
      <c r="AM6" s="6">
        <v>11915</v>
      </c>
      <c r="AN6" s="6">
        <v>10888</v>
      </c>
      <c r="AO6" s="6">
        <v>10702</v>
      </c>
      <c r="AP6" s="6">
        <v>10287</v>
      </c>
      <c r="AQ6" s="6">
        <f>AP6*0.93</f>
        <v>9566.91</v>
      </c>
      <c r="AR6" s="6">
        <f>AQ6*0.95</f>
        <v>9088.5644999999986</v>
      </c>
      <c r="AS6" s="6">
        <f t="shared" ref="AS6:BA7" si="18">AR6*1.01</f>
        <v>9179.4501449999989</v>
      </c>
      <c r="AT6" s="6">
        <f t="shared" si="18"/>
        <v>9271.244646449999</v>
      </c>
      <c r="AU6" s="6">
        <f t="shared" si="18"/>
        <v>9363.9570929144993</v>
      </c>
      <c r="AV6" s="6">
        <f t="shared" si="18"/>
        <v>9457.5966638436439</v>
      </c>
      <c r="AW6" s="6">
        <f t="shared" si="18"/>
        <v>9552.1726304820804</v>
      </c>
      <c r="AX6" s="6">
        <f t="shared" si="18"/>
        <v>9647.6943567869021</v>
      </c>
      <c r="AY6" s="6">
        <f t="shared" si="18"/>
        <v>9744.171300354772</v>
      </c>
      <c r="AZ6" s="6">
        <f t="shared" si="18"/>
        <v>9841.6130133583192</v>
      </c>
      <c r="BA6" s="6">
        <f t="shared" si="18"/>
        <v>9940.0291434919018</v>
      </c>
    </row>
    <row r="7" spans="2:139" x14ac:dyDescent="0.3">
      <c r="B7" s="1" t="s">
        <v>26</v>
      </c>
      <c r="C7" s="6">
        <v>2338</v>
      </c>
      <c r="D7" s="6">
        <v>2362</v>
      </c>
      <c r="E7" s="6">
        <v>2352</v>
      </c>
      <c r="F7" s="6">
        <f>9463-E7-D7-C7</f>
        <v>2411</v>
      </c>
      <c r="G7" s="6">
        <v>2355</v>
      </c>
      <c r="H7" s="6">
        <v>2381</v>
      </c>
      <c r="I7" s="6">
        <v>2368</v>
      </c>
      <c r="J7" s="6">
        <f>9472-I7-H7-G7</f>
        <v>2368</v>
      </c>
      <c r="K7" s="6">
        <v>2924</v>
      </c>
      <c r="L7" s="6">
        <v>2233</v>
      </c>
      <c r="M7" s="6">
        <v>1661</v>
      </c>
      <c r="N7" s="6">
        <f>AL7-M7-L7-K7</f>
        <v>1789</v>
      </c>
      <c r="O7" s="6">
        <v>1624</v>
      </c>
      <c r="P7" s="6">
        <v>993</v>
      </c>
      <c r="Q7" s="6">
        <v>1337</v>
      </c>
      <c r="R7" s="6">
        <f>AM7-Q7-P7-O7</f>
        <v>1298</v>
      </c>
      <c r="S7" s="6">
        <v>1357</v>
      </c>
      <c r="T7" s="6">
        <v>1372</v>
      </c>
      <c r="U7" s="6">
        <v>1687</v>
      </c>
      <c r="V7" s="6">
        <f>AN7-U7-T7-S7</f>
        <v>2080</v>
      </c>
      <c r="W7" s="6">
        <v>2186</v>
      </c>
      <c r="X7" s="6">
        <v>2272</v>
      </c>
      <c r="Y7" s="6">
        <v>2453</v>
      </c>
      <c r="Z7" s="6">
        <f>AO7-Y7-X7-W7</f>
        <v>2570</v>
      </c>
      <c r="AA7" s="6">
        <v>2700</v>
      </c>
      <c r="AB7" s="6">
        <v>2758</v>
      </c>
      <c r="AC7" s="6">
        <v>2692</v>
      </c>
      <c r="AD7" s="6">
        <f t="shared" si="17"/>
        <v>2902</v>
      </c>
      <c r="AE7" s="6"/>
      <c r="AF7" s="6"/>
      <c r="AG7" s="6"/>
      <c r="AH7" s="6"/>
      <c r="AJ7" s="6">
        <f>SUM(C7:F7)</f>
        <v>9463</v>
      </c>
      <c r="AK7" s="6">
        <f>SUM(G7:J7)</f>
        <v>9472</v>
      </c>
      <c r="AL7" s="6">
        <v>8607</v>
      </c>
      <c r="AM7" s="6">
        <v>5252</v>
      </c>
      <c r="AN7" s="6">
        <v>6496</v>
      </c>
      <c r="AO7" s="6">
        <v>9481</v>
      </c>
      <c r="AP7" s="6">
        <v>11052</v>
      </c>
      <c r="AQ7" s="6">
        <f>AP7*1.01</f>
        <v>11162.52</v>
      </c>
      <c r="AR7" s="6">
        <f t="shared" ref="AR7:BA7" si="19">AQ7*1.01</f>
        <v>11274.145200000001</v>
      </c>
      <c r="AS7" s="6">
        <f t="shared" si="18"/>
        <v>11386.886652000001</v>
      </c>
      <c r="AT7" s="6">
        <f t="shared" si="18"/>
        <v>11500.755518520002</v>
      </c>
      <c r="AU7" s="6">
        <f t="shared" si="18"/>
        <v>11615.763073705202</v>
      </c>
      <c r="AV7" s="6">
        <f t="shared" si="18"/>
        <v>11731.920704442255</v>
      </c>
      <c r="AW7" s="6">
        <f t="shared" si="18"/>
        <v>11849.239911486677</v>
      </c>
      <c r="AX7" s="6">
        <f t="shared" si="18"/>
        <v>11967.732310601543</v>
      </c>
      <c r="AY7" s="6">
        <f t="shared" si="18"/>
        <v>12087.409633707559</v>
      </c>
      <c r="AZ7" s="6">
        <f t="shared" si="18"/>
        <v>12208.283730044635</v>
      </c>
      <c r="BA7" s="6">
        <f t="shared" si="18"/>
        <v>12330.366567345081</v>
      </c>
    </row>
    <row r="8" spans="2:139" s="3" customFormat="1" x14ac:dyDescent="0.3">
      <c r="B8" s="3" t="s">
        <v>27</v>
      </c>
      <c r="C8" s="8">
        <f t="shared" ref="C8:O8" si="20">C5-C6-C7</f>
        <v>1121</v>
      </c>
      <c r="D8" s="8">
        <f t="shared" si="20"/>
        <v>586</v>
      </c>
      <c r="E8" s="8">
        <f t="shared" si="20"/>
        <v>864</v>
      </c>
      <c r="F8" s="8">
        <f t="shared" si="20"/>
        <v>632</v>
      </c>
      <c r="G8" s="8">
        <f t="shared" si="20"/>
        <v>1202</v>
      </c>
      <c r="H8" s="8">
        <f t="shared" si="20"/>
        <v>90</v>
      </c>
      <c r="I8" s="8">
        <f t="shared" si="20"/>
        <v>-261</v>
      </c>
      <c r="J8" s="8">
        <f t="shared" si="20"/>
        <v>-457</v>
      </c>
      <c r="K8" s="8">
        <f t="shared" si="20"/>
        <v>-1558</v>
      </c>
      <c r="L8" s="8">
        <f t="shared" si="20"/>
        <v>-2759</v>
      </c>
      <c r="M8" s="8">
        <f t="shared" si="20"/>
        <v>2351</v>
      </c>
      <c r="N8" s="8">
        <f t="shared" si="20"/>
        <v>73.800000000000182</v>
      </c>
      <c r="O8" s="8">
        <f t="shared" si="20"/>
        <v>2464</v>
      </c>
      <c r="P8" s="8">
        <f t="shared" ref="P8" si="21">P5-P6-P7</f>
        <v>-22</v>
      </c>
      <c r="Q8" s="8">
        <f t="shared" ref="Q8:R8" si="22">Q5-Q6-Q7</f>
        <v>1342</v>
      </c>
      <c r="R8" s="8">
        <f t="shared" si="22"/>
        <v>739</v>
      </c>
      <c r="S8" s="8">
        <f t="shared" ref="S8" si="23">S5-S6-S7</f>
        <v>1343</v>
      </c>
      <c r="T8" s="8">
        <f t="shared" ref="T8" si="24">T5-T6-T7</f>
        <v>2868</v>
      </c>
      <c r="U8" s="8">
        <f t="shared" ref="U8:W8" si="25">U5-U6-U7</f>
        <v>504</v>
      </c>
      <c r="V8" s="8">
        <f t="shared" si="25"/>
        <v>1561</v>
      </c>
      <c r="W8" s="8">
        <f t="shared" si="25"/>
        <v>2113</v>
      </c>
      <c r="X8" s="8">
        <f t="shared" ref="X8" si="26">X5-X6-X7</f>
        <v>2461</v>
      </c>
      <c r="Y8" s="8">
        <f t="shared" ref="Y8:Z8" si="27">Y5-Y6-Y7</f>
        <v>1129</v>
      </c>
      <c r="Z8" s="8">
        <f t="shared" si="27"/>
        <v>-245</v>
      </c>
      <c r="AA8" s="8">
        <f t="shared" ref="AA8" si="28">AA5-AA6-AA7</f>
        <v>1225</v>
      </c>
      <c r="AB8" s="8">
        <f t="shared" ref="AB8" si="29">AB5-AB6-AB7</f>
        <v>1883</v>
      </c>
      <c r="AC8" s="8">
        <f t="shared" ref="AC8:AD8" si="30">AC5-AC6-AC7</f>
        <v>880</v>
      </c>
      <c r="AD8" s="8">
        <f t="shared" si="30"/>
        <v>588.43000000000029</v>
      </c>
      <c r="AE8" s="8"/>
      <c r="AF8" s="8"/>
      <c r="AG8" s="8"/>
      <c r="AH8" s="8"/>
      <c r="AJ8" s="8">
        <f>AJ5-AJ6-AJ7</f>
        <v>3203</v>
      </c>
      <c r="AK8" s="8">
        <f>AK5-AK6-AK7</f>
        <v>574</v>
      </c>
      <c r="AL8" s="8">
        <f>AL5-AL6-AL7</f>
        <v>-4408</v>
      </c>
      <c r="AM8" s="8">
        <f t="shared" ref="AM8:AV8" si="31">AM5-AM6-AM7</f>
        <v>4523</v>
      </c>
      <c r="AN8" s="8">
        <f t="shared" si="31"/>
        <v>6276</v>
      </c>
      <c r="AO8" s="8">
        <f t="shared" si="31"/>
        <v>5458</v>
      </c>
      <c r="AP8" s="8">
        <f t="shared" si="31"/>
        <v>5219</v>
      </c>
      <c r="AQ8" s="8">
        <f t="shared" si="31"/>
        <v>6205.4052000000011</v>
      </c>
      <c r="AR8" s="8">
        <f t="shared" si="31"/>
        <v>7110.8222040000019</v>
      </c>
      <c r="AS8" s="8">
        <f t="shared" si="31"/>
        <v>7181.9304260400058</v>
      </c>
      <c r="AT8" s="8">
        <f t="shared" si="31"/>
        <v>7253.7497303004038</v>
      </c>
      <c r="AU8" s="8">
        <f t="shared" si="31"/>
        <v>7326.2872276034104</v>
      </c>
      <c r="AV8" s="8">
        <f t="shared" si="31"/>
        <v>7399.5500998794414</v>
      </c>
      <c r="AW8" s="8">
        <f t="shared" ref="AW8:BA8" si="32">AW5-AW6-AW7</f>
        <v>7473.5456008782367</v>
      </c>
      <c r="AX8" s="8">
        <f t="shared" si="32"/>
        <v>7548.2810568870227</v>
      </c>
      <c r="AY8" s="8">
        <f t="shared" si="32"/>
        <v>7623.763867455893</v>
      </c>
      <c r="AZ8" s="8">
        <f t="shared" si="32"/>
        <v>7700.0015061304493</v>
      </c>
      <c r="BA8" s="8">
        <f t="shared" si="32"/>
        <v>7777.0015211917562</v>
      </c>
    </row>
    <row r="9" spans="2:139" x14ac:dyDescent="0.3">
      <c r="B9" s="1" t="s">
        <v>28</v>
      </c>
      <c r="C9" s="6">
        <f>275+14-863-224</f>
        <v>-798</v>
      </c>
      <c r="D9" s="6">
        <f>287+14-1004-60</f>
        <v>-763</v>
      </c>
      <c r="E9" s="6">
        <f>328+15-605+32</f>
        <v>-230</v>
      </c>
      <c r="F9" s="6">
        <f>1171+57-2247-123-E9-D9-C9</f>
        <v>649</v>
      </c>
      <c r="G9" s="6">
        <f>231+14-628-25</f>
        <v>-408</v>
      </c>
      <c r="H9" s="6">
        <f>230+14-272-87</f>
        <v>-115</v>
      </c>
      <c r="I9" s="6">
        <f>262+14-534+16</f>
        <v>-242</v>
      </c>
      <c r="J9" s="6">
        <f>963+57+226-32-I9-H9-G9</f>
        <v>1979</v>
      </c>
      <c r="K9" s="6">
        <f>214+13-680+41</f>
        <v>-412</v>
      </c>
      <c r="L9" s="6">
        <f>439+11-4318+25</f>
        <v>-3843</v>
      </c>
      <c r="M9" s="6">
        <f>487+11-845-58</f>
        <v>-405</v>
      </c>
      <c r="N9" s="6">
        <f>AL9-M9-L9-K9</f>
        <v>1368</v>
      </c>
      <c r="O9" s="6">
        <f>473-1872-79</f>
        <v>-1478</v>
      </c>
      <c r="P9" s="6">
        <f>453-1159-51</f>
        <v>-757</v>
      </c>
      <c r="Q9" s="6">
        <f>439-852-130</f>
        <v>-543</v>
      </c>
      <c r="R9" s="6">
        <f>AM9-Q9-P9-O9</f>
        <v>-10479</v>
      </c>
      <c r="S9" s="6">
        <f>308+4850+33</f>
        <v>5191</v>
      </c>
      <c r="T9" s="6">
        <f>312+1823-58</f>
        <v>2077</v>
      </c>
      <c r="U9" s="6">
        <f>321-1318+2626</f>
        <v>1629</v>
      </c>
      <c r="V9" s="6">
        <f>AN9-U9-T9-S9</f>
        <v>395</v>
      </c>
      <c r="W9" s="6">
        <f>308-224-130</f>
        <v>-46</v>
      </c>
      <c r="X9" s="6">
        <f>304-255+124</f>
        <v>173</v>
      </c>
      <c r="Y9" s="6">
        <f>324-319-263</f>
        <v>-258</v>
      </c>
      <c r="Z9" s="6">
        <f>AO9-Y9-X9-W9</f>
        <v>1622</v>
      </c>
      <c r="AA9" s="6">
        <f>278-498-167</f>
        <v>-387</v>
      </c>
      <c r="AB9" s="6">
        <f>270-628-197</f>
        <v>-555</v>
      </c>
      <c r="AC9" s="6">
        <f>272-114-147</f>
        <v>11</v>
      </c>
      <c r="AD9" s="6">
        <f>AP9-AC9-AB9-AA9</f>
        <v>-1083</v>
      </c>
      <c r="AE9" s="6"/>
      <c r="AF9" s="6"/>
      <c r="AG9" s="6"/>
      <c r="AH9" s="6"/>
      <c r="AJ9" s="6">
        <f>SUM(C9:F9)</f>
        <v>-1142</v>
      </c>
      <c r="AK9" s="6">
        <f>SUM(G9:J9)</f>
        <v>1214</v>
      </c>
      <c r="AL9" s="6">
        <f>1649-4899-42</f>
        <v>-3292</v>
      </c>
      <c r="AM9" s="6">
        <f>1803-14733-327</f>
        <v>-13257</v>
      </c>
      <c r="AN9" s="6">
        <f>1259+5150+2883</f>
        <v>9292</v>
      </c>
      <c r="AO9" s="6">
        <f>1302+603-414</f>
        <v>1491</v>
      </c>
      <c r="AP9" s="6">
        <f>1115-2451-678</f>
        <v>-2014</v>
      </c>
      <c r="AQ9" s="6">
        <f t="shared" ref="AQ9:AV9" si="33">AP9*1.01</f>
        <v>-2034.14</v>
      </c>
      <c r="AR9" s="6">
        <f t="shared" si="33"/>
        <v>-2054.4814000000001</v>
      </c>
      <c r="AS9" s="6">
        <f t="shared" si="33"/>
        <v>-2075.026214</v>
      </c>
      <c r="AT9" s="6">
        <f t="shared" si="33"/>
        <v>-2095.7764761399999</v>
      </c>
      <c r="AU9" s="6">
        <f t="shared" si="33"/>
        <v>-2116.7342409014</v>
      </c>
      <c r="AV9" s="6">
        <f t="shared" si="33"/>
        <v>-2137.901583310414</v>
      </c>
      <c r="AW9" s="6">
        <f t="shared" ref="AW9" si="34">AV9*1.01</f>
        <v>-2159.280599143518</v>
      </c>
      <c r="AX9" s="6">
        <f t="shared" ref="AX9" si="35">AW9*1.01</f>
        <v>-2180.8734051349534</v>
      </c>
      <c r="AY9" s="6">
        <f t="shared" ref="AY9" si="36">AX9*1.01</f>
        <v>-2202.6821391863027</v>
      </c>
      <c r="AZ9" s="6">
        <f t="shared" ref="AZ9" si="37">AY9*1.01</f>
        <v>-2224.7089605781657</v>
      </c>
      <c r="BA9" s="6">
        <f t="shared" ref="BA9" si="38">AZ9*1.01</f>
        <v>-2246.9560501839474</v>
      </c>
    </row>
    <row r="10" spans="2:139" s="3" customFormat="1" x14ac:dyDescent="0.3">
      <c r="B10" s="3" t="s">
        <v>29</v>
      </c>
      <c r="C10" s="8">
        <f t="shared" ref="C10:O10" si="39">C8-C9</f>
        <v>1919</v>
      </c>
      <c r="D10" s="8">
        <f t="shared" si="39"/>
        <v>1349</v>
      </c>
      <c r="E10" s="8">
        <f t="shared" si="39"/>
        <v>1094</v>
      </c>
      <c r="F10" s="8">
        <f t="shared" si="39"/>
        <v>-17</v>
      </c>
      <c r="G10" s="8">
        <f t="shared" si="39"/>
        <v>1610</v>
      </c>
      <c r="H10" s="8">
        <f t="shared" si="39"/>
        <v>205</v>
      </c>
      <c r="I10" s="8">
        <f t="shared" si="39"/>
        <v>-19</v>
      </c>
      <c r="J10" s="8">
        <f t="shared" si="39"/>
        <v>-2436</v>
      </c>
      <c r="K10" s="8">
        <f t="shared" si="39"/>
        <v>-1146</v>
      </c>
      <c r="L10" s="8">
        <f t="shared" si="39"/>
        <v>1084</v>
      </c>
      <c r="M10" s="8">
        <f t="shared" si="39"/>
        <v>2756</v>
      </c>
      <c r="N10" s="8">
        <f t="shared" si="39"/>
        <v>-1294.1999999999998</v>
      </c>
      <c r="O10" s="8">
        <f t="shared" si="39"/>
        <v>3942</v>
      </c>
      <c r="P10" s="8">
        <f t="shared" ref="P10" si="40">P8-P9</f>
        <v>735</v>
      </c>
      <c r="Q10" s="8">
        <f t="shared" ref="Q10:R10" si="41">Q8-Q9</f>
        <v>1885</v>
      </c>
      <c r="R10" s="8">
        <f t="shared" si="41"/>
        <v>11218</v>
      </c>
      <c r="S10" s="8">
        <f t="shared" ref="S10" si="42">S8-S9</f>
        <v>-3848</v>
      </c>
      <c r="T10" s="8">
        <f t="shared" ref="T10" si="43">T8-T9</f>
        <v>791</v>
      </c>
      <c r="U10" s="8">
        <f t="shared" ref="U10:W10" si="44">U8-U9</f>
        <v>-1125</v>
      </c>
      <c r="V10" s="8">
        <f t="shared" si="44"/>
        <v>1166</v>
      </c>
      <c r="W10" s="8">
        <f t="shared" si="44"/>
        <v>2159</v>
      </c>
      <c r="X10" s="8">
        <f t="shared" ref="X10" si="45">X8-X9</f>
        <v>2288</v>
      </c>
      <c r="Y10" s="8">
        <f t="shared" ref="Y10:Z10" si="46">Y8-Y9</f>
        <v>1387</v>
      </c>
      <c r="Z10" s="8">
        <f t="shared" si="46"/>
        <v>-1867</v>
      </c>
      <c r="AA10" s="8">
        <f t="shared" ref="AA10" si="47">AA8-AA9</f>
        <v>1612</v>
      </c>
      <c r="AB10" s="8">
        <f t="shared" ref="AB10" si="48">AB8-AB9</f>
        <v>2438</v>
      </c>
      <c r="AC10" s="8">
        <f t="shared" ref="AC10:AD10" si="49">AC8-AC9</f>
        <v>869</v>
      </c>
      <c r="AD10" s="8">
        <f t="shared" si="49"/>
        <v>1671.4300000000003</v>
      </c>
      <c r="AE10" s="8"/>
      <c r="AF10" s="8"/>
      <c r="AG10" s="8"/>
      <c r="AH10" s="8"/>
      <c r="AJ10" s="8">
        <f>AJ8-AJ9</f>
        <v>4345</v>
      </c>
      <c r="AK10" s="8">
        <f>AK8-AK9</f>
        <v>-640</v>
      </c>
      <c r="AL10" s="8">
        <f>AL8-AL9</f>
        <v>-1116</v>
      </c>
      <c r="AM10" s="8">
        <f>AM8-AM9</f>
        <v>17780</v>
      </c>
      <c r="AN10" s="8">
        <f t="shared" ref="AN10:AV10" si="50">AN8-AN9</f>
        <v>-3016</v>
      </c>
      <c r="AO10" s="8">
        <f t="shared" si="50"/>
        <v>3967</v>
      </c>
      <c r="AP10" s="8">
        <f t="shared" si="50"/>
        <v>7233</v>
      </c>
      <c r="AQ10" s="8">
        <f t="shared" si="50"/>
        <v>8239.5452000000005</v>
      </c>
      <c r="AR10" s="8">
        <f t="shared" si="50"/>
        <v>9165.3036040000025</v>
      </c>
      <c r="AS10" s="8">
        <f t="shared" si="50"/>
        <v>9256.9566400400054</v>
      </c>
      <c r="AT10" s="8">
        <f t="shared" si="50"/>
        <v>9349.5262064404033</v>
      </c>
      <c r="AU10" s="8">
        <f t="shared" si="50"/>
        <v>9443.0214685048104</v>
      </c>
      <c r="AV10" s="8">
        <f t="shared" si="50"/>
        <v>9537.4516831898545</v>
      </c>
      <c r="AW10" s="8">
        <f t="shared" ref="AW10:BA10" si="51">AW8-AW9</f>
        <v>9632.8262000217546</v>
      </c>
      <c r="AX10" s="8">
        <f t="shared" si="51"/>
        <v>9729.1544620219756</v>
      </c>
      <c r="AY10" s="8">
        <f t="shared" si="51"/>
        <v>9826.4460066421962</v>
      </c>
      <c r="AZ10" s="8">
        <f t="shared" si="51"/>
        <v>9924.7104667086151</v>
      </c>
      <c r="BA10" s="8">
        <f t="shared" si="51"/>
        <v>10023.957571375704</v>
      </c>
    </row>
    <row r="11" spans="2:139" x14ac:dyDescent="0.3">
      <c r="B11" s="1" t="s">
        <v>30</v>
      </c>
      <c r="C11" s="6">
        <v>174</v>
      </c>
      <c r="D11" s="6">
        <v>280</v>
      </c>
      <c r="E11" s="6">
        <v>101</v>
      </c>
      <c r="F11" s="6">
        <f>650-E11-D11-C11</f>
        <v>95</v>
      </c>
      <c r="G11" s="6">
        <v>427</v>
      </c>
      <c r="H11" s="6">
        <v>55</v>
      </c>
      <c r="I11" s="6">
        <v>-442</v>
      </c>
      <c r="J11" s="6">
        <f>-724-I11-H11-G11</f>
        <v>-764</v>
      </c>
      <c r="K11" s="6">
        <v>847</v>
      </c>
      <c r="L11" s="6">
        <v>-34</v>
      </c>
      <c r="M11" s="6">
        <v>366</v>
      </c>
      <c r="N11" s="6">
        <f>AL11-M11-L11-K11</f>
        <v>-1019</v>
      </c>
      <c r="O11" s="6">
        <v>680</v>
      </c>
      <c r="P11" s="6">
        <v>182</v>
      </c>
      <c r="Q11" s="6">
        <v>63</v>
      </c>
      <c r="R11" s="6">
        <f>AM11-Q11-P11-O11</f>
        <v>-1055</v>
      </c>
      <c r="S11" s="6">
        <v>-729</v>
      </c>
      <c r="T11" s="6">
        <v>153</v>
      </c>
      <c r="U11" s="6">
        <v>-195</v>
      </c>
      <c r="V11" s="6">
        <f>AN11-U11-T11-S11</f>
        <v>-93</v>
      </c>
      <c r="W11" s="6">
        <v>496</v>
      </c>
      <c r="X11" s="6">
        <v>272</v>
      </c>
      <c r="Y11" s="6">
        <v>214</v>
      </c>
      <c r="Z11" s="6">
        <f>AO11-Y11-X11-W11</f>
        <v>-1344</v>
      </c>
      <c r="AA11" s="6">
        <v>278</v>
      </c>
      <c r="AB11" s="6">
        <v>605</v>
      </c>
      <c r="AC11" s="6">
        <v>-27</v>
      </c>
      <c r="AD11" s="6">
        <f>AP11-AC11-AB11-AA11</f>
        <v>483</v>
      </c>
      <c r="AE11" s="6"/>
      <c r="AF11" s="6"/>
      <c r="AG11" s="6"/>
      <c r="AH11" s="6"/>
      <c r="AJ11" s="6">
        <f>SUM(C11:F11)</f>
        <v>650</v>
      </c>
      <c r="AK11" s="6">
        <f>SUM(G11:J11)</f>
        <v>-724</v>
      </c>
      <c r="AL11" s="6">
        <v>160</v>
      </c>
      <c r="AM11" s="6">
        <v>-130</v>
      </c>
      <c r="AN11" s="6">
        <v>-864</v>
      </c>
      <c r="AO11" s="6">
        <v>-362</v>
      </c>
      <c r="AP11" s="6">
        <v>1339</v>
      </c>
      <c r="AQ11" s="6">
        <f>AQ10*0.18</f>
        <v>1483.118136</v>
      </c>
      <c r="AR11" s="6">
        <f t="shared" ref="AR11:BA11" si="52">AR10*0.18</f>
        <v>1649.7546487200004</v>
      </c>
      <c r="AS11" s="6">
        <f t="shared" si="52"/>
        <v>1666.2521952072009</v>
      </c>
      <c r="AT11" s="6">
        <f t="shared" si="52"/>
        <v>1682.9147171592724</v>
      </c>
      <c r="AU11" s="6">
        <f t="shared" si="52"/>
        <v>1699.7438643308658</v>
      </c>
      <c r="AV11" s="6">
        <f t="shared" si="52"/>
        <v>1716.7413029741738</v>
      </c>
      <c r="AW11" s="6">
        <f t="shared" si="52"/>
        <v>1733.9087160039157</v>
      </c>
      <c r="AX11" s="6">
        <f t="shared" si="52"/>
        <v>1751.2478031639555</v>
      </c>
      <c r="AY11" s="6">
        <f t="shared" si="52"/>
        <v>1768.7602811955953</v>
      </c>
      <c r="AZ11" s="6">
        <f t="shared" si="52"/>
        <v>1786.4478840075506</v>
      </c>
      <c r="BA11" s="6">
        <f t="shared" si="52"/>
        <v>1804.3123628476267</v>
      </c>
    </row>
    <row r="12" spans="2:139" x14ac:dyDescent="0.3">
      <c r="B12" s="1" t="s">
        <v>32</v>
      </c>
      <c r="C12" s="6">
        <v>9</v>
      </c>
      <c r="D12" s="6">
        <v>3</v>
      </c>
      <c r="E12" s="6">
        <v>2</v>
      </c>
      <c r="F12" s="6">
        <f>18-E12-D12-C12</f>
        <v>4</v>
      </c>
      <c r="G12" s="6">
        <v>37</v>
      </c>
      <c r="H12" s="6">
        <v>2</v>
      </c>
      <c r="I12" s="6">
        <v>-2</v>
      </c>
      <c r="J12" s="6">
        <f>37-I12-H12-G12</f>
        <v>0</v>
      </c>
      <c r="K12" s="6">
        <v>0</v>
      </c>
      <c r="L12" s="6">
        <v>1</v>
      </c>
      <c r="M12" s="6">
        <v>5</v>
      </c>
      <c r="N12" s="6">
        <f>AL12-M12-L12-K12</f>
        <v>-3</v>
      </c>
      <c r="O12" s="6">
        <v>0</v>
      </c>
      <c r="P12" s="6">
        <v>-8</v>
      </c>
      <c r="Q12" s="6">
        <v>-10</v>
      </c>
      <c r="R12" s="6">
        <f>AM12-Q12-P12-O12</f>
        <v>-9</v>
      </c>
      <c r="S12" s="6">
        <v>-9</v>
      </c>
      <c r="T12" s="6">
        <v>-29</v>
      </c>
      <c r="U12" s="6">
        <v>-103</v>
      </c>
      <c r="V12" s="6">
        <f>AN12-U12-T12-S12</f>
        <v>-30</v>
      </c>
      <c r="W12" s="6">
        <v>-94</v>
      </c>
      <c r="X12" s="6">
        <v>99</v>
      </c>
      <c r="Y12" s="6">
        <v>-26</v>
      </c>
      <c r="Z12" s="6">
        <f>AO12-Y12-X12-W12</f>
        <v>3</v>
      </c>
      <c r="AA12" s="6">
        <v>2</v>
      </c>
      <c r="AB12" s="6">
        <v>2</v>
      </c>
      <c r="AC12" s="6">
        <v>4</v>
      </c>
      <c r="AD12" s="6">
        <f>AP12-AC12-AB12-AA12</f>
        <v>7</v>
      </c>
      <c r="AE12" s="6"/>
      <c r="AF12" s="6"/>
      <c r="AG12" s="6"/>
      <c r="AH12" s="6"/>
      <c r="AJ12" s="6">
        <f>SUM(C12:F12)</f>
        <v>18</v>
      </c>
      <c r="AK12" s="6">
        <f>SUM(G12:J12)</f>
        <v>37</v>
      </c>
      <c r="AL12" s="6">
        <v>3</v>
      </c>
      <c r="AM12" s="6">
        <v>-27</v>
      </c>
      <c r="AN12" s="6">
        <v>-171</v>
      </c>
      <c r="AO12" s="6">
        <v>-18</v>
      </c>
      <c r="AP12" s="6">
        <v>15</v>
      </c>
      <c r="AQ12" s="6">
        <f t="shared" ref="AQ12:AV12" si="53">AP12*1.005</f>
        <v>15.074999999999999</v>
      </c>
      <c r="AR12" s="6">
        <f t="shared" si="53"/>
        <v>15.150374999999997</v>
      </c>
      <c r="AS12" s="6">
        <f t="shared" si="53"/>
        <v>15.226126874999995</v>
      </c>
      <c r="AT12" s="6">
        <f t="shared" si="53"/>
        <v>15.302257509374993</v>
      </c>
      <c r="AU12" s="6">
        <f t="shared" si="53"/>
        <v>15.378768796921866</v>
      </c>
      <c r="AV12" s="6">
        <f t="shared" si="53"/>
        <v>15.455662640906475</v>
      </c>
      <c r="AW12" s="6">
        <f t="shared" ref="AW12" si="54">AV12*1.005</f>
        <v>15.532940954111005</v>
      </c>
      <c r="AX12" s="6">
        <f t="shared" ref="AX12" si="55">AW12*1.005</f>
        <v>15.610605658881559</v>
      </c>
      <c r="AY12" s="6">
        <f t="shared" ref="AY12" si="56">AX12*1.005</f>
        <v>15.688658687175964</v>
      </c>
      <c r="AZ12" s="6">
        <f t="shared" ref="AZ12" si="57">AY12*1.005</f>
        <v>15.767101980611843</v>
      </c>
      <c r="BA12" s="6">
        <f t="shared" ref="BA12" si="58">AZ12*1.005</f>
        <v>15.845937490514901</v>
      </c>
    </row>
    <row r="13" spans="2:139" s="3" customFormat="1" x14ac:dyDescent="0.3">
      <c r="B13" s="3" t="s">
        <v>31</v>
      </c>
      <c r="C13" s="8">
        <f t="shared" ref="C13:O13" si="59">C10-C11-C12</f>
        <v>1736</v>
      </c>
      <c r="D13" s="8">
        <f t="shared" si="59"/>
        <v>1066</v>
      </c>
      <c r="E13" s="8">
        <f t="shared" si="59"/>
        <v>991</v>
      </c>
      <c r="F13" s="8">
        <f t="shared" si="59"/>
        <v>-116</v>
      </c>
      <c r="G13" s="8">
        <f t="shared" si="59"/>
        <v>1146</v>
      </c>
      <c r="H13" s="8">
        <f t="shared" si="59"/>
        <v>148</v>
      </c>
      <c r="I13" s="8">
        <f t="shared" si="59"/>
        <v>425</v>
      </c>
      <c r="J13" s="8">
        <f t="shared" si="59"/>
        <v>-1672</v>
      </c>
      <c r="K13" s="8">
        <f t="shared" si="59"/>
        <v>-1993</v>
      </c>
      <c r="L13" s="8">
        <f t="shared" si="59"/>
        <v>1117</v>
      </c>
      <c r="M13" s="8">
        <f t="shared" si="59"/>
        <v>2385</v>
      </c>
      <c r="N13" s="8">
        <f t="shared" si="59"/>
        <v>-272.19999999999982</v>
      </c>
      <c r="O13" s="8">
        <f t="shared" si="59"/>
        <v>3262</v>
      </c>
      <c r="P13" s="8">
        <f t="shared" ref="P13" si="60">P10-P11-P12</f>
        <v>561</v>
      </c>
      <c r="Q13" s="8">
        <f t="shared" ref="Q13:R13" si="61">Q10-Q11-Q12</f>
        <v>1832</v>
      </c>
      <c r="R13" s="8">
        <f t="shared" si="61"/>
        <v>12282</v>
      </c>
      <c r="S13" s="8">
        <f t="shared" ref="S13" si="62">S10-S11-S12</f>
        <v>-3110</v>
      </c>
      <c r="T13" s="8">
        <f t="shared" ref="T13" si="63">T10-T11-T12</f>
        <v>667</v>
      </c>
      <c r="U13" s="8">
        <f t="shared" ref="U13:W13" si="64">U10-U11-U12</f>
        <v>-827</v>
      </c>
      <c r="V13" s="8">
        <f t="shared" si="64"/>
        <v>1289</v>
      </c>
      <c r="W13" s="8">
        <f t="shared" si="64"/>
        <v>1757</v>
      </c>
      <c r="X13" s="8">
        <f t="shared" ref="X13" si="65">X10-X11-X12</f>
        <v>1917</v>
      </c>
      <c r="Y13" s="8">
        <f t="shared" ref="Y13:Z13" si="66">Y10-Y11-Y12</f>
        <v>1199</v>
      </c>
      <c r="Z13" s="8">
        <f t="shared" si="66"/>
        <v>-526</v>
      </c>
      <c r="AA13" s="8">
        <f t="shared" ref="AA13" si="67">AA10-AA11-AA12</f>
        <v>1332</v>
      </c>
      <c r="AB13" s="8">
        <f t="shared" ref="AB13" si="68">AB10-AB11-AB12</f>
        <v>1831</v>
      </c>
      <c r="AC13" s="8">
        <f t="shared" ref="AC13:AD13" si="69">AC10-AC11-AC12</f>
        <v>892</v>
      </c>
      <c r="AD13" s="8">
        <f t="shared" si="69"/>
        <v>1181.4300000000003</v>
      </c>
      <c r="AE13" s="8"/>
      <c r="AF13" s="8"/>
      <c r="AG13" s="8"/>
      <c r="AH13" s="8"/>
      <c r="AJ13" s="8">
        <f>AJ10-AJ11-AJ12</f>
        <v>3677</v>
      </c>
      <c r="AK13" s="8">
        <f>AK10-AK11-AK12</f>
        <v>47</v>
      </c>
      <c r="AL13" s="8">
        <f>AL10-AL11-AL12</f>
        <v>-1279</v>
      </c>
      <c r="AM13" s="8">
        <f t="shared" ref="AM13:AV13" si="70">AM10-AM11-AM12</f>
        <v>17937</v>
      </c>
      <c r="AN13" s="8">
        <f t="shared" si="70"/>
        <v>-1981</v>
      </c>
      <c r="AO13" s="8">
        <f t="shared" si="70"/>
        <v>4347</v>
      </c>
      <c r="AP13" s="8">
        <f t="shared" si="70"/>
        <v>5879</v>
      </c>
      <c r="AQ13" s="8">
        <f t="shared" si="70"/>
        <v>6741.3520640000006</v>
      </c>
      <c r="AR13" s="8">
        <f t="shared" si="70"/>
        <v>7500.3985802800016</v>
      </c>
      <c r="AS13" s="8">
        <f t="shared" si="70"/>
        <v>7575.4783179578044</v>
      </c>
      <c r="AT13" s="8">
        <f t="shared" si="70"/>
        <v>7651.3092317717565</v>
      </c>
      <c r="AU13" s="8">
        <f t="shared" si="70"/>
        <v>7727.8988353770228</v>
      </c>
      <c r="AV13" s="8">
        <f t="shared" si="70"/>
        <v>7805.2547175747741</v>
      </c>
      <c r="AW13" s="8">
        <f t="shared" ref="AW13:BA13" si="71">AW10-AW11-AW12</f>
        <v>7883.3845430637275</v>
      </c>
      <c r="AX13" s="8">
        <f t="shared" si="71"/>
        <v>7962.2960531991384</v>
      </c>
      <c r="AY13" s="8">
        <f t="shared" si="71"/>
        <v>8041.9970667594253</v>
      </c>
      <c r="AZ13" s="8">
        <f t="shared" si="71"/>
        <v>8122.4954807204522</v>
      </c>
      <c r="BA13" s="8">
        <f t="shared" si="71"/>
        <v>8203.7992710375638</v>
      </c>
      <c r="BB13" s="3">
        <f>BA13*(1+$BD$19)</f>
        <v>8121.7612783271879</v>
      </c>
      <c r="BC13" s="3">
        <f t="shared" ref="BC13:DN13" si="72">BB13*(1+$BD$19)</f>
        <v>8040.5436655439162</v>
      </c>
      <c r="BD13" s="3">
        <f t="shared" si="72"/>
        <v>7960.138228888477</v>
      </c>
      <c r="BE13" s="3">
        <f t="shared" si="72"/>
        <v>7880.5368465995925</v>
      </c>
      <c r="BF13" s="3">
        <f t="shared" si="72"/>
        <v>7801.7314781335963</v>
      </c>
      <c r="BG13" s="3">
        <f t="shared" si="72"/>
        <v>7723.7141633522606</v>
      </c>
      <c r="BH13" s="3">
        <f t="shared" si="72"/>
        <v>7646.4770217187379</v>
      </c>
      <c r="BI13" s="3">
        <f t="shared" si="72"/>
        <v>7570.0122515015501</v>
      </c>
      <c r="BJ13" s="3">
        <f t="shared" si="72"/>
        <v>7494.3121289865348</v>
      </c>
      <c r="BK13" s="3">
        <f t="shared" si="72"/>
        <v>7419.3690076966695</v>
      </c>
      <c r="BL13" s="3">
        <f t="shared" si="72"/>
        <v>7345.1753176197026</v>
      </c>
      <c r="BM13" s="3">
        <f t="shared" si="72"/>
        <v>7271.7235644435059</v>
      </c>
      <c r="BN13" s="3">
        <f t="shared" si="72"/>
        <v>7199.0063287990706</v>
      </c>
      <c r="BO13" s="3">
        <f t="shared" si="72"/>
        <v>7127.0162655110798</v>
      </c>
      <c r="BP13" s="3">
        <f t="shared" si="72"/>
        <v>7055.7461028559692</v>
      </c>
      <c r="BQ13" s="3">
        <f t="shared" si="72"/>
        <v>6985.1886418274098</v>
      </c>
      <c r="BR13" s="3">
        <f t="shared" si="72"/>
        <v>6915.3367554091355</v>
      </c>
      <c r="BS13" s="3">
        <f t="shared" si="72"/>
        <v>6846.1833878550442</v>
      </c>
      <c r="BT13" s="3">
        <f t="shared" si="72"/>
        <v>6777.7215539764939</v>
      </c>
      <c r="BU13" s="3">
        <f t="shared" si="72"/>
        <v>6709.9443384367287</v>
      </c>
      <c r="BV13" s="3">
        <f t="shared" si="72"/>
        <v>6642.8448950523616</v>
      </c>
      <c r="BW13" s="3">
        <f t="shared" si="72"/>
        <v>6576.4164461018381</v>
      </c>
      <c r="BX13" s="3">
        <f t="shared" si="72"/>
        <v>6510.6522816408196</v>
      </c>
      <c r="BY13" s="3">
        <f t="shared" si="72"/>
        <v>6445.5457588244117</v>
      </c>
      <c r="BZ13" s="3">
        <f t="shared" si="72"/>
        <v>6381.0903012361678</v>
      </c>
      <c r="CA13" s="3">
        <f t="shared" si="72"/>
        <v>6317.2793982238063</v>
      </c>
      <c r="CB13" s="3">
        <f t="shared" si="72"/>
        <v>6254.1066042415678</v>
      </c>
      <c r="CC13" s="3">
        <f t="shared" si="72"/>
        <v>6191.5655381991519</v>
      </c>
      <c r="CD13" s="3">
        <f t="shared" si="72"/>
        <v>6129.6498828171607</v>
      </c>
      <c r="CE13" s="3">
        <f t="shared" si="72"/>
        <v>6068.3533839889888</v>
      </c>
      <c r="CF13" s="3">
        <f t="shared" si="72"/>
        <v>6007.6698501490991</v>
      </c>
      <c r="CG13" s="3">
        <f t="shared" si="72"/>
        <v>5947.5931516476085</v>
      </c>
      <c r="CH13" s="3">
        <f t="shared" si="72"/>
        <v>5888.1172201311319</v>
      </c>
      <c r="CI13" s="3">
        <f t="shared" si="72"/>
        <v>5829.2360479298204</v>
      </c>
      <c r="CJ13" s="3">
        <f t="shared" si="72"/>
        <v>5770.9436874505218</v>
      </c>
      <c r="CK13" s="3">
        <f t="shared" si="72"/>
        <v>5713.2342505760162</v>
      </c>
      <c r="CL13" s="3">
        <f t="shared" si="72"/>
        <v>5656.1019080702563</v>
      </c>
      <c r="CM13" s="3">
        <f t="shared" si="72"/>
        <v>5599.5408889895534</v>
      </c>
      <c r="CN13" s="3">
        <f t="shared" si="72"/>
        <v>5543.5454800996577</v>
      </c>
      <c r="CO13" s="3">
        <f t="shared" si="72"/>
        <v>5488.1100252986607</v>
      </c>
      <c r="CP13" s="3">
        <f t="shared" si="72"/>
        <v>5433.2289250456743</v>
      </c>
      <c r="CQ13" s="3">
        <f t="shared" si="72"/>
        <v>5378.8966357952177</v>
      </c>
      <c r="CR13" s="3">
        <f t="shared" si="72"/>
        <v>5325.107669437265</v>
      </c>
      <c r="CS13" s="3">
        <f t="shared" si="72"/>
        <v>5271.8565927428926</v>
      </c>
      <c r="CT13" s="3">
        <f t="shared" si="72"/>
        <v>5219.1380268154635</v>
      </c>
      <c r="CU13" s="3">
        <f t="shared" si="72"/>
        <v>5166.9466465473088</v>
      </c>
      <c r="CV13" s="3">
        <f t="shared" si="72"/>
        <v>5115.2771800818355</v>
      </c>
      <c r="CW13" s="3">
        <f t="shared" si="72"/>
        <v>5064.1244082810172</v>
      </c>
      <c r="CX13" s="3">
        <f t="shared" si="72"/>
        <v>5013.4831641982073</v>
      </c>
      <c r="CY13" s="3">
        <f t="shared" si="72"/>
        <v>4963.3483325562256</v>
      </c>
      <c r="CZ13" s="3">
        <f t="shared" si="72"/>
        <v>4913.7148492306633</v>
      </c>
      <c r="DA13" s="3">
        <f t="shared" si="72"/>
        <v>4864.5777007383567</v>
      </c>
      <c r="DB13" s="3">
        <f t="shared" si="72"/>
        <v>4815.9319237309728</v>
      </c>
      <c r="DC13" s="3">
        <f t="shared" si="72"/>
        <v>4767.7726044936635</v>
      </c>
      <c r="DD13" s="3">
        <f t="shared" si="72"/>
        <v>4720.0948784487264</v>
      </c>
      <c r="DE13" s="3">
        <f t="shared" si="72"/>
        <v>4672.8939296642393</v>
      </c>
      <c r="DF13" s="3">
        <f t="shared" si="72"/>
        <v>4626.1649903675971</v>
      </c>
      <c r="DG13" s="3">
        <f t="shared" si="72"/>
        <v>4579.9033404639213</v>
      </c>
      <c r="DH13" s="3">
        <f t="shared" si="72"/>
        <v>4534.1043070592823</v>
      </c>
      <c r="DI13" s="3">
        <f t="shared" si="72"/>
        <v>4488.7632639886897</v>
      </c>
      <c r="DJ13" s="3">
        <f t="shared" si="72"/>
        <v>4443.8756313488029</v>
      </c>
      <c r="DK13" s="3">
        <f t="shared" si="72"/>
        <v>4399.4368750353151</v>
      </c>
      <c r="DL13" s="3">
        <f t="shared" si="72"/>
        <v>4355.4425062849623</v>
      </c>
      <c r="DM13" s="3">
        <f t="shared" si="72"/>
        <v>4311.8880812221123</v>
      </c>
      <c r="DN13" s="3">
        <f t="shared" si="72"/>
        <v>4268.7692004098908</v>
      </c>
      <c r="DO13" s="3">
        <f t="shared" ref="DO13:EI13" si="73">DN13*(1+$BD$19)</f>
        <v>4226.0815084057922</v>
      </c>
      <c r="DP13" s="3">
        <f t="shared" si="73"/>
        <v>4183.8206933217343</v>
      </c>
      <c r="DQ13" s="3">
        <f t="shared" si="73"/>
        <v>4141.9824863885169</v>
      </c>
      <c r="DR13" s="3">
        <f t="shared" si="73"/>
        <v>4100.5626615246319</v>
      </c>
      <c r="DS13" s="3">
        <f t="shared" si="73"/>
        <v>4059.5570349093855</v>
      </c>
      <c r="DT13" s="3">
        <f t="shared" si="73"/>
        <v>4018.9614645602915</v>
      </c>
      <c r="DU13" s="3">
        <f t="shared" si="73"/>
        <v>3978.7718499146886</v>
      </c>
      <c r="DV13" s="3">
        <f t="shared" si="73"/>
        <v>3938.9841314155415</v>
      </c>
      <c r="DW13" s="3">
        <f t="shared" si="73"/>
        <v>3899.5942901013859</v>
      </c>
      <c r="DX13" s="3">
        <f t="shared" si="73"/>
        <v>3860.5983472003722</v>
      </c>
      <c r="DY13" s="3">
        <f t="shared" si="73"/>
        <v>3821.9923637283687</v>
      </c>
      <c r="DZ13" s="3">
        <f t="shared" si="73"/>
        <v>3783.7724400910852</v>
      </c>
      <c r="EA13" s="3">
        <f t="shared" si="73"/>
        <v>3745.9347156901745</v>
      </c>
      <c r="EB13" s="3">
        <f t="shared" si="73"/>
        <v>3708.4753685332726</v>
      </c>
      <c r="EC13" s="3">
        <f t="shared" si="73"/>
        <v>3671.39061484794</v>
      </c>
      <c r="ED13" s="3">
        <f t="shared" si="73"/>
        <v>3634.6767086994605</v>
      </c>
      <c r="EE13" s="3">
        <f t="shared" si="73"/>
        <v>3598.329941612466</v>
      </c>
      <c r="EF13" s="3">
        <f t="shared" si="73"/>
        <v>3562.3466421963412</v>
      </c>
      <c r="EG13" s="3">
        <f t="shared" si="73"/>
        <v>3526.723175774378</v>
      </c>
      <c r="EH13" s="3">
        <f t="shared" si="73"/>
        <v>3491.455944016634</v>
      </c>
      <c r="EI13" s="3">
        <f t="shared" si="73"/>
        <v>3456.5413845764679</v>
      </c>
    </row>
    <row r="14" spans="2:139" x14ac:dyDescent="0.3">
      <c r="B14" s="1" t="s">
        <v>2</v>
      </c>
      <c r="C14" s="6">
        <v>3974</v>
      </c>
      <c r="D14" s="6">
        <v>3974</v>
      </c>
      <c r="E14" s="6">
        <v>3974</v>
      </c>
      <c r="F14" s="6">
        <v>3974</v>
      </c>
      <c r="G14" s="6">
        <f t="shared" ref="G14:N14" si="74">3907.5+70.85</f>
        <v>3978.35</v>
      </c>
      <c r="H14" s="6">
        <f t="shared" si="74"/>
        <v>3978.35</v>
      </c>
      <c r="I14" s="6">
        <f t="shared" si="74"/>
        <v>3978.35</v>
      </c>
      <c r="J14" s="6">
        <f t="shared" si="74"/>
        <v>3978.35</v>
      </c>
      <c r="K14" s="6">
        <f t="shared" si="74"/>
        <v>3978.35</v>
      </c>
      <c r="L14" s="6">
        <f t="shared" si="74"/>
        <v>3978.35</v>
      </c>
      <c r="M14" s="6">
        <f t="shared" si="74"/>
        <v>3978.35</v>
      </c>
      <c r="N14" s="6">
        <f t="shared" si="74"/>
        <v>3978.35</v>
      </c>
      <c r="O14" s="6">
        <f t="shared" ref="O14:AD14" si="75">3903.4+70.9</f>
        <v>3974.3</v>
      </c>
      <c r="P14" s="6">
        <f t="shared" si="75"/>
        <v>3974.3</v>
      </c>
      <c r="Q14" s="6">
        <f t="shared" si="75"/>
        <v>3974.3</v>
      </c>
      <c r="R14" s="6">
        <f t="shared" si="75"/>
        <v>3974.3</v>
      </c>
      <c r="S14" s="6">
        <f t="shared" si="75"/>
        <v>3974.3</v>
      </c>
      <c r="T14" s="6">
        <f t="shared" si="75"/>
        <v>3974.3</v>
      </c>
      <c r="U14" s="6">
        <f t="shared" si="75"/>
        <v>3974.3</v>
      </c>
      <c r="V14" s="6">
        <f t="shared" si="75"/>
        <v>3974.3</v>
      </c>
      <c r="W14" s="6">
        <f t="shared" si="75"/>
        <v>3974.3</v>
      </c>
      <c r="X14" s="6">
        <f t="shared" si="75"/>
        <v>3974.3</v>
      </c>
      <c r="Y14" s="6">
        <f t="shared" si="75"/>
        <v>3974.3</v>
      </c>
      <c r="Z14" s="6">
        <f t="shared" si="75"/>
        <v>3974.3</v>
      </c>
      <c r="AA14" s="6">
        <f t="shared" si="75"/>
        <v>3974.3</v>
      </c>
      <c r="AB14" s="6">
        <f t="shared" si="75"/>
        <v>3974.3</v>
      </c>
      <c r="AC14" s="6">
        <f t="shared" si="75"/>
        <v>3974.3</v>
      </c>
      <c r="AD14" s="6">
        <f>3892.6+70.9</f>
        <v>3963.5</v>
      </c>
      <c r="AE14" s="6"/>
      <c r="AF14" s="6"/>
      <c r="AG14" s="6"/>
      <c r="AH14" s="6"/>
      <c r="AJ14" s="6">
        <v>3974</v>
      </c>
      <c r="AK14" s="6">
        <f>3907.5+70.85</f>
        <v>3978.35</v>
      </c>
      <c r="AL14" s="6">
        <f>3907.5+70.85</f>
        <v>3978.35</v>
      </c>
      <c r="AM14" s="6">
        <f t="shared" ref="AM14:AO14" si="76">3907.5+70.85</f>
        <v>3978.35</v>
      </c>
      <c r="AN14" s="6">
        <f t="shared" si="76"/>
        <v>3978.35</v>
      </c>
      <c r="AO14" s="6">
        <f t="shared" si="76"/>
        <v>3978.35</v>
      </c>
      <c r="AP14" s="6">
        <f>3892.6+70.9</f>
        <v>3963.5</v>
      </c>
      <c r="AQ14" s="6">
        <f>3892.6+70.9</f>
        <v>3963.5</v>
      </c>
      <c r="AR14" s="6">
        <f>3892.6+70.9</f>
        <v>3963.5</v>
      </c>
      <c r="AS14" s="6">
        <f>3892.6+70.9</f>
        <v>3963.5</v>
      </c>
      <c r="AT14" s="6">
        <f>3892.6+70.9</f>
        <v>3963.5</v>
      </c>
      <c r="AU14" s="6">
        <f>3892.6+70.9</f>
        <v>3963.5</v>
      </c>
      <c r="AV14" s="6">
        <f>3892.6+70.9</f>
        <v>3963.5</v>
      </c>
      <c r="AW14" s="6">
        <f>3892.6+70.9</f>
        <v>3963.5</v>
      </c>
      <c r="AX14" s="6">
        <f>3892.6+70.9</f>
        <v>3963.5</v>
      </c>
      <c r="AY14" s="6">
        <f>3892.6+70.9</f>
        <v>3963.5</v>
      </c>
      <c r="AZ14" s="6">
        <f>3892.6+70.9</f>
        <v>3963.5</v>
      </c>
      <c r="BA14" s="6">
        <f>3892.6+70.9</f>
        <v>3963.5</v>
      </c>
    </row>
    <row r="15" spans="2:139" s="3" customFormat="1" x14ac:dyDescent="0.3">
      <c r="B15" s="3" t="s">
        <v>33</v>
      </c>
      <c r="C15" s="9">
        <f t="shared" ref="C15:O15" si="77">C13/C14</f>
        <v>0.43683945646703576</v>
      </c>
      <c r="D15" s="9">
        <f t="shared" si="77"/>
        <v>0.26824358329139408</v>
      </c>
      <c r="E15" s="9">
        <f t="shared" si="77"/>
        <v>0.2493709109209864</v>
      </c>
      <c r="F15" s="9">
        <f t="shared" si="77"/>
        <v>-2.9189733266230498E-2</v>
      </c>
      <c r="G15" s="9">
        <f t="shared" si="77"/>
        <v>0.28805911998692924</v>
      </c>
      <c r="H15" s="9">
        <f t="shared" si="77"/>
        <v>3.7201352319428907E-2</v>
      </c>
      <c r="I15" s="9">
        <f t="shared" si="77"/>
        <v>0.10682820767403572</v>
      </c>
      <c r="J15" s="9">
        <f t="shared" si="77"/>
        <v>-0.42027473701408874</v>
      </c>
      <c r="K15" s="9">
        <f t="shared" si="77"/>
        <v>-0.50096145386906632</v>
      </c>
      <c r="L15" s="9">
        <f t="shared" si="77"/>
        <v>0.28076966581623036</v>
      </c>
      <c r="M15" s="9">
        <f t="shared" si="77"/>
        <v>0.59949476541782398</v>
      </c>
      <c r="N15" s="9">
        <f t="shared" si="77"/>
        <v>-6.8420325009111771E-2</v>
      </c>
      <c r="O15" s="9">
        <f t="shared" si="77"/>
        <v>0.82077346954180608</v>
      </c>
      <c r="P15" s="9">
        <f t="shared" ref="P15" si="78">P13/P14</f>
        <v>0.14115693329642956</v>
      </c>
      <c r="Q15" s="9">
        <f t="shared" ref="Q15:R15" si="79">Q13/Q14</f>
        <v>0.46096167878620131</v>
      </c>
      <c r="R15" s="9">
        <f t="shared" si="79"/>
        <v>3.0903555343079283</v>
      </c>
      <c r="S15" s="9">
        <f t="shared" ref="S15" si="80">S13/S14</f>
        <v>-0.78252774073421727</v>
      </c>
      <c r="T15" s="9">
        <f t="shared" ref="T15" si="81">T13/T14</f>
        <v>0.16782829680698488</v>
      </c>
      <c r="U15" s="9">
        <f t="shared" ref="U15:W15" si="82">U13/U14</f>
        <v>-0.20808695870970986</v>
      </c>
      <c r="V15" s="9">
        <f t="shared" si="82"/>
        <v>0.32433384495382833</v>
      </c>
      <c r="W15" s="9">
        <f t="shared" si="82"/>
        <v>0.44209043101929896</v>
      </c>
      <c r="X15" s="9">
        <f t="shared" ref="X15" si="83">X13/X14</f>
        <v>0.48234909292202399</v>
      </c>
      <c r="Y15" s="9">
        <f t="shared" ref="Y15:Z15" si="84">Y13/Y14</f>
        <v>0.30168834763354552</v>
      </c>
      <c r="Z15" s="9">
        <f t="shared" si="84"/>
        <v>-0.13235035100520845</v>
      </c>
      <c r="AA15" s="9">
        <f t="shared" ref="AA15" si="85">AA13/AA14</f>
        <v>0.33515336034018567</v>
      </c>
      <c r="AB15" s="9">
        <f t="shared" ref="AB15" si="86">AB13/AB14</f>
        <v>0.46071006214930932</v>
      </c>
      <c r="AC15" s="9">
        <f t="shared" ref="AC15:AD15" si="87">AC13/AC14</f>
        <v>0.22444204010769192</v>
      </c>
      <c r="AD15" s="9">
        <f t="shared" si="87"/>
        <v>0.29807745679323838</v>
      </c>
      <c r="AE15" s="9"/>
      <c r="AF15" s="9"/>
      <c r="AG15" s="9"/>
      <c r="AH15" s="9"/>
      <c r="AJ15" s="9">
        <f>AJ13/AJ14</f>
        <v>0.92526421741318565</v>
      </c>
      <c r="AK15" s="9">
        <f>AK13/AK14</f>
        <v>1.1813942966305127E-2</v>
      </c>
      <c r="AL15" s="9">
        <f>AL13/AL14</f>
        <v>-0.32149006497668631</v>
      </c>
      <c r="AM15" s="9">
        <f t="shared" ref="AM15:AV15" si="88">AM13/AM14</f>
        <v>4.5086530848215967</v>
      </c>
      <c r="AN15" s="9">
        <f t="shared" si="88"/>
        <v>-0.49794512800532886</v>
      </c>
      <c r="AO15" s="9">
        <f t="shared" si="88"/>
        <v>1.0926640441389017</v>
      </c>
      <c r="AP15" s="9">
        <f t="shared" si="88"/>
        <v>1.4832849754005297</v>
      </c>
      <c r="AQ15" s="9">
        <f t="shared" si="88"/>
        <v>1.7008583484294186</v>
      </c>
      <c r="AR15" s="9">
        <f t="shared" si="88"/>
        <v>1.892367498493756</v>
      </c>
      <c r="AS15" s="9">
        <f t="shared" si="88"/>
        <v>1.9113102858478124</v>
      </c>
      <c r="AT15" s="9">
        <f t="shared" si="88"/>
        <v>1.930442596637254</v>
      </c>
      <c r="AU15" s="9">
        <f t="shared" si="88"/>
        <v>1.9497663265742458</v>
      </c>
      <c r="AV15" s="9">
        <f t="shared" si="88"/>
        <v>1.969283390330459</v>
      </c>
      <c r="AW15" s="9">
        <f t="shared" ref="AW15:BA15" si="89">AW13/AW14</f>
        <v>1.9889957217266878</v>
      </c>
      <c r="AX15" s="9">
        <f t="shared" si="89"/>
        <v>2.008905273924344</v>
      </c>
      <c r="AY15" s="9">
        <f t="shared" si="89"/>
        <v>2.0290140196188786</v>
      </c>
      <c r="AZ15" s="9">
        <f t="shared" si="89"/>
        <v>2.0493239512351336</v>
      </c>
      <c r="BA15" s="9">
        <f t="shared" si="89"/>
        <v>2.0698370811246534</v>
      </c>
    </row>
    <row r="17" spans="2:56" x14ac:dyDescent="0.3">
      <c r="B17" s="3" t="s">
        <v>34</v>
      </c>
      <c r="C17" s="10">
        <f>C5/C3</f>
        <v>0.14790628947305703</v>
      </c>
      <c r="D17" s="10">
        <f t="shared" ref="D17:L17" si="90">D5/D3</f>
        <v>0.14712230215827338</v>
      </c>
      <c r="E17" s="10">
        <f t="shared" si="90"/>
        <v>0.16189667073753516</v>
      </c>
      <c r="F17" s="10">
        <f t="shared" si="90"/>
        <v>0.14449788242050104</v>
      </c>
      <c r="G17" s="10">
        <f t="shared" si="90"/>
        <v>0.1586435972435675</v>
      </c>
      <c r="H17" s="10">
        <f t="shared" si="90"/>
        <v>0.13373484672998223</v>
      </c>
      <c r="I17" s="10">
        <f t="shared" si="90"/>
        <v>0.12727764260610977</v>
      </c>
      <c r="J17" s="10">
        <f t="shared" si="90"/>
        <v>0.12345461412564522</v>
      </c>
      <c r="K17" s="10">
        <f t="shared" si="90"/>
        <v>0.11066433566433566</v>
      </c>
      <c r="L17" s="10">
        <f t="shared" si="90"/>
        <v>7.4286304269268494E-2</v>
      </c>
      <c r="M17" s="10">
        <f t="shared" ref="M17:N17" si="91">M5/M3</f>
        <v>0.16740886909682409</v>
      </c>
      <c r="N17" s="10">
        <f t="shared" si="91"/>
        <v>0.15</v>
      </c>
      <c r="O17" s="10">
        <f t="shared" ref="O17:AD17" si="92">O5/O3</f>
        <v>0.19131610908689411</v>
      </c>
      <c r="P17" s="10">
        <f t="shared" si="92"/>
        <v>0.1438397129186603</v>
      </c>
      <c r="Q17" s="10">
        <f t="shared" si="92"/>
        <v>0.15766611551719306</v>
      </c>
      <c r="R17" s="10">
        <f t="shared" si="92"/>
        <v>0.1402675301236796</v>
      </c>
      <c r="S17" s="10">
        <f t="shared" si="92"/>
        <v>0.15779092702169625</v>
      </c>
      <c r="T17" s="10">
        <f t="shared" si="92"/>
        <v>0.17414779795969146</v>
      </c>
      <c r="U17" s="10">
        <f t="shared" si="92"/>
        <v>0.12789398862713242</v>
      </c>
      <c r="V17" s="10">
        <f t="shared" si="92"/>
        <v>0.14052592104366007</v>
      </c>
      <c r="W17" s="10">
        <f t="shared" si="92"/>
        <v>0.16407869990837634</v>
      </c>
      <c r="X17" s="10">
        <f t="shared" si="92"/>
        <v>0.16645904702584866</v>
      </c>
      <c r="Y17" s="10">
        <f t="shared" si="92"/>
        <v>0.14275929773292848</v>
      </c>
      <c r="Z17" s="10">
        <f t="shared" si="92"/>
        <v>0.11096122884121666</v>
      </c>
      <c r="AA17" s="10">
        <f t="shared" si="92"/>
        <v>0.14729878205577765</v>
      </c>
      <c r="AB17" s="10">
        <f t="shared" si="92"/>
        <v>0.15309153279785809</v>
      </c>
      <c r="AC17" s="10">
        <f t="shared" si="92"/>
        <v>0.13048748809420729</v>
      </c>
      <c r="AD17" s="10">
        <f t="shared" si="92"/>
        <v>0.13</v>
      </c>
      <c r="AE17" s="10"/>
      <c r="AF17" s="10"/>
      <c r="AG17" s="10"/>
      <c r="AH17" s="10"/>
      <c r="AJ17" s="10">
        <f t="shared" ref="AJ17:AV17" si="93">AJ5/AJ3</f>
        <v>0.15011413389215283</v>
      </c>
      <c r="AK17" s="10">
        <f t="shared" si="93"/>
        <v>0.13602950609364978</v>
      </c>
      <c r="AL17" s="10">
        <f t="shared" si="93"/>
        <v>0.11319448813943246</v>
      </c>
      <c r="AM17" s="10">
        <f t="shared" si="93"/>
        <v>0.15908640834378507</v>
      </c>
      <c r="AN17" s="10">
        <f t="shared" si="93"/>
        <v>0.1496928323326395</v>
      </c>
      <c r="AO17" s="10">
        <f t="shared" si="93"/>
        <v>0.14552956734452951</v>
      </c>
      <c r="AP17" s="10">
        <f t="shared" si="93"/>
        <v>0.143562964884968</v>
      </c>
      <c r="AQ17" s="10">
        <f t="shared" si="93"/>
        <v>0.14000000000000001</v>
      </c>
      <c r="AR17" s="10">
        <f t="shared" si="93"/>
        <v>0.14000000000000001</v>
      </c>
      <c r="AS17" s="10">
        <f t="shared" si="93"/>
        <v>0.14000000000000001</v>
      </c>
      <c r="AT17" s="10">
        <f t="shared" si="93"/>
        <v>0.14000000000000001</v>
      </c>
      <c r="AU17" s="10">
        <f t="shared" si="93"/>
        <v>0.14000000000000001</v>
      </c>
      <c r="AV17" s="10">
        <f t="shared" si="93"/>
        <v>0.14000000000000001</v>
      </c>
      <c r="AW17" s="10">
        <f t="shared" ref="AW17:BA17" si="94">AW5/AW3</f>
        <v>0.14000000000000001</v>
      </c>
      <c r="AX17" s="10">
        <f t="shared" si="94"/>
        <v>0.14000000000000001</v>
      </c>
      <c r="AY17" s="10">
        <f t="shared" si="94"/>
        <v>0.14000000000000001</v>
      </c>
      <c r="AZ17" s="10">
        <f t="shared" si="94"/>
        <v>0.14000000000000001</v>
      </c>
      <c r="BA17" s="10">
        <f t="shared" si="94"/>
        <v>0.14000000000000001</v>
      </c>
    </row>
    <row r="18" spans="2:56" x14ac:dyDescent="0.3">
      <c r="B18" s="3" t="s">
        <v>35</v>
      </c>
      <c r="C18" s="10">
        <f>C8/C3</f>
        <v>2.6716556638623417E-2</v>
      </c>
      <c r="D18" s="10">
        <f t="shared" ref="D18:L18" si="95">D8/D3</f>
        <v>1.5056526207605345E-2</v>
      </c>
      <c r="E18" s="10">
        <f t="shared" si="95"/>
        <v>2.2938459087771465E-2</v>
      </c>
      <c r="F18" s="10">
        <f t="shared" si="95"/>
        <v>1.5122149642284593E-2</v>
      </c>
      <c r="G18" s="10">
        <f t="shared" si="95"/>
        <v>2.9795250607307519E-2</v>
      </c>
      <c r="H18" s="10">
        <f t="shared" si="95"/>
        <v>2.3164234422052353E-3</v>
      </c>
      <c r="I18" s="10">
        <f t="shared" si="95"/>
        <v>-7.0559610705596106E-3</v>
      </c>
      <c r="J18" s="10">
        <f t="shared" si="95"/>
        <v>-1.150698728440136E-2</v>
      </c>
      <c r="K18" s="10">
        <f t="shared" si="95"/>
        <v>-4.5396270396270394E-2</v>
      </c>
      <c r="L18" s="10">
        <f t="shared" si="95"/>
        <v>-0.14242940478034175</v>
      </c>
      <c r="M18" s="10">
        <f t="shared" ref="M18:N18" si="96">M8/M3</f>
        <v>6.2691661555691849E-2</v>
      </c>
      <c r="N18" s="10">
        <f t="shared" si="96"/>
        <v>2.0527369826435298E-3</v>
      </c>
      <c r="O18" s="10">
        <f t="shared" ref="O18:AD18" si="97">O8/O3</f>
        <v>6.8013691067682458E-2</v>
      </c>
      <c r="P18" s="10">
        <f t="shared" si="97"/>
        <v>-8.2236842105263153E-4</v>
      </c>
      <c r="Q18" s="10">
        <f t="shared" si="97"/>
        <v>3.7608945436202114E-2</v>
      </c>
      <c r="R18" s="10">
        <f t="shared" si="97"/>
        <v>1.9613567599129467E-2</v>
      </c>
      <c r="S18" s="10">
        <f t="shared" si="97"/>
        <v>3.895463510848126E-2</v>
      </c>
      <c r="T18" s="10">
        <f t="shared" si="97"/>
        <v>7.1361035083354063E-2</v>
      </c>
      <c r="U18" s="10">
        <f t="shared" si="97"/>
        <v>1.2794476035743298E-2</v>
      </c>
      <c r="V18" s="10">
        <f t="shared" si="97"/>
        <v>3.5478079047251074E-2</v>
      </c>
      <c r="W18" s="10">
        <f t="shared" si="97"/>
        <v>5.0947581617398853E-2</v>
      </c>
      <c r="X18" s="10">
        <f t="shared" si="97"/>
        <v>5.4744850291408999E-2</v>
      </c>
      <c r="Y18" s="10">
        <f t="shared" si="97"/>
        <v>2.5775667222209538E-2</v>
      </c>
      <c r="Z18" s="10">
        <f t="shared" si="97"/>
        <v>-5.3304904051172707E-3</v>
      </c>
      <c r="AA18" s="10">
        <f t="shared" si="97"/>
        <v>2.8636884306987399E-2</v>
      </c>
      <c r="AB18" s="10">
        <f t="shared" si="97"/>
        <v>3.9386713520749662E-2</v>
      </c>
      <c r="AC18" s="10">
        <f t="shared" si="97"/>
        <v>1.9049268334920773E-2</v>
      </c>
      <c r="AD18" s="10">
        <f t="shared" si="97"/>
        <v>1.2205305843064868E-2</v>
      </c>
      <c r="AE18" s="10"/>
      <c r="AF18" s="10"/>
      <c r="AG18" s="10"/>
      <c r="AH18" s="10"/>
      <c r="AJ18" s="10">
        <f t="shared" ref="AJ18:AV18" si="98">AJ8/AJ3</f>
        <v>1.9976549539098654E-2</v>
      </c>
      <c r="AK18" s="10">
        <f t="shared" si="98"/>
        <v>3.6818473380372035E-3</v>
      </c>
      <c r="AL18" s="10">
        <f t="shared" si="98"/>
        <v>-3.4669351286730009E-2</v>
      </c>
      <c r="AM18" s="10">
        <f t="shared" si="98"/>
        <v>3.317417357948086E-2</v>
      </c>
      <c r="AN18" s="10">
        <f t="shared" si="98"/>
        <v>3.9707194240052639E-2</v>
      </c>
      <c r="AO18" s="10">
        <f t="shared" si="98"/>
        <v>3.0977745741836985E-2</v>
      </c>
      <c r="AP18" s="10">
        <f t="shared" si="98"/>
        <v>2.8212030790520672E-2</v>
      </c>
      <c r="AQ18" s="10">
        <f t="shared" si="98"/>
        <v>3.2254020548081921E-2</v>
      </c>
      <c r="AR18" s="10">
        <f t="shared" si="98"/>
        <v>3.6235425137132023E-2</v>
      </c>
      <c r="AS18" s="10">
        <f t="shared" si="98"/>
        <v>3.6235425137132043E-2</v>
      </c>
      <c r="AT18" s="10">
        <f t="shared" si="98"/>
        <v>3.623542513713203E-2</v>
      </c>
      <c r="AU18" s="10">
        <f t="shared" si="98"/>
        <v>3.6235425137132043E-2</v>
      </c>
      <c r="AV18" s="10">
        <f t="shared" si="98"/>
        <v>3.623542513713203E-2</v>
      </c>
      <c r="AW18" s="10">
        <f t="shared" ref="AW18:BA18" si="99">AW8/AW3</f>
        <v>3.623542513713203E-2</v>
      </c>
      <c r="AX18" s="10">
        <f t="shared" si="99"/>
        <v>3.6235425137132043E-2</v>
      </c>
      <c r="AY18" s="10">
        <f t="shared" si="99"/>
        <v>3.623542513713205E-2</v>
      </c>
      <c r="AZ18" s="10">
        <f t="shared" si="99"/>
        <v>3.623542513713203E-2</v>
      </c>
      <c r="BA18" s="10">
        <f t="shared" si="99"/>
        <v>3.6235425137132043E-2</v>
      </c>
    </row>
    <row r="19" spans="2:56" x14ac:dyDescent="0.3">
      <c r="B19" s="1" t="s">
        <v>47</v>
      </c>
      <c r="G19" s="11">
        <f>G6/C6-1</f>
        <v>3.4947215143793287E-2</v>
      </c>
      <c r="H19" s="11">
        <f t="shared" ref="H19:N19" si="100">H6/D6-1</f>
        <v>-1.9078473722102252E-2</v>
      </c>
      <c r="I19" s="11">
        <f t="shared" si="100"/>
        <v>-9.7501734906315085E-2</v>
      </c>
      <c r="J19" s="11">
        <f t="shared" si="100"/>
        <v>-1.3351134846462109E-3</v>
      </c>
      <c r="K19" s="11">
        <f t="shared" si="100"/>
        <v>-0.14456559971860705</v>
      </c>
      <c r="L19" s="11">
        <f t="shared" si="100"/>
        <v>-0.27889908256880735</v>
      </c>
      <c r="M19" s="11">
        <f t="shared" si="100"/>
        <v>-0.12879661668589004</v>
      </c>
      <c r="N19" s="11">
        <f t="shared" si="100"/>
        <v>0.17981283422459904</v>
      </c>
      <c r="O19" s="11">
        <f t="shared" ref="O19:O20" si="101">O6/K6-1</f>
        <v>0.16899671052631571</v>
      </c>
      <c r="P19" s="11">
        <f t="shared" ref="P19:P20" si="102">P6/L6-1</f>
        <v>0.46412213740458008</v>
      </c>
      <c r="Q19" s="11">
        <f t="shared" ref="Q19:Q20" si="103">Q6/M6-1</f>
        <v>0.30052956751985871</v>
      </c>
      <c r="R19" s="11">
        <f t="shared" ref="R19:R20" si="104">R6/N6-1</f>
        <v>-7.9886685552407966E-2</v>
      </c>
      <c r="S19" s="11">
        <f t="shared" ref="S19:S20" si="105">S6/O6-1</f>
        <v>-3.6229335209285951E-2</v>
      </c>
      <c r="T19" s="11">
        <f t="shared" ref="T19:T20" si="106">T6/P6-1</f>
        <v>-4.1014946124435125E-2</v>
      </c>
      <c r="U19" s="11">
        <f t="shared" ref="U19:U20" si="107">U6/Q6-1</f>
        <v>-3.3932813030200237E-2</v>
      </c>
      <c r="V19" s="11">
        <f t="shared" ref="V19:V20" si="108">V6/R6-1</f>
        <v>-0.2173645320197044</v>
      </c>
      <c r="W19" s="11">
        <f t="shared" ref="W19:W20" si="109">W6/S6-1</f>
        <v>-8.5401459854014594E-2</v>
      </c>
      <c r="X19" s="11">
        <f t="shared" ref="X19:X20" si="110">X6/T6-1</f>
        <v>-3.2620514679231327E-3</v>
      </c>
      <c r="Y19" s="11">
        <f t="shared" ref="Y19:Y20" si="111">Y6/U6-1</f>
        <v>-6.1819459079733075E-2</v>
      </c>
      <c r="Z19" s="11">
        <f t="shared" ref="Z19:Z20" si="112">Z6/V6-1</f>
        <v>9.1660110149488494E-2</v>
      </c>
      <c r="AA19" s="11">
        <f t="shared" ref="AA19:AA20" si="113">AA6/W6-1</f>
        <v>-5.1875498802873121E-2</v>
      </c>
      <c r="AB19" s="11">
        <f t="shared" ref="AB19:AB20" si="114">AB6/X6-1</f>
        <v>-2.6181818181818195E-2</v>
      </c>
      <c r="AC19" s="11">
        <f t="shared" ref="AC19:AC20" si="115">AC6/Y6-1</f>
        <v>-8.0494196929988715E-2</v>
      </c>
      <c r="AD19" s="11">
        <f t="shared" ref="AD19:AD20" si="116">AD6/Z6-1</f>
        <v>7.2072072072071336E-4</v>
      </c>
      <c r="AE19" s="11"/>
      <c r="AF19" s="11"/>
      <c r="AG19" s="11"/>
      <c r="AH19" s="11"/>
      <c r="AK19" s="11">
        <f>AK6/AJ6-1</f>
        <v>-2.122248531088311E-2</v>
      </c>
      <c r="AL19" s="11">
        <f t="shared" ref="AL19:AV19" si="117">AL6/AK6-1</f>
        <v>-8.6730579697159804E-2</v>
      </c>
      <c r="AM19" s="11">
        <f t="shared" si="117"/>
        <v>0.16893946826253314</v>
      </c>
      <c r="AN19" s="11">
        <f t="shared" si="117"/>
        <v>-8.6193873268988641E-2</v>
      </c>
      <c r="AO19" s="11">
        <f t="shared" si="117"/>
        <v>-1.7083027185892719E-2</v>
      </c>
      <c r="AP19" s="11">
        <f t="shared" si="117"/>
        <v>-3.8777798542328545E-2</v>
      </c>
      <c r="AQ19" s="11">
        <f t="shared" si="117"/>
        <v>-7.0000000000000062E-2</v>
      </c>
      <c r="AR19" s="11">
        <f t="shared" si="117"/>
        <v>-5.0000000000000155E-2</v>
      </c>
      <c r="AS19" s="11">
        <f t="shared" si="117"/>
        <v>1.0000000000000009E-2</v>
      </c>
      <c r="AT19" s="11">
        <f t="shared" si="117"/>
        <v>1.0000000000000009E-2</v>
      </c>
      <c r="AU19" s="11">
        <f t="shared" si="117"/>
        <v>1.0000000000000009E-2</v>
      </c>
      <c r="AV19" s="11">
        <f t="shared" si="117"/>
        <v>1.0000000000000009E-2</v>
      </c>
      <c r="AW19" s="11">
        <f t="shared" ref="AW19:AW20" si="118">AW6/AV6-1</f>
        <v>1.0000000000000009E-2</v>
      </c>
      <c r="AX19" s="11">
        <f t="shared" ref="AX19:AX20" si="119">AX6/AW6-1</f>
        <v>1.0000000000000009E-2</v>
      </c>
      <c r="AY19" s="11">
        <f t="shared" ref="AY19:AY20" si="120">AY6/AX6-1</f>
        <v>1.0000000000000009E-2</v>
      </c>
      <c r="AZ19" s="11">
        <f t="shared" ref="AZ19:AZ20" si="121">AZ6/AY6-1</f>
        <v>1.0000000000000009E-2</v>
      </c>
      <c r="BA19" s="11">
        <f t="shared" ref="BA19:BA20" si="122">BA6/AZ6-1</f>
        <v>1.0000000000000009E-2</v>
      </c>
      <c r="BC19" s="1" t="s">
        <v>37</v>
      </c>
      <c r="BD19" s="11">
        <v>-0.01</v>
      </c>
    </row>
    <row r="20" spans="2:56" x14ac:dyDescent="0.3">
      <c r="B20" s="1" t="s">
        <v>65</v>
      </c>
      <c r="G20" s="11">
        <f t="shared" ref="G20:N20" si="123">G7/C7-1</f>
        <v>7.2711719418305787E-3</v>
      </c>
      <c r="H20" s="11">
        <f t="shared" si="123"/>
        <v>8.0440304826419062E-3</v>
      </c>
      <c r="I20" s="11">
        <f t="shared" si="123"/>
        <v>6.8027210884353817E-3</v>
      </c>
      <c r="J20" s="11">
        <f t="shared" si="123"/>
        <v>-1.7834923268353342E-2</v>
      </c>
      <c r="K20" s="11">
        <f t="shared" si="123"/>
        <v>0.24161358811040334</v>
      </c>
      <c r="L20" s="11">
        <f t="shared" si="123"/>
        <v>-6.2158756824863493E-2</v>
      </c>
      <c r="M20" s="11">
        <f t="shared" si="123"/>
        <v>-0.29856418918918914</v>
      </c>
      <c r="N20" s="11">
        <f t="shared" si="123"/>
        <v>-0.24451013513513509</v>
      </c>
      <c r="O20" s="11">
        <f t="shared" si="101"/>
        <v>-0.44459644322845415</v>
      </c>
      <c r="P20" s="11">
        <f t="shared" si="102"/>
        <v>-0.55530676220331388</v>
      </c>
      <c r="Q20" s="11">
        <f t="shared" si="103"/>
        <v>-0.19506321493076462</v>
      </c>
      <c r="R20" s="11">
        <f t="shared" si="104"/>
        <v>-0.27445500279485746</v>
      </c>
      <c r="S20" s="11">
        <f t="shared" si="105"/>
        <v>-0.16440886699507384</v>
      </c>
      <c r="T20" s="11">
        <f t="shared" si="106"/>
        <v>0.38167170191339372</v>
      </c>
      <c r="U20" s="11">
        <f t="shared" si="107"/>
        <v>0.26178010471204183</v>
      </c>
      <c r="V20" s="11">
        <f t="shared" si="108"/>
        <v>0.60246533127889057</v>
      </c>
      <c r="W20" s="11">
        <f t="shared" si="109"/>
        <v>0.61090641120117906</v>
      </c>
      <c r="X20" s="11">
        <f t="shared" si="110"/>
        <v>0.65597667638483959</v>
      </c>
      <c r="Y20" s="11">
        <f t="shared" si="111"/>
        <v>0.45406046235921749</v>
      </c>
      <c r="Z20" s="11">
        <f t="shared" si="112"/>
        <v>0.23557692307692313</v>
      </c>
      <c r="AA20" s="11">
        <f t="shared" si="113"/>
        <v>0.2351326623970722</v>
      </c>
      <c r="AB20" s="11">
        <f t="shared" si="114"/>
        <v>0.21390845070422526</v>
      </c>
      <c r="AC20" s="11">
        <f t="shared" si="115"/>
        <v>9.7431716265796942E-2</v>
      </c>
      <c r="AD20" s="11">
        <f t="shared" si="116"/>
        <v>0.12918287937743189</v>
      </c>
      <c r="AE20" s="11"/>
      <c r="AF20" s="11"/>
      <c r="AG20" s="11"/>
      <c r="AH20" s="11"/>
      <c r="AK20" s="11">
        <f t="shared" ref="AK20:AV20" si="124">AK7/AJ7-1</f>
        <v>9.5107259854176895E-4</v>
      </c>
      <c r="AL20" s="11">
        <f t="shared" si="124"/>
        <v>-9.1321790540540571E-2</v>
      </c>
      <c r="AM20" s="11">
        <f t="shared" si="124"/>
        <v>-0.38979900081329155</v>
      </c>
      <c r="AN20" s="11">
        <f t="shared" si="124"/>
        <v>0.23686214775323688</v>
      </c>
      <c r="AO20" s="11">
        <f t="shared" si="124"/>
        <v>0.45951354679802958</v>
      </c>
      <c r="AP20" s="11">
        <f t="shared" si="124"/>
        <v>0.16569982069401967</v>
      </c>
      <c r="AQ20" s="11">
        <f t="shared" si="124"/>
        <v>1.0000000000000009E-2</v>
      </c>
      <c r="AR20" s="11">
        <f t="shared" si="124"/>
        <v>1.0000000000000009E-2</v>
      </c>
      <c r="AS20" s="11">
        <f t="shared" si="124"/>
        <v>1.0000000000000009E-2</v>
      </c>
      <c r="AT20" s="11">
        <f t="shared" si="124"/>
        <v>1.0000000000000009E-2</v>
      </c>
      <c r="AU20" s="11">
        <f t="shared" si="124"/>
        <v>1.0000000000000009E-2</v>
      </c>
      <c r="AV20" s="11">
        <f t="shared" si="124"/>
        <v>1.0000000000000009E-2</v>
      </c>
      <c r="AW20" s="11">
        <f t="shared" si="118"/>
        <v>1.0000000000000009E-2</v>
      </c>
      <c r="AX20" s="11">
        <f t="shared" si="119"/>
        <v>1.0000000000000009E-2</v>
      </c>
      <c r="AY20" s="11">
        <f t="shared" si="120"/>
        <v>1.0000000000000009E-2</v>
      </c>
      <c r="AZ20" s="11">
        <f t="shared" si="121"/>
        <v>1.0000000000000009E-2</v>
      </c>
      <c r="BA20" s="11">
        <f t="shared" si="122"/>
        <v>1.0000000000000009E-2</v>
      </c>
      <c r="BC20" s="1" t="s">
        <v>38</v>
      </c>
      <c r="BD20" s="11">
        <v>0.06</v>
      </c>
    </row>
    <row r="21" spans="2:56" x14ac:dyDescent="0.3">
      <c r="B21" s="3" t="s">
        <v>36</v>
      </c>
      <c r="G21" s="10">
        <f>G3/C3-1</f>
        <v>-3.8537620057675359E-2</v>
      </c>
      <c r="H21" s="10">
        <f t="shared" ref="H21:L21" si="125">H3/D3-1</f>
        <v>-1.7214799588900487E-3</v>
      </c>
      <c r="I21" s="10">
        <f t="shared" si="125"/>
        <v>-1.7947220304784128E-2</v>
      </c>
      <c r="J21" s="10">
        <f t="shared" si="125"/>
        <v>-4.9721245184600305E-2</v>
      </c>
      <c r="K21" s="10">
        <f t="shared" si="125"/>
        <v>-0.14927370978136933</v>
      </c>
      <c r="L21" s="10">
        <f t="shared" si="125"/>
        <v>-0.50142846112269324</v>
      </c>
      <c r="M21" s="10">
        <f>M3/I3-1</f>
        <v>1.3814544471478785E-2</v>
      </c>
      <c r="N21" s="10">
        <f>N3/J3-1</f>
        <v>-9.4750094422762166E-2</v>
      </c>
      <c r="O21" s="10">
        <f t="shared" ref="O21:AD21" si="126">O3/K3-1</f>
        <v>5.5594405594405538E-2</v>
      </c>
      <c r="P21" s="10">
        <f t="shared" si="126"/>
        <v>0.38103350369108457</v>
      </c>
      <c r="Q21" s="10">
        <f t="shared" si="126"/>
        <v>-4.8478707234473783E-2</v>
      </c>
      <c r="R21" s="10">
        <f t="shared" si="126"/>
        <v>4.8008455718736132E-2</v>
      </c>
      <c r="S21" s="10">
        <f t="shared" si="126"/>
        <v>-4.8360384233189779E-2</v>
      </c>
      <c r="T21" s="10">
        <f t="shared" si="126"/>
        <v>0.50231758373205748</v>
      </c>
      <c r="U21" s="10">
        <f t="shared" si="126"/>
        <v>0.10394305411540516</v>
      </c>
      <c r="V21" s="10">
        <f t="shared" si="126"/>
        <v>0.16776368172408307</v>
      </c>
      <c r="W21" s="10">
        <f t="shared" si="126"/>
        <v>0.20298178442974812</v>
      </c>
      <c r="X21" s="10">
        <f t="shared" si="126"/>
        <v>0.11853694948992288</v>
      </c>
      <c r="Y21" s="10">
        <f t="shared" si="126"/>
        <v>0.11192627944760347</v>
      </c>
      <c r="Z21" s="10">
        <f t="shared" si="126"/>
        <v>4.461465033296208E-2</v>
      </c>
      <c r="AA21" s="10">
        <f t="shared" si="126"/>
        <v>3.1417273472537088E-2</v>
      </c>
      <c r="AB21" s="10">
        <f t="shared" si="126"/>
        <v>6.3487120167282196E-2</v>
      </c>
      <c r="AC21" s="10">
        <f t="shared" si="126"/>
        <v>5.4679116915138826E-2</v>
      </c>
      <c r="AD21" s="10">
        <f t="shared" si="126"/>
        <v>4.8931726208607085E-2</v>
      </c>
      <c r="AE21" s="10"/>
      <c r="AF21" s="10"/>
      <c r="AG21" s="10"/>
      <c r="AH21" s="10"/>
      <c r="AK21" s="10">
        <f>AK3/AJ3-1</f>
        <v>-2.767902805323752E-2</v>
      </c>
      <c r="AL21" s="10">
        <f t="shared" ref="AL21:AV21" si="127">AL3/AK3-1</f>
        <v>-0.1844515715202053</v>
      </c>
      <c r="AM21" s="10">
        <f t="shared" si="127"/>
        <v>7.2335304851192328E-2</v>
      </c>
      <c r="AN21" s="10">
        <f t="shared" si="127"/>
        <v>0.15927710666637318</v>
      </c>
      <c r="AO21" s="10">
        <f t="shared" si="127"/>
        <v>0.1147307616872395</v>
      </c>
      <c r="AP21" s="10">
        <f t="shared" si="127"/>
        <v>4.9951473117242129E-2</v>
      </c>
      <c r="AQ21" s="10">
        <f t="shared" si="127"/>
        <v>4.0000000000000036E-2</v>
      </c>
      <c r="AR21" s="10">
        <f t="shared" si="127"/>
        <v>2.0000000000000018E-2</v>
      </c>
      <c r="AS21" s="10">
        <f t="shared" si="127"/>
        <v>1.0000000000000009E-2</v>
      </c>
      <c r="AT21" s="10">
        <f t="shared" si="127"/>
        <v>1.0000000000000009E-2</v>
      </c>
      <c r="AU21" s="10">
        <f t="shared" si="127"/>
        <v>1.0000000000000009E-2</v>
      </c>
      <c r="AV21" s="10">
        <f t="shared" si="127"/>
        <v>1.0000000000000009E-2</v>
      </c>
      <c r="AW21" s="10">
        <f t="shared" ref="AW21" si="128">AW3/AV3-1</f>
        <v>1.0000000000000009E-2</v>
      </c>
      <c r="AX21" s="10">
        <f t="shared" ref="AX21" si="129">AX3/AW3-1</f>
        <v>1.0000000000000009E-2</v>
      </c>
      <c r="AY21" s="10">
        <f t="shared" ref="AY21" si="130">AY3/AX3-1</f>
        <v>1.0000000000000009E-2</v>
      </c>
      <c r="AZ21" s="10">
        <f t="shared" ref="AZ21" si="131">AZ3/AY3-1</f>
        <v>1.0000000000000009E-2</v>
      </c>
      <c r="BA21" s="10">
        <f t="shared" ref="BA21" si="132">BA3/AZ3-1</f>
        <v>1.0000000000000009E-2</v>
      </c>
      <c r="BC21" s="1" t="s">
        <v>39</v>
      </c>
      <c r="BD21" s="6">
        <f>NPV(BD20,AL13:EI13)</f>
        <v>111750.6888698807</v>
      </c>
    </row>
    <row r="22" spans="2:56" x14ac:dyDescent="0.3">
      <c r="B22" s="1" t="s">
        <v>30</v>
      </c>
      <c r="C22" s="11">
        <f t="shared" ref="C22:N22" si="133">C11/C10</f>
        <v>9.0672225117248567E-2</v>
      </c>
      <c r="D22" s="11">
        <f t="shared" si="133"/>
        <v>0.20756115641215717</v>
      </c>
      <c r="E22" s="11">
        <f t="shared" si="133"/>
        <v>9.2321755027422306E-2</v>
      </c>
      <c r="F22" s="11">
        <f t="shared" si="133"/>
        <v>-5.5882352941176467</v>
      </c>
      <c r="G22" s="11">
        <f t="shared" si="133"/>
        <v>0.26521739130434785</v>
      </c>
      <c r="H22" s="11">
        <f t="shared" si="133"/>
        <v>0.26829268292682928</v>
      </c>
      <c r="I22" s="11">
        <f t="shared" si="133"/>
        <v>23.263157894736842</v>
      </c>
      <c r="J22" s="11">
        <f t="shared" si="133"/>
        <v>0.31362889983579639</v>
      </c>
      <c r="K22" s="11">
        <f t="shared" si="133"/>
        <v>-0.7390924956369983</v>
      </c>
      <c r="L22" s="11">
        <f t="shared" si="133"/>
        <v>-3.136531365313653E-2</v>
      </c>
      <c r="M22" s="11">
        <f t="shared" si="133"/>
        <v>0.1328011611030479</v>
      </c>
      <c r="N22" s="11">
        <f t="shared" si="133"/>
        <v>0.78735898624632994</v>
      </c>
      <c r="O22" s="11">
        <f t="shared" ref="O22:AD22" si="134">O11/O10</f>
        <v>0.17250126839167934</v>
      </c>
      <c r="P22" s="11">
        <f t="shared" si="134"/>
        <v>0.24761904761904763</v>
      </c>
      <c r="Q22" s="11">
        <f t="shared" si="134"/>
        <v>3.3421750663129975E-2</v>
      </c>
      <c r="R22" s="11">
        <f t="shared" si="134"/>
        <v>-9.4045284364414339E-2</v>
      </c>
      <c r="S22" s="11">
        <f t="shared" si="134"/>
        <v>0.18944906444906445</v>
      </c>
      <c r="T22" s="11">
        <f t="shared" si="134"/>
        <v>0.19342604298356511</v>
      </c>
      <c r="U22" s="11">
        <f t="shared" si="134"/>
        <v>0.17333333333333334</v>
      </c>
      <c r="V22" s="11">
        <f t="shared" si="134"/>
        <v>-7.9759862778730706E-2</v>
      </c>
      <c r="W22" s="11">
        <f t="shared" si="134"/>
        <v>0.22973598888374247</v>
      </c>
      <c r="X22" s="11">
        <f t="shared" si="134"/>
        <v>0.11888111888111888</v>
      </c>
      <c r="Y22" s="11">
        <f t="shared" si="134"/>
        <v>0.15428983417447728</v>
      </c>
      <c r="Z22" s="11">
        <f t="shared" si="134"/>
        <v>0.71987145152651311</v>
      </c>
      <c r="AA22" s="11">
        <f t="shared" si="134"/>
        <v>0.17245657568238212</v>
      </c>
      <c r="AB22" s="11">
        <f t="shared" si="134"/>
        <v>0.24815422477440524</v>
      </c>
      <c r="AC22" s="11">
        <f t="shared" si="134"/>
        <v>-3.1070195627157654E-2</v>
      </c>
      <c r="AD22" s="11">
        <f t="shared" si="134"/>
        <v>0.28897411198793843</v>
      </c>
      <c r="AE22" s="11"/>
      <c r="AF22" s="11"/>
      <c r="AG22" s="11"/>
      <c r="AH22" s="11"/>
      <c r="AJ22" s="11">
        <f t="shared" ref="AJ22:AV22" si="135">AJ11/AJ10</f>
        <v>0.14959723820483314</v>
      </c>
      <c r="AK22" s="11">
        <f t="shared" si="135"/>
        <v>1.1312500000000001</v>
      </c>
      <c r="AL22" s="11">
        <f t="shared" si="135"/>
        <v>-0.14336917562724014</v>
      </c>
      <c r="AM22" s="11">
        <f t="shared" si="135"/>
        <v>-7.3115860517435323E-3</v>
      </c>
      <c r="AN22" s="11">
        <f t="shared" si="135"/>
        <v>0.28647214854111408</v>
      </c>
      <c r="AO22" s="11">
        <f t="shared" si="135"/>
        <v>-9.1252835896143178E-2</v>
      </c>
      <c r="AP22" s="11">
        <f t="shared" si="135"/>
        <v>0.18512373842112539</v>
      </c>
      <c r="AQ22" s="11">
        <f t="shared" si="135"/>
        <v>0.18</v>
      </c>
      <c r="AR22" s="11">
        <f t="shared" si="135"/>
        <v>0.18</v>
      </c>
      <c r="AS22" s="11">
        <f t="shared" si="135"/>
        <v>0.18</v>
      </c>
      <c r="AT22" s="11">
        <f t="shared" si="135"/>
        <v>0.18</v>
      </c>
      <c r="AU22" s="11">
        <f t="shared" si="135"/>
        <v>0.18</v>
      </c>
      <c r="AV22" s="11">
        <f t="shared" si="135"/>
        <v>0.18</v>
      </c>
      <c r="AW22" s="11">
        <f t="shared" ref="AW22:BA22" si="136">AW11/AW10</f>
        <v>0.18</v>
      </c>
      <c r="AX22" s="11">
        <f t="shared" si="136"/>
        <v>0.18</v>
      </c>
      <c r="AY22" s="11">
        <f t="shared" si="136"/>
        <v>0.18</v>
      </c>
      <c r="AZ22" s="11">
        <f t="shared" si="136"/>
        <v>0.18</v>
      </c>
      <c r="BA22" s="11">
        <f t="shared" si="136"/>
        <v>0.18</v>
      </c>
      <c r="BC22" s="1" t="s">
        <v>40</v>
      </c>
      <c r="BD22" s="6">
        <f>Main!D8</f>
        <v>-109060</v>
      </c>
    </row>
    <row r="23" spans="2:56" x14ac:dyDescent="0.3">
      <c r="B23" s="3" t="s">
        <v>64</v>
      </c>
      <c r="C23" s="10">
        <f>C13/C3</f>
        <v>4.1373721966681758E-2</v>
      </c>
      <c r="D23" s="10">
        <f t="shared" ref="D23:N23" si="137">D13/D3</f>
        <v>2.7389516957862282E-2</v>
      </c>
      <c r="E23" s="10">
        <f t="shared" si="137"/>
        <v>2.631020018053417E-2</v>
      </c>
      <c r="F23" s="10">
        <f t="shared" si="137"/>
        <v>-2.775584428014261E-3</v>
      </c>
      <c r="G23" s="10">
        <f t="shared" si="137"/>
        <v>2.8407119131426305E-2</v>
      </c>
      <c r="H23" s="10">
        <f t="shared" si="137"/>
        <v>3.8092296605152756E-3</v>
      </c>
      <c r="I23" s="10">
        <f t="shared" si="137"/>
        <v>1.1489591781562584E-2</v>
      </c>
      <c r="J23" s="10">
        <f t="shared" si="137"/>
        <v>-4.2099962230895127E-2</v>
      </c>
      <c r="K23" s="10">
        <f t="shared" si="137"/>
        <v>-5.807109557109557E-2</v>
      </c>
      <c r="L23" s="10">
        <f t="shared" si="137"/>
        <v>5.7663517629446076E-2</v>
      </c>
      <c r="M23" s="10">
        <f t="shared" si="137"/>
        <v>6.3598304045225457E-2</v>
      </c>
      <c r="N23" s="10">
        <f t="shared" si="137"/>
        <v>-7.5712060525144585E-3</v>
      </c>
      <c r="O23" s="10">
        <f t="shared" ref="O23:AD23" si="138">O13/O3</f>
        <v>9.0040852379375064E-2</v>
      </c>
      <c r="P23" s="10">
        <f t="shared" si="138"/>
        <v>2.0970394736842105E-2</v>
      </c>
      <c r="Q23" s="10">
        <f t="shared" si="138"/>
        <v>5.1340974693831795E-2</v>
      </c>
      <c r="R23" s="10">
        <f t="shared" si="138"/>
        <v>0.32597271617389456</v>
      </c>
      <c r="S23" s="10">
        <f t="shared" si="138"/>
        <v>-9.0207680705418264E-2</v>
      </c>
      <c r="T23" s="10">
        <f t="shared" si="138"/>
        <v>1.6596168201045036E-2</v>
      </c>
      <c r="U23" s="10">
        <f t="shared" si="138"/>
        <v>-2.0994110479285136E-2</v>
      </c>
      <c r="V23" s="10">
        <f t="shared" si="138"/>
        <v>2.9296120366371962E-2</v>
      </c>
      <c r="W23" s="10">
        <f t="shared" si="138"/>
        <v>4.236389063027439E-2</v>
      </c>
      <c r="X23" s="10">
        <f t="shared" si="138"/>
        <v>4.2643591226587181E-2</v>
      </c>
      <c r="Y23" s="10">
        <f t="shared" si="138"/>
        <v>2.7373804251044496E-2</v>
      </c>
      <c r="Z23" s="10">
        <f t="shared" si="138"/>
        <v>-1.1444236543231364E-2</v>
      </c>
      <c r="AA23" s="10">
        <f t="shared" si="138"/>
        <v>3.1138228487271196E-2</v>
      </c>
      <c r="AB23" s="10">
        <f t="shared" si="138"/>
        <v>3.8299029451137882E-2</v>
      </c>
      <c r="AC23" s="10">
        <f t="shared" si="138"/>
        <v>1.9309031084942418E-2</v>
      </c>
      <c r="AD23" s="10">
        <f t="shared" si="138"/>
        <v>2.4505403331189984E-2</v>
      </c>
      <c r="AE23" s="10"/>
      <c r="AF23" s="10"/>
      <c r="AG23" s="10"/>
      <c r="AH23" s="10"/>
      <c r="AJ23" s="10">
        <f t="shared" ref="AJ23:AV23" si="139">AJ13/AJ3</f>
        <v>2.2932804450598112E-2</v>
      </c>
      <c r="AK23" s="10">
        <f t="shared" si="139"/>
        <v>3.0147530468248876E-4</v>
      </c>
      <c r="AL23" s="10">
        <f t="shared" si="139"/>
        <v>-1.0059460139684138E-2</v>
      </c>
      <c r="AM23" s="10">
        <f t="shared" si="139"/>
        <v>0.13155983893326292</v>
      </c>
      <c r="AN23" s="10">
        <f t="shared" si="139"/>
        <v>-1.2533453121342301E-2</v>
      </c>
      <c r="AO23" s="10">
        <f t="shared" si="139"/>
        <v>2.4672088812708937E-2</v>
      </c>
      <c r="AP23" s="10">
        <f t="shared" si="139"/>
        <v>3.1779752637951908E-2</v>
      </c>
      <c r="AQ23" s="10">
        <f t="shared" si="139"/>
        <v>3.5039727622317142E-2</v>
      </c>
      <c r="AR23" s="10">
        <f t="shared" si="139"/>
        <v>3.8220633768835437E-2</v>
      </c>
      <c r="AS23" s="10">
        <f t="shared" si="139"/>
        <v>3.8221015964322279E-2</v>
      </c>
      <c r="AT23" s="10">
        <f t="shared" si="139"/>
        <v>3.8221396267752242E-2</v>
      </c>
      <c r="AU23" s="10">
        <f t="shared" si="139"/>
        <v>3.8221774688491965E-2</v>
      </c>
      <c r="AV23" s="10">
        <f t="shared" si="139"/>
        <v>3.8222151235861666E-2</v>
      </c>
      <c r="AW23" s="10">
        <f t="shared" ref="AW23:BA23" si="140">AW13/AW3</f>
        <v>3.8222525919135497E-2</v>
      </c>
      <c r="AX23" s="10">
        <f t="shared" si="140"/>
        <v>3.8222898747541652E-2</v>
      </c>
      <c r="AY23" s="10">
        <f t="shared" si="140"/>
        <v>3.8223269730262611E-2</v>
      </c>
      <c r="AZ23" s="10">
        <f t="shared" si="140"/>
        <v>3.8223638876435428E-2</v>
      </c>
      <c r="BA23" s="10">
        <f t="shared" si="140"/>
        <v>3.8224006195151983E-2</v>
      </c>
      <c r="BC23" s="1" t="s">
        <v>41</v>
      </c>
      <c r="BD23" s="6">
        <f>BD21+BD22</f>
        <v>2690.6888698807015</v>
      </c>
    </row>
    <row r="24" spans="2:56" x14ac:dyDescent="0.3">
      <c r="BC24" s="1" t="s">
        <v>42</v>
      </c>
      <c r="BD24" s="4">
        <f>BD23/AV14</f>
        <v>0.67886687772945664</v>
      </c>
    </row>
    <row r="25" spans="2:56" x14ac:dyDescent="0.3">
      <c r="BC25" s="1" t="s">
        <v>43</v>
      </c>
      <c r="BD25" s="4">
        <f>Main!D3</f>
        <v>9.77</v>
      </c>
    </row>
    <row r="26" spans="2:56" x14ac:dyDescent="0.3">
      <c r="BC26" s="3" t="s">
        <v>44</v>
      </c>
      <c r="BD26" s="10">
        <f>BD24/BD25-1</f>
        <v>-0.93051516092840769</v>
      </c>
    </row>
    <row r="27" spans="2:56" x14ac:dyDescent="0.3">
      <c r="BC27" s="1" t="s">
        <v>46</v>
      </c>
      <c r="BD27" s="7" t="s">
        <v>70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 Mniszek</cp:lastModifiedBy>
  <dcterms:created xsi:type="dcterms:W3CDTF">2020-09-07T19:00:43Z</dcterms:created>
  <dcterms:modified xsi:type="dcterms:W3CDTF">2025-04-24T11:14:35Z</dcterms:modified>
</cp:coreProperties>
</file>