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4AB95BC-75C4-42CC-A01E-DD9AF76385FD}" xr6:coauthVersionLast="46" xr6:coauthVersionMax="46" xr10:uidLastSave="{00000000-0000-0000-0000-000000000000}"/>
  <bookViews>
    <workbookView xWindow="-108" yWindow="-108" windowWidth="23256" windowHeight="12576" activeTab="1" xr2:uid="{999ACA62-0DDA-45CE-8CB3-204FACF7A5E0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2" l="1"/>
  <c r="L3" i="2" l="1"/>
  <c r="M3" i="2" s="1"/>
  <c r="N3" i="2" s="1"/>
  <c r="O3" i="2" s="1"/>
  <c r="P3" i="2" s="1"/>
  <c r="K3" i="2"/>
  <c r="I3" i="2" l="1"/>
  <c r="J3" i="2" s="1"/>
  <c r="H3" i="2"/>
  <c r="H5" i="2"/>
  <c r="G3" i="2"/>
  <c r="G5" i="2"/>
  <c r="G9" i="2" s="1"/>
  <c r="S26" i="2"/>
  <c r="S23" i="2"/>
  <c r="F16" i="2"/>
  <c r="F14" i="2"/>
  <c r="F12" i="2"/>
  <c r="F11" i="2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H7" i="2"/>
  <c r="I7" i="2" s="1"/>
  <c r="J7" i="2" s="1"/>
  <c r="K7" i="2" s="1"/>
  <c r="L7" i="2" s="1"/>
  <c r="M7" i="2" s="1"/>
  <c r="N7" i="2" s="1"/>
  <c r="O7" i="2" s="1"/>
  <c r="P7" i="2" s="1"/>
  <c r="G7" i="2"/>
  <c r="F7" i="2"/>
  <c r="I6" i="2"/>
  <c r="J6" i="2" s="1"/>
  <c r="K6" i="2" s="1"/>
  <c r="L6" i="2" s="1"/>
  <c r="M6" i="2" s="1"/>
  <c r="N6" i="2" s="1"/>
  <c r="O6" i="2" s="1"/>
  <c r="P6" i="2" s="1"/>
  <c r="H6" i="2"/>
  <c r="F6" i="2"/>
  <c r="F23" i="2"/>
  <c r="G21" i="2"/>
  <c r="F21" i="2"/>
  <c r="F18" i="2"/>
  <c r="F4" i="2"/>
  <c r="F5" i="2"/>
  <c r="F3" i="2"/>
  <c r="H9" i="2" l="1"/>
  <c r="H11" i="2" s="1"/>
  <c r="H12" i="2" s="1"/>
  <c r="H23" i="2" s="1"/>
  <c r="H4" i="2"/>
  <c r="H18" i="2"/>
  <c r="I5" i="2"/>
  <c r="I9" i="2" s="1"/>
  <c r="I11" i="2" s="1"/>
  <c r="I12" i="2" s="1"/>
  <c r="I23" i="2" s="1"/>
  <c r="G19" i="2"/>
  <c r="G11" i="2"/>
  <c r="G4" i="2"/>
  <c r="F9" i="2"/>
  <c r="F19" i="2" s="1"/>
  <c r="G18" i="2"/>
  <c r="I21" i="2"/>
  <c r="H21" i="2"/>
  <c r="I19" i="2" l="1"/>
  <c r="I4" i="2"/>
  <c r="I18" i="2"/>
  <c r="H19" i="2"/>
  <c r="J5" i="2"/>
  <c r="H14" i="2"/>
  <c r="I14" i="2"/>
  <c r="G12" i="2"/>
  <c r="G23" i="2" s="1"/>
  <c r="J21" i="2"/>
  <c r="J4" i="2" l="1"/>
  <c r="J9" i="2"/>
  <c r="J18" i="2"/>
  <c r="K5" i="2"/>
  <c r="K9" i="2" s="1"/>
  <c r="K11" i="2" s="1"/>
  <c r="H16" i="2"/>
  <c r="I16" i="2"/>
  <c r="G14" i="2"/>
  <c r="K21" i="2"/>
  <c r="K18" i="2" l="1"/>
  <c r="K4" i="2"/>
  <c r="K19" i="2"/>
  <c r="K12" i="2"/>
  <c r="K23" i="2" s="1"/>
  <c r="G16" i="2"/>
  <c r="L5" i="2"/>
  <c r="L9" i="2" s="1"/>
  <c r="L11" i="2" s="1"/>
  <c r="J11" i="2"/>
  <c r="J12" i="2" s="1"/>
  <c r="J19" i="2"/>
  <c r="L21" i="2"/>
  <c r="L18" i="2" l="1"/>
  <c r="L12" i="2"/>
  <c r="L23" i="2" s="1"/>
  <c r="J14" i="2"/>
  <c r="J23" i="2"/>
  <c r="L4" i="2"/>
  <c r="L19" i="2"/>
  <c r="M5" i="2"/>
  <c r="M9" i="2" s="1"/>
  <c r="M11" i="2" s="1"/>
  <c r="K14" i="2"/>
  <c r="M21" i="2"/>
  <c r="L14" i="2" l="1"/>
  <c r="L16" i="2" s="1"/>
  <c r="N5" i="2"/>
  <c r="N9" i="2" s="1"/>
  <c r="N11" i="2" s="1"/>
  <c r="M18" i="2"/>
  <c r="M12" i="2"/>
  <c r="M23" i="2" s="1"/>
  <c r="M14" i="2"/>
  <c r="M16" i="2" s="1"/>
  <c r="M19" i="2"/>
  <c r="J16" i="2"/>
  <c r="K16" i="2"/>
  <c r="M4" i="2"/>
  <c r="N21" i="2"/>
  <c r="N18" i="2" l="1"/>
  <c r="N4" i="2"/>
  <c r="N19" i="2"/>
  <c r="N12" i="2"/>
  <c r="N23" i="2" s="1"/>
  <c r="O5" i="2"/>
  <c r="O9" i="2" s="1"/>
  <c r="O11" i="2" s="1"/>
  <c r="O21" i="2"/>
  <c r="O18" i="2" l="1"/>
  <c r="N14" i="2"/>
  <c r="N16" i="2" s="1"/>
  <c r="P5" i="2"/>
  <c r="P9" i="2" s="1"/>
  <c r="P11" i="2" s="1"/>
  <c r="O12" i="2"/>
  <c r="O23" i="2" s="1"/>
  <c r="O4" i="2"/>
  <c r="O19" i="2"/>
  <c r="P21" i="2"/>
  <c r="O14" i="2" l="1"/>
  <c r="O16" i="2" s="1"/>
  <c r="P18" i="2"/>
  <c r="P12" i="2"/>
  <c r="P23" i="2" s="1"/>
  <c r="P19" i="2"/>
  <c r="P4" i="2"/>
  <c r="P14" i="2" l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P16" i="2" l="1"/>
  <c r="S24" i="2"/>
  <c r="S25" i="2" s="1"/>
  <c r="S27" i="2" s="1"/>
  <c r="E19" i="2" l="1"/>
  <c r="D19" i="2"/>
  <c r="E18" i="2"/>
  <c r="E23" i="2"/>
  <c r="D23" i="2"/>
  <c r="C23" i="2"/>
  <c r="E21" i="2"/>
  <c r="D21" i="2"/>
  <c r="C19" i="2"/>
  <c r="D18" i="2"/>
  <c r="C18" i="2"/>
  <c r="C8" i="2"/>
  <c r="E14" i="2"/>
  <c r="D14" i="2"/>
  <c r="E8" i="2"/>
  <c r="D8" i="2"/>
  <c r="E5" i="2"/>
  <c r="E9" i="2" s="1"/>
  <c r="E11" i="2" s="1"/>
  <c r="D5" i="2"/>
  <c r="D9" i="2" s="1"/>
  <c r="D11" i="2" s="1"/>
  <c r="C5" i="2"/>
  <c r="E34" i="2"/>
  <c r="E31" i="2"/>
  <c r="E35" i="2" s="1"/>
  <c r="E37" i="2" s="1"/>
  <c r="D34" i="2"/>
  <c r="D31" i="2"/>
  <c r="D35" i="2" s="1"/>
  <c r="D37" i="2" s="1"/>
  <c r="D41" i="2" s="1"/>
  <c r="C34" i="2"/>
  <c r="C31" i="2"/>
  <c r="D4" i="1"/>
  <c r="D5" i="1" s="1"/>
  <c r="D9" i="1" s="1"/>
  <c r="D8" i="1"/>
  <c r="D7" i="1"/>
  <c r="C9" i="2" l="1"/>
  <c r="C11" i="2" s="1"/>
  <c r="C14" i="2" s="1"/>
  <c r="C16" i="2" s="1"/>
  <c r="E16" i="2"/>
  <c r="D16" i="2"/>
  <c r="E41" i="2"/>
  <c r="E43" i="2" s="1"/>
  <c r="D43" i="2"/>
  <c r="C35" i="2"/>
  <c r="C37" i="2" s="1"/>
  <c r="C41" i="2" l="1"/>
  <c r="C43" i="2" s="1"/>
  <c r="F3" i="1" l="1"/>
</calcChain>
</file>

<file path=xl/sharedStrings.xml><?xml version="1.0" encoding="utf-8"?>
<sst xmlns="http://schemas.openxmlformats.org/spreadsheetml/2006/main" count="64" uniqueCount="41">
  <si>
    <t>FCA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</si>
  <si>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</si>
  <si>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</si>
  <si>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</si>
  <si>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</si>
  <si>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</si>
  <si>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</si>
  <si>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</si>
  <si>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</si>
  <si>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</si>
  <si>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Q220</t>
  </si>
  <si>
    <t>Revenue</t>
  </si>
  <si>
    <t>Cost of sales</t>
  </si>
  <si>
    <t>Gross profit</t>
  </si>
  <si>
    <t>SG&amp;A</t>
  </si>
  <si>
    <t>R&amp;D</t>
  </si>
  <si>
    <t>Operating profit</t>
  </si>
  <si>
    <t>Net financial expense</t>
  </si>
  <si>
    <t>Pretax income</t>
  </si>
  <si>
    <t>Taxes</t>
  </si>
  <si>
    <t>Minority interest</t>
  </si>
  <si>
    <t>Net profit</t>
  </si>
  <si>
    <t>EPS</t>
  </si>
  <si>
    <t>Other operating expense</t>
  </si>
  <si>
    <t>GAAP</t>
  </si>
  <si>
    <t>Non-GAAP</t>
  </si>
  <si>
    <t>Discontinued operations</t>
  </si>
  <si>
    <t>Gross Margin</t>
  </si>
  <si>
    <t>Operating Margin</t>
  </si>
  <si>
    <t>Revenue y/y</t>
  </si>
  <si>
    <t>Discount rate</t>
  </si>
  <si>
    <t>NPV</t>
  </si>
  <si>
    <t>Net cash</t>
  </si>
  <si>
    <t>Value</t>
  </si>
  <si>
    <t>Per share</t>
  </si>
  <si>
    <t>Current price</t>
  </si>
  <si>
    <t>Variance</t>
  </si>
  <si>
    <t>Maturity</t>
  </si>
  <si>
    <t>Merger with PSA (Peugeot) planned</t>
  </si>
  <si>
    <t>Fairly valued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</si>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</sst>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ont="1"/>
    <xf numFmtId="2" fontId="1" fillId="0" borderId="0" xfId="0" applyNumberFormat="1" applyFont="1"/>
    <xf numFmtId="0" fontId="0" fillId="0" borderId="0" xfId="0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15E3-7B42-479E-BC0A-547A6D5ED427}">
  <dimension ref="B2:F12"/>
  <sheetViews>
    <sheetView workbookViewId="0">
      <selection activeCell="C13" sqref="C13"/>
    </sheetView>
  </sheetViews>
  <sheetFormatPr defaultRowHeight="14.4" x14ac:dyDescent="0.3"/>
  <cols>
    <col min="5" max="6" width="15.44140625" customWidth="1"/>
  </cols>
  <sheetData>
    <row r="2" spans="2:6" x14ac:dyDescent="0.3">
      <c r="E2" s="2" t="s">
        <v>8</v>
      </c>
      <c r="F2" s="2" t="s">
        <v>9</v>
      </c>
    </row>
    <row r="3" spans="2:6" x14ac:dyDescent="0.3">
      <c r="B3" s="1" t="s">
        <v>0</v>
      </c>
      <c r="C3" t="s">
        <v>1</v>
      </c>
      <c r="D3">
        <v>11.16</v>
      </c>
      <c r="E3" s="3">
        <v>44083</v>
      </c>
      <c r="F3" s="3">
        <f ca="1">TODAY()</f>
        <v>44257</v>
      </c>
    </row>
    <row r="4" spans="2:6" x14ac:dyDescent="0.3">
      <c r="C4" t="s">
        <v>2</v>
      </c>
      <c r="D4" s="4">
        <f>1567.5+408.9</f>
        <v>1976.4</v>
      </c>
      <c r="E4" s="2" t="s">
        <v>10</v>
      </c>
      <c r="F4" s="2"/>
    </row>
    <row r="5" spans="2:6" x14ac:dyDescent="0.3">
      <c r="C5" t="s">
        <v>3</v>
      </c>
      <c r="D5" s="4">
        <f>D3*D4</f>
        <v>22056.624</v>
      </c>
      <c r="E5" s="2"/>
      <c r="F5" s="2"/>
    </row>
    <row r="6" spans="2:6" x14ac:dyDescent="0.3">
      <c r="C6" t="s">
        <v>4</v>
      </c>
      <c r="D6" s="4">
        <v>14000</v>
      </c>
      <c r="E6" s="2" t="s">
        <v>10</v>
      </c>
      <c r="F6" s="2"/>
    </row>
    <row r="7" spans="2:6" x14ac:dyDescent="0.3">
      <c r="C7" t="s">
        <v>5</v>
      </c>
      <c r="D7" s="4">
        <f>13000+5300</f>
        <v>18300</v>
      </c>
      <c r="E7" s="2" t="s">
        <v>10</v>
      </c>
      <c r="F7" s="2"/>
    </row>
    <row r="8" spans="2:6" x14ac:dyDescent="0.3">
      <c r="C8" t="s">
        <v>6</v>
      </c>
      <c r="D8" s="4">
        <f>D6-D7</f>
        <v>-4300</v>
      </c>
      <c r="E8" s="2" t="s">
        <v>10</v>
      </c>
      <c r="F8" s="2"/>
    </row>
    <row r="9" spans="2:6" x14ac:dyDescent="0.3">
      <c r="C9" t="s">
        <v>7</v>
      </c>
      <c r="D9" s="4">
        <f>D5-D8</f>
        <v>26356.624</v>
      </c>
      <c r="E9" s="2"/>
      <c r="F9" s="2"/>
    </row>
    <row r="12" spans="2:6" x14ac:dyDescent="0.3">
      <c r="C1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AEE1-8E60-4A39-AEA0-5308B91C4430}">
  <dimension ref="B1:CR4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28" sqref="S28"/>
    </sheetView>
  </sheetViews>
  <sheetFormatPr defaultRowHeight="14.4" x14ac:dyDescent="0.3"/>
  <cols>
    <col min="2" max="2" width="21.33203125" bestFit="1" customWidth="1"/>
    <col min="3" max="5" width="9.6640625" customWidth="1"/>
    <col min="6" max="6" width="9.44140625" bestFit="1" customWidth="1"/>
    <col min="17" max="17" width="8.88671875" customWidth="1"/>
    <col min="18" max="18" width="11.88671875" bestFit="1" customWidth="1"/>
    <col min="19" max="19" width="11.109375" bestFit="1" customWidth="1"/>
  </cols>
  <sheetData>
    <row r="1" spans="2:96" x14ac:dyDescent="0.3">
      <c r="C1" s="7" t="s">
        <v>25</v>
      </c>
      <c r="D1" s="7" t="s">
        <v>25</v>
      </c>
      <c r="E1" s="7" t="s">
        <v>25</v>
      </c>
    </row>
    <row r="2" spans="2:96" x14ac:dyDescent="0.3"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2:96" s="1" customFormat="1" x14ac:dyDescent="0.3">
      <c r="B3" s="1" t="s">
        <v>11</v>
      </c>
      <c r="C3" s="1">
        <v>105730</v>
      </c>
      <c r="D3" s="1">
        <v>110412</v>
      </c>
      <c r="E3" s="1">
        <v>108187</v>
      </c>
      <c r="F3" s="10">
        <f>E3*0.8</f>
        <v>86549.6</v>
      </c>
      <c r="G3" s="10">
        <f>F3*1.2</f>
        <v>103859.52</v>
      </c>
      <c r="H3" s="10">
        <f>G3*1.01</f>
        <v>104898.1152</v>
      </c>
      <c r="I3" s="10">
        <f t="shared" ref="I3:J3" si="0">H3*1.01</f>
        <v>105947.09635200001</v>
      </c>
      <c r="J3" s="10">
        <f t="shared" si="0"/>
        <v>107006.56731552001</v>
      </c>
      <c r="K3" s="10">
        <f>J3*1</f>
        <v>107006.56731552001</v>
      </c>
      <c r="L3" s="10">
        <f t="shared" ref="L3:P3" si="1">K3*1</f>
        <v>107006.56731552001</v>
      </c>
      <c r="M3" s="10">
        <f t="shared" si="1"/>
        <v>107006.56731552001</v>
      </c>
      <c r="N3" s="10">
        <f t="shared" si="1"/>
        <v>107006.56731552001</v>
      </c>
      <c r="O3" s="10">
        <f t="shared" si="1"/>
        <v>107006.56731552001</v>
      </c>
      <c r="P3" s="10">
        <f t="shared" si="1"/>
        <v>107006.56731552001</v>
      </c>
    </row>
    <row r="4" spans="2:96" x14ac:dyDescent="0.3">
      <c r="B4" t="s">
        <v>12</v>
      </c>
      <c r="C4">
        <v>89710</v>
      </c>
      <c r="D4">
        <v>95011</v>
      </c>
      <c r="E4">
        <v>93164</v>
      </c>
      <c r="F4" s="11">
        <f>F3-F5</f>
        <v>74432.656000000003</v>
      </c>
      <c r="G4" s="11">
        <f t="shared" ref="G4:P4" si="2">G3-G5</f>
        <v>89319.1872</v>
      </c>
      <c r="H4" s="11">
        <f t="shared" si="2"/>
        <v>90212.379071999996</v>
      </c>
      <c r="I4" s="11">
        <f t="shared" si="2"/>
        <v>91114.502862720008</v>
      </c>
      <c r="J4" s="11">
        <f t="shared" si="2"/>
        <v>92025.647891347209</v>
      </c>
      <c r="K4" s="11">
        <f t="shared" si="2"/>
        <v>92025.647891347209</v>
      </c>
      <c r="L4" s="11">
        <f t="shared" si="2"/>
        <v>92025.647891347209</v>
      </c>
      <c r="M4" s="11">
        <f t="shared" si="2"/>
        <v>92025.647891347209</v>
      </c>
      <c r="N4" s="11">
        <f t="shared" si="2"/>
        <v>92025.647891347209</v>
      </c>
      <c r="O4" s="11">
        <f t="shared" si="2"/>
        <v>92025.647891347209</v>
      </c>
      <c r="P4" s="11">
        <f t="shared" si="2"/>
        <v>92025.647891347209</v>
      </c>
    </row>
    <row r="5" spans="2:96" s="1" customFormat="1" x14ac:dyDescent="0.3">
      <c r="B5" s="1" t="s">
        <v>13</v>
      </c>
      <c r="C5" s="1">
        <f>C3-C4</f>
        <v>16020</v>
      </c>
      <c r="D5" s="1">
        <f>D3-D4</f>
        <v>15401</v>
      </c>
      <c r="E5" s="1">
        <f>E3-E4</f>
        <v>15023</v>
      </c>
      <c r="F5" s="10">
        <f>F3*0.14</f>
        <v>12116.944000000001</v>
      </c>
      <c r="G5" s="10">
        <f>G3*0.14</f>
        <v>14540.332800000002</v>
      </c>
      <c r="H5" s="10">
        <f t="shared" ref="H5:P5" si="3">H3*0.14</f>
        <v>14685.736128000002</v>
      </c>
      <c r="I5" s="10">
        <f t="shared" si="3"/>
        <v>14832.593489280003</v>
      </c>
      <c r="J5" s="10">
        <f t="shared" si="3"/>
        <v>14980.919424172802</v>
      </c>
      <c r="K5" s="10">
        <f t="shared" si="3"/>
        <v>14980.919424172802</v>
      </c>
      <c r="L5" s="10">
        <f t="shared" si="3"/>
        <v>14980.919424172802</v>
      </c>
      <c r="M5" s="10">
        <f t="shared" si="3"/>
        <v>14980.919424172802</v>
      </c>
      <c r="N5" s="10">
        <f t="shared" si="3"/>
        <v>14980.919424172802</v>
      </c>
      <c r="O5" s="10">
        <f t="shared" si="3"/>
        <v>14980.919424172802</v>
      </c>
      <c r="P5" s="10">
        <f t="shared" si="3"/>
        <v>14980.919424172802</v>
      </c>
    </row>
    <row r="6" spans="2:96" x14ac:dyDescent="0.3">
      <c r="B6" t="s">
        <v>14</v>
      </c>
      <c r="C6">
        <v>7177</v>
      </c>
      <c r="D6">
        <v>7318</v>
      </c>
      <c r="E6">
        <v>6455</v>
      </c>
      <c r="F6" s="11">
        <f>AVERAGE(C6:E6)/AVERAGE(C3:E3)*F3</f>
        <v>5590.662937942644</v>
      </c>
      <c r="G6" s="11">
        <v>7000</v>
      </c>
      <c r="H6" s="12">
        <f>G6*1.02</f>
        <v>7140</v>
      </c>
      <c r="I6" s="12">
        <f t="shared" ref="I6:P6" si="4">H6*1.02</f>
        <v>7282.8</v>
      </c>
      <c r="J6" s="12">
        <f t="shared" si="4"/>
        <v>7428.4560000000001</v>
      </c>
      <c r="K6" s="12">
        <f t="shared" si="4"/>
        <v>7577.0251200000002</v>
      </c>
      <c r="L6" s="12">
        <f t="shared" si="4"/>
        <v>7728.5656224000004</v>
      </c>
      <c r="M6" s="12">
        <f t="shared" si="4"/>
        <v>7883.1369348480002</v>
      </c>
      <c r="N6" s="12">
        <f t="shared" si="4"/>
        <v>8040.7996735449606</v>
      </c>
      <c r="O6" s="12">
        <f t="shared" si="4"/>
        <v>8201.6156670158598</v>
      </c>
      <c r="P6" s="12">
        <f t="shared" si="4"/>
        <v>8365.6479803561779</v>
      </c>
    </row>
    <row r="7" spans="2:96" s="5" customFormat="1" x14ac:dyDescent="0.3">
      <c r="B7" s="5" t="s">
        <v>15</v>
      </c>
      <c r="C7" s="5">
        <v>2903</v>
      </c>
      <c r="D7" s="5">
        <v>3051</v>
      </c>
      <c r="E7" s="5">
        <v>3612</v>
      </c>
      <c r="F7" s="12">
        <f>D7*1.01</f>
        <v>3081.51</v>
      </c>
      <c r="G7" s="12">
        <f>F7*1.01</f>
        <v>3112.3251</v>
      </c>
      <c r="H7" s="12">
        <f t="shared" ref="H7:P8" si="5">G7*1.01</f>
        <v>3143.448351</v>
      </c>
      <c r="I7" s="12">
        <f t="shared" si="5"/>
        <v>3174.8828345100001</v>
      </c>
      <c r="J7" s="12">
        <f t="shared" si="5"/>
        <v>3206.6316628550999</v>
      </c>
      <c r="K7" s="12">
        <f t="shared" si="5"/>
        <v>3238.6979794836511</v>
      </c>
      <c r="L7" s="12">
        <f t="shared" si="5"/>
        <v>3271.0849592784875</v>
      </c>
      <c r="M7" s="12">
        <f t="shared" si="5"/>
        <v>3303.7958088712726</v>
      </c>
      <c r="N7" s="12">
        <f t="shared" si="5"/>
        <v>3336.8337669599855</v>
      </c>
      <c r="O7" s="12">
        <f t="shared" si="5"/>
        <v>3370.2021046295854</v>
      </c>
      <c r="P7" s="12">
        <f t="shared" si="5"/>
        <v>3403.9041256758815</v>
      </c>
    </row>
    <row r="8" spans="2:96" s="5" customFormat="1" x14ac:dyDescent="0.3">
      <c r="B8" s="5" t="s">
        <v>23</v>
      </c>
      <c r="C8" s="5">
        <f>-399-76+86</f>
        <v>-389</v>
      </c>
      <c r="D8" s="5">
        <f>-235+103</f>
        <v>-132</v>
      </c>
      <c r="E8" s="5">
        <f>-209-15+154</f>
        <v>-70</v>
      </c>
      <c r="F8" s="12">
        <f>E8*0.8</f>
        <v>-56</v>
      </c>
      <c r="G8" s="12">
        <f>F8*1.22</f>
        <v>-68.319999999999993</v>
      </c>
      <c r="H8" s="12">
        <f>G8*1.02</f>
        <v>-69.686399999999992</v>
      </c>
      <c r="I8" s="12">
        <f t="shared" ref="I8:J8" si="6">H8*1.02</f>
        <v>-71.080127999999988</v>
      </c>
      <c r="J8" s="12">
        <f t="shared" si="6"/>
        <v>-72.501730559999984</v>
      </c>
      <c r="K8" s="12">
        <f>J8*1.01</f>
        <v>-73.226747865599989</v>
      </c>
      <c r="L8" s="12">
        <f t="shared" si="5"/>
        <v>-73.959015344255988</v>
      </c>
      <c r="M8" s="12">
        <f t="shared" si="5"/>
        <v>-74.698605497698551</v>
      </c>
      <c r="N8" s="12">
        <f t="shared" si="5"/>
        <v>-75.445591552675538</v>
      </c>
      <c r="O8" s="12">
        <f t="shared" si="5"/>
        <v>-76.2000474682023</v>
      </c>
      <c r="P8" s="12">
        <f t="shared" si="5"/>
        <v>-76.962047942884325</v>
      </c>
    </row>
    <row r="9" spans="2:96" s="1" customFormat="1" x14ac:dyDescent="0.3">
      <c r="B9" s="1" t="s">
        <v>16</v>
      </c>
      <c r="C9" s="1">
        <f>C5-C6-C7-C8</f>
        <v>6329</v>
      </c>
      <c r="D9" s="1">
        <f>D5-D6-D7-D8</f>
        <v>5164</v>
      </c>
      <c r="E9" s="1">
        <f>E5-E6-E7-E8</f>
        <v>5026</v>
      </c>
      <c r="F9" s="10">
        <f>F5-F6-F7-F8</f>
        <v>3500.7710620573571</v>
      </c>
      <c r="G9" s="10">
        <f t="shared" ref="G9:P9" si="7">G5-G6-G7-G8</f>
        <v>4496.3277000000016</v>
      </c>
      <c r="H9" s="10">
        <f t="shared" si="7"/>
        <v>4471.9741770000019</v>
      </c>
      <c r="I9" s="10">
        <f t="shared" si="7"/>
        <v>4445.9907827700026</v>
      </c>
      <c r="J9" s="10">
        <f t="shared" si="7"/>
        <v>4418.3334918777027</v>
      </c>
      <c r="K9" s="10">
        <f t="shared" si="7"/>
        <v>4238.4230725547504</v>
      </c>
      <c r="L9" s="10">
        <f t="shared" si="7"/>
        <v>4055.2278578385699</v>
      </c>
      <c r="M9" s="10">
        <f t="shared" si="7"/>
        <v>3868.6852859512278</v>
      </c>
      <c r="N9" s="10">
        <f t="shared" si="7"/>
        <v>3678.7315752205313</v>
      </c>
      <c r="O9" s="10">
        <f t="shared" si="7"/>
        <v>3485.3016999955589</v>
      </c>
      <c r="P9" s="10">
        <f t="shared" si="7"/>
        <v>3288.3293660836271</v>
      </c>
    </row>
    <row r="10" spans="2:96" x14ac:dyDescent="0.3">
      <c r="B10" s="5" t="s">
        <v>17</v>
      </c>
      <c r="C10" s="5">
        <v>1345</v>
      </c>
      <c r="D10" s="5">
        <v>1056</v>
      </c>
      <c r="E10" s="5">
        <v>1005</v>
      </c>
      <c r="F10" s="11">
        <v>1000</v>
      </c>
      <c r="G10" s="11">
        <v>1000</v>
      </c>
      <c r="H10" s="11">
        <v>1000</v>
      </c>
      <c r="I10" s="11">
        <v>1000</v>
      </c>
      <c r="J10" s="11">
        <v>1000</v>
      </c>
      <c r="K10" s="11">
        <v>1000</v>
      </c>
      <c r="L10" s="11">
        <v>1000</v>
      </c>
      <c r="M10" s="11">
        <v>1000</v>
      </c>
      <c r="N10" s="11">
        <v>1000</v>
      </c>
      <c r="O10" s="11">
        <v>1000</v>
      </c>
      <c r="P10" s="11">
        <v>1000</v>
      </c>
    </row>
    <row r="11" spans="2:96" s="1" customFormat="1" x14ac:dyDescent="0.3">
      <c r="B11" s="1" t="s">
        <v>18</v>
      </c>
      <c r="C11" s="1">
        <f>C9-C10</f>
        <v>4984</v>
      </c>
      <c r="D11" s="1">
        <f>D9-D10</f>
        <v>4108</v>
      </c>
      <c r="E11" s="1">
        <f>E9-E10</f>
        <v>4021</v>
      </c>
      <c r="F11" s="10">
        <f t="shared" ref="F11:P11" si="8">F9-F10</f>
        <v>2500.7710620573571</v>
      </c>
      <c r="G11" s="10">
        <f t="shared" si="8"/>
        <v>3496.3277000000016</v>
      </c>
      <c r="H11" s="10">
        <f t="shared" si="8"/>
        <v>3471.9741770000019</v>
      </c>
      <c r="I11" s="10">
        <f t="shared" si="8"/>
        <v>3445.9907827700026</v>
      </c>
      <c r="J11" s="10">
        <f t="shared" si="8"/>
        <v>3418.3334918777027</v>
      </c>
      <c r="K11" s="10">
        <f t="shared" si="8"/>
        <v>3238.4230725547504</v>
      </c>
      <c r="L11" s="10">
        <f t="shared" si="8"/>
        <v>3055.2278578385699</v>
      </c>
      <c r="M11" s="10">
        <f t="shared" si="8"/>
        <v>2868.6852859512278</v>
      </c>
      <c r="N11" s="10">
        <f t="shared" si="8"/>
        <v>2678.7315752205313</v>
      </c>
      <c r="O11" s="10">
        <f t="shared" si="8"/>
        <v>2485.3016999955589</v>
      </c>
      <c r="P11" s="10">
        <f t="shared" si="8"/>
        <v>2288.3293660836271</v>
      </c>
    </row>
    <row r="12" spans="2:96" x14ac:dyDescent="0.3">
      <c r="B12" s="5" t="s">
        <v>19</v>
      </c>
      <c r="C12" s="5">
        <v>2588</v>
      </c>
      <c r="D12" s="5">
        <v>778</v>
      </c>
      <c r="E12" s="5">
        <v>1321</v>
      </c>
      <c r="F12" s="11">
        <f>F11*0.35</f>
        <v>875.26987172007489</v>
      </c>
      <c r="G12" s="11">
        <f t="shared" ref="G12:P12" si="9">G11*0.35</f>
        <v>1223.7146950000006</v>
      </c>
      <c r="H12" s="11">
        <f t="shared" si="9"/>
        <v>1215.1909619500007</v>
      </c>
      <c r="I12" s="11">
        <f t="shared" si="9"/>
        <v>1206.0967739695009</v>
      </c>
      <c r="J12" s="11">
        <f t="shared" si="9"/>
        <v>1196.4167221571959</v>
      </c>
      <c r="K12" s="11">
        <f t="shared" si="9"/>
        <v>1133.4480753941625</v>
      </c>
      <c r="L12" s="11">
        <f t="shared" si="9"/>
        <v>1069.3297502434993</v>
      </c>
      <c r="M12" s="11">
        <f t="shared" si="9"/>
        <v>1004.0398500829297</v>
      </c>
      <c r="N12" s="11">
        <f t="shared" si="9"/>
        <v>937.55605132718586</v>
      </c>
      <c r="O12" s="11">
        <f t="shared" si="9"/>
        <v>869.85559499844555</v>
      </c>
      <c r="P12" s="11">
        <f t="shared" si="9"/>
        <v>800.91527812926938</v>
      </c>
    </row>
    <row r="13" spans="2:96" x14ac:dyDescent="0.3">
      <c r="B13" s="5" t="s">
        <v>20</v>
      </c>
      <c r="C13" s="5">
        <v>19</v>
      </c>
      <c r="D13" s="5">
        <v>24</v>
      </c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5">
        <v>8</v>
      </c>
      <c r="K13" s="5">
        <v>8</v>
      </c>
      <c r="L13" s="5">
        <v>8</v>
      </c>
      <c r="M13" s="5">
        <v>8</v>
      </c>
      <c r="N13" s="5">
        <v>8</v>
      </c>
      <c r="O13" s="5">
        <v>8</v>
      </c>
      <c r="P13" s="5">
        <v>8</v>
      </c>
    </row>
    <row r="14" spans="2:96" s="1" customFormat="1" x14ac:dyDescent="0.3">
      <c r="B14" s="1" t="s">
        <v>21</v>
      </c>
      <c r="C14" s="1">
        <f>C11-C12-C13</f>
        <v>2377</v>
      </c>
      <c r="D14" s="1">
        <f>D11-D12-D13</f>
        <v>3306</v>
      </c>
      <c r="E14" s="1">
        <f>E11-E12-E13</f>
        <v>2692</v>
      </c>
      <c r="F14" s="10">
        <f t="shared" ref="F14:P14" si="10">F11-F12-F13</f>
        <v>1617.5011903372822</v>
      </c>
      <c r="G14" s="10">
        <f t="shared" si="10"/>
        <v>2264.6130050000011</v>
      </c>
      <c r="H14" s="10">
        <f t="shared" si="10"/>
        <v>2248.7832150500012</v>
      </c>
      <c r="I14" s="10">
        <f t="shared" si="10"/>
        <v>2231.894008800502</v>
      </c>
      <c r="J14" s="10">
        <f t="shared" si="10"/>
        <v>2213.9167697205066</v>
      </c>
      <c r="K14" s="10">
        <f t="shared" si="10"/>
        <v>2096.9749971605879</v>
      </c>
      <c r="L14" s="10">
        <f t="shared" si="10"/>
        <v>1977.8981075950705</v>
      </c>
      <c r="M14" s="10">
        <f t="shared" si="10"/>
        <v>1856.6454358682981</v>
      </c>
      <c r="N14" s="10">
        <f t="shared" si="10"/>
        <v>1733.1755238933456</v>
      </c>
      <c r="O14" s="10">
        <f t="shared" si="10"/>
        <v>1607.4461049971133</v>
      </c>
      <c r="P14" s="10">
        <f t="shared" si="10"/>
        <v>1479.4140879543577</v>
      </c>
      <c r="Q14" s="10">
        <f>P14*(1+$S$20)</f>
        <v>1464.619947074814</v>
      </c>
      <c r="R14" s="10">
        <f t="shared" ref="R14:CC14" si="11">Q14*(1+$S$20)</f>
        <v>1449.9737476040659</v>
      </c>
      <c r="S14" s="10">
        <f t="shared" si="11"/>
        <v>1435.4740101280252</v>
      </c>
      <c r="T14" s="10">
        <f t="shared" si="11"/>
        <v>1421.119270026745</v>
      </c>
      <c r="U14" s="10">
        <f t="shared" si="11"/>
        <v>1406.9080773264775</v>
      </c>
      <c r="V14" s="10">
        <f t="shared" si="11"/>
        <v>1392.8389965532126</v>
      </c>
      <c r="W14" s="10">
        <f t="shared" si="11"/>
        <v>1378.9106065876804</v>
      </c>
      <c r="X14" s="10">
        <f t="shared" si="11"/>
        <v>1365.1215005218035</v>
      </c>
      <c r="Y14" s="10">
        <f t="shared" si="11"/>
        <v>1351.4702855165854</v>
      </c>
      <c r="Z14" s="10">
        <f t="shared" si="11"/>
        <v>1337.9555826614194</v>
      </c>
      <c r="AA14" s="10">
        <f t="shared" si="11"/>
        <v>1324.5760268348051</v>
      </c>
      <c r="AB14" s="10">
        <f t="shared" si="11"/>
        <v>1311.3302665664571</v>
      </c>
      <c r="AC14" s="10">
        <f t="shared" si="11"/>
        <v>1298.2169639007925</v>
      </c>
      <c r="AD14" s="10">
        <f t="shared" si="11"/>
        <v>1285.2347942617846</v>
      </c>
      <c r="AE14" s="10">
        <f t="shared" si="11"/>
        <v>1272.3824463191668</v>
      </c>
      <c r="AF14" s="10">
        <f t="shared" si="11"/>
        <v>1259.6586218559751</v>
      </c>
      <c r="AG14" s="10">
        <f t="shared" si="11"/>
        <v>1247.0620356374154</v>
      </c>
      <c r="AH14" s="10">
        <f t="shared" si="11"/>
        <v>1234.5914152810412</v>
      </c>
      <c r="AI14" s="10">
        <f t="shared" si="11"/>
        <v>1222.2455011282309</v>
      </c>
      <c r="AJ14" s="10">
        <f t="shared" si="11"/>
        <v>1210.0230461169485</v>
      </c>
      <c r="AK14" s="10">
        <f t="shared" si="11"/>
        <v>1197.922815655779</v>
      </c>
      <c r="AL14" s="10">
        <f t="shared" si="11"/>
        <v>1185.9435874992212</v>
      </c>
      <c r="AM14" s="10">
        <f t="shared" si="11"/>
        <v>1174.084151624229</v>
      </c>
      <c r="AN14" s="10">
        <f t="shared" si="11"/>
        <v>1162.3433101079868</v>
      </c>
      <c r="AO14" s="10">
        <f t="shared" si="11"/>
        <v>1150.7198770069069</v>
      </c>
      <c r="AP14" s="10">
        <f t="shared" si="11"/>
        <v>1139.2126782368377</v>
      </c>
      <c r="AQ14" s="10">
        <f t="shared" si="11"/>
        <v>1127.8205514544693</v>
      </c>
      <c r="AR14" s="10">
        <f t="shared" si="11"/>
        <v>1116.5423459399246</v>
      </c>
      <c r="AS14" s="10">
        <f t="shared" si="11"/>
        <v>1105.3769224805253</v>
      </c>
      <c r="AT14" s="10">
        <f t="shared" si="11"/>
        <v>1094.3231532557199</v>
      </c>
      <c r="AU14" s="10">
        <f t="shared" si="11"/>
        <v>1083.3799217231626</v>
      </c>
      <c r="AV14" s="10">
        <f t="shared" si="11"/>
        <v>1072.546122505931</v>
      </c>
      <c r="AW14" s="10">
        <f t="shared" si="11"/>
        <v>1061.8206612808717</v>
      </c>
      <c r="AX14" s="10">
        <f t="shared" si="11"/>
        <v>1051.202454668063</v>
      </c>
      <c r="AY14" s="10">
        <f t="shared" si="11"/>
        <v>1040.6904301213824</v>
      </c>
      <c r="AZ14" s="10">
        <f t="shared" si="11"/>
        <v>1030.2835258201685</v>
      </c>
      <c r="BA14" s="10">
        <f t="shared" si="11"/>
        <v>1019.9806905619669</v>
      </c>
      <c r="BB14" s="10">
        <f t="shared" si="11"/>
        <v>1009.7808836563472</v>
      </c>
      <c r="BC14" s="10">
        <f t="shared" si="11"/>
        <v>999.68307481978377</v>
      </c>
      <c r="BD14" s="10">
        <f t="shared" si="11"/>
        <v>989.68624407158597</v>
      </c>
      <c r="BE14" s="10">
        <f t="shared" si="11"/>
        <v>979.78938163087014</v>
      </c>
      <c r="BF14" s="10">
        <f t="shared" si="11"/>
        <v>969.99148781456142</v>
      </c>
      <c r="BG14" s="10">
        <f t="shared" si="11"/>
        <v>960.29157293641583</v>
      </c>
      <c r="BH14" s="10">
        <f t="shared" si="11"/>
        <v>950.68865720705162</v>
      </c>
      <c r="BI14" s="10">
        <f t="shared" si="11"/>
        <v>941.18177063498115</v>
      </c>
      <c r="BJ14" s="10">
        <f t="shared" si="11"/>
        <v>931.76995292863137</v>
      </c>
      <c r="BK14" s="10">
        <f t="shared" si="11"/>
        <v>922.45225339934507</v>
      </c>
      <c r="BL14" s="10">
        <f t="shared" si="11"/>
        <v>913.22773086535165</v>
      </c>
      <c r="BM14" s="10">
        <f t="shared" si="11"/>
        <v>904.09545355669809</v>
      </c>
      <c r="BN14" s="10">
        <f t="shared" si="11"/>
        <v>895.05449902113105</v>
      </c>
      <c r="BO14" s="10">
        <f t="shared" si="11"/>
        <v>886.10395403091968</v>
      </c>
      <c r="BP14" s="10">
        <f t="shared" si="11"/>
        <v>877.24291449061047</v>
      </c>
      <c r="BQ14" s="10">
        <f t="shared" si="11"/>
        <v>868.47048534570433</v>
      </c>
      <c r="BR14" s="10">
        <f t="shared" si="11"/>
        <v>859.78578049224723</v>
      </c>
      <c r="BS14" s="10">
        <f t="shared" si="11"/>
        <v>851.18792268732477</v>
      </c>
      <c r="BT14" s="10">
        <f t="shared" si="11"/>
        <v>842.67604346045152</v>
      </c>
      <c r="BU14" s="10">
        <f t="shared" si="11"/>
        <v>834.24928302584703</v>
      </c>
      <c r="BV14" s="10">
        <f t="shared" si="11"/>
        <v>825.90679019558854</v>
      </c>
      <c r="BW14" s="10">
        <f t="shared" si="11"/>
        <v>817.64772229363268</v>
      </c>
      <c r="BX14" s="10">
        <f t="shared" si="11"/>
        <v>809.47124507069634</v>
      </c>
      <c r="BY14" s="10">
        <f t="shared" si="11"/>
        <v>801.37653261998935</v>
      </c>
      <c r="BZ14" s="10">
        <f t="shared" si="11"/>
        <v>793.36276729378949</v>
      </c>
      <c r="CA14" s="10">
        <f t="shared" si="11"/>
        <v>785.42913962085163</v>
      </c>
      <c r="CB14" s="10">
        <f t="shared" si="11"/>
        <v>777.57484822464312</v>
      </c>
      <c r="CC14" s="10">
        <f t="shared" si="11"/>
        <v>769.79909974239672</v>
      </c>
      <c r="CD14" s="10">
        <f t="shared" ref="CD14:CR14" si="12">CC14*(1+$S$20)</f>
        <v>762.10110874497275</v>
      </c>
      <c r="CE14" s="10">
        <f t="shared" si="12"/>
        <v>754.48009765752306</v>
      </c>
      <c r="CF14" s="10">
        <f t="shared" si="12"/>
        <v>746.93529668094777</v>
      </c>
      <c r="CG14" s="10">
        <f t="shared" si="12"/>
        <v>739.46594371413823</v>
      </c>
      <c r="CH14" s="10">
        <f t="shared" si="12"/>
        <v>732.07128427699683</v>
      </c>
      <c r="CI14" s="10">
        <f t="shared" si="12"/>
        <v>724.75057143422691</v>
      </c>
      <c r="CJ14" s="10">
        <f t="shared" si="12"/>
        <v>717.5030657198846</v>
      </c>
      <c r="CK14" s="10">
        <f t="shared" si="12"/>
        <v>710.32803506268579</v>
      </c>
      <c r="CL14" s="10">
        <f t="shared" si="12"/>
        <v>703.22475471205894</v>
      </c>
      <c r="CM14" s="10">
        <f t="shared" si="12"/>
        <v>696.19250716493832</v>
      </c>
      <c r="CN14" s="10">
        <f t="shared" si="12"/>
        <v>689.23058209328894</v>
      </c>
      <c r="CO14" s="10">
        <f t="shared" si="12"/>
        <v>682.3382762723561</v>
      </c>
      <c r="CP14" s="10">
        <f t="shared" si="12"/>
        <v>675.51489350963254</v>
      </c>
      <c r="CQ14" s="10">
        <f t="shared" si="12"/>
        <v>668.75974457453617</v>
      </c>
      <c r="CR14" s="10">
        <f t="shared" si="12"/>
        <v>662.07214712879079</v>
      </c>
    </row>
    <row r="15" spans="2:96" x14ac:dyDescent="0.3">
      <c r="B15" s="5" t="s">
        <v>2</v>
      </c>
      <c r="C15" s="5">
        <v>1976</v>
      </c>
      <c r="D15" s="5">
        <v>1976</v>
      </c>
      <c r="E15" s="5">
        <v>1976</v>
      </c>
      <c r="F15" s="5">
        <v>1976</v>
      </c>
      <c r="G15" s="5">
        <v>1976</v>
      </c>
      <c r="H15" s="5">
        <v>1976</v>
      </c>
      <c r="I15" s="5">
        <v>1976</v>
      </c>
      <c r="J15" s="5">
        <v>1976</v>
      </c>
      <c r="K15" s="5">
        <v>1976</v>
      </c>
      <c r="L15" s="5">
        <v>1976</v>
      </c>
      <c r="M15" s="5">
        <v>1976</v>
      </c>
      <c r="N15" s="5">
        <v>1976</v>
      </c>
      <c r="O15" s="5">
        <v>1976</v>
      </c>
      <c r="P15" s="5">
        <v>1976</v>
      </c>
    </row>
    <row r="16" spans="2:96" s="1" customFormat="1" x14ac:dyDescent="0.3">
      <c r="B16" s="1" t="s">
        <v>22</v>
      </c>
      <c r="C16" s="6">
        <f>C14/C15</f>
        <v>1.2029352226720649</v>
      </c>
      <c r="D16" s="6">
        <f>D14/D15</f>
        <v>1.6730769230769231</v>
      </c>
      <c r="E16" s="6">
        <f>E14/E15</f>
        <v>1.3623481781376519</v>
      </c>
      <c r="F16" s="6">
        <f t="shared" ref="F16:P16" si="13">F14/F15</f>
        <v>0.81857347689133719</v>
      </c>
      <c r="G16" s="6">
        <f t="shared" si="13"/>
        <v>1.1460592130566807</v>
      </c>
      <c r="H16" s="6">
        <f t="shared" si="13"/>
        <v>1.1380481857540492</v>
      </c>
      <c r="I16" s="6">
        <f t="shared" si="13"/>
        <v>1.1295010165994444</v>
      </c>
      <c r="J16" s="6">
        <f t="shared" si="13"/>
        <v>1.1204032235427666</v>
      </c>
      <c r="K16" s="6">
        <f t="shared" si="13"/>
        <v>1.0612221645549533</v>
      </c>
      <c r="L16" s="6">
        <f t="shared" si="13"/>
        <v>1.0009605807667361</v>
      </c>
      <c r="M16" s="6">
        <f t="shared" si="13"/>
        <v>0.93959789264589988</v>
      </c>
      <c r="N16" s="6">
        <f t="shared" si="13"/>
        <v>0.87711311937922343</v>
      </c>
      <c r="O16" s="6">
        <f t="shared" si="13"/>
        <v>0.81348487094995614</v>
      </c>
      <c r="P16" s="6">
        <f t="shared" si="13"/>
        <v>0.7486913400578733</v>
      </c>
    </row>
    <row r="17" spans="2:19" x14ac:dyDescent="0.3"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9" s="1" customFormat="1" x14ac:dyDescent="0.3">
      <c r="B18" s="1" t="s">
        <v>27</v>
      </c>
      <c r="C18" s="8">
        <f>C5/C3</f>
        <v>0.15151801759197958</v>
      </c>
      <c r="D18" s="8">
        <f>D5/D3</f>
        <v>0.1394866500018114</v>
      </c>
      <c r="E18" s="8">
        <f>E5/E3</f>
        <v>0.13886141588176029</v>
      </c>
      <c r="F18" s="8">
        <f t="shared" ref="F18:P18" si="14">F5/F3</f>
        <v>0.14000000000000001</v>
      </c>
      <c r="G18" s="8">
        <f t="shared" si="14"/>
        <v>0.14000000000000001</v>
      </c>
      <c r="H18" s="8">
        <f t="shared" si="14"/>
        <v>0.14000000000000001</v>
      </c>
      <c r="I18" s="8">
        <f t="shared" si="14"/>
        <v>0.14000000000000001</v>
      </c>
      <c r="J18" s="8">
        <f t="shared" si="14"/>
        <v>0.14000000000000001</v>
      </c>
      <c r="K18" s="8">
        <f t="shared" si="14"/>
        <v>0.14000000000000001</v>
      </c>
      <c r="L18" s="8">
        <f t="shared" si="14"/>
        <v>0.14000000000000001</v>
      </c>
      <c r="M18" s="8">
        <f t="shared" si="14"/>
        <v>0.14000000000000001</v>
      </c>
      <c r="N18" s="8">
        <f t="shared" si="14"/>
        <v>0.14000000000000001</v>
      </c>
      <c r="O18" s="8">
        <f t="shared" si="14"/>
        <v>0.14000000000000001</v>
      </c>
      <c r="P18" s="8">
        <f t="shared" si="14"/>
        <v>0.14000000000000001</v>
      </c>
    </row>
    <row r="19" spans="2:19" s="1" customFormat="1" x14ac:dyDescent="0.3">
      <c r="B19" s="1" t="s">
        <v>28</v>
      </c>
      <c r="C19" s="8">
        <f>C9/C3</f>
        <v>5.9860020807717775E-2</v>
      </c>
      <c r="D19" s="8">
        <f>D9/D3</f>
        <v>4.677027859290657E-2</v>
      </c>
      <c r="E19" s="8">
        <f>E9/E3</f>
        <v>4.645659829739248E-2</v>
      </c>
      <c r="F19" s="8">
        <f t="shared" ref="F19:P19" si="15">F9/F3</f>
        <v>4.0448148368766083E-2</v>
      </c>
      <c r="G19" s="8">
        <f t="shared" si="15"/>
        <v>4.329239823176538E-2</v>
      </c>
      <c r="H19" s="8">
        <f t="shared" si="15"/>
        <v>4.2631597035596706E-2</v>
      </c>
      <c r="I19" s="8">
        <f t="shared" si="15"/>
        <v>4.1964253253327352E-2</v>
      </c>
      <c r="J19" s="8">
        <f t="shared" si="15"/>
        <v>4.1290302106877105E-2</v>
      </c>
      <c r="K19" s="8">
        <f t="shared" si="15"/>
        <v>3.960899951175257E-2</v>
      </c>
      <c r="L19" s="8">
        <f t="shared" si="15"/>
        <v>3.7896999778352931E-2</v>
      </c>
      <c r="M19" s="8">
        <f t="shared" si="15"/>
        <v>3.6153718253048958E-2</v>
      </c>
      <c r="N19" s="8">
        <f t="shared" si="15"/>
        <v>3.4378558882030189E-2</v>
      </c>
      <c r="O19" s="8">
        <f t="shared" si="15"/>
        <v>3.2570913986230243E-2</v>
      </c>
      <c r="P19" s="8">
        <f t="shared" si="15"/>
        <v>3.0730164031779895E-2</v>
      </c>
    </row>
    <row r="20" spans="2:19" x14ac:dyDescent="0.3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R20" s="5" t="s">
        <v>37</v>
      </c>
      <c r="S20" s="9">
        <v>-0.01</v>
      </c>
    </row>
    <row r="21" spans="2:19" s="1" customFormat="1" x14ac:dyDescent="0.3">
      <c r="B21" s="1" t="s">
        <v>29</v>
      </c>
      <c r="C21" s="8"/>
      <c r="D21" s="8">
        <f>D3/C3-1</f>
        <v>4.4282606639553634E-2</v>
      </c>
      <c r="E21" s="8">
        <f>E3/D3-1</f>
        <v>-2.015179509473608E-2</v>
      </c>
      <c r="F21" s="8">
        <f t="shared" ref="F21:P21" si="16">F3/E3-1</f>
        <v>-0.19999999999999996</v>
      </c>
      <c r="G21" s="8">
        <f t="shared" si="16"/>
        <v>0.19999999999999996</v>
      </c>
      <c r="H21" s="8">
        <f t="shared" si="16"/>
        <v>1.0000000000000009E-2</v>
      </c>
      <c r="I21" s="8">
        <f t="shared" si="16"/>
        <v>1.0000000000000009E-2</v>
      </c>
      <c r="J21" s="8">
        <f t="shared" si="16"/>
        <v>1.0000000000000009E-2</v>
      </c>
      <c r="K21" s="8">
        <f t="shared" si="16"/>
        <v>0</v>
      </c>
      <c r="L21" s="8">
        <f t="shared" si="16"/>
        <v>0</v>
      </c>
      <c r="M21" s="8">
        <f t="shared" si="16"/>
        <v>0</v>
      </c>
      <c r="N21" s="8">
        <f t="shared" si="16"/>
        <v>0</v>
      </c>
      <c r="O21" s="8">
        <f t="shared" si="16"/>
        <v>0</v>
      </c>
      <c r="P21" s="8">
        <f t="shared" si="16"/>
        <v>0</v>
      </c>
      <c r="R21" s="5" t="s">
        <v>30</v>
      </c>
      <c r="S21" s="13">
        <v>0.06</v>
      </c>
    </row>
    <row r="22" spans="2:19" x14ac:dyDescent="0.3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R22" s="5" t="s">
        <v>31</v>
      </c>
      <c r="S22" s="14">
        <f>NPV(S21,F14:CR14)</f>
        <v>26488.599095015841</v>
      </c>
    </row>
    <row r="23" spans="2:19" x14ac:dyDescent="0.3">
      <c r="B23" s="1" t="s">
        <v>19</v>
      </c>
      <c r="C23" s="8">
        <f>C12/C11</f>
        <v>0.5192616372391653</v>
      </c>
      <c r="D23" s="8">
        <f>D12/D11</f>
        <v>0.18938656280428431</v>
      </c>
      <c r="E23" s="8">
        <f>E12/E11</f>
        <v>0.32852524247699577</v>
      </c>
      <c r="F23" s="8">
        <f t="shared" ref="F23:P23" si="17">F12/F11</f>
        <v>0.35</v>
      </c>
      <c r="G23" s="8">
        <f t="shared" si="17"/>
        <v>0.35</v>
      </c>
      <c r="H23" s="8">
        <f t="shared" si="17"/>
        <v>0.35</v>
      </c>
      <c r="I23" s="8">
        <f t="shared" si="17"/>
        <v>0.35</v>
      </c>
      <c r="J23" s="8">
        <f t="shared" si="17"/>
        <v>0.35</v>
      </c>
      <c r="K23" s="8">
        <f t="shared" si="17"/>
        <v>0.35</v>
      </c>
      <c r="L23" s="8">
        <f t="shared" si="17"/>
        <v>0.35</v>
      </c>
      <c r="M23" s="8">
        <f t="shared" si="17"/>
        <v>0.35</v>
      </c>
      <c r="N23" s="8">
        <f t="shared" si="17"/>
        <v>0.35</v>
      </c>
      <c r="O23" s="8">
        <f t="shared" si="17"/>
        <v>0.35</v>
      </c>
      <c r="P23" s="8">
        <f t="shared" si="17"/>
        <v>0.35</v>
      </c>
      <c r="R23" s="5" t="s">
        <v>32</v>
      </c>
      <c r="S23" s="14">
        <f>Main!D8</f>
        <v>-4300</v>
      </c>
    </row>
    <row r="24" spans="2:19" x14ac:dyDescent="0.3">
      <c r="B24" s="1"/>
      <c r="R24" s="5" t="s">
        <v>33</v>
      </c>
      <c r="S24" s="14">
        <f>S22+S23</f>
        <v>22188.599095015841</v>
      </c>
    </row>
    <row r="25" spans="2:19" x14ac:dyDescent="0.3">
      <c r="B25" s="1"/>
      <c r="R25" s="5" t="s">
        <v>34</v>
      </c>
      <c r="S25" s="14">
        <f>S24/P15</f>
        <v>11.229048125008017</v>
      </c>
    </row>
    <row r="26" spans="2:19" x14ac:dyDescent="0.3">
      <c r="R26" s="5" t="s">
        <v>35</v>
      </c>
      <c r="S26" s="14">
        <f>Main!D3</f>
        <v>11.16</v>
      </c>
    </row>
    <row r="27" spans="2:19" x14ac:dyDescent="0.3">
      <c r="C27" s="7" t="s">
        <v>24</v>
      </c>
      <c r="D27" s="7" t="s">
        <v>24</v>
      </c>
      <c r="E27" s="7" t="s">
        <v>24</v>
      </c>
      <c r="R27" s="1" t="s">
        <v>36</v>
      </c>
      <c r="S27" s="8">
        <f>S25/S26-1</f>
        <v>6.187107975628825E-3</v>
      </c>
    </row>
    <row r="28" spans="2:19" x14ac:dyDescent="0.3">
      <c r="C28">
        <v>2017</v>
      </c>
      <c r="D28">
        <v>2018</v>
      </c>
      <c r="E28">
        <v>2019</v>
      </c>
      <c r="R28" s="5" t="s">
        <v>40</v>
      </c>
      <c r="S28" s="7" t="s">
        <v>39</v>
      </c>
    </row>
    <row r="29" spans="2:19" x14ac:dyDescent="0.3">
      <c r="B29" s="1" t="s">
        <v>11</v>
      </c>
      <c r="C29" s="1">
        <v>105730</v>
      </c>
      <c r="D29" s="1">
        <v>110412</v>
      </c>
      <c r="E29" s="1">
        <v>108187</v>
      </c>
    </row>
    <row r="30" spans="2:19" x14ac:dyDescent="0.3">
      <c r="B30" t="s">
        <v>12</v>
      </c>
      <c r="C30">
        <v>89710</v>
      </c>
      <c r="D30">
        <v>95011</v>
      </c>
      <c r="E30">
        <v>93164</v>
      </c>
    </row>
    <row r="31" spans="2:19" x14ac:dyDescent="0.3">
      <c r="B31" s="1" t="s">
        <v>13</v>
      </c>
      <c r="C31" s="1">
        <f>C29-C30</f>
        <v>16020</v>
      </c>
      <c r="D31" s="1">
        <f>D29-D30</f>
        <v>15401</v>
      </c>
      <c r="E31" s="1">
        <f>E29-E30</f>
        <v>15023</v>
      </c>
    </row>
    <row r="32" spans="2:19" x14ac:dyDescent="0.3">
      <c r="B32" t="s">
        <v>14</v>
      </c>
      <c r="C32">
        <v>7177</v>
      </c>
      <c r="D32">
        <v>7318</v>
      </c>
      <c r="E32">
        <v>6455</v>
      </c>
    </row>
    <row r="33" spans="2:5" x14ac:dyDescent="0.3">
      <c r="B33" s="5" t="s">
        <v>15</v>
      </c>
      <c r="C33" s="5">
        <v>2903</v>
      </c>
      <c r="D33" s="5">
        <v>3051</v>
      </c>
      <c r="E33" s="5">
        <v>3612</v>
      </c>
    </row>
    <row r="34" spans="2:5" x14ac:dyDescent="0.3">
      <c r="B34" s="5" t="s">
        <v>23</v>
      </c>
      <c r="C34" s="5">
        <f>-399-76+86-895</f>
        <v>-1284</v>
      </c>
      <c r="D34" s="5">
        <f>-235+103</f>
        <v>-132</v>
      </c>
      <c r="E34" s="5">
        <f>-209-15+154</f>
        <v>-70</v>
      </c>
    </row>
    <row r="35" spans="2:5" x14ac:dyDescent="0.3">
      <c r="B35" s="1" t="s">
        <v>16</v>
      </c>
      <c r="C35" s="1">
        <f>C31-C32-C33-C34</f>
        <v>7224</v>
      </c>
      <c r="D35" s="1">
        <f>D31-D32-D33-D34</f>
        <v>5164</v>
      </c>
      <c r="E35" s="1">
        <f>E31-E32-E33-E34</f>
        <v>5026</v>
      </c>
    </row>
    <row r="36" spans="2:5" x14ac:dyDescent="0.3">
      <c r="B36" s="5" t="s">
        <v>17</v>
      </c>
      <c r="C36" s="5">
        <v>1345</v>
      </c>
      <c r="D36" s="5">
        <v>1056</v>
      </c>
      <c r="E36" s="5">
        <v>1005</v>
      </c>
    </row>
    <row r="37" spans="2:5" x14ac:dyDescent="0.3">
      <c r="B37" s="1" t="s">
        <v>18</v>
      </c>
      <c r="C37" s="1">
        <f>C35-C36</f>
        <v>5879</v>
      </c>
      <c r="D37" s="1">
        <f>D35-D36</f>
        <v>4108</v>
      </c>
      <c r="E37" s="1">
        <f>E35-E36</f>
        <v>4021</v>
      </c>
    </row>
    <row r="38" spans="2:5" x14ac:dyDescent="0.3">
      <c r="B38" s="5" t="s">
        <v>19</v>
      </c>
      <c r="C38" s="5">
        <v>2588</v>
      </c>
      <c r="D38" s="5">
        <v>778</v>
      </c>
      <c r="E38" s="5">
        <v>1321</v>
      </c>
    </row>
    <row r="39" spans="2:5" x14ac:dyDescent="0.3">
      <c r="B39" s="5" t="s">
        <v>20</v>
      </c>
      <c r="C39" s="5">
        <v>19</v>
      </c>
      <c r="D39" s="5">
        <v>24</v>
      </c>
      <c r="E39" s="5">
        <v>8</v>
      </c>
    </row>
    <row r="40" spans="2:5" x14ac:dyDescent="0.3">
      <c r="B40" s="5" t="s">
        <v>26</v>
      </c>
      <c r="C40" s="5">
        <v>-219</v>
      </c>
      <c r="D40" s="5">
        <v>-302</v>
      </c>
      <c r="E40" s="5">
        <v>-3930</v>
      </c>
    </row>
    <row r="41" spans="2:5" x14ac:dyDescent="0.3">
      <c r="B41" s="1" t="s">
        <v>21</v>
      </c>
      <c r="C41" s="1">
        <f>C37-C38-C39-C40</f>
        <v>3491</v>
      </c>
      <c r="D41" s="1">
        <f>D37-D38-D39-D40</f>
        <v>3608</v>
      </c>
      <c r="E41" s="1">
        <f>E37-E38-E39-E40</f>
        <v>6622</v>
      </c>
    </row>
    <row r="42" spans="2:5" x14ac:dyDescent="0.3">
      <c r="B42" s="5" t="s">
        <v>2</v>
      </c>
      <c r="C42" s="5">
        <v>1976</v>
      </c>
      <c r="D42" s="5">
        <v>1976</v>
      </c>
      <c r="E42" s="5">
        <v>1976</v>
      </c>
    </row>
    <row r="43" spans="2:5" x14ac:dyDescent="0.3">
      <c r="B43" s="1" t="s">
        <v>22</v>
      </c>
      <c r="C43" s="6">
        <f>C41/C42</f>
        <v>1.7667004048582995</v>
      </c>
      <c r="D43" s="6">
        <f>D41/D42</f>
        <v>1.8259109311740891</v>
      </c>
      <c r="E43" s="6">
        <f>E41/E42</f>
        <v>3.3512145748987856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2020-09-09T11:27:26Z</dcterms:created>
  <dcterms:modified xsi:type="dcterms:W3CDTF">2021-03-01T22:13:05Z</dcterms:modified>
</cp:coreProperties>
</file>