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F8F88124-3411-4095-93CE-B8CAB9C6CB5B}" xr6:coauthVersionLast="47" xr6:coauthVersionMax="47" xr10:uidLastSave="{00000000-0000-0000-0000-000000000000}"/>
  <bookViews>
    <workbookView xWindow="-108" yWindow="-108" windowWidth="23256" windowHeight="12576" activeTab="1" xr2:uid="{42CD1468-76D2-4D3B-B2D7-BE92B4A8E026}"/>
  </bookViews>
  <sheets>
    <sheet name="Main" sheetId="1" r:id="rId1"/>
    <sheet name="Model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9" i="4" l="1"/>
  <c r="AG9" i="4"/>
  <c r="AF9" i="4"/>
  <c r="AS47" i="4"/>
  <c r="AE104" i="4"/>
  <c r="AE103" i="4"/>
  <c r="AE101" i="4"/>
  <c r="AE100" i="4"/>
  <c r="AE99" i="4"/>
  <c r="AE98" i="4"/>
  <c r="AE97" i="4"/>
  <c r="AE96" i="4"/>
  <c r="AE95" i="4"/>
  <c r="AE94" i="4"/>
  <c r="AE93" i="4"/>
  <c r="AE92" i="4"/>
  <c r="AE91" i="4"/>
  <c r="AE90" i="4"/>
  <c r="AE89" i="4"/>
  <c r="AE88" i="4"/>
  <c r="AE87" i="4"/>
  <c r="V102" i="4"/>
  <c r="V106" i="4" s="1"/>
  <c r="V108" i="4" s="1"/>
  <c r="U102" i="4"/>
  <c r="U106" i="4" s="1"/>
  <c r="U108" i="4" s="1"/>
  <c r="T102" i="4"/>
  <c r="V86" i="4"/>
  <c r="U86" i="4"/>
  <c r="T86" i="4"/>
  <c r="V109" i="4"/>
  <c r="U109" i="4"/>
  <c r="T109" i="4"/>
  <c r="V105" i="4"/>
  <c r="U105" i="4"/>
  <c r="T105" i="4"/>
  <c r="T106" i="4" s="1"/>
  <c r="T108" i="4" s="1"/>
  <c r="S109" i="4"/>
  <c r="S96" i="4"/>
  <c r="S105" i="4"/>
  <c r="S86" i="4"/>
  <c r="S102" i="4" s="1"/>
  <c r="S106" i="4" l="1"/>
  <c r="S108" i="4" s="1"/>
  <c r="S39" i="4"/>
  <c r="S38" i="4"/>
  <c r="S37" i="4"/>
  <c r="S36" i="4"/>
  <c r="S35" i="4"/>
  <c r="O7" i="4"/>
  <c r="S7" i="4"/>
  <c r="D7" i="1"/>
  <c r="D6" i="1"/>
  <c r="AF104" i="4" l="1"/>
  <c r="AG104" i="4" s="1"/>
  <c r="AH104" i="4" s="1"/>
  <c r="AI104" i="4" s="1"/>
  <c r="AF103" i="4"/>
  <c r="AG103" i="4" s="1"/>
  <c r="AH103" i="4" s="1"/>
  <c r="AI103" i="4" s="1"/>
  <c r="AJ103" i="4" s="1"/>
  <c r="AK103" i="4" s="1"/>
  <c r="AL103" i="4" s="1"/>
  <c r="AM103" i="4" s="1"/>
  <c r="AN103" i="4" s="1"/>
  <c r="AO103" i="4" s="1"/>
  <c r="AC109" i="4"/>
  <c r="AC108" i="4"/>
  <c r="R108" i="4"/>
  <c r="R109" i="4"/>
  <c r="AB96" i="4"/>
  <c r="AB105" i="4"/>
  <c r="AB102" i="4"/>
  <c r="AB86" i="4"/>
  <c r="R102" i="4"/>
  <c r="AS114" i="4"/>
  <c r="R104" i="4"/>
  <c r="R103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Q109" i="4"/>
  <c r="P109" i="4"/>
  <c r="O109" i="4"/>
  <c r="AD109" i="4"/>
  <c r="AD96" i="4"/>
  <c r="T21" i="4"/>
  <c r="U21" i="4"/>
  <c r="AE22" i="4"/>
  <c r="V16" i="4"/>
  <c r="U16" i="4"/>
  <c r="AB106" i="4" l="1"/>
  <c r="V11" i="4"/>
  <c r="V42" i="4" s="1"/>
  <c r="U11" i="4"/>
  <c r="U18" i="4" s="1"/>
  <c r="T11" i="4"/>
  <c r="T16" i="4" s="1"/>
  <c r="S13" i="4"/>
  <c r="V20" i="4"/>
  <c r="V50" i="4" s="1"/>
  <c r="U20" i="4"/>
  <c r="U50" i="4" s="1"/>
  <c r="T20" i="4"/>
  <c r="S50" i="4"/>
  <c r="V12" i="4"/>
  <c r="V17" i="4" s="1"/>
  <c r="U12" i="4"/>
  <c r="T12" i="4"/>
  <c r="T17" i="4" s="1"/>
  <c r="AE30" i="4"/>
  <c r="AE29" i="4"/>
  <c r="AE27" i="4"/>
  <c r="AE26" i="4"/>
  <c r="AE25" i="4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E21" i="4"/>
  <c r="AE10" i="4"/>
  <c r="AE9" i="4"/>
  <c r="AI9" i="4" s="1"/>
  <c r="AJ9" i="4" s="1"/>
  <c r="AK9" i="4" s="1"/>
  <c r="AL9" i="4" s="1"/>
  <c r="AM9" i="4" s="1"/>
  <c r="AN9" i="4" s="1"/>
  <c r="AO9" i="4" s="1"/>
  <c r="V41" i="4"/>
  <c r="U41" i="4"/>
  <c r="T41" i="4"/>
  <c r="S41" i="4"/>
  <c r="V51" i="4"/>
  <c r="U51" i="4"/>
  <c r="T51" i="4"/>
  <c r="S51" i="4"/>
  <c r="T50" i="4"/>
  <c r="S48" i="4"/>
  <c r="V46" i="4"/>
  <c r="U46" i="4"/>
  <c r="T46" i="4"/>
  <c r="U45" i="4"/>
  <c r="T45" i="4"/>
  <c r="S45" i="4"/>
  <c r="U43" i="4"/>
  <c r="S43" i="4"/>
  <c r="U42" i="4"/>
  <c r="T42" i="4"/>
  <c r="S42" i="4"/>
  <c r="V40" i="4"/>
  <c r="U40" i="4"/>
  <c r="T40" i="4"/>
  <c r="S40" i="4"/>
  <c r="U23" i="4"/>
  <c r="T23" i="4"/>
  <c r="V21" i="4"/>
  <c r="U17" i="4"/>
  <c r="U48" i="4" s="1"/>
  <c r="U15" i="4"/>
  <c r="T15" i="4"/>
  <c r="S46" i="4"/>
  <c r="V15" i="4"/>
  <c r="V14" i="4"/>
  <c r="AE14" i="4" s="1"/>
  <c r="V10" i="4"/>
  <c r="U10" i="4"/>
  <c r="T10" i="4"/>
  <c r="R38" i="4"/>
  <c r="R37" i="4"/>
  <c r="R36" i="4"/>
  <c r="R35" i="4"/>
  <c r="Q30" i="4"/>
  <c r="P30" i="4"/>
  <c r="O30" i="4"/>
  <c r="N30" i="4"/>
  <c r="AC30" i="4" s="1"/>
  <c r="AD83" i="4"/>
  <c r="AD82" i="4"/>
  <c r="AD78" i="4"/>
  <c r="AD71" i="4"/>
  <c r="AD59" i="4"/>
  <c r="AD57" i="4"/>
  <c r="AD56" i="4" s="1"/>
  <c r="AD22" i="4"/>
  <c r="Z23" i="4"/>
  <c r="Y23" i="4"/>
  <c r="X23" i="4"/>
  <c r="R83" i="4"/>
  <c r="R59" i="4"/>
  <c r="R57" i="4"/>
  <c r="R82" i="4"/>
  <c r="R78" i="4"/>
  <c r="R71" i="4"/>
  <c r="R30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R23" i="4"/>
  <c r="D8" i="1"/>
  <c r="N7" i="4"/>
  <c r="R7" i="4"/>
  <c r="R39" i="4" s="1"/>
  <c r="N120" i="4"/>
  <c r="N115" i="4"/>
  <c r="AC83" i="4"/>
  <c r="AC82" i="4"/>
  <c r="AC78" i="4"/>
  <c r="AC71" i="4"/>
  <c r="AC59" i="4"/>
  <c r="AC57" i="4"/>
  <c r="AC56" i="4" s="1"/>
  <c r="R105" i="4"/>
  <c r="P83" i="4"/>
  <c r="P59" i="4"/>
  <c r="P57" i="4"/>
  <c r="P82" i="4"/>
  <c r="P78" i="4"/>
  <c r="P71" i="4"/>
  <c r="O83" i="4"/>
  <c r="O59" i="4"/>
  <c r="O57" i="4"/>
  <c r="O82" i="4"/>
  <c r="O78" i="4"/>
  <c r="O71" i="4"/>
  <c r="K96" i="4"/>
  <c r="O96" i="4"/>
  <c r="L104" i="4"/>
  <c r="L103" i="4"/>
  <c r="M103" i="4" s="1"/>
  <c r="N103" i="4" s="1"/>
  <c r="L101" i="4"/>
  <c r="L100" i="4"/>
  <c r="M100" i="4" s="1"/>
  <c r="N100" i="4" s="1"/>
  <c r="L99" i="4"/>
  <c r="M99" i="4" s="1"/>
  <c r="N99" i="4" s="1"/>
  <c r="L98" i="4"/>
  <c r="M98" i="4" s="1"/>
  <c r="N98" i="4" s="1"/>
  <c r="L97" i="4"/>
  <c r="M97" i="4" s="1"/>
  <c r="N97" i="4" s="1"/>
  <c r="L95" i="4"/>
  <c r="M95" i="4" s="1"/>
  <c r="N95" i="4" s="1"/>
  <c r="L94" i="4"/>
  <c r="M94" i="4" s="1"/>
  <c r="N94" i="4" s="1"/>
  <c r="L93" i="4"/>
  <c r="M93" i="4" s="1"/>
  <c r="N93" i="4" s="1"/>
  <c r="L92" i="4"/>
  <c r="M92" i="4" s="1"/>
  <c r="N92" i="4" s="1"/>
  <c r="L91" i="4"/>
  <c r="M91" i="4" s="1"/>
  <c r="L90" i="4"/>
  <c r="M90" i="4" s="1"/>
  <c r="N90" i="4" s="1"/>
  <c r="L89" i="4"/>
  <c r="M89" i="4" s="1"/>
  <c r="N89" i="4" s="1"/>
  <c r="L88" i="4"/>
  <c r="M88" i="4" s="1"/>
  <c r="N88" i="4" s="1"/>
  <c r="L87" i="4"/>
  <c r="M87" i="4" s="1"/>
  <c r="N87" i="4" s="1"/>
  <c r="K105" i="4"/>
  <c r="L120" i="4"/>
  <c r="P120" i="4"/>
  <c r="P104" i="4"/>
  <c r="Q104" i="4" s="1"/>
  <c r="P103" i="4"/>
  <c r="O105" i="4"/>
  <c r="P101" i="4"/>
  <c r="Q101" i="4" s="1"/>
  <c r="P100" i="4"/>
  <c r="Q100" i="4" s="1"/>
  <c r="P99" i="4"/>
  <c r="Q99" i="4" s="1"/>
  <c r="P98" i="4"/>
  <c r="Q98" i="4" s="1"/>
  <c r="P97" i="4"/>
  <c r="Q97" i="4" s="1"/>
  <c r="P95" i="4"/>
  <c r="Q95" i="4" s="1"/>
  <c r="P94" i="4"/>
  <c r="Q94" i="4" s="1"/>
  <c r="P93" i="4"/>
  <c r="Q93" i="4" s="1"/>
  <c r="P92" i="4"/>
  <c r="Q92" i="4" s="1"/>
  <c r="P91" i="4"/>
  <c r="Q91" i="4" s="1"/>
  <c r="P90" i="4"/>
  <c r="Q90" i="4" s="1"/>
  <c r="P89" i="4"/>
  <c r="Q89" i="4" s="1"/>
  <c r="P88" i="4"/>
  <c r="Q88" i="4" s="1"/>
  <c r="P87" i="4"/>
  <c r="M120" i="4"/>
  <c r="Q120" i="4"/>
  <c r="N83" i="4"/>
  <c r="N59" i="4"/>
  <c r="N57" i="4"/>
  <c r="N56" i="4" s="1"/>
  <c r="N82" i="4"/>
  <c r="N78" i="4"/>
  <c r="N71" i="4"/>
  <c r="Q83" i="4"/>
  <c r="Q82" i="4"/>
  <c r="Q78" i="4"/>
  <c r="Q71" i="4"/>
  <c r="Q59" i="4"/>
  <c r="Q57" i="4"/>
  <c r="Q56" i="4" s="1"/>
  <c r="R50" i="4"/>
  <c r="AD21" i="4"/>
  <c r="R46" i="4"/>
  <c r="AD14" i="4"/>
  <c r="R42" i="4"/>
  <c r="AD12" i="4"/>
  <c r="Z51" i="4"/>
  <c r="Z50" i="4"/>
  <c r="Z48" i="4"/>
  <c r="Z47" i="4"/>
  <c r="Z46" i="4"/>
  <c r="Z45" i="4"/>
  <c r="Z43" i="4"/>
  <c r="Z42" i="4"/>
  <c r="Z41" i="4"/>
  <c r="Z40" i="4"/>
  <c r="Y51" i="4"/>
  <c r="Y50" i="4"/>
  <c r="Y43" i="4"/>
  <c r="Y42" i="4"/>
  <c r="Y41" i="4"/>
  <c r="Y40" i="4"/>
  <c r="Y48" i="4"/>
  <c r="Y47" i="4"/>
  <c r="Y46" i="4"/>
  <c r="Y45" i="4"/>
  <c r="AD29" i="4"/>
  <c r="AD27" i="4"/>
  <c r="AD26" i="4"/>
  <c r="AD25" i="4"/>
  <c r="AD10" i="4"/>
  <c r="AD9" i="4"/>
  <c r="AC29" i="4"/>
  <c r="AC26" i="4"/>
  <c r="AC25" i="4"/>
  <c r="AC21" i="4"/>
  <c r="AC20" i="4"/>
  <c r="AC17" i="4"/>
  <c r="AC16" i="4"/>
  <c r="AC15" i="4"/>
  <c r="AC14" i="4"/>
  <c r="AC12" i="4"/>
  <c r="AC11" i="4"/>
  <c r="AC10" i="4"/>
  <c r="AC9" i="4"/>
  <c r="AB30" i="4"/>
  <c r="AB29" i="4"/>
  <c r="AB27" i="4"/>
  <c r="AB26" i="4"/>
  <c r="AB25" i="4"/>
  <c r="AB21" i="4"/>
  <c r="AB20" i="4"/>
  <c r="AB17" i="4"/>
  <c r="AB16" i="4"/>
  <c r="AB15" i="4"/>
  <c r="AB14" i="4"/>
  <c r="AB12" i="4"/>
  <c r="AB11" i="4"/>
  <c r="AB10" i="4"/>
  <c r="AB9" i="4"/>
  <c r="AA30" i="4"/>
  <c r="AA29" i="4"/>
  <c r="AA26" i="4"/>
  <c r="AA25" i="4"/>
  <c r="AA21" i="4"/>
  <c r="AA51" i="4" s="1"/>
  <c r="AA20" i="4"/>
  <c r="AA50" i="4" s="1"/>
  <c r="AA17" i="4"/>
  <c r="AA16" i="4"/>
  <c r="AA15" i="4"/>
  <c r="AA14" i="4"/>
  <c r="AA12" i="4"/>
  <c r="AA43" i="4" s="1"/>
  <c r="AA11" i="4"/>
  <c r="AA10" i="4"/>
  <c r="AA9" i="4"/>
  <c r="Z27" i="4"/>
  <c r="Z18" i="4"/>
  <c r="Z13" i="4"/>
  <c r="Y18" i="4"/>
  <c r="Y13" i="4"/>
  <c r="X18" i="4"/>
  <c r="X13" i="4"/>
  <c r="Q51" i="4"/>
  <c r="P51" i="4"/>
  <c r="O51" i="4"/>
  <c r="N51" i="4"/>
  <c r="M51" i="4"/>
  <c r="L51" i="4"/>
  <c r="K51" i="4"/>
  <c r="J51" i="4"/>
  <c r="I51" i="4"/>
  <c r="H51" i="4"/>
  <c r="Q50" i="4"/>
  <c r="P50" i="4"/>
  <c r="O50" i="4"/>
  <c r="N50" i="4"/>
  <c r="M50" i="4"/>
  <c r="L50" i="4"/>
  <c r="K50" i="4"/>
  <c r="J50" i="4"/>
  <c r="I50" i="4"/>
  <c r="H50" i="4"/>
  <c r="Q48" i="4"/>
  <c r="P48" i="4"/>
  <c r="O48" i="4"/>
  <c r="N48" i="4"/>
  <c r="M48" i="4"/>
  <c r="L48" i="4"/>
  <c r="K48" i="4"/>
  <c r="J48" i="4"/>
  <c r="I48" i="4"/>
  <c r="H48" i="4"/>
  <c r="Q47" i="4"/>
  <c r="P47" i="4"/>
  <c r="O47" i="4"/>
  <c r="N47" i="4"/>
  <c r="M47" i="4"/>
  <c r="L47" i="4"/>
  <c r="K47" i="4"/>
  <c r="J47" i="4"/>
  <c r="I47" i="4"/>
  <c r="H47" i="4"/>
  <c r="Q46" i="4"/>
  <c r="P46" i="4"/>
  <c r="O46" i="4"/>
  <c r="N46" i="4"/>
  <c r="M46" i="4"/>
  <c r="L46" i="4"/>
  <c r="K46" i="4"/>
  <c r="J46" i="4"/>
  <c r="I46" i="4"/>
  <c r="H46" i="4"/>
  <c r="Q45" i="4"/>
  <c r="P45" i="4"/>
  <c r="O45" i="4"/>
  <c r="N45" i="4"/>
  <c r="M45" i="4"/>
  <c r="L45" i="4"/>
  <c r="K45" i="4"/>
  <c r="J45" i="4"/>
  <c r="I45" i="4"/>
  <c r="H45" i="4"/>
  <c r="Q43" i="4"/>
  <c r="P43" i="4"/>
  <c r="O43" i="4"/>
  <c r="N43" i="4"/>
  <c r="M43" i="4"/>
  <c r="L43" i="4"/>
  <c r="K43" i="4"/>
  <c r="J43" i="4"/>
  <c r="I43" i="4"/>
  <c r="H43" i="4"/>
  <c r="Q42" i="4"/>
  <c r="P42" i="4"/>
  <c r="O42" i="4"/>
  <c r="N42" i="4"/>
  <c r="M42" i="4"/>
  <c r="L42" i="4"/>
  <c r="K42" i="4"/>
  <c r="J42" i="4"/>
  <c r="I42" i="4"/>
  <c r="H42" i="4"/>
  <c r="Q41" i="4"/>
  <c r="P41" i="4"/>
  <c r="O41" i="4"/>
  <c r="N41" i="4"/>
  <c r="M41" i="4"/>
  <c r="L41" i="4"/>
  <c r="K41" i="4"/>
  <c r="J41" i="4"/>
  <c r="I41" i="4"/>
  <c r="H41" i="4"/>
  <c r="R40" i="4"/>
  <c r="O40" i="4"/>
  <c r="N40" i="4"/>
  <c r="M40" i="4"/>
  <c r="L40" i="4"/>
  <c r="K40" i="4"/>
  <c r="J40" i="4"/>
  <c r="I40" i="4"/>
  <c r="H40" i="4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G51" i="4"/>
  <c r="G50" i="4"/>
  <c r="G48" i="4"/>
  <c r="G47" i="4"/>
  <c r="G46" i="4"/>
  <c r="G45" i="4"/>
  <c r="G43" i="4"/>
  <c r="G42" i="4"/>
  <c r="G41" i="4"/>
  <c r="G40" i="4"/>
  <c r="F18" i="4"/>
  <c r="F13" i="4"/>
  <c r="C27" i="4"/>
  <c r="AA27" i="4" s="1"/>
  <c r="C18" i="4"/>
  <c r="C13" i="4"/>
  <c r="G18" i="4"/>
  <c r="G13" i="4"/>
  <c r="D18" i="4"/>
  <c r="D13" i="4"/>
  <c r="H18" i="4"/>
  <c r="H13" i="4"/>
  <c r="E18" i="4"/>
  <c r="E13" i="4"/>
  <c r="I18" i="4"/>
  <c r="I13" i="4"/>
  <c r="J18" i="4"/>
  <c r="J13" i="4"/>
  <c r="N18" i="4"/>
  <c r="N13" i="4"/>
  <c r="K18" i="4"/>
  <c r="K13" i="4"/>
  <c r="O18" i="4"/>
  <c r="O13" i="4"/>
  <c r="M27" i="4"/>
  <c r="AC27" i="4" s="1"/>
  <c r="M18" i="4"/>
  <c r="M13" i="4"/>
  <c r="Q18" i="4"/>
  <c r="Q13" i="4"/>
  <c r="L18" i="4"/>
  <c r="L13" i="4"/>
  <c r="P18" i="4"/>
  <c r="P13" i="4"/>
  <c r="D5" i="1"/>
  <c r="F3" i="1"/>
  <c r="AF26" i="4" l="1"/>
  <c r="AG26" i="4" s="1"/>
  <c r="AH26" i="4" s="1"/>
  <c r="AI26" i="4" s="1"/>
  <c r="AJ26" i="4" s="1"/>
  <c r="AK26" i="4" s="1"/>
  <c r="AL26" i="4" s="1"/>
  <c r="AM26" i="4" s="1"/>
  <c r="AN26" i="4" s="1"/>
  <c r="AO26" i="4" s="1"/>
  <c r="AE15" i="4"/>
  <c r="AS44" i="4"/>
  <c r="AS111" i="4"/>
  <c r="V45" i="4"/>
  <c r="V47" i="4"/>
  <c r="AE16" i="4"/>
  <c r="S23" i="4"/>
  <c r="AE20" i="4"/>
  <c r="T13" i="4"/>
  <c r="T44" i="4" s="1"/>
  <c r="AE17" i="4"/>
  <c r="T18" i="4"/>
  <c r="T48" i="4"/>
  <c r="V13" i="4"/>
  <c r="T43" i="4"/>
  <c r="AE12" i="4"/>
  <c r="V48" i="4"/>
  <c r="V43" i="4"/>
  <c r="T47" i="4"/>
  <c r="U47" i="4"/>
  <c r="U13" i="4"/>
  <c r="AE11" i="4"/>
  <c r="AF11" i="4" s="1"/>
  <c r="S44" i="4"/>
  <c r="AF10" i="4"/>
  <c r="V23" i="4"/>
  <c r="AB23" i="4"/>
  <c r="AC23" i="4"/>
  <c r="R62" i="4"/>
  <c r="R72" i="4" s="1"/>
  <c r="AD62" i="4"/>
  <c r="AD72" i="4" s="1"/>
  <c r="AD84" i="4"/>
  <c r="AA23" i="4"/>
  <c r="R84" i="4"/>
  <c r="R56" i="4"/>
  <c r="AD30" i="4"/>
  <c r="P62" i="4"/>
  <c r="P72" i="4" s="1"/>
  <c r="P56" i="4"/>
  <c r="M101" i="4"/>
  <c r="N101" i="4" s="1"/>
  <c r="AC103" i="4"/>
  <c r="AC88" i="4"/>
  <c r="AC99" i="4"/>
  <c r="AC84" i="4"/>
  <c r="AC89" i="4"/>
  <c r="AC97" i="4"/>
  <c r="AC90" i="4"/>
  <c r="AC98" i="4"/>
  <c r="O62" i="4"/>
  <c r="O72" i="4" s="1"/>
  <c r="N91" i="4"/>
  <c r="AC91" i="4" s="1"/>
  <c r="AC92" i="4"/>
  <c r="AC100" i="4"/>
  <c r="AC62" i="4"/>
  <c r="AC72" i="4" s="1"/>
  <c r="AC93" i="4"/>
  <c r="AC94" i="4"/>
  <c r="AC87" i="4"/>
  <c r="AC95" i="4"/>
  <c r="AJ104" i="4"/>
  <c r="AK104" i="4" s="1"/>
  <c r="AL104" i="4" s="1"/>
  <c r="AM104" i="4" s="1"/>
  <c r="AN104" i="4" s="1"/>
  <c r="AO104" i="4" s="1"/>
  <c r="L96" i="4"/>
  <c r="L105" i="4"/>
  <c r="AF88" i="4"/>
  <c r="AG88" i="4" s="1"/>
  <c r="AH88" i="4" s="1"/>
  <c r="AI88" i="4" s="1"/>
  <c r="AJ88" i="4" s="1"/>
  <c r="AK88" i="4" s="1"/>
  <c r="AL88" i="4" s="1"/>
  <c r="AM88" i="4" s="1"/>
  <c r="AN88" i="4" s="1"/>
  <c r="AO88" i="4" s="1"/>
  <c r="D9" i="1"/>
  <c r="P84" i="4"/>
  <c r="O84" i="4"/>
  <c r="O56" i="4"/>
  <c r="M104" i="4"/>
  <c r="P96" i="4"/>
  <c r="Q96" i="4" s="1"/>
  <c r="P105" i="4"/>
  <c r="R51" i="4"/>
  <c r="Q84" i="4"/>
  <c r="Q103" i="4"/>
  <c r="Q105" i="4" s="1"/>
  <c r="Q87" i="4"/>
  <c r="AF87" i="4" s="1"/>
  <c r="AG87" i="4" s="1"/>
  <c r="AH87" i="4" s="1"/>
  <c r="AI87" i="4" s="1"/>
  <c r="AJ87" i="4" s="1"/>
  <c r="AK87" i="4" s="1"/>
  <c r="AL87" i="4" s="1"/>
  <c r="AM87" i="4" s="1"/>
  <c r="AN87" i="4" s="1"/>
  <c r="AO87" i="4" s="1"/>
  <c r="Q62" i="4"/>
  <c r="Q72" i="4" s="1"/>
  <c r="Z44" i="4"/>
  <c r="AC46" i="4"/>
  <c r="AA45" i="4"/>
  <c r="AB47" i="4"/>
  <c r="AC43" i="4"/>
  <c r="N84" i="4"/>
  <c r="L44" i="4"/>
  <c r="N62" i="4"/>
  <c r="N72" i="4" s="1"/>
  <c r="AA46" i="4"/>
  <c r="AA47" i="4"/>
  <c r="AB46" i="4"/>
  <c r="N44" i="4"/>
  <c r="H44" i="4"/>
  <c r="AC50" i="4"/>
  <c r="K44" i="4"/>
  <c r="I44" i="4"/>
  <c r="Y44" i="4"/>
  <c r="AD15" i="4"/>
  <c r="AD46" i="4" s="1"/>
  <c r="AB50" i="4"/>
  <c r="AD40" i="4"/>
  <c r="M44" i="4"/>
  <c r="AC42" i="4"/>
  <c r="R43" i="4"/>
  <c r="AB43" i="4"/>
  <c r="R13" i="4"/>
  <c r="R44" i="4" s="1"/>
  <c r="AA41" i="4"/>
  <c r="P44" i="4"/>
  <c r="J44" i="4"/>
  <c r="AC48" i="4"/>
  <c r="AC45" i="4"/>
  <c r="AD41" i="4"/>
  <c r="AE41" i="4"/>
  <c r="R48" i="4"/>
  <c r="O44" i="4"/>
  <c r="G44" i="4"/>
  <c r="AB45" i="4"/>
  <c r="AC41" i="4"/>
  <c r="AC51" i="4"/>
  <c r="AB41" i="4"/>
  <c r="AB51" i="4"/>
  <c r="AC47" i="4"/>
  <c r="AF14" i="4"/>
  <c r="AE45" i="4"/>
  <c r="AE40" i="4"/>
  <c r="AF21" i="4"/>
  <c r="AG21" i="4" s="1"/>
  <c r="AG51" i="4" s="1"/>
  <c r="AA42" i="4"/>
  <c r="Q19" i="4"/>
  <c r="Q24" i="4" s="1"/>
  <c r="AB42" i="4"/>
  <c r="AA48" i="4"/>
  <c r="AB48" i="4"/>
  <c r="Q44" i="4"/>
  <c r="AD45" i="4"/>
  <c r="AA40" i="4"/>
  <c r="AB40" i="4"/>
  <c r="AD16" i="4"/>
  <c r="AC40" i="4"/>
  <c r="AD20" i="4"/>
  <c r="AD23" i="4" s="1"/>
  <c r="AE51" i="4"/>
  <c r="AD51" i="4"/>
  <c r="R45" i="4"/>
  <c r="AD11" i="4"/>
  <c r="AD43" i="4"/>
  <c r="AC18" i="4"/>
  <c r="AC13" i="4"/>
  <c r="AB18" i="4"/>
  <c r="AB13" i="4"/>
  <c r="AA18" i="4"/>
  <c r="AA13" i="4"/>
  <c r="AA44" i="4" s="1"/>
  <c r="Z19" i="4"/>
  <c r="Z24" i="4" s="1"/>
  <c r="Y19" i="4"/>
  <c r="Y24" i="4" s="1"/>
  <c r="X19" i="4"/>
  <c r="F19" i="4"/>
  <c r="F24" i="4" s="1"/>
  <c r="C19" i="4"/>
  <c r="C24" i="4" s="1"/>
  <c r="G19" i="4"/>
  <c r="G24" i="4" s="1"/>
  <c r="D19" i="4"/>
  <c r="D24" i="4" s="1"/>
  <c r="H19" i="4"/>
  <c r="H24" i="4" s="1"/>
  <c r="E19" i="4"/>
  <c r="E24" i="4" s="1"/>
  <c r="I19" i="4"/>
  <c r="I24" i="4" s="1"/>
  <c r="P19" i="4"/>
  <c r="P24" i="4" s="1"/>
  <c r="J19" i="4"/>
  <c r="J24" i="4" s="1"/>
  <c r="N19" i="4"/>
  <c r="N24" i="4" s="1"/>
  <c r="K19" i="4"/>
  <c r="K24" i="4" s="1"/>
  <c r="O19" i="4"/>
  <c r="O24" i="4" s="1"/>
  <c r="M19" i="4"/>
  <c r="M24" i="4" s="1"/>
  <c r="L19" i="4"/>
  <c r="L24" i="4" s="1"/>
  <c r="AF12" i="4" l="1"/>
  <c r="AG12" i="4" s="1"/>
  <c r="AG10" i="4"/>
  <c r="AH10" i="4" s="1"/>
  <c r="AI10" i="4" s="1"/>
  <c r="AJ10" i="4" s="1"/>
  <c r="AK10" i="4" s="1"/>
  <c r="AL10" i="4" s="1"/>
  <c r="AM10" i="4" s="1"/>
  <c r="AN10" i="4" s="1"/>
  <c r="AO10" i="4" s="1"/>
  <c r="AF15" i="4"/>
  <c r="AF46" i="4" s="1"/>
  <c r="AK14" i="4"/>
  <c r="AI14" i="4"/>
  <c r="AG14" i="4"/>
  <c r="V18" i="4"/>
  <c r="V19" i="4" s="1"/>
  <c r="AG11" i="4"/>
  <c r="AH11" i="4" s="1"/>
  <c r="AI11" i="4" s="1"/>
  <c r="AJ11" i="4" s="1"/>
  <c r="AK11" i="4" s="1"/>
  <c r="AL11" i="4" s="1"/>
  <c r="AM11" i="4" s="1"/>
  <c r="AN11" i="4" s="1"/>
  <c r="AO11" i="4" s="1"/>
  <c r="S18" i="4"/>
  <c r="S19" i="4" s="1"/>
  <c r="S49" i="4" s="1"/>
  <c r="S47" i="4"/>
  <c r="AE43" i="4"/>
  <c r="AE48" i="4"/>
  <c r="AE13" i="4"/>
  <c r="T19" i="4"/>
  <c r="T49" i="4" s="1"/>
  <c r="V44" i="4"/>
  <c r="U44" i="4"/>
  <c r="U19" i="4"/>
  <c r="X24" i="4"/>
  <c r="X28" i="4" s="1"/>
  <c r="X31" i="4" s="1"/>
  <c r="X33" i="4" s="1"/>
  <c r="AC101" i="4"/>
  <c r="M96" i="4"/>
  <c r="N96" i="4" s="1"/>
  <c r="M105" i="4"/>
  <c r="N104" i="4"/>
  <c r="N105" i="4" s="1"/>
  <c r="AF40" i="4"/>
  <c r="AF45" i="4"/>
  <c r="AD17" i="4"/>
  <c r="AD48" i="4" s="1"/>
  <c r="AE46" i="4"/>
  <c r="R47" i="4"/>
  <c r="AF43" i="4"/>
  <c r="O49" i="4"/>
  <c r="D49" i="4"/>
  <c r="AD13" i="4"/>
  <c r="AD44" i="4" s="1"/>
  <c r="AH21" i="4"/>
  <c r="AH51" i="4" s="1"/>
  <c r="AF51" i="4"/>
  <c r="K49" i="4"/>
  <c r="G49" i="4"/>
  <c r="AB44" i="4"/>
  <c r="M49" i="4"/>
  <c r="N49" i="4"/>
  <c r="J49" i="4"/>
  <c r="AC19" i="4"/>
  <c r="AC24" i="4" s="1"/>
  <c r="AC44" i="4"/>
  <c r="AF17" i="4"/>
  <c r="Q49" i="4"/>
  <c r="H49" i="4"/>
  <c r="C49" i="4"/>
  <c r="F49" i="4"/>
  <c r="P49" i="4"/>
  <c r="R18" i="4"/>
  <c r="R19" i="4" s="1"/>
  <c r="R24" i="4" s="1"/>
  <c r="I49" i="4"/>
  <c r="Y49" i="4"/>
  <c r="L49" i="4"/>
  <c r="E49" i="4"/>
  <c r="Z49" i="4"/>
  <c r="AD50" i="4"/>
  <c r="AD42" i="4"/>
  <c r="AD47" i="4"/>
  <c r="AB19" i="4"/>
  <c r="AB24" i="4" s="1"/>
  <c r="AA19" i="4"/>
  <c r="AA24" i="4" s="1"/>
  <c r="AH12" i="4" l="1"/>
  <c r="AG17" i="4"/>
  <c r="AG48" i="4" s="1"/>
  <c r="AG43" i="4"/>
  <c r="AG15" i="4"/>
  <c r="AG46" i="4" s="1"/>
  <c r="V49" i="4"/>
  <c r="V24" i="4"/>
  <c r="V28" i="4" s="1"/>
  <c r="V31" i="4" s="1"/>
  <c r="S24" i="4"/>
  <c r="T24" i="4"/>
  <c r="T52" i="4" s="1"/>
  <c r="U49" i="4"/>
  <c r="U24" i="4"/>
  <c r="AE50" i="4"/>
  <c r="AE23" i="4"/>
  <c r="AC104" i="4"/>
  <c r="AC105" i="4" s="1"/>
  <c r="AC96" i="4"/>
  <c r="AD105" i="4"/>
  <c r="R49" i="4"/>
  <c r="AG40" i="4"/>
  <c r="AH14" i="4"/>
  <c r="AG45" i="4"/>
  <c r="AI21" i="4"/>
  <c r="AI51" i="4" s="1"/>
  <c r="AD18" i="4"/>
  <c r="AD19" i="4" s="1"/>
  <c r="AD24" i="4" s="1"/>
  <c r="AF41" i="4"/>
  <c r="N28" i="4"/>
  <c r="N53" i="4" s="1"/>
  <c r="N52" i="4"/>
  <c r="K28" i="4"/>
  <c r="K31" i="4" s="1"/>
  <c r="K86" i="4" s="1"/>
  <c r="K102" i="4" s="1"/>
  <c r="K106" i="4" s="1"/>
  <c r="K52" i="4"/>
  <c r="L28" i="4"/>
  <c r="L31" i="4" s="1"/>
  <c r="L86" i="4" s="1"/>
  <c r="L102" i="4" s="1"/>
  <c r="L106" i="4" s="1"/>
  <c r="L52" i="4"/>
  <c r="O28" i="4"/>
  <c r="O31" i="4" s="1"/>
  <c r="O52" i="4"/>
  <c r="Q28" i="4"/>
  <c r="Q53" i="4" s="1"/>
  <c r="Q52" i="4"/>
  <c r="AF20" i="4"/>
  <c r="C28" i="4"/>
  <c r="C53" i="4" s="1"/>
  <c r="C52" i="4"/>
  <c r="E28" i="4"/>
  <c r="E53" i="4" s="1"/>
  <c r="E52" i="4"/>
  <c r="D28" i="4"/>
  <c r="D31" i="4" s="1"/>
  <c r="D52" i="4"/>
  <c r="F28" i="4"/>
  <c r="F53" i="4" s="1"/>
  <c r="F52" i="4"/>
  <c r="Y28" i="4"/>
  <c r="Y31" i="4" s="1"/>
  <c r="Y52" i="4"/>
  <c r="Z28" i="4"/>
  <c r="Z31" i="4" s="1"/>
  <c r="Z52" i="4"/>
  <c r="I28" i="4"/>
  <c r="I31" i="4" s="1"/>
  <c r="I52" i="4"/>
  <c r="P28" i="4"/>
  <c r="P53" i="4" s="1"/>
  <c r="P52" i="4"/>
  <c r="M28" i="4"/>
  <c r="M53" i="4" s="1"/>
  <c r="M52" i="4"/>
  <c r="R28" i="4"/>
  <c r="R52" i="4"/>
  <c r="H28" i="4"/>
  <c r="H31" i="4" s="1"/>
  <c r="H52" i="4"/>
  <c r="J28" i="4"/>
  <c r="J31" i="4" s="1"/>
  <c r="J52" i="4"/>
  <c r="G28" i="4"/>
  <c r="G31" i="4" s="1"/>
  <c r="G52" i="4"/>
  <c r="AB49" i="4"/>
  <c r="AC49" i="4"/>
  <c r="AE18" i="4"/>
  <c r="AA49" i="4"/>
  <c r="AG41" i="4"/>
  <c r="AH15" i="4"/>
  <c r="AE42" i="4"/>
  <c r="AF48" i="4"/>
  <c r="AH43" i="4"/>
  <c r="AI12" i="4" l="1"/>
  <c r="AH17" i="4"/>
  <c r="AH48" i="4" s="1"/>
  <c r="V53" i="4"/>
  <c r="V52" i="4"/>
  <c r="S52" i="4"/>
  <c r="S28" i="4"/>
  <c r="T28" i="4"/>
  <c r="T31" i="4" s="1"/>
  <c r="V33" i="4"/>
  <c r="V54" i="4"/>
  <c r="U28" i="4"/>
  <c r="U52" i="4"/>
  <c r="AF50" i="4"/>
  <c r="AF23" i="4"/>
  <c r="Y53" i="4"/>
  <c r="AG20" i="4"/>
  <c r="O86" i="4"/>
  <c r="O102" i="4" s="1"/>
  <c r="O106" i="4" s="1"/>
  <c r="O108" i="4" s="1"/>
  <c r="AE105" i="4"/>
  <c r="AE109" i="4" s="1"/>
  <c r="AJ21" i="4"/>
  <c r="AK21" i="4" s="1"/>
  <c r="Z53" i="4"/>
  <c r="E31" i="4"/>
  <c r="E33" i="4" s="1"/>
  <c r="I53" i="4"/>
  <c r="F31" i="4"/>
  <c r="F54" i="4" s="1"/>
  <c r="AH40" i="4"/>
  <c r="Q31" i="4"/>
  <c r="Q86" i="4" s="1"/>
  <c r="Q102" i="4" s="1"/>
  <c r="K53" i="4"/>
  <c r="AH45" i="4"/>
  <c r="D53" i="4"/>
  <c r="N31" i="4"/>
  <c r="N86" i="4" s="1"/>
  <c r="N102" i="4" s="1"/>
  <c r="N106" i="4" s="1"/>
  <c r="J53" i="4"/>
  <c r="P31" i="4"/>
  <c r="O53" i="4"/>
  <c r="AD28" i="4"/>
  <c r="AD49" i="4"/>
  <c r="H53" i="4"/>
  <c r="L53" i="4"/>
  <c r="M31" i="4"/>
  <c r="AA28" i="4"/>
  <c r="AA31" i="4" s="1"/>
  <c r="AA52" i="4"/>
  <c r="C31" i="4"/>
  <c r="C33" i="4" s="1"/>
  <c r="R53" i="4"/>
  <c r="R31" i="4"/>
  <c r="R86" i="4" s="1"/>
  <c r="R106" i="4" s="1"/>
  <c r="G53" i="4"/>
  <c r="AB28" i="4"/>
  <c r="AB53" i="4" s="1"/>
  <c r="AB52" i="4"/>
  <c r="AC28" i="4"/>
  <c r="AC31" i="4" s="1"/>
  <c r="AC86" i="4" s="1"/>
  <c r="AC102" i="4" s="1"/>
  <c r="AC106" i="4" s="1"/>
  <c r="AC52" i="4"/>
  <c r="H33" i="4"/>
  <c r="H54" i="4"/>
  <c r="K33" i="4"/>
  <c r="K54" i="4"/>
  <c r="I33" i="4"/>
  <c r="I54" i="4"/>
  <c r="G33" i="4"/>
  <c r="G54" i="4"/>
  <c r="AE44" i="4"/>
  <c r="AE19" i="4"/>
  <c r="AE24" i="4" s="1"/>
  <c r="AF16" i="4"/>
  <c r="AF18" i="4" s="1"/>
  <c r="AF42" i="4"/>
  <c r="AF13" i="4"/>
  <c r="AF44" i="4" s="1"/>
  <c r="AH41" i="4"/>
  <c r="O33" i="4"/>
  <c r="O54" i="4"/>
  <c r="D33" i="4"/>
  <c r="D54" i="4"/>
  <c r="AE47" i="4"/>
  <c r="J33" i="4"/>
  <c r="J54" i="4"/>
  <c r="Z33" i="4"/>
  <c r="Z54" i="4"/>
  <c r="AI15" i="4"/>
  <c r="L33" i="4"/>
  <c r="L54" i="4"/>
  <c r="AH46" i="4"/>
  <c r="Y33" i="4"/>
  <c r="Y54" i="4"/>
  <c r="AJ12" i="4" l="1"/>
  <c r="AI17" i="4"/>
  <c r="AI48" i="4" s="1"/>
  <c r="AI43" i="4"/>
  <c r="S31" i="4"/>
  <c r="S53" i="4"/>
  <c r="T53" i="4"/>
  <c r="U31" i="4"/>
  <c r="U53" i="4"/>
  <c r="T33" i="4"/>
  <c r="T54" i="4"/>
  <c r="AH20" i="4"/>
  <c r="AG23" i="4"/>
  <c r="AJ51" i="4"/>
  <c r="AG50" i="4"/>
  <c r="AF105" i="4"/>
  <c r="AF109" i="4" s="1"/>
  <c r="Q106" i="4"/>
  <c r="Q33" i="4"/>
  <c r="F33" i="4"/>
  <c r="Q54" i="4"/>
  <c r="N54" i="4"/>
  <c r="AC53" i="4"/>
  <c r="N33" i="4"/>
  <c r="P33" i="4"/>
  <c r="P86" i="4"/>
  <c r="E54" i="4"/>
  <c r="M33" i="4"/>
  <c r="M86" i="4"/>
  <c r="M102" i="4" s="1"/>
  <c r="M106" i="4" s="1"/>
  <c r="AI40" i="4"/>
  <c r="C54" i="4"/>
  <c r="AI45" i="4"/>
  <c r="AJ14" i="4"/>
  <c r="AJ45" i="4" s="1"/>
  <c r="AB31" i="4"/>
  <c r="AB33" i="4" s="1"/>
  <c r="P54" i="4"/>
  <c r="AA53" i="4"/>
  <c r="AD53" i="4"/>
  <c r="AD31" i="4"/>
  <c r="AD52" i="4"/>
  <c r="AI41" i="4"/>
  <c r="M54" i="4"/>
  <c r="AJ15" i="4"/>
  <c r="AF19" i="4"/>
  <c r="R33" i="4"/>
  <c r="R54" i="4"/>
  <c r="AG16" i="4"/>
  <c r="AG18" i="4" s="1"/>
  <c r="AG42" i="4"/>
  <c r="AG13" i="4"/>
  <c r="AG44" i="4" s="1"/>
  <c r="AI46" i="4"/>
  <c r="AE49" i="4"/>
  <c r="AC33" i="4"/>
  <c r="AC54" i="4"/>
  <c r="AA33" i="4"/>
  <c r="AA54" i="4"/>
  <c r="AF47" i="4"/>
  <c r="AL21" i="4"/>
  <c r="AK51" i="4"/>
  <c r="AK12" i="4" l="1"/>
  <c r="AJ17" i="4"/>
  <c r="AJ48" i="4" s="1"/>
  <c r="AJ43" i="4"/>
  <c r="S33" i="4"/>
  <c r="S54" i="4"/>
  <c r="U33" i="4"/>
  <c r="U54" i="4"/>
  <c r="AF49" i="4"/>
  <c r="AF24" i="4"/>
  <c r="AF28" i="4" s="1"/>
  <c r="AF31" i="4" s="1"/>
  <c r="AH50" i="4"/>
  <c r="AH23" i="4"/>
  <c r="AI20" i="4"/>
  <c r="P102" i="4"/>
  <c r="P106" i="4" s="1"/>
  <c r="P108" i="4" s="1"/>
  <c r="AG105" i="4"/>
  <c r="AG109" i="4" s="1"/>
  <c r="AD33" i="4"/>
  <c r="AD86" i="4"/>
  <c r="AD102" i="4" s="1"/>
  <c r="AD106" i="4" s="1"/>
  <c r="AD108" i="4" s="1"/>
  <c r="Q108" i="4"/>
  <c r="AJ40" i="4"/>
  <c r="AD54" i="4"/>
  <c r="AK40" i="4"/>
  <c r="AB54" i="4"/>
  <c r="AJ46" i="4"/>
  <c r="AJ41" i="4"/>
  <c r="AK15" i="4"/>
  <c r="AE28" i="4"/>
  <c r="AE53" i="4" s="1"/>
  <c r="AE52" i="4"/>
  <c r="AG47" i="4"/>
  <c r="AG19" i="4"/>
  <c r="AG24" i="4" s="1"/>
  <c r="AH16" i="4"/>
  <c r="AH18" i="4" s="1"/>
  <c r="AH42" i="4"/>
  <c r="AH13" i="4"/>
  <c r="AL51" i="4"/>
  <c r="AM21" i="4"/>
  <c r="AL14" i="4"/>
  <c r="AL12" i="4" l="1"/>
  <c r="AK17" i="4"/>
  <c r="AK48" i="4" s="1"/>
  <c r="AK43" i="4"/>
  <c r="AF86" i="4"/>
  <c r="AF102" i="4" s="1"/>
  <c r="AF106" i="4" s="1"/>
  <c r="AI50" i="4"/>
  <c r="AI23" i="4"/>
  <c r="AJ20" i="4"/>
  <c r="AF52" i="4"/>
  <c r="AH105" i="4"/>
  <c r="AH109" i="4" s="1"/>
  <c r="AK45" i="4"/>
  <c r="AE31" i="4"/>
  <c r="AK41" i="4"/>
  <c r="AK46" i="4"/>
  <c r="AF53" i="4"/>
  <c r="AL15" i="4"/>
  <c r="AG49" i="4"/>
  <c r="AI16" i="4"/>
  <c r="AI18" i="4" s="1"/>
  <c r="AI42" i="4"/>
  <c r="AI13" i="4"/>
  <c r="AF33" i="4"/>
  <c r="AF54" i="4"/>
  <c r="AH44" i="4"/>
  <c r="AH19" i="4"/>
  <c r="AH24" i="4" s="1"/>
  <c r="AH47" i="4"/>
  <c r="AM51" i="4"/>
  <c r="AN21" i="4"/>
  <c r="AM14" i="4"/>
  <c r="AL45" i="4"/>
  <c r="AL40" i="4"/>
  <c r="AM12" i="4" l="1"/>
  <c r="AL17" i="4"/>
  <c r="AL48" i="4"/>
  <c r="AL43" i="4"/>
  <c r="AI47" i="4"/>
  <c r="AJ50" i="4"/>
  <c r="AJ23" i="4"/>
  <c r="AK20" i="4"/>
  <c r="AI105" i="4"/>
  <c r="AI109" i="4" s="1"/>
  <c r="AE54" i="4"/>
  <c r="AE86" i="4"/>
  <c r="AE102" i="4" s="1"/>
  <c r="AE106" i="4" s="1"/>
  <c r="AE108" i="4" s="1"/>
  <c r="AE33" i="4"/>
  <c r="AL46" i="4"/>
  <c r="AL41" i="4"/>
  <c r="AM15" i="4"/>
  <c r="AM46" i="4" s="1"/>
  <c r="AG28" i="4"/>
  <c r="AG31" i="4" s="1"/>
  <c r="AG52" i="4"/>
  <c r="AH49" i="4"/>
  <c r="AJ16" i="4"/>
  <c r="AJ18" i="4" s="1"/>
  <c r="AJ42" i="4"/>
  <c r="AJ13" i="4"/>
  <c r="AI44" i="4"/>
  <c r="AI19" i="4"/>
  <c r="AI24" i="4" s="1"/>
  <c r="AN51" i="4"/>
  <c r="AO21" i="4"/>
  <c r="AO51" i="4" s="1"/>
  <c r="AN15" i="4"/>
  <c r="AM45" i="4"/>
  <c r="AM40" i="4"/>
  <c r="AN14" i="4"/>
  <c r="AN12" i="4" l="1"/>
  <c r="AM17" i="4"/>
  <c r="AM48" i="4"/>
  <c r="AM43" i="4"/>
  <c r="AG86" i="4"/>
  <c r="AG102" i="4" s="1"/>
  <c r="AG106" i="4" s="1"/>
  <c r="AL20" i="4"/>
  <c r="AK23" i="4"/>
  <c r="AK50" i="4"/>
  <c r="AJ105" i="4"/>
  <c r="AJ109" i="4" s="1"/>
  <c r="AM41" i="4"/>
  <c r="AG53" i="4"/>
  <c r="AH28" i="4"/>
  <c r="AH53" i="4" s="1"/>
  <c r="AH52" i="4"/>
  <c r="AJ47" i="4"/>
  <c r="AJ44" i="4"/>
  <c r="AJ19" i="4"/>
  <c r="AJ24" i="4" s="1"/>
  <c r="AI49" i="4"/>
  <c r="AK16" i="4"/>
  <c r="AK18" i="4" s="1"/>
  <c r="AK42" i="4"/>
  <c r="AK13" i="4"/>
  <c r="AK44" i="4" s="1"/>
  <c r="AG33" i="4"/>
  <c r="AG54" i="4"/>
  <c r="AN46" i="4"/>
  <c r="AO15" i="4"/>
  <c r="AN41" i="4"/>
  <c r="AN45" i="4"/>
  <c r="AN40" i="4"/>
  <c r="AO14" i="4"/>
  <c r="AO12" i="4" l="1"/>
  <c r="AN17" i="4"/>
  <c r="AN48" i="4"/>
  <c r="AN43" i="4"/>
  <c r="AL23" i="4"/>
  <c r="AL50" i="4"/>
  <c r="AM20" i="4"/>
  <c r="AK105" i="4"/>
  <c r="AK109" i="4" s="1"/>
  <c r="AH31" i="4"/>
  <c r="AK19" i="4"/>
  <c r="AK47" i="4"/>
  <c r="AI28" i="4"/>
  <c r="AI31" i="4" s="1"/>
  <c r="AI86" i="4" s="1"/>
  <c r="AI102" i="4" s="1"/>
  <c r="AI106" i="4" s="1"/>
  <c r="AI52" i="4"/>
  <c r="AL16" i="4"/>
  <c r="AL18" i="4" s="1"/>
  <c r="AL42" i="4"/>
  <c r="AL13" i="4"/>
  <c r="AJ49" i="4"/>
  <c r="AO46" i="4"/>
  <c r="AO41" i="4"/>
  <c r="AO45" i="4"/>
  <c r="AO40" i="4"/>
  <c r="AO17" i="4" l="1"/>
  <c r="AO48" i="4" s="1"/>
  <c r="AO43" i="4"/>
  <c r="AH86" i="4"/>
  <c r="AH102" i="4" s="1"/>
  <c r="AH106" i="4" s="1"/>
  <c r="AK49" i="4"/>
  <c r="AK24" i="4"/>
  <c r="AK28" i="4" s="1"/>
  <c r="AK31" i="4" s="1"/>
  <c r="AK86" i="4" s="1"/>
  <c r="AK102" i="4" s="1"/>
  <c r="AK106" i="4" s="1"/>
  <c r="AM50" i="4"/>
  <c r="AM23" i="4"/>
  <c r="AN20" i="4"/>
  <c r="AL105" i="4"/>
  <c r="AL109" i="4" s="1"/>
  <c r="AH54" i="4"/>
  <c r="AH33" i="4"/>
  <c r="AL47" i="4"/>
  <c r="AI53" i="4"/>
  <c r="AJ28" i="4"/>
  <c r="AJ53" i="4" s="1"/>
  <c r="AJ52" i="4"/>
  <c r="AL44" i="4"/>
  <c r="AL19" i="4"/>
  <c r="AL24" i="4" s="1"/>
  <c r="AI33" i="4"/>
  <c r="AI54" i="4"/>
  <c r="AM16" i="4"/>
  <c r="AM18" i="4" s="1"/>
  <c r="AM42" i="4"/>
  <c r="AM13" i="4"/>
  <c r="AN23" i="4" l="1"/>
  <c r="AN50" i="4"/>
  <c r="AO20" i="4"/>
  <c r="AM105" i="4"/>
  <c r="AM109" i="4" s="1"/>
  <c r="AK52" i="4"/>
  <c r="AK53" i="4"/>
  <c r="AJ31" i="4"/>
  <c r="AL49" i="4"/>
  <c r="AN16" i="4"/>
  <c r="AN18" i="4" s="1"/>
  <c r="AN42" i="4"/>
  <c r="AN13" i="4"/>
  <c r="AK33" i="4"/>
  <c r="AK54" i="4"/>
  <c r="AM19" i="4"/>
  <c r="AM24" i="4" s="1"/>
  <c r="AM44" i="4"/>
  <c r="AM47" i="4"/>
  <c r="AJ86" i="4" l="1"/>
  <c r="AJ102" i="4" s="1"/>
  <c r="AJ106" i="4" s="1"/>
  <c r="AO50" i="4"/>
  <c r="AO23" i="4"/>
  <c r="AN105" i="4"/>
  <c r="AN109" i="4" s="1"/>
  <c r="AO105" i="4"/>
  <c r="AN47" i="4"/>
  <c r="AJ33" i="4"/>
  <c r="AJ54" i="4"/>
  <c r="AL28" i="4"/>
  <c r="AL31" i="4" s="1"/>
  <c r="AL86" i="4" s="1"/>
  <c r="AL102" i="4" s="1"/>
  <c r="AL106" i="4" s="1"/>
  <c r="AL52" i="4"/>
  <c r="AN44" i="4"/>
  <c r="AN19" i="4"/>
  <c r="AN24" i="4" s="1"/>
  <c r="AM49" i="4"/>
  <c r="AO16" i="4"/>
  <c r="AO18" i="4" s="1"/>
  <c r="AO42" i="4"/>
  <c r="AO13" i="4"/>
  <c r="AO109" i="4" l="1"/>
  <c r="AL53" i="4"/>
  <c r="AM28" i="4"/>
  <c r="AM53" i="4" s="1"/>
  <c r="AM52" i="4"/>
  <c r="AO47" i="4"/>
  <c r="AL33" i="4"/>
  <c r="AL54" i="4"/>
  <c r="AN49" i="4"/>
  <c r="AO19" i="4"/>
  <c r="AO24" i="4" s="1"/>
  <c r="AO44" i="4"/>
  <c r="AM31" i="4" l="1"/>
  <c r="AM86" i="4" s="1"/>
  <c r="AM102" i="4" s="1"/>
  <c r="AM106" i="4" s="1"/>
  <c r="AN28" i="4"/>
  <c r="AN31" i="4" s="1"/>
  <c r="AN86" i="4" s="1"/>
  <c r="AN102" i="4" s="1"/>
  <c r="AN106" i="4" s="1"/>
  <c r="AN52" i="4"/>
  <c r="AO49" i="4"/>
  <c r="AM54" i="4" l="1"/>
  <c r="AM33" i="4"/>
  <c r="AN53" i="4"/>
  <c r="AO28" i="4"/>
  <c r="AO31" i="4" s="1"/>
  <c r="AO52" i="4"/>
  <c r="AN33" i="4"/>
  <c r="AN54" i="4"/>
  <c r="AO53" i="4" l="1"/>
  <c r="AP31" i="4"/>
  <c r="AQ31" i="4" s="1"/>
  <c r="AR31" i="4" s="1"/>
  <c r="AS31" i="4" s="1"/>
  <c r="AT31" i="4" s="1"/>
  <c r="AU31" i="4" s="1"/>
  <c r="AV31" i="4" s="1"/>
  <c r="AW31" i="4" s="1"/>
  <c r="AX31" i="4" s="1"/>
  <c r="AY31" i="4" s="1"/>
  <c r="AZ31" i="4" s="1"/>
  <c r="BA31" i="4" s="1"/>
  <c r="BB31" i="4" s="1"/>
  <c r="BC31" i="4" s="1"/>
  <c r="BD31" i="4" s="1"/>
  <c r="BE31" i="4" s="1"/>
  <c r="BF31" i="4" s="1"/>
  <c r="BG31" i="4" s="1"/>
  <c r="BH31" i="4" s="1"/>
  <c r="BI31" i="4" s="1"/>
  <c r="BJ31" i="4" s="1"/>
  <c r="BK31" i="4" s="1"/>
  <c r="BL31" i="4" s="1"/>
  <c r="BM31" i="4" s="1"/>
  <c r="BN31" i="4" s="1"/>
  <c r="BO31" i="4" s="1"/>
  <c r="BP31" i="4" s="1"/>
  <c r="BQ31" i="4" s="1"/>
  <c r="BR31" i="4" s="1"/>
  <c r="BS31" i="4" s="1"/>
  <c r="BT31" i="4" s="1"/>
  <c r="BU31" i="4" s="1"/>
  <c r="BV31" i="4" s="1"/>
  <c r="BW31" i="4" s="1"/>
  <c r="BX31" i="4" s="1"/>
  <c r="BY31" i="4" s="1"/>
  <c r="BZ31" i="4" s="1"/>
  <c r="CA31" i="4" s="1"/>
  <c r="CB31" i="4" s="1"/>
  <c r="CC31" i="4" s="1"/>
  <c r="CD31" i="4" s="1"/>
  <c r="CE31" i="4" s="1"/>
  <c r="CF31" i="4" s="1"/>
  <c r="CG31" i="4" s="1"/>
  <c r="CH31" i="4" s="1"/>
  <c r="CI31" i="4" s="1"/>
  <c r="CJ31" i="4" s="1"/>
  <c r="CK31" i="4" s="1"/>
  <c r="CL31" i="4" s="1"/>
  <c r="CM31" i="4" s="1"/>
  <c r="CN31" i="4" s="1"/>
  <c r="CO31" i="4" s="1"/>
  <c r="CP31" i="4" s="1"/>
  <c r="CQ31" i="4" s="1"/>
  <c r="CR31" i="4" s="1"/>
  <c r="CS31" i="4" s="1"/>
  <c r="CT31" i="4" s="1"/>
  <c r="CU31" i="4" s="1"/>
  <c r="CV31" i="4" s="1"/>
  <c r="CW31" i="4" s="1"/>
  <c r="CX31" i="4" s="1"/>
  <c r="CY31" i="4" s="1"/>
  <c r="CZ31" i="4" s="1"/>
  <c r="DA31" i="4" s="1"/>
  <c r="DB31" i="4" s="1"/>
  <c r="DC31" i="4" s="1"/>
  <c r="DD31" i="4" s="1"/>
  <c r="DE31" i="4" s="1"/>
  <c r="DF31" i="4" s="1"/>
  <c r="DG31" i="4" s="1"/>
  <c r="DH31" i="4" s="1"/>
  <c r="DI31" i="4" s="1"/>
  <c r="DJ31" i="4" s="1"/>
  <c r="DK31" i="4" s="1"/>
  <c r="DL31" i="4" s="1"/>
  <c r="DM31" i="4" s="1"/>
  <c r="DN31" i="4" s="1"/>
  <c r="DO31" i="4" s="1"/>
  <c r="DP31" i="4" s="1"/>
  <c r="DQ31" i="4" s="1"/>
  <c r="DR31" i="4" s="1"/>
  <c r="DS31" i="4" s="1"/>
  <c r="DT31" i="4" s="1"/>
  <c r="DU31" i="4" s="1"/>
  <c r="DV31" i="4" s="1"/>
  <c r="DW31" i="4" s="1"/>
  <c r="DX31" i="4" s="1"/>
  <c r="DY31" i="4" s="1"/>
  <c r="DZ31" i="4" s="1"/>
  <c r="EA31" i="4" s="1"/>
  <c r="EB31" i="4" s="1"/>
  <c r="EC31" i="4" s="1"/>
  <c r="ED31" i="4" s="1"/>
  <c r="EE31" i="4" s="1"/>
  <c r="EF31" i="4" s="1"/>
  <c r="EG31" i="4" s="1"/>
  <c r="EH31" i="4" s="1"/>
  <c r="EI31" i="4" s="1"/>
  <c r="EJ31" i="4" s="1"/>
  <c r="EK31" i="4" s="1"/>
  <c r="EL31" i="4" s="1"/>
  <c r="EM31" i="4" s="1"/>
  <c r="EN31" i="4" s="1"/>
  <c r="EO31" i="4" s="1"/>
  <c r="EP31" i="4" s="1"/>
  <c r="EQ31" i="4" s="1"/>
  <c r="ER31" i="4" s="1"/>
  <c r="AO86" i="4"/>
  <c r="AO102" i="4" s="1"/>
  <c r="AO106" i="4" s="1"/>
  <c r="AO33" i="4"/>
  <c r="AO54" i="4"/>
  <c r="AP106" i="4" l="1"/>
  <c r="AQ106" i="4" s="1"/>
  <c r="AR106" i="4" s="1"/>
  <c r="AS106" i="4" s="1"/>
  <c r="AT106" i="4" s="1"/>
  <c r="AU106" i="4" s="1"/>
  <c r="AV106" i="4" s="1"/>
  <c r="AW106" i="4" s="1"/>
  <c r="AX106" i="4" s="1"/>
  <c r="AY106" i="4" s="1"/>
  <c r="AZ106" i="4" s="1"/>
  <c r="BA106" i="4" s="1"/>
  <c r="BB106" i="4" s="1"/>
  <c r="BC106" i="4" s="1"/>
  <c r="BD106" i="4" s="1"/>
  <c r="BE106" i="4" s="1"/>
  <c r="BF106" i="4" s="1"/>
  <c r="BG106" i="4" s="1"/>
  <c r="BH106" i="4" s="1"/>
  <c r="BI106" i="4" s="1"/>
  <c r="BJ106" i="4" s="1"/>
  <c r="BK106" i="4" s="1"/>
  <c r="BL106" i="4" s="1"/>
  <c r="BM106" i="4" s="1"/>
  <c r="BN106" i="4" s="1"/>
  <c r="BO106" i="4" s="1"/>
  <c r="BP106" i="4" s="1"/>
  <c r="BQ106" i="4" s="1"/>
  <c r="BR106" i="4" s="1"/>
  <c r="BS106" i="4" s="1"/>
  <c r="BT106" i="4" s="1"/>
  <c r="BU106" i="4" s="1"/>
  <c r="BV106" i="4" s="1"/>
  <c r="BW106" i="4" s="1"/>
  <c r="BX106" i="4" s="1"/>
  <c r="BY106" i="4" s="1"/>
  <c r="BZ106" i="4" s="1"/>
  <c r="CA106" i="4" s="1"/>
  <c r="CB106" i="4" s="1"/>
  <c r="CC106" i="4" s="1"/>
  <c r="CD106" i="4" s="1"/>
  <c r="CE106" i="4" s="1"/>
  <c r="CF106" i="4" s="1"/>
  <c r="CG106" i="4" s="1"/>
  <c r="CH106" i="4" s="1"/>
  <c r="CI106" i="4" s="1"/>
  <c r="CJ106" i="4" s="1"/>
  <c r="CK106" i="4" s="1"/>
  <c r="CL106" i="4" s="1"/>
  <c r="CM106" i="4" s="1"/>
  <c r="CN106" i="4" s="1"/>
  <c r="CO106" i="4" s="1"/>
  <c r="CP106" i="4" s="1"/>
  <c r="CQ106" i="4" s="1"/>
  <c r="CR106" i="4" s="1"/>
  <c r="CS106" i="4" s="1"/>
  <c r="CT106" i="4" s="1"/>
  <c r="CU106" i="4" s="1"/>
  <c r="CV106" i="4" s="1"/>
  <c r="CW106" i="4" s="1"/>
  <c r="CX106" i="4" s="1"/>
  <c r="CY106" i="4" s="1"/>
  <c r="CZ106" i="4" s="1"/>
  <c r="DA106" i="4" s="1"/>
  <c r="DB106" i="4" s="1"/>
  <c r="DC106" i="4" s="1"/>
  <c r="DD106" i="4" s="1"/>
  <c r="DE106" i="4" s="1"/>
  <c r="DF106" i="4" s="1"/>
  <c r="DG106" i="4" s="1"/>
  <c r="DH106" i="4" s="1"/>
  <c r="DI106" i="4" s="1"/>
  <c r="DJ106" i="4" s="1"/>
  <c r="DK106" i="4" s="1"/>
  <c r="DL106" i="4" s="1"/>
  <c r="DM106" i="4" s="1"/>
  <c r="DN106" i="4" s="1"/>
  <c r="DO106" i="4" s="1"/>
  <c r="DP106" i="4" s="1"/>
  <c r="DQ106" i="4" s="1"/>
  <c r="DR106" i="4" s="1"/>
  <c r="DS106" i="4" s="1"/>
  <c r="DT106" i="4" s="1"/>
  <c r="DU106" i="4" s="1"/>
  <c r="DV106" i="4" s="1"/>
  <c r="DW106" i="4" s="1"/>
  <c r="DX106" i="4" s="1"/>
  <c r="DY106" i="4" s="1"/>
  <c r="DZ106" i="4" s="1"/>
  <c r="EA106" i="4" s="1"/>
  <c r="EB106" i="4" s="1"/>
  <c r="EC106" i="4" s="1"/>
  <c r="ED106" i="4" s="1"/>
  <c r="EE106" i="4" s="1"/>
  <c r="EF106" i="4" s="1"/>
  <c r="EG106" i="4" s="1"/>
  <c r="EH106" i="4" s="1"/>
  <c r="EI106" i="4" s="1"/>
  <c r="EJ106" i="4" s="1"/>
  <c r="EK106" i="4" s="1"/>
  <c r="EL106" i="4" s="1"/>
  <c r="AS110" i="4" s="1"/>
  <c r="AS112" i="4" s="1"/>
  <c r="AS113" i="4" s="1"/>
  <c r="AS115" i="4" s="1"/>
  <c r="AS43" i="4"/>
  <c r="AS45" i="4" s="1"/>
  <c r="AS46" i="4" s="1"/>
  <c r="AS48" i="4" s="1"/>
</calcChain>
</file>

<file path=xl/sharedStrings.xml><?xml version="1.0" encoding="utf-8"?>
<sst xmlns="http://schemas.openxmlformats.org/spreadsheetml/2006/main" count="169" uniqueCount="125">
  <si>
    <t>FCEL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</si>
  <si>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</si>
  <si>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</si>
  <si>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</si>
  <si>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</si>
  <si>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</si>
  <si>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</si>
  <si>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</si>
  <si>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</si>
  <si>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</si>
  <si>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</si>
  <si>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</si>
  <si>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</si>
  <si>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</si>
  <si>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</si>
  <si>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</si>
  <si>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</si>
  <si>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</si>
  <si>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</si>
  <si>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</si>
  <si>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</si>
  <si>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</si>
  <si>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</si>
  <si>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Product revenue</t>
  </si>
  <si>
    <t>Service revenue</t>
  </si>
  <si>
    <t>Generation revenue</t>
  </si>
  <si>
    <t>Technology revenue</t>
  </si>
  <si>
    <t>Total revenue</t>
  </si>
  <si>
    <t>Product cost</t>
  </si>
  <si>
    <t>Service cost</t>
  </si>
  <si>
    <t>Generation cost</t>
  </si>
  <si>
    <t>Technology cost</t>
  </si>
  <si>
    <t>Total cost of sales</t>
  </si>
  <si>
    <t>Gross profit</t>
  </si>
  <si>
    <t>SG&amp;A</t>
  </si>
  <si>
    <t>R&amp;D</t>
  </si>
  <si>
    <t>Operating profit</t>
  </si>
  <si>
    <t>Interest expense</t>
  </si>
  <si>
    <t>Interest income</t>
  </si>
  <si>
    <t>Other income</t>
  </si>
  <si>
    <t>Pretax profit</t>
  </si>
  <si>
    <t>Taxes</t>
  </si>
  <si>
    <t>MI</t>
  </si>
  <si>
    <t>Net profit</t>
  </si>
  <si>
    <t>EPS</t>
  </si>
  <si>
    <t>Q121</t>
  </si>
  <si>
    <t>Q221</t>
  </si>
  <si>
    <t>Q321</t>
  </si>
  <si>
    <t>Q421</t>
  </si>
  <si>
    <t>Revenue y/y</t>
  </si>
  <si>
    <t>Product revenue y/y</t>
  </si>
  <si>
    <t>Service revenue y/y</t>
  </si>
  <si>
    <t>Generation revenue y/y</t>
  </si>
  <si>
    <t>Technology revenue y/y</t>
  </si>
  <si>
    <t>Product Margin</t>
  </si>
  <si>
    <t>Service Margin</t>
  </si>
  <si>
    <t>Generation Margin</t>
  </si>
  <si>
    <t>Technology Margin</t>
  </si>
  <si>
    <t>Gross Margin</t>
  </si>
  <si>
    <t>SG&amp;A y/y</t>
  </si>
  <si>
    <t>R&amp;D y/y</t>
  </si>
  <si>
    <t>Net Margin</t>
  </si>
  <si>
    <t>Operating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</si>
  <si>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</si>
  <si>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</si>
  <si>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</si>
  <si>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</si>
  <si>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</si>
  <si>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</si>
  <si>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</si>
  <si>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</si>
  <si>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</si>
  <si>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Investments</t>
  </si>
  <si>
    <t>A/R</t>
  </si>
  <si>
    <t>Inventories</t>
  </si>
  <si>
    <t>OCA</t>
  </si>
  <si>
    <t>PP&amp;E</t>
  </si>
  <si>
    <t>Leases</t>
  </si>
  <si>
    <t>Goodwill</t>
  </si>
  <si>
    <t>Intangibles</t>
  </si>
  <si>
    <t>ONCA</t>
  </si>
  <si>
    <t>A/P</t>
  </si>
  <si>
    <t>A/L</t>
  </si>
  <si>
    <t>D/R</t>
  </si>
  <si>
    <t>S/E</t>
  </si>
  <si>
    <t>L+S/E</t>
  </si>
  <si>
    <t>Current assets</t>
  </si>
  <si>
    <t>Non-current assets</t>
  </si>
  <si>
    <t>Current liabilities</t>
  </si>
  <si>
    <t>Non-current liabilities</t>
  </si>
  <si>
    <t>Total assets</t>
  </si>
  <si>
    <t>Project assets</t>
  </si>
  <si>
    <t>SBC</t>
  </si>
  <si>
    <t>D&amp;A</t>
  </si>
  <si>
    <t>Debt expense</t>
  </si>
  <si>
    <t>Non-cash interest expense</t>
  </si>
  <si>
    <t>Loss on derivatives</t>
  </si>
  <si>
    <t>Operating lease expense</t>
  </si>
  <si>
    <t>Operating lease income</t>
  </si>
  <si>
    <t>Impairment</t>
  </si>
  <si>
    <t>Other</t>
  </si>
  <si>
    <t>Other assets</t>
  </si>
  <si>
    <t>CFFO</t>
  </si>
  <si>
    <t>FCF</t>
  </si>
  <si>
    <t>Total CapEx</t>
  </si>
  <si>
    <t>FCF y/y</t>
  </si>
  <si>
    <t>Backlog</t>
  </si>
  <si>
    <t>Product backlog</t>
  </si>
  <si>
    <t>Service backlog</t>
  </si>
  <si>
    <t>Generation backlog</t>
  </si>
  <si>
    <t>Technology backlog</t>
  </si>
  <si>
    <t>Restructuring</t>
  </si>
  <si>
    <t>Total operating expenses</t>
  </si>
  <si>
    <t>Product backlog y/y</t>
  </si>
  <si>
    <t>Service backlog y/y</t>
  </si>
  <si>
    <t>Generation backlog y/y</t>
  </si>
  <si>
    <t>Technology backlog y/y</t>
  </si>
  <si>
    <t>Backlog y/y</t>
  </si>
  <si>
    <t>Q125</t>
  </si>
  <si>
    <t>Q225</t>
  </si>
  <si>
    <t>Q325</t>
  </si>
  <si>
    <t>Q425</t>
  </si>
  <si>
    <t>CapEx y/y</t>
  </si>
  <si>
    <t>NPV (FCF)</t>
  </si>
  <si>
    <t>Heavily 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</si>
</sst>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2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15240</xdr:colOff>
      <xdr:row>0</xdr:row>
      <xdr:rowOff>15240</xdr:rowOff>
    </xdr:from>
    <xdr:to>
      <xdr:col>19</xdr:col>
      <xdr:colOff>15240</xdr:colOff>
      <xdr:row>113</xdr:row>
      <xdr:rowOff>44450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51EFCC3-D72C-6DA4-0C76-CB5638E49903}"/>
            </a:ext>
          </a:extLst>
        </xdr:cNvPr>
        <xdr:cNvCxnSpPr/>
      </xdr:nvCxnSpPr>
      <xdr:spPr>
        <a:xfrm>
          <a:off x="14554200" y="15240"/>
          <a:ext cx="0" cy="20694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</xdr:colOff>
      <xdr:row>0</xdr:row>
      <xdr:rowOff>15240</xdr:rowOff>
    </xdr:from>
    <xdr:to>
      <xdr:col>30</xdr:col>
      <xdr:colOff>22860</xdr:colOff>
      <xdr:row>113</xdr:row>
      <xdr:rowOff>12700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F558B8C-7B5B-8137-06F6-438D8DF62E84}"/>
            </a:ext>
          </a:extLst>
        </xdr:cNvPr>
        <xdr:cNvCxnSpPr/>
      </xdr:nvCxnSpPr>
      <xdr:spPr>
        <a:xfrm>
          <a:off x="22463760" y="15240"/>
          <a:ext cx="0" cy="2066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DF6-399A-4F35-8EEB-3531DF80C250}">
  <dimension ref="B2:G9"/>
  <sheetViews>
    <sheetView workbookViewId="0">
      <selection activeCell="D3" sqref="D3"/>
    </sheetView>
  </sheetViews>
  <sheetFormatPr defaultRowHeight="14.4" x14ac:dyDescent="0.3"/>
  <cols>
    <col min="5" max="7" width="13.77734375" style="3" customWidth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1" t="s">
        <v>0</v>
      </c>
      <c r="C3" t="s">
        <v>1</v>
      </c>
      <c r="D3" s="5">
        <v>3.72</v>
      </c>
      <c r="E3" s="4">
        <v>45772</v>
      </c>
      <c r="F3" s="4">
        <f ca="1">TODAY()</f>
        <v>45772</v>
      </c>
      <c r="G3" s="4">
        <v>45817</v>
      </c>
    </row>
    <row r="4" spans="2:7" x14ac:dyDescent="0.3">
      <c r="C4" t="s">
        <v>2</v>
      </c>
      <c r="D4" s="6">
        <v>21.1</v>
      </c>
      <c r="E4" s="3" t="s">
        <v>118</v>
      </c>
    </row>
    <row r="5" spans="2:7" x14ac:dyDescent="0.3">
      <c r="C5" t="s">
        <v>3</v>
      </c>
      <c r="D5" s="6">
        <f>D3*D4</f>
        <v>78.492000000000004</v>
      </c>
    </row>
    <row r="6" spans="2:7" x14ac:dyDescent="0.3">
      <c r="C6" t="s">
        <v>4</v>
      </c>
      <c r="D6" s="6">
        <f>98.1+12.6+110.3+49.7</f>
        <v>270.7</v>
      </c>
      <c r="E6" s="3" t="s">
        <v>118</v>
      </c>
    </row>
    <row r="7" spans="2:7" x14ac:dyDescent="0.3">
      <c r="C7" t="s">
        <v>5</v>
      </c>
      <c r="D7" s="6">
        <f>16.9+125.8</f>
        <v>142.69999999999999</v>
      </c>
      <c r="E7" s="3" t="s">
        <v>118</v>
      </c>
    </row>
    <row r="8" spans="2:7" x14ac:dyDescent="0.3">
      <c r="C8" t="s">
        <v>6</v>
      </c>
      <c r="D8" s="6">
        <f>D6-D7</f>
        <v>128</v>
      </c>
    </row>
    <row r="9" spans="2:7" x14ac:dyDescent="0.3">
      <c r="C9" t="s">
        <v>7</v>
      </c>
      <c r="D9" s="6">
        <f>D5-D8</f>
        <v>-49.507999999999996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109B-7A3A-4569-ACD4-C92D661A6DC9}">
  <dimension ref="B1:ER127"/>
  <sheetViews>
    <sheetView tabSelected="1" zoomScaleNormal="100" workbookViewId="0">
      <pane xSplit="2" ySplit="2" topLeftCell="AC31" activePane="bottomRight" state="frozen"/>
      <selection pane="topRight" activeCell="C1" sqref="C1"/>
      <selection pane="bottomLeft" activeCell="A3" sqref="A3"/>
      <selection pane="bottomRight" activeCell="AF33" sqref="AF33"/>
    </sheetView>
  </sheetViews>
  <sheetFormatPr defaultRowHeight="14.4" x14ac:dyDescent="0.3"/>
  <cols>
    <col min="2" max="2" width="23.5546875" bestFit="1" customWidth="1"/>
    <col min="3" max="16" width="10.5546875" bestFit="1" customWidth="1"/>
    <col min="17" max="17" width="10.6640625" bestFit="1" customWidth="1"/>
    <col min="18" max="18" width="10.5546875" bestFit="1" customWidth="1"/>
    <col min="19" max="22" width="10.5546875" customWidth="1"/>
    <col min="24" max="41" width="10.6640625" bestFit="1" customWidth="1"/>
    <col min="44" max="44" width="11.88671875" bestFit="1" customWidth="1"/>
    <col min="45" max="45" width="18.44140625" bestFit="1" customWidth="1"/>
  </cols>
  <sheetData>
    <row r="1" spans="2:41" x14ac:dyDescent="0.3">
      <c r="C1" s="2">
        <v>44227</v>
      </c>
      <c r="D1" s="2">
        <v>44316</v>
      </c>
      <c r="E1" s="2">
        <v>44408</v>
      </c>
      <c r="F1" s="2">
        <v>44500</v>
      </c>
      <c r="G1" s="2">
        <v>44592</v>
      </c>
      <c r="H1" s="2">
        <v>44681</v>
      </c>
      <c r="I1" s="2">
        <v>44773</v>
      </c>
      <c r="J1" s="2">
        <v>44865</v>
      </c>
      <c r="K1" s="2">
        <v>44957</v>
      </c>
      <c r="L1" s="2">
        <v>45046</v>
      </c>
      <c r="M1" s="2">
        <v>45138</v>
      </c>
      <c r="N1" s="2">
        <v>45230</v>
      </c>
      <c r="O1" s="2">
        <v>45322</v>
      </c>
      <c r="P1" s="2">
        <v>45412</v>
      </c>
      <c r="Q1" s="2">
        <v>45504</v>
      </c>
      <c r="R1" s="2">
        <v>45596</v>
      </c>
      <c r="S1" s="2">
        <v>45688</v>
      </c>
      <c r="T1" s="2">
        <v>45777</v>
      </c>
      <c r="U1" s="2">
        <v>45869</v>
      </c>
      <c r="V1" s="2">
        <v>45961</v>
      </c>
      <c r="X1" s="2">
        <v>43404</v>
      </c>
      <c r="Y1" s="2">
        <v>43769</v>
      </c>
      <c r="Z1" s="2">
        <v>44135</v>
      </c>
      <c r="AA1" s="2">
        <v>44500</v>
      </c>
      <c r="AB1" s="2">
        <v>44865</v>
      </c>
      <c r="AC1" s="2">
        <v>45230</v>
      </c>
      <c r="AD1" s="2">
        <v>45596</v>
      </c>
      <c r="AE1" s="2">
        <v>45961</v>
      </c>
      <c r="AF1" s="2">
        <v>46326</v>
      </c>
      <c r="AG1" s="2">
        <v>46691</v>
      </c>
      <c r="AH1" s="2">
        <v>47057</v>
      </c>
      <c r="AI1" s="2">
        <v>47422</v>
      </c>
      <c r="AJ1" s="2">
        <v>47787</v>
      </c>
      <c r="AK1" s="2">
        <v>48152</v>
      </c>
      <c r="AL1" s="2">
        <v>48518</v>
      </c>
      <c r="AM1" s="2">
        <v>48883</v>
      </c>
      <c r="AN1" s="2">
        <v>49248</v>
      </c>
      <c r="AO1" s="2">
        <v>49613</v>
      </c>
    </row>
    <row r="2" spans="2:41" x14ac:dyDescent="0.3">
      <c r="C2" s="7" t="s">
        <v>45</v>
      </c>
      <c r="D2" s="7" t="s">
        <v>46</v>
      </c>
      <c r="E2" s="7" t="s">
        <v>47</v>
      </c>
      <c r="F2" s="7" t="s">
        <v>48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7" t="s">
        <v>118</v>
      </c>
      <c r="T2" s="7" t="s">
        <v>119</v>
      </c>
      <c r="U2" s="7" t="s">
        <v>120</v>
      </c>
      <c r="V2" s="7" t="s">
        <v>121</v>
      </c>
      <c r="X2">
        <v>2018</v>
      </c>
      <c r="Y2">
        <v>2019</v>
      </c>
      <c r="Z2">
        <v>2020</v>
      </c>
      <c r="AA2">
        <v>2021</v>
      </c>
      <c r="AB2">
        <v>2022</v>
      </c>
      <c r="AC2">
        <v>2023</v>
      </c>
      <c r="AD2">
        <v>2024</v>
      </c>
      <c r="AE2">
        <v>2025</v>
      </c>
      <c r="AF2">
        <v>2026</v>
      </c>
      <c r="AG2">
        <v>2027</v>
      </c>
      <c r="AH2">
        <v>2028</v>
      </c>
      <c r="AI2">
        <v>2029</v>
      </c>
      <c r="AJ2">
        <v>2030</v>
      </c>
      <c r="AK2">
        <v>2031</v>
      </c>
      <c r="AL2">
        <v>2032</v>
      </c>
      <c r="AM2">
        <v>2033</v>
      </c>
      <c r="AN2">
        <v>2034</v>
      </c>
      <c r="AO2">
        <v>2035</v>
      </c>
    </row>
    <row r="3" spans="2:41" x14ac:dyDescent="0.3">
      <c r="B3" t="s">
        <v>107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13">
        <v>0</v>
      </c>
      <c r="O3" s="13">
        <v>0</v>
      </c>
      <c r="P3" s="7"/>
      <c r="Q3" s="7"/>
      <c r="R3" s="13">
        <v>111.3</v>
      </c>
      <c r="S3" s="13">
        <v>111.2</v>
      </c>
      <c r="T3" s="13"/>
      <c r="U3" s="13"/>
      <c r="V3" s="13"/>
    </row>
    <row r="4" spans="2:41" x14ac:dyDescent="0.3">
      <c r="B4" t="s">
        <v>108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3">
        <v>140.80000000000001</v>
      </c>
      <c r="O4" s="13">
        <v>140.4</v>
      </c>
      <c r="P4" s="7"/>
      <c r="Q4" s="7"/>
      <c r="R4" s="13">
        <v>174.2</v>
      </c>
      <c r="S4" s="13">
        <v>172.3</v>
      </c>
      <c r="T4" s="13"/>
      <c r="U4" s="13"/>
      <c r="V4" s="13"/>
    </row>
    <row r="5" spans="2:41" x14ac:dyDescent="0.3">
      <c r="B5" t="s">
        <v>109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3">
        <v>872.1</v>
      </c>
      <c r="O5" s="13">
        <v>861.6</v>
      </c>
      <c r="P5" s="7"/>
      <c r="Q5" s="7"/>
      <c r="R5" s="13">
        <v>841.4</v>
      </c>
      <c r="S5" s="13">
        <v>997.4</v>
      </c>
      <c r="T5" s="13"/>
      <c r="U5" s="13"/>
      <c r="V5" s="13"/>
    </row>
    <row r="6" spans="2:41" x14ac:dyDescent="0.3">
      <c r="B6" t="s">
        <v>110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3">
        <v>15.3</v>
      </c>
      <c r="O6" s="13">
        <v>23.4</v>
      </c>
      <c r="P6" s="7"/>
      <c r="Q6" s="7"/>
      <c r="R6" s="13">
        <v>36</v>
      </c>
      <c r="S6" s="13">
        <v>31.6</v>
      </c>
      <c r="T6" s="13"/>
      <c r="U6" s="13"/>
      <c r="V6" s="13"/>
    </row>
    <row r="7" spans="2:41" s="1" customFormat="1" x14ac:dyDescent="0.3">
      <c r="B7" s="1" t="s">
        <v>106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5">
        <f>SUM(N3:N6)</f>
        <v>1028.2</v>
      </c>
      <c r="O7" s="15">
        <f>SUM(O3:O6)</f>
        <v>1025.4000000000001</v>
      </c>
      <c r="P7" s="14"/>
      <c r="Q7" s="14"/>
      <c r="R7" s="15">
        <f>SUM(R3:R6)</f>
        <v>1162.9000000000001</v>
      </c>
      <c r="S7" s="15">
        <f>SUM(S3:S6)</f>
        <v>1312.5</v>
      </c>
      <c r="T7" s="15"/>
      <c r="U7" s="15"/>
      <c r="V7" s="15"/>
    </row>
    <row r="8" spans="2:41" s="1" customFormat="1" x14ac:dyDescent="0.3"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2:41" x14ac:dyDescent="0.3">
      <c r="B9" t="s">
        <v>23</v>
      </c>
      <c r="C9" s="6">
        <v>0</v>
      </c>
      <c r="D9" s="6">
        <v>0</v>
      </c>
      <c r="E9" s="6">
        <v>0</v>
      </c>
      <c r="F9" s="6">
        <v>0</v>
      </c>
      <c r="G9" s="6">
        <v>18</v>
      </c>
      <c r="H9" s="6">
        <v>0</v>
      </c>
      <c r="I9" s="6">
        <v>18</v>
      </c>
      <c r="J9" s="6">
        <v>24</v>
      </c>
      <c r="K9" s="6">
        <v>9.1</v>
      </c>
      <c r="L9" s="6">
        <v>0</v>
      </c>
      <c r="M9" s="6">
        <v>0</v>
      </c>
      <c r="N9" s="6">
        <v>10.5</v>
      </c>
      <c r="O9" s="6">
        <v>0</v>
      </c>
      <c r="P9" s="6">
        <v>0</v>
      </c>
      <c r="Q9" s="6">
        <v>0.3</v>
      </c>
      <c r="R9" s="6">
        <v>25.4</v>
      </c>
      <c r="S9" s="6">
        <v>0.1</v>
      </c>
      <c r="T9" s="6">
        <v>0</v>
      </c>
      <c r="U9" s="6">
        <v>0</v>
      </c>
      <c r="V9" s="6">
        <v>30</v>
      </c>
      <c r="X9" s="6">
        <v>52.5</v>
      </c>
      <c r="Y9" s="6">
        <v>0.5</v>
      </c>
      <c r="Z9" s="6">
        <v>0</v>
      </c>
      <c r="AA9" s="6">
        <f>SUM(C9:F9)</f>
        <v>0</v>
      </c>
      <c r="AB9" s="6">
        <f>SUM(G9:J9)</f>
        <v>60</v>
      </c>
      <c r="AC9" s="6">
        <f>SUM(K9:N9)</f>
        <v>19.600000000000001</v>
      </c>
      <c r="AD9" s="6">
        <f>SUM(O9:R9)</f>
        <v>25.7</v>
      </c>
      <c r="AE9" s="6">
        <f t="shared" ref="AE9:AE17" si="0">SUM(S9:V9)</f>
        <v>30.1</v>
      </c>
      <c r="AF9" s="6">
        <f>AE9*1.3</f>
        <v>39.130000000000003</v>
      </c>
      <c r="AG9" s="6">
        <f>AF9*1.25</f>
        <v>48.912500000000001</v>
      </c>
      <c r="AH9" s="6">
        <f>AG9*1.2</f>
        <v>58.695</v>
      </c>
      <c r="AI9" s="6">
        <f>AH9*1.15</f>
        <v>67.499249999999989</v>
      </c>
      <c r="AJ9" s="6">
        <f>AI9*1.1</f>
        <v>74.249174999999994</v>
      </c>
      <c r="AK9" s="6">
        <f t="shared" ref="AK9:AO9" si="1">AJ9*1.1</f>
        <v>81.6740925</v>
      </c>
      <c r="AL9" s="6">
        <f t="shared" si="1"/>
        <v>89.841501750000006</v>
      </c>
      <c r="AM9" s="6">
        <f t="shared" si="1"/>
        <v>98.825651925000017</v>
      </c>
      <c r="AN9" s="6">
        <f t="shared" si="1"/>
        <v>108.70821711750003</v>
      </c>
      <c r="AO9" s="6">
        <f t="shared" si="1"/>
        <v>119.57903882925004</v>
      </c>
    </row>
    <row r="10" spans="2:41" x14ac:dyDescent="0.3">
      <c r="B10" t="s">
        <v>24</v>
      </c>
      <c r="C10" s="6">
        <v>4.9000000000000004</v>
      </c>
      <c r="D10" s="6">
        <v>0.7</v>
      </c>
      <c r="E10" s="6">
        <v>14.3</v>
      </c>
      <c r="F10" s="6">
        <v>-0.1</v>
      </c>
      <c r="G10" s="6">
        <v>2.2000000000000002</v>
      </c>
      <c r="H10" s="6">
        <v>2.6</v>
      </c>
      <c r="I10" s="6">
        <v>9.1</v>
      </c>
      <c r="J10" s="6">
        <v>-1.1000000000000001</v>
      </c>
      <c r="K10" s="6">
        <v>13.9</v>
      </c>
      <c r="L10" s="6">
        <v>26.2</v>
      </c>
      <c r="M10" s="6">
        <v>9.8000000000000007</v>
      </c>
      <c r="N10" s="6">
        <v>-0.8</v>
      </c>
      <c r="O10" s="6">
        <v>1.6</v>
      </c>
      <c r="P10" s="6">
        <v>1.4</v>
      </c>
      <c r="Q10" s="6">
        <v>1.4</v>
      </c>
      <c r="R10" s="6">
        <v>5.6</v>
      </c>
      <c r="S10" s="6">
        <v>1.8</v>
      </c>
      <c r="T10" s="6">
        <f t="shared" ref="T10:V10" si="2">P10*1.2</f>
        <v>1.68</v>
      </c>
      <c r="U10" s="6">
        <f t="shared" si="2"/>
        <v>1.68</v>
      </c>
      <c r="V10" s="6">
        <f t="shared" si="2"/>
        <v>6.72</v>
      </c>
      <c r="X10" s="6">
        <v>15.8</v>
      </c>
      <c r="Y10" s="6">
        <v>26.6</v>
      </c>
      <c r="Z10" s="6">
        <v>25.1</v>
      </c>
      <c r="AA10" s="6">
        <f>SUM(C10:F10)</f>
        <v>19.8</v>
      </c>
      <c r="AB10" s="6">
        <f>SUM(G10:J10)</f>
        <v>12.8</v>
      </c>
      <c r="AC10" s="6">
        <f>SUM(K10:N10)</f>
        <v>49.100000000000009</v>
      </c>
      <c r="AD10" s="6">
        <f>SUM(O10:R10)</f>
        <v>10</v>
      </c>
      <c r="AE10" s="6">
        <f t="shared" si="0"/>
        <v>11.879999999999999</v>
      </c>
      <c r="AF10" s="6">
        <f>AE10*1.12</f>
        <v>13.3056</v>
      </c>
      <c r="AG10" s="6">
        <f t="shared" ref="AG10:AO10" si="3">AF10*1.08</f>
        <v>14.370048000000001</v>
      </c>
      <c r="AH10" s="6">
        <f t="shared" si="3"/>
        <v>15.519651840000002</v>
      </c>
      <c r="AI10" s="6">
        <f t="shared" si="3"/>
        <v>16.761223987200005</v>
      </c>
      <c r="AJ10" s="6">
        <f t="shared" si="3"/>
        <v>18.102121906176006</v>
      </c>
      <c r="AK10" s="6">
        <f t="shared" si="3"/>
        <v>19.550291658670087</v>
      </c>
      <c r="AL10" s="6">
        <f t="shared" si="3"/>
        <v>21.114314991363695</v>
      </c>
      <c r="AM10" s="6">
        <f t="shared" si="3"/>
        <v>22.803460190672794</v>
      </c>
      <c r="AN10" s="6">
        <f t="shared" si="3"/>
        <v>24.627737005926619</v>
      </c>
      <c r="AO10" s="6">
        <f t="shared" si="3"/>
        <v>26.59795596640075</v>
      </c>
    </row>
    <row r="11" spans="2:41" x14ac:dyDescent="0.3">
      <c r="B11" t="s">
        <v>25</v>
      </c>
      <c r="C11" s="6">
        <v>4.9000000000000004</v>
      </c>
      <c r="D11" s="6">
        <v>6.2</v>
      </c>
      <c r="E11" s="6">
        <v>6.2</v>
      </c>
      <c r="F11" s="6">
        <v>6.7</v>
      </c>
      <c r="G11" s="6">
        <v>7.5</v>
      </c>
      <c r="H11" s="6">
        <v>9.1</v>
      </c>
      <c r="I11" s="6">
        <v>10.9</v>
      </c>
      <c r="J11" s="6">
        <v>8.8000000000000007</v>
      </c>
      <c r="K11" s="6">
        <v>9.6</v>
      </c>
      <c r="L11" s="6">
        <v>8.4</v>
      </c>
      <c r="M11" s="6">
        <v>11</v>
      </c>
      <c r="N11" s="6">
        <v>8.5</v>
      </c>
      <c r="O11" s="6">
        <v>10.5</v>
      </c>
      <c r="P11" s="6">
        <v>14.1</v>
      </c>
      <c r="Q11" s="6">
        <v>13.4</v>
      </c>
      <c r="R11" s="6">
        <v>12</v>
      </c>
      <c r="S11" s="6">
        <v>11.3</v>
      </c>
      <c r="T11" s="6">
        <f>P11*1.3</f>
        <v>18.330000000000002</v>
      </c>
      <c r="U11" s="6">
        <f t="shared" ref="U11:V11" si="4">Q11*1.3</f>
        <v>17.420000000000002</v>
      </c>
      <c r="V11" s="6">
        <f t="shared" si="4"/>
        <v>15.600000000000001</v>
      </c>
      <c r="X11" s="6">
        <v>7.2</v>
      </c>
      <c r="Y11" s="6">
        <v>14</v>
      </c>
      <c r="Z11" s="6">
        <v>19.899999999999999</v>
      </c>
      <c r="AA11" s="6">
        <f>SUM(C11:F11)</f>
        <v>24</v>
      </c>
      <c r="AB11" s="6">
        <f>SUM(G11:J11)</f>
        <v>36.299999999999997</v>
      </c>
      <c r="AC11" s="6">
        <f>SUM(K11:N11)</f>
        <v>37.5</v>
      </c>
      <c r="AD11" s="6">
        <f>SUM(O11:R11)</f>
        <v>50</v>
      </c>
      <c r="AE11" s="6">
        <f t="shared" si="0"/>
        <v>62.650000000000006</v>
      </c>
      <c r="AF11" s="6">
        <f>AE11*1.21</f>
        <v>75.8065</v>
      </c>
      <c r="AG11" s="6">
        <f>AF11*1.15</f>
        <v>87.177474999999987</v>
      </c>
      <c r="AH11" s="6">
        <f t="shared" ref="AH11:AO11" si="5">AG11*1.15</f>
        <v>100.25409624999998</v>
      </c>
      <c r="AI11" s="6">
        <f t="shared" si="5"/>
        <v>115.29221068749996</v>
      </c>
      <c r="AJ11" s="6">
        <f t="shared" si="5"/>
        <v>132.58604229062493</v>
      </c>
      <c r="AK11" s="6">
        <f t="shared" si="5"/>
        <v>152.47394863421866</v>
      </c>
      <c r="AL11" s="6">
        <f t="shared" si="5"/>
        <v>175.34504092935146</v>
      </c>
      <c r="AM11" s="6">
        <f t="shared" si="5"/>
        <v>201.64679706875415</v>
      </c>
      <c r="AN11" s="6">
        <f t="shared" si="5"/>
        <v>231.89381662906726</v>
      </c>
      <c r="AO11" s="6">
        <f t="shared" si="5"/>
        <v>266.67788912342735</v>
      </c>
    </row>
    <row r="12" spans="2:41" x14ac:dyDescent="0.3">
      <c r="B12" t="s">
        <v>26</v>
      </c>
      <c r="C12" s="6">
        <v>5.0999999999999996</v>
      </c>
      <c r="D12" s="6">
        <v>7.1</v>
      </c>
      <c r="E12" s="6">
        <v>6.2</v>
      </c>
      <c r="F12" s="6">
        <v>7.3</v>
      </c>
      <c r="G12" s="6">
        <v>4.0999999999999996</v>
      </c>
      <c r="H12" s="6">
        <v>4.7</v>
      </c>
      <c r="I12" s="6">
        <v>5.2</v>
      </c>
      <c r="J12" s="6">
        <v>7.5</v>
      </c>
      <c r="K12" s="6">
        <v>4.5</v>
      </c>
      <c r="L12" s="6">
        <v>3.7</v>
      </c>
      <c r="M12" s="6">
        <v>4.7</v>
      </c>
      <c r="N12" s="6">
        <v>4.3</v>
      </c>
      <c r="O12" s="6">
        <v>4.5999999999999996</v>
      </c>
      <c r="P12" s="6">
        <v>6.9</v>
      </c>
      <c r="Q12" s="6">
        <v>8.6</v>
      </c>
      <c r="R12" s="6">
        <v>6.4</v>
      </c>
      <c r="S12" s="6">
        <v>5.7</v>
      </c>
      <c r="T12" s="6">
        <f>P12*1.3</f>
        <v>8.9700000000000006</v>
      </c>
      <c r="U12" s="6">
        <f t="shared" ref="U12" si="6">Q12*1.3</f>
        <v>11.18</v>
      </c>
      <c r="V12" s="6">
        <f>R12*1.4</f>
        <v>8.9599999999999991</v>
      </c>
      <c r="X12" s="6">
        <v>14</v>
      </c>
      <c r="Y12" s="6">
        <v>19.600000000000001</v>
      </c>
      <c r="Z12" s="6">
        <v>25.8</v>
      </c>
      <c r="AA12" s="6">
        <f>SUM(C12:F12)</f>
        <v>25.7</v>
      </c>
      <c r="AB12" s="6">
        <f>SUM(G12:J12)</f>
        <v>21.5</v>
      </c>
      <c r="AC12" s="6">
        <f>SUM(K12:N12)</f>
        <v>17.2</v>
      </c>
      <c r="AD12" s="6">
        <f>SUM(O12:R12)</f>
        <v>26.5</v>
      </c>
      <c r="AE12" s="6">
        <f t="shared" si="0"/>
        <v>34.81</v>
      </c>
      <c r="AF12" s="6">
        <f>AE12*1.28</f>
        <v>44.556800000000003</v>
      </c>
      <c r="AG12" s="6">
        <f>AF12*1.2</f>
        <v>53.468160000000005</v>
      </c>
      <c r="AH12" s="6">
        <f>AG12*1.15</f>
        <v>61.488384000000003</v>
      </c>
      <c r="AI12" s="6">
        <f t="shared" ref="AI12:AO12" si="7">AH12*1.15</f>
        <v>70.711641599999993</v>
      </c>
      <c r="AJ12" s="6">
        <f t="shared" si="7"/>
        <v>81.318387839999986</v>
      </c>
      <c r="AK12" s="6">
        <f t="shared" si="7"/>
        <v>93.516146015999979</v>
      </c>
      <c r="AL12" s="6">
        <f t="shared" si="7"/>
        <v>107.54356791839997</v>
      </c>
      <c r="AM12" s="6">
        <f t="shared" si="7"/>
        <v>123.67510310615995</v>
      </c>
      <c r="AN12" s="6">
        <f t="shared" si="7"/>
        <v>142.22636857208394</v>
      </c>
      <c r="AO12" s="6">
        <f t="shared" si="7"/>
        <v>163.56032385789652</v>
      </c>
    </row>
    <row r="13" spans="2:41" s="1" customFormat="1" x14ac:dyDescent="0.3">
      <c r="B13" s="1" t="s">
        <v>27</v>
      </c>
      <c r="C13" s="8">
        <f t="shared" ref="C13:V13" si="8">SUM(C9:C12)</f>
        <v>14.9</v>
      </c>
      <c r="D13" s="8">
        <f t="shared" si="8"/>
        <v>14</v>
      </c>
      <c r="E13" s="8">
        <f t="shared" si="8"/>
        <v>26.7</v>
      </c>
      <c r="F13" s="8">
        <f t="shared" si="8"/>
        <v>13.9</v>
      </c>
      <c r="G13" s="8">
        <f t="shared" si="8"/>
        <v>31.799999999999997</v>
      </c>
      <c r="H13" s="8">
        <f t="shared" si="8"/>
        <v>16.399999999999999</v>
      </c>
      <c r="I13" s="8">
        <f t="shared" si="8"/>
        <v>43.2</v>
      </c>
      <c r="J13" s="8">
        <f t="shared" si="8"/>
        <v>39.200000000000003</v>
      </c>
      <c r="K13" s="8">
        <f t="shared" si="8"/>
        <v>37.1</v>
      </c>
      <c r="L13" s="8">
        <f t="shared" si="8"/>
        <v>38.300000000000004</v>
      </c>
      <c r="M13" s="8">
        <f t="shared" si="8"/>
        <v>25.5</v>
      </c>
      <c r="N13" s="8">
        <f t="shared" si="8"/>
        <v>22.5</v>
      </c>
      <c r="O13" s="8">
        <f t="shared" si="8"/>
        <v>16.7</v>
      </c>
      <c r="P13" s="8">
        <f t="shared" si="8"/>
        <v>22.4</v>
      </c>
      <c r="Q13" s="8">
        <f t="shared" si="8"/>
        <v>23.7</v>
      </c>
      <c r="R13" s="8">
        <f t="shared" si="8"/>
        <v>49.4</v>
      </c>
      <c r="S13" s="8">
        <f t="shared" si="8"/>
        <v>18.900000000000002</v>
      </c>
      <c r="T13" s="8">
        <f t="shared" si="8"/>
        <v>28.980000000000004</v>
      </c>
      <c r="U13" s="8">
        <f t="shared" si="8"/>
        <v>30.28</v>
      </c>
      <c r="V13" s="8">
        <f t="shared" si="8"/>
        <v>61.28</v>
      </c>
      <c r="X13" s="8">
        <f t="shared" ref="X13:AD13" si="9">SUM(X9:X12)</f>
        <v>89.5</v>
      </c>
      <c r="Y13" s="8">
        <f t="shared" si="9"/>
        <v>60.7</v>
      </c>
      <c r="Z13" s="8">
        <f t="shared" si="9"/>
        <v>70.8</v>
      </c>
      <c r="AA13" s="8">
        <f t="shared" si="9"/>
        <v>69.5</v>
      </c>
      <c r="AB13" s="8">
        <f t="shared" si="9"/>
        <v>130.6</v>
      </c>
      <c r="AC13" s="8">
        <f t="shared" si="9"/>
        <v>123.40000000000002</v>
      </c>
      <c r="AD13" s="8">
        <f t="shared" si="9"/>
        <v>112.2</v>
      </c>
      <c r="AE13" s="8">
        <f t="shared" si="0"/>
        <v>139.44</v>
      </c>
      <c r="AF13" s="8">
        <f t="shared" ref="AF13:AO13" si="10">SUM(AF9:AF12)</f>
        <v>172.7989</v>
      </c>
      <c r="AG13" s="8">
        <f t="shared" si="10"/>
        <v>203.92818299999999</v>
      </c>
      <c r="AH13" s="8">
        <f t="shared" si="10"/>
        <v>235.95713208999996</v>
      </c>
      <c r="AI13" s="8">
        <f t="shared" si="10"/>
        <v>270.26432627469995</v>
      </c>
      <c r="AJ13" s="8">
        <f t="shared" si="10"/>
        <v>306.25572703680092</v>
      </c>
      <c r="AK13" s="8">
        <f t="shared" si="10"/>
        <v>347.21447880888871</v>
      </c>
      <c r="AL13" s="8">
        <f t="shared" si="10"/>
        <v>393.84442558911513</v>
      </c>
      <c r="AM13" s="8">
        <f t="shared" si="10"/>
        <v>446.9510122905869</v>
      </c>
      <c r="AN13" s="8">
        <f t="shared" si="10"/>
        <v>507.45613932457786</v>
      </c>
      <c r="AO13" s="8">
        <f t="shared" si="10"/>
        <v>576.41520777697463</v>
      </c>
    </row>
    <row r="14" spans="2:41" x14ac:dyDescent="0.3">
      <c r="B14" t="s">
        <v>28</v>
      </c>
      <c r="C14" s="6">
        <v>2.4</v>
      </c>
      <c r="D14" s="6">
        <v>1.9</v>
      </c>
      <c r="E14" s="6">
        <v>1.9</v>
      </c>
      <c r="F14" s="6">
        <v>1.8</v>
      </c>
      <c r="G14" s="6">
        <v>18.2</v>
      </c>
      <c r="H14" s="6">
        <v>3</v>
      </c>
      <c r="I14" s="6">
        <v>17.899999999999999</v>
      </c>
      <c r="J14" s="6">
        <v>25.3</v>
      </c>
      <c r="K14" s="6">
        <v>1</v>
      </c>
      <c r="L14" s="6">
        <v>3.5</v>
      </c>
      <c r="M14" s="6">
        <v>2.9</v>
      </c>
      <c r="N14" s="6">
        <v>5.5</v>
      </c>
      <c r="O14" s="6">
        <v>2.4</v>
      </c>
      <c r="P14" s="6">
        <v>2.9</v>
      </c>
      <c r="Q14" s="6">
        <v>4.2</v>
      </c>
      <c r="R14" s="6">
        <v>30.1</v>
      </c>
      <c r="S14" s="6">
        <v>3</v>
      </c>
      <c r="T14" s="6">
        <v>0</v>
      </c>
      <c r="U14" s="6">
        <v>0</v>
      </c>
      <c r="V14" s="6">
        <f>V9*1.05</f>
        <v>31.5</v>
      </c>
      <c r="X14" s="6">
        <v>54.5</v>
      </c>
      <c r="Y14" s="6">
        <v>18.600000000000001</v>
      </c>
      <c r="Z14" s="6">
        <v>9.9</v>
      </c>
      <c r="AA14" s="6">
        <f>SUM(C14:F14)</f>
        <v>7.9999999999999991</v>
      </c>
      <c r="AB14" s="6">
        <f>SUM(G14:J14)</f>
        <v>64.399999999999991</v>
      </c>
      <c r="AC14" s="6">
        <f>SUM(K14:N14)</f>
        <v>12.9</v>
      </c>
      <c r="AD14" s="6">
        <f>SUM(O14:R14)</f>
        <v>39.6</v>
      </c>
      <c r="AE14" s="6">
        <f t="shared" si="0"/>
        <v>34.5</v>
      </c>
      <c r="AF14" s="6">
        <f>AF9*1</f>
        <v>39.130000000000003</v>
      </c>
      <c r="AG14" s="6">
        <f>AG9*0.95</f>
        <v>46.466875000000002</v>
      </c>
      <c r="AH14" s="6">
        <f>AH9*0.9</f>
        <v>52.825499999999998</v>
      </c>
      <c r="AI14" s="6">
        <f>AI9*0.85</f>
        <v>57.374362499999989</v>
      </c>
      <c r="AJ14" s="6">
        <f t="shared" ref="AJ14:AO14" si="11">AJ9*0.8</f>
        <v>59.399339999999995</v>
      </c>
      <c r="AK14" s="6">
        <f t="shared" si="11"/>
        <v>65.339274000000003</v>
      </c>
      <c r="AL14" s="6">
        <f t="shared" si="11"/>
        <v>71.873201400000013</v>
      </c>
      <c r="AM14" s="6">
        <f t="shared" si="11"/>
        <v>79.060521540000025</v>
      </c>
      <c r="AN14" s="6">
        <f t="shared" si="11"/>
        <v>86.966573694000033</v>
      </c>
      <c r="AO14" s="6">
        <f t="shared" si="11"/>
        <v>95.663231063400033</v>
      </c>
    </row>
    <row r="15" spans="2:41" x14ac:dyDescent="0.3">
      <c r="B15" t="s">
        <v>29</v>
      </c>
      <c r="C15" s="6">
        <v>5.0999999999999996</v>
      </c>
      <c r="D15" s="6">
        <v>2.9</v>
      </c>
      <c r="E15" s="6">
        <v>13</v>
      </c>
      <c r="F15" s="6">
        <v>3.7</v>
      </c>
      <c r="G15" s="6">
        <v>2.4</v>
      </c>
      <c r="H15" s="6">
        <v>3</v>
      </c>
      <c r="I15" s="6">
        <v>7.7</v>
      </c>
      <c r="J15" s="6">
        <v>4.0999999999999996</v>
      </c>
      <c r="K15" s="6">
        <v>10.9</v>
      </c>
      <c r="L15" s="6">
        <v>20.100000000000001</v>
      </c>
      <c r="M15" s="6">
        <v>9.6</v>
      </c>
      <c r="N15" s="6">
        <v>4.3</v>
      </c>
      <c r="O15" s="6">
        <v>1.9</v>
      </c>
      <c r="P15" s="6">
        <v>1.3</v>
      </c>
      <c r="Q15" s="6">
        <v>1.1000000000000001</v>
      </c>
      <c r="R15" s="6">
        <v>6.8</v>
      </c>
      <c r="S15" s="6">
        <v>1.7</v>
      </c>
      <c r="T15" s="6">
        <f t="shared" ref="T15:U15" si="12">T10*0.95</f>
        <v>1.5959999999999999</v>
      </c>
      <c r="U15" s="6">
        <f t="shared" si="12"/>
        <v>1.5959999999999999</v>
      </c>
      <c r="V15" s="6">
        <f t="shared" ref="V15" si="13">V10*1.05</f>
        <v>7.056</v>
      </c>
      <c r="X15" s="6">
        <v>15.1</v>
      </c>
      <c r="Y15" s="6">
        <v>18.899999999999999</v>
      </c>
      <c r="Z15" s="6">
        <v>14.5</v>
      </c>
      <c r="AA15" s="6">
        <f>SUM(C15:F15)</f>
        <v>24.7</v>
      </c>
      <c r="AB15" s="6">
        <f>SUM(G15:J15)</f>
        <v>17.200000000000003</v>
      </c>
      <c r="AC15" s="6">
        <f>SUM(K15:N15)</f>
        <v>44.9</v>
      </c>
      <c r="AD15" s="6">
        <f>SUM(O15:R15)</f>
        <v>11.100000000000001</v>
      </c>
      <c r="AE15" s="6">
        <f t="shared" si="0"/>
        <v>11.948</v>
      </c>
      <c r="AF15" s="6">
        <f>AF10*0.9</f>
        <v>11.97504</v>
      </c>
      <c r="AG15" s="6">
        <f t="shared" ref="AG15:AO15" si="14">AG10*0.8</f>
        <v>11.496038400000002</v>
      </c>
      <c r="AH15" s="6">
        <f t="shared" si="14"/>
        <v>12.415721472000001</v>
      </c>
      <c r="AI15" s="6">
        <f t="shared" si="14"/>
        <v>13.408979189760004</v>
      </c>
      <c r="AJ15" s="6">
        <f t="shared" si="14"/>
        <v>14.481697524940806</v>
      </c>
      <c r="AK15" s="6">
        <f t="shared" si="14"/>
        <v>15.64023332693607</v>
      </c>
      <c r="AL15" s="6">
        <f t="shared" si="14"/>
        <v>16.891451993090957</v>
      </c>
      <c r="AM15" s="6">
        <f t="shared" si="14"/>
        <v>18.242768152538236</v>
      </c>
      <c r="AN15" s="6">
        <f t="shared" si="14"/>
        <v>19.702189604741296</v>
      </c>
      <c r="AO15" s="6">
        <f t="shared" si="14"/>
        <v>21.2783647731206</v>
      </c>
    </row>
    <row r="16" spans="2:41" x14ac:dyDescent="0.3">
      <c r="B16" t="s">
        <v>30</v>
      </c>
      <c r="C16" s="6">
        <v>7.1</v>
      </c>
      <c r="D16" s="6">
        <v>9.4</v>
      </c>
      <c r="E16" s="6">
        <v>6.7</v>
      </c>
      <c r="F16" s="6">
        <v>12.8</v>
      </c>
      <c r="G16" s="6">
        <v>10.7</v>
      </c>
      <c r="H16" s="6">
        <v>14.1</v>
      </c>
      <c r="I16" s="6">
        <v>18.100000000000001</v>
      </c>
      <c r="J16" s="6">
        <v>20.2</v>
      </c>
      <c r="K16" s="6">
        <v>16.600000000000001</v>
      </c>
      <c r="L16" s="6">
        <v>17.100000000000001</v>
      </c>
      <c r="M16" s="6">
        <v>17.5</v>
      </c>
      <c r="N16" s="6">
        <v>11.7</v>
      </c>
      <c r="O16" s="6">
        <v>20.9</v>
      </c>
      <c r="P16" s="6">
        <v>21.4</v>
      </c>
      <c r="Q16" s="6">
        <v>18.8</v>
      </c>
      <c r="R16" s="6">
        <v>18.8</v>
      </c>
      <c r="S16" s="6">
        <v>15.3</v>
      </c>
      <c r="T16" s="6">
        <f>T11*1.2</f>
        <v>21.996000000000002</v>
      </c>
      <c r="U16" s="6">
        <f>U11*1.3</f>
        <v>22.646000000000004</v>
      </c>
      <c r="V16" s="6">
        <f>V11*1.4</f>
        <v>21.84</v>
      </c>
      <c r="X16" s="6">
        <v>6.4</v>
      </c>
      <c r="Y16" s="6">
        <v>31.6</v>
      </c>
      <c r="Z16" s="6">
        <v>27.9</v>
      </c>
      <c r="AA16" s="6">
        <f>SUM(C16:F16)</f>
        <v>36</v>
      </c>
      <c r="AB16" s="6">
        <f>SUM(G16:J16)</f>
        <v>63.099999999999994</v>
      </c>
      <c r="AC16" s="6">
        <f>SUM(K16:N16)</f>
        <v>62.900000000000006</v>
      </c>
      <c r="AD16" s="6">
        <f>SUM(O16:R16)</f>
        <v>79.899999999999991</v>
      </c>
      <c r="AE16" s="6">
        <f t="shared" si="0"/>
        <v>81.782000000000011</v>
      </c>
      <c r="AF16" s="6">
        <f>AF11*1.1</f>
        <v>83.387150000000005</v>
      </c>
      <c r="AG16" s="6">
        <f>AG11*0.9</f>
        <v>78.459727499999985</v>
      </c>
      <c r="AH16" s="6">
        <f>AH11*0.8</f>
        <v>80.203276999999986</v>
      </c>
      <c r="AI16" s="6">
        <f>AI11*0.8</f>
        <v>92.233768549999979</v>
      </c>
      <c r="AJ16" s="6">
        <f>AJ11*0.77</f>
        <v>102.0912525637812</v>
      </c>
      <c r="AK16" s="6">
        <f>AK11*0.75</f>
        <v>114.35546147566399</v>
      </c>
      <c r="AL16" s="6">
        <f t="shared" ref="AL16:AO16" si="15">AL11*0.74</f>
        <v>129.75533028772008</v>
      </c>
      <c r="AM16" s="6">
        <f t="shared" si="15"/>
        <v>149.21862983087806</v>
      </c>
      <c r="AN16" s="6">
        <f t="shared" si="15"/>
        <v>171.60142430550977</v>
      </c>
      <c r="AO16" s="6">
        <f t="shared" si="15"/>
        <v>197.34163795133622</v>
      </c>
    </row>
    <row r="17" spans="2:148" x14ac:dyDescent="0.3">
      <c r="B17" t="s">
        <v>31</v>
      </c>
      <c r="C17" s="6">
        <v>3.9</v>
      </c>
      <c r="D17" s="6">
        <v>4.5</v>
      </c>
      <c r="E17" s="6">
        <v>4.0999999999999996</v>
      </c>
      <c r="F17" s="6">
        <v>4</v>
      </c>
      <c r="G17" s="6">
        <v>3.4</v>
      </c>
      <c r="H17" s="6">
        <v>3.5</v>
      </c>
      <c r="I17" s="6">
        <v>3.5</v>
      </c>
      <c r="J17" s="6">
        <v>4.8</v>
      </c>
      <c r="K17" s="6">
        <v>3.3</v>
      </c>
      <c r="L17" s="6">
        <v>3.8</v>
      </c>
      <c r="M17" s="6">
        <v>3.8</v>
      </c>
      <c r="N17" s="6">
        <v>2.4</v>
      </c>
      <c r="O17" s="6">
        <v>3.2</v>
      </c>
      <c r="P17" s="6">
        <v>3.9</v>
      </c>
      <c r="Q17" s="6">
        <v>5.8</v>
      </c>
      <c r="R17" s="6">
        <v>4.5999999999999996</v>
      </c>
      <c r="S17" s="6">
        <v>4.2</v>
      </c>
      <c r="T17" s="6">
        <f t="shared" ref="T17:V17" si="16">T12*0.55</f>
        <v>4.9335000000000004</v>
      </c>
      <c r="U17" s="6">
        <f t="shared" si="16"/>
        <v>6.149</v>
      </c>
      <c r="V17" s="6">
        <f t="shared" si="16"/>
        <v>4.9279999999999999</v>
      </c>
      <c r="X17" s="6">
        <v>10.4</v>
      </c>
      <c r="Y17" s="6">
        <v>12.9</v>
      </c>
      <c r="Z17" s="6">
        <v>16.3</v>
      </c>
      <c r="AA17" s="6">
        <f>SUM(C17:F17)</f>
        <v>16.5</v>
      </c>
      <c r="AB17" s="6">
        <f>SUM(G17:J17)</f>
        <v>15.2</v>
      </c>
      <c r="AC17" s="6">
        <f>SUM(K17:N17)</f>
        <v>13.299999999999999</v>
      </c>
      <c r="AD17" s="6">
        <f>SUM(O17:R17)</f>
        <v>17.5</v>
      </c>
      <c r="AE17" s="6">
        <f t="shared" si="0"/>
        <v>20.210500000000003</v>
      </c>
      <c r="AF17" s="6">
        <f>AF12*0.45</f>
        <v>20.050560000000001</v>
      </c>
      <c r="AG17" s="6">
        <f>AG12*0.4</f>
        <v>21.387264000000002</v>
      </c>
      <c r="AH17" s="6">
        <f>AH12*0.38</f>
        <v>23.365585920000001</v>
      </c>
      <c r="AI17" s="6">
        <f>AI12*0.37</f>
        <v>26.163307391999997</v>
      </c>
      <c r="AJ17" s="6">
        <f t="shared" ref="AJ17:AO17" si="17">AJ12*0.37</f>
        <v>30.087803500799993</v>
      </c>
      <c r="AK17" s="6">
        <f t="shared" si="17"/>
        <v>34.600974025919989</v>
      </c>
      <c r="AL17" s="6">
        <f t="shared" si="17"/>
        <v>39.791120129807986</v>
      </c>
      <c r="AM17" s="6">
        <f t="shared" si="17"/>
        <v>45.759788149279181</v>
      </c>
      <c r="AN17" s="6">
        <f t="shared" si="17"/>
        <v>52.623756371671057</v>
      </c>
      <c r="AO17" s="6">
        <f t="shared" si="17"/>
        <v>60.517319827421709</v>
      </c>
    </row>
    <row r="18" spans="2:148" x14ac:dyDescent="0.3">
      <c r="B18" t="s">
        <v>32</v>
      </c>
      <c r="C18" s="6">
        <f t="shared" ref="C18:V18" si="18">SUM(C14:C17)</f>
        <v>18.5</v>
      </c>
      <c r="D18" s="6">
        <f t="shared" si="18"/>
        <v>18.7</v>
      </c>
      <c r="E18" s="6">
        <f t="shared" si="18"/>
        <v>25.700000000000003</v>
      </c>
      <c r="F18" s="6">
        <f t="shared" si="18"/>
        <v>22.3</v>
      </c>
      <c r="G18" s="6">
        <f t="shared" si="18"/>
        <v>34.699999999999996</v>
      </c>
      <c r="H18" s="6">
        <f t="shared" si="18"/>
        <v>23.6</v>
      </c>
      <c r="I18" s="6">
        <f t="shared" si="18"/>
        <v>47.2</v>
      </c>
      <c r="J18" s="6">
        <f t="shared" si="18"/>
        <v>54.399999999999991</v>
      </c>
      <c r="K18" s="6">
        <f t="shared" si="18"/>
        <v>31.8</v>
      </c>
      <c r="L18" s="6">
        <f t="shared" si="18"/>
        <v>44.5</v>
      </c>
      <c r="M18" s="6">
        <f t="shared" si="18"/>
        <v>33.799999999999997</v>
      </c>
      <c r="N18" s="6">
        <f t="shared" si="18"/>
        <v>23.9</v>
      </c>
      <c r="O18" s="6">
        <f t="shared" si="18"/>
        <v>28.4</v>
      </c>
      <c r="P18" s="6">
        <f t="shared" si="18"/>
        <v>29.499999999999996</v>
      </c>
      <c r="Q18" s="6">
        <f t="shared" si="18"/>
        <v>29.900000000000002</v>
      </c>
      <c r="R18" s="6">
        <f t="shared" si="18"/>
        <v>60.300000000000004</v>
      </c>
      <c r="S18" s="6">
        <f t="shared" si="18"/>
        <v>24.2</v>
      </c>
      <c r="T18" s="6">
        <f t="shared" si="18"/>
        <v>28.525500000000001</v>
      </c>
      <c r="U18" s="6">
        <f t="shared" si="18"/>
        <v>30.391000000000005</v>
      </c>
      <c r="V18" s="6">
        <f t="shared" si="18"/>
        <v>65.323999999999998</v>
      </c>
      <c r="X18" s="6">
        <f t="shared" ref="X18:AE18" si="19">SUM(X14:X17)</f>
        <v>86.4</v>
      </c>
      <c r="Y18" s="6">
        <f t="shared" si="19"/>
        <v>82</v>
      </c>
      <c r="Z18" s="6">
        <f t="shared" si="19"/>
        <v>68.599999999999994</v>
      </c>
      <c r="AA18" s="6">
        <f t="shared" si="19"/>
        <v>85.199999999999989</v>
      </c>
      <c r="AB18" s="6">
        <f t="shared" si="19"/>
        <v>159.89999999999998</v>
      </c>
      <c r="AC18" s="6">
        <f t="shared" si="19"/>
        <v>134</v>
      </c>
      <c r="AD18" s="6">
        <f t="shared" si="19"/>
        <v>148.1</v>
      </c>
      <c r="AE18" s="6">
        <f t="shared" si="19"/>
        <v>148.44050000000001</v>
      </c>
      <c r="AF18" s="6">
        <f t="shared" ref="AF18:AO18" si="20">SUM(AF14:AF17)</f>
        <v>154.54274999999998</v>
      </c>
      <c r="AG18" s="6">
        <f t="shared" si="20"/>
        <v>157.80990489999999</v>
      </c>
      <c r="AH18" s="6">
        <f t="shared" si="20"/>
        <v>168.81008439199999</v>
      </c>
      <c r="AI18" s="6">
        <f t="shared" si="20"/>
        <v>189.18041763175998</v>
      </c>
      <c r="AJ18" s="6">
        <f t="shared" si="20"/>
        <v>206.06009358952198</v>
      </c>
      <c r="AK18" s="6">
        <f t="shared" si="20"/>
        <v>229.93594282852004</v>
      </c>
      <c r="AL18" s="6">
        <f t="shared" si="20"/>
        <v>258.31110381061904</v>
      </c>
      <c r="AM18" s="6">
        <f t="shared" si="20"/>
        <v>292.28170767269552</v>
      </c>
      <c r="AN18" s="6">
        <f t="shared" si="20"/>
        <v>330.89394397592213</v>
      </c>
      <c r="AO18" s="6">
        <f t="shared" si="20"/>
        <v>374.80055361527855</v>
      </c>
    </row>
    <row r="19" spans="2:148" s="1" customFormat="1" x14ac:dyDescent="0.3">
      <c r="B19" s="1" t="s">
        <v>33</v>
      </c>
      <c r="C19" s="8">
        <f t="shared" ref="C19:V19" si="21">C13-C18</f>
        <v>-3.5999999999999996</v>
      </c>
      <c r="D19" s="8">
        <f t="shared" si="21"/>
        <v>-4.6999999999999993</v>
      </c>
      <c r="E19" s="8">
        <f t="shared" si="21"/>
        <v>0.99999999999999645</v>
      </c>
      <c r="F19" s="8">
        <f t="shared" si="21"/>
        <v>-8.4</v>
      </c>
      <c r="G19" s="8">
        <f t="shared" si="21"/>
        <v>-2.8999999999999986</v>
      </c>
      <c r="H19" s="8">
        <f t="shared" si="21"/>
        <v>-7.2000000000000028</v>
      </c>
      <c r="I19" s="8">
        <f t="shared" si="21"/>
        <v>-4</v>
      </c>
      <c r="J19" s="8">
        <f t="shared" si="21"/>
        <v>-15.199999999999989</v>
      </c>
      <c r="K19" s="8">
        <f t="shared" si="21"/>
        <v>5.3000000000000007</v>
      </c>
      <c r="L19" s="8">
        <f t="shared" si="21"/>
        <v>-6.1999999999999957</v>
      </c>
      <c r="M19" s="8">
        <f t="shared" si="21"/>
        <v>-8.2999999999999972</v>
      </c>
      <c r="N19" s="8">
        <f t="shared" si="21"/>
        <v>-1.3999999999999986</v>
      </c>
      <c r="O19" s="8">
        <f t="shared" si="21"/>
        <v>-11.7</v>
      </c>
      <c r="P19" s="8">
        <f t="shared" si="21"/>
        <v>-7.0999999999999979</v>
      </c>
      <c r="Q19" s="8">
        <f t="shared" si="21"/>
        <v>-6.2000000000000028</v>
      </c>
      <c r="R19" s="8">
        <f t="shared" si="21"/>
        <v>-10.900000000000006</v>
      </c>
      <c r="S19" s="8">
        <f t="shared" si="21"/>
        <v>-5.2999999999999972</v>
      </c>
      <c r="T19" s="8">
        <f t="shared" si="21"/>
        <v>0.45450000000000301</v>
      </c>
      <c r="U19" s="8">
        <f t="shared" si="21"/>
        <v>-0.11100000000000421</v>
      </c>
      <c r="V19" s="8">
        <f t="shared" si="21"/>
        <v>-4.0439999999999969</v>
      </c>
      <c r="X19" s="8">
        <f t="shared" ref="X19:AE19" si="22">X13-X18</f>
        <v>3.0999999999999943</v>
      </c>
      <c r="Y19" s="8">
        <f t="shared" si="22"/>
        <v>-21.299999999999997</v>
      </c>
      <c r="Z19" s="8">
        <f t="shared" si="22"/>
        <v>2.2000000000000028</v>
      </c>
      <c r="AA19" s="8">
        <f t="shared" si="22"/>
        <v>-15.699999999999989</v>
      </c>
      <c r="AB19" s="8">
        <f t="shared" si="22"/>
        <v>-29.299999999999983</v>
      </c>
      <c r="AC19" s="8">
        <f t="shared" si="22"/>
        <v>-10.59999999999998</v>
      </c>
      <c r="AD19" s="8">
        <f t="shared" si="22"/>
        <v>-35.899999999999991</v>
      </c>
      <c r="AE19" s="8">
        <f t="shared" si="22"/>
        <v>-9.0005000000000166</v>
      </c>
      <c r="AF19" s="8">
        <f t="shared" ref="AF19:AO19" si="23">AF13-AF18</f>
        <v>18.256150000000019</v>
      </c>
      <c r="AG19" s="8">
        <f t="shared" si="23"/>
        <v>46.118278099999998</v>
      </c>
      <c r="AH19" s="8">
        <f t="shared" si="23"/>
        <v>67.147047697999966</v>
      </c>
      <c r="AI19" s="8">
        <f t="shared" si="23"/>
        <v>81.083908642939974</v>
      </c>
      <c r="AJ19" s="8">
        <f t="shared" si="23"/>
        <v>100.19563344727894</v>
      </c>
      <c r="AK19" s="8">
        <f t="shared" si="23"/>
        <v>117.27853598036867</v>
      </c>
      <c r="AL19" s="8">
        <f t="shared" si="23"/>
        <v>135.53332177849609</v>
      </c>
      <c r="AM19" s="8">
        <f t="shared" si="23"/>
        <v>154.66930461789138</v>
      </c>
      <c r="AN19" s="8">
        <f t="shared" si="23"/>
        <v>176.56219534865573</v>
      </c>
      <c r="AO19" s="8">
        <f t="shared" si="23"/>
        <v>201.61465416169608</v>
      </c>
    </row>
    <row r="20" spans="2:148" x14ac:dyDescent="0.3">
      <c r="B20" t="s">
        <v>34</v>
      </c>
      <c r="C20" s="6">
        <v>8.9</v>
      </c>
      <c r="D20" s="6">
        <v>9.6999999999999993</v>
      </c>
      <c r="E20" s="6">
        <v>8.6999999999999993</v>
      </c>
      <c r="F20" s="6">
        <v>10.7</v>
      </c>
      <c r="G20" s="6">
        <v>37</v>
      </c>
      <c r="H20" s="6">
        <v>13.2</v>
      </c>
      <c r="I20" s="6">
        <v>14.2</v>
      </c>
      <c r="J20" s="6">
        <v>15.3</v>
      </c>
      <c r="K20" s="6">
        <v>15</v>
      </c>
      <c r="L20" s="6">
        <v>15.1</v>
      </c>
      <c r="M20" s="6">
        <v>17.600000000000001</v>
      </c>
      <c r="N20" s="6">
        <v>16.899999999999999</v>
      </c>
      <c r="O20" s="6">
        <v>16.399999999999999</v>
      </c>
      <c r="P20" s="6">
        <v>17.7</v>
      </c>
      <c r="Q20" s="6">
        <v>14.6</v>
      </c>
      <c r="R20" s="6">
        <v>15.9</v>
      </c>
      <c r="S20" s="6">
        <v>15</v>
      </c>
      <c r="T20" s="6">
        <f t="shared" ref="T20:U20" si="24">P20*0.82</f>
        <v>14.513999999999999</v>
      </c>
      <c r="U20" s="6">
        <f t="shared" si="24"/>
        <v>11.972</v>
      </c>
      <c r="V20" s="6">
        <f>R20*0.82</f>
        <v>13.038</v>
      </c>
      <c r="X20" s="6">
        <v>24.9</v>
      </c>
      <c r="Y20" s="6">
        <v>31.9</v>
      </c>
      <c r="Z20" s="6">
        <v>26.6</v>
      </c>
      <c r="AA20" s="6">
        <f>SUM(C20:F20)</f>
        <v>38</v>
      </c>
      <c r="AB20" s="6">
        <f>SUM(G20:J20)</f>
        <v>79.7</v>
      </c>
      <c r="AC20" s="6">
        <f>SUM(K20:N20)</f>
        <v>64.599999999999994</v>
      </c>
      <c r="AD20" s="6">
        <f>SUM(O20:R20)</f>
        <v>64.599999999999994</v>
      </c>
      <c r="AE20" s="6">
        <f>SUM(S20:V20)</f>
        <v>54.524000000000001</v>
      </c>
      <c r="AF20" s="6">
        <f>AE20*1.02</f>
        <v>55.61448</v>
      </c>
      <c r="AG20" s="6">
        <f t="shared" ref="AG20:AO20" si="25">AF20*1.02</f>
        <v>56.726769600000004</v>
      </c>
      <c r="AH20" s="6">
        <f t="shared" si="25"/>
        <v>57.861304992000008</v>
      </c>
      <c r="AI20" s="6">
        <f t="shared" si="25"/>
        <v>59.018531091840011</v>
      </c>
      <c r="AJ20" s="6">
        <f t="shared" si="25"/>
        <v>60.198901713676811</v>
      </c>
      <c r="AK20" s="6">
        <f t="shared" si="25"/>
        <v>61.402879747950351</v>
      </c>
      <c r="AL20" s="6">
        <f t="shared" si="25"/>
        <v>62.630937342909363</v>
      </c>
      <c r="AM20" s="6">
        <f t="shared" si="25"/>
        <v>63.883556089767552</v>
      </c>
      <c r="AN20" s="6">
        <f t="shared" si="25"/>
        <v>65.161227211562903</v>
      </c>
      <c r="AO20" s="6">
        <f t="shared" si="25"/>
        <v>66.464451755794158</v>
      </c>
      <c r="AP20" s="6"/>
    </row>
    <row r="21" spans="2:148" x14ac:dyDescent="0.3">
      <c r="B21" t="s">
        <v>35</v>
      </c>
      <c r="C21" s="6">
        <v>1.8</v>
      </c>
      <c r="D21" s="6">
        <v>3</v>
      </c>
      <c r="E21" s="6">
        <v>3</v>
      </c>
      <c r="F21" s="6">
        <v>3.5</v>
      </c>
      <c r="G21" s="6">
        <v>5</v>
      </c>
      <c r="H21" s="6">
        <v>7.7</v>
      </c>
      <c r="I21" s="6">
        <v>9.6999999999999993</v>
      </c>
      <c r="J21" s="6">
        <v>12.2</v>
      </c>
      <c r="K21" s="6">
        <v>12.7</v>
      </c>
      <c r="L21" s="6">
        <v>14.7</v>
      </c>
      <c r="M21" s="6">
        <v>15.6</v>
      </c>
      <c r="N21" s="6">
        <v>18</v>
      </c>
      <c r="O21" s="6">
        <v>14.4</v>
      </c>
      <c r="P21" s="6">
        <v>16.600000000000001</v>
      </c>
      <c r="Q21" s="6">
        <v>12.8</v>
      </c>
      <c r="R21" s="6">
        <v>11.6</v>
      </c>
      <c r="S21" s="6">
        <v>11.1</v>
      </c>
      <c r="T21" s="6">
        <f>P21*0.65</f>
        <v>10.790000000000001</v>
      </c>
      <c r="U21" s="6">
        <f>Q21*0.85</f>
        <v>10.88</v>
      </c>
      <c r="V21" s="6">
        <f>R21*1.01</f>
        <v>11.715999999999999</v>
      </c>
      <c r="X21" s="6">
        <v>22.8</v>
      </c>
      <c r="Y21" s="6">
        <v>13.8</v>
      </c>
      <c r="Z21" s="6">
        <v>4.8</v>
      </c>
      <c r="AA21" s="6">
        <f>SUM(C21:F21)</f>
        <v>11.3</v>
      </c>
      <c r="AB21" s="6">
        <f>SUM(G21:J21)</f>
        <v>34.599999999999994</v>
      </c>
      <c r="AC21" s="6">
        <f>SUM(K21:N21)</f>
        <v>61</v>
      </c>
      <c r="AD21" s="6">
        <f>SUM(O21:R21)</f>
        <v>55.4</v>
      </c>
      <c r="AE21" s="6">
        <f>SUM(S21:V21)</f>
        <v>44.486000000000004</v>
      </c>
      <c r="AF21" s="6">
        <f t="shared" ref="AF21:AO21" si="26">AE21*1.02</f>
        <v>45.375720000000008</v>
      </c>
      <c r="AG21" s="6">
        <f t="shared" si="26"/>
        <v>46.283234400000012</v>
      </c>
      <c r="AH21" s="6">
        <f t="shared" si="26"/>
        <v>47.20889908800001</v>
      </c>
      <c r="AI21" s="6">
        <f t="shared" si="26"/>
        <v>48.153077069760009</v>
      </c>
      <c r="AJ21" s="6">
        <f t="shared" si="26"/>
        <v>49.116138611155208</v>
      </c>
      <c r="AK21" s="6">
        <f t="shared" si="26"/>
        <v>50.098461383378314</v>
      </c>
      <c r="AL21" s="6">
        <f t="shared" si="26"/>
        <v>51.10043061104588</v>
      </c>
      <c r="AM21" s="6">
        <f t="shared" si="26"/>
        <v>52.122439223266795</v>
      </c>
      <c r="AN21" s="6">
        <f t="shared" si="26"/>
        <v>53.164888007732131</v>
      </c>
      <c r="AO21" s="6">
        <f t="shared" si="26"/>
        <v>54.228185767886771</v>
      </c>
    </row>
    <row r="22" spans="2:148" x14ac:dyDescent="0.3">
      <c r="B22" t="s">
        <v>111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>
        <v>2.6</v>
      </c>
      <c r="S22" s="6">
        <v>1.5</v>
      </c>
      <c r="T22" s="6">
        <v>2</v>
      </c>
      <c r="U22" s="6">
        <v>1.5</v>
      </c>
      <c r="V22" s="6">
        <v>0</v>
      </c>
      <c r="X22" s="6"/>
      <c r="Y22" s="6"/>
      <c r="Z22" s="6"/>
      <c r="AA22" s="6"/>
      <c r="AB22" s="6"/>
      <c r="AC22" s="6"/>
      <c r="AD22" s="6">
        <f>SUM(O22:R22)</f>
        <v>2.6</v>
      </c>
      <c r="AE22" s="6">
        <f>SUM(S22:V22)</f>
        <v>5</v>
      </c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2:148" x14ac:dyDescent="0.3">
      <c r="B23" t="s">
        <v>112</v>
      </c>
      <c r="C23" s="6">
        <f t="shared" ref="C23:Q23" si="27">SUM(C20:C22)</f>
        <v>10.700000000000001</v>
      </c>
      <c r="D23" s="6">
        <f t="shared" si="27"/>
        <v>12.7</v>
      </c>
      <c r="E23" s="6">
        <f t="shared" si="27"/>
        <v>11.7</v>
      </c>
      <c r="F23" s="6">
        <f t="shared" si="27"/>
        <v>14.2</v>
      </c>
      <c r="G23" s="6">
        <f t="shared" si="27"/>
        <v>42</v>
      </c>
      <c r="H23" s="6">
        <f t="shared" si="27"/>
        <v>20.9</v>
      </c>
      <c r="I23" s="6">
        <f t="shared" si="27"/>
        <v>23.9</v>
      </c>
      <c r="J23" s="6">
        <f t="shared" si="27"/>
        <v>27.5</v>
      </c>
      <c r="K23" s="6">
        <f t="shared" si="27"/>
        <v>27.7</v>
      </c>
      <c r="L23" s="6">
        <f t="shared" si="27"/>
        <v>29.799999999999997</v>
      </c>
      <c r="M23" s="6">
        <f t="shared" si="27"/>
        <v>33.200000000000003</v>
      </c>
      <c r="N23" s="6">
        <f t="shared" si="27"/>
        <v>34.9</v>
      </c>
      <c r="O23" s="6">
        <f t="shared" si="27"/>
        <v>30.799999999999997</v>
      </c>
      <c r="P23" s="6">
        <f t="shared" si="27"/>
        <v>34.299999999999997</v>
      </c>
      <c r="Q23" s="6">
        <f t="shared" si="27"/>
        <v>27.4</v>
      </c>
      <c r="R23" s="6">
        <f>SUM(R20:R22)</f>
        <v>30.1</v>
      </c>
      <c r="S23" s="6">
        <f t="shared" ref="S23:V23" si="28">SUM(S20:S22)</f>
        <v>27.6</v>
      </c>
      <c r="T23" s="6">
        <f t="shared" si="28"/>
        <v>27.304000000000002</v>
      </c>
      <c r="U23" s="6">
        <f t="shared" si="28"/>
        <v>24.352</v>
      </c>
      <c r="V23" s="6">
        <f t="shared" si="28"/>
        <v>24.753999999999998</v>
      </c>
      <c r="X23" s="6">
        <f t="shared" ref="X23:AO23" si="29">SUM(X20:X22)</f>
        <v>47.7</v>
      </c>
      <c r="Y23" s="6">
        <f t="shared" si="29"/>
        <v>45.7</v>
      </c>
      <c r="Z23" s="6">
        <f t="shared" si="29"/>
        <v>31.400000000000002</v>
      </c>
      <c r="AA23" s="6">
        <f t="shared" si="29"/>
        <v>49.3</v>
      </c>
      <c r="AB23" s="6">
        <f t="shared" si="29"/>
        <v>114.3</v>
      </c>
      <c r="AC23" s="6">
        <f t="shared" si="29"/>
        <v>125.6</v>
      </c>
      <c r="AD23" s="6">
        <f t="shared" si="29"/>
        <v>122.6</v>
      </c>
      <c r="AE23" s="6">
        <f t="shared" si="29"/>
        <v>104.01</v>
      </c>
      <c r="AF23" s="6">
        <f t="shared" si="29"/>
        <v>100.99020000000002</v>
      </c>
      <c r="AG23" s="6">
        <f t="shared" si="29"/>
        <v>103.01000400000001</v>
      </c>
      <c r="AH23" s="6">
        <f t="shared" si="29"/>
        <v>105.07020408000002</v>
      </c>
      <c r="AI23" s="6">
        <f t="shared" si="29"/>
        <v>107.17160816160002</v>
      </c>
      <c r="AJ23" s="6">
        <f t="shared" si="29"/>
        <v>109.31504032483201</v>
      </c>
      <c r="AK23" s="6">
        <f t="shared" si="29"/>
        <v>111.50134113132867</v>
      </c>
      <c r="AL23" s="6">
        <f t="shared" si="29"/>
        <v>113.73136795395524</v>
      </c>
      <c r="AM23" s="6">
        <f t="shared" si="29"/>
        <v>116.00599531303435</v>
      </c>
      <c r="AN23" s="6">
        <f t="shared" si="29"/>
        <v>118.32611521929503</v>
      </c>
      <c r="AO23" s="6">
        <f t="shared" si="29"/>
        <v>120.69263752368093</v>
      </c>
    </row>
    <row r="24" spans="2:148" s="1" customFormat="1" x14ac:dyDescent="0.3">
      <c r="B24" s="1" t="s">
        <v>36</v>
      </c>
      <c r="C24" s="8">
        <f t="shared" ref="C24:Q24" si="30">C19-C23</f>
        <v>-14.3</v>
      </c>
      <c r="D24" s="8">
        <f t="shared" si="30"/>
        <v>-17.399999999999999</v>
      </c>
      <c r="E24" s="8">
        <f t="shared" si="30"/>
        <v>-10.700000000000003</v>
      </c>
      <c r="F24" s="8">
        <f t="shared" si="30"/>
        <v>-22.6</v>
      </c>
      <c r="G24" s="8">
        <f t="shared" si="30"/>
        <v>-44.9</v>
      </c>
      <c r="H24" s="8">
        <f t="shared" si="30"/>
        <v>-28.1</v>
      </c>
      <c r="I24" s="8">
        <f t="shared" si="30"/>
        <v>-27.9</v>
      </c>
      <c r="J24" s="8">
        <f t="shared" si="30"/>
        <v>-42.699999999999989</v>
      </c>
      <c r="K24" s="8">
        <f t="shared" si="30"/>
        <v>-22.4</v>
      </c>
      <c r="L24" s="8">
        <f t="shared" si="30"/>
        <v>-35.999999999999993</v>
      </c>
      <c r="M24" s="8">
        <f t="shared" si="30"/>
        <v>-41.5</v>
      </c>
      <c r="N24" s="8">
        <f t="shared" si="30"/>
        <v>-36.299999999999997</v>
      </c>
      <c r="O24" s="8">
        <f t="shared" si="30"/>
        <v>-42.5</v>
      </c>
      <c r="P24" s="8">
        <f t="shared" si="30"/>
        <v>-41.399999999999991</v>
      </c>
      <c r="Q24" s="8">
        <f t="shared" si="30"/>
        <v>-33.6</v>
      </c>
      <c r="R24" s="8">
        <f>R19-R23</f>
        <v>-41.000000000000007</v>
      </c>
      <c r="S24" s="8">
        <f t="shared" ref="S24:V24" si="31">S19-S23</f>
        <v>-32.9</v>
      </c>
      <c r="T24" s="8">
        <f t="shared" si="31"/>
        <v>-26.849499999999999</v>
      </c>
      <c r="U24" s="8">
        <f t="shared" si="31"/>
        <v>-24.463000000000005</v>
      </c>
      <c r="V24" s="8">
        <f t="shared" si="31"/>
        <v>-28.797999999999995</v>
      </c>
      <c r="X24" s="8">
        <f t="shared" ref="X24:AO24" si="32">X19-X23</f>
        <v>-44.600000000000009</v>
      </c>
      <c r="Y24" s="8">
        <f t="shared" si="32"/>
        <v>-67</v>
      </c>
      <c r="Z24" s="8">
        <f t="shared" si="32"/>
        <v>-29.2</v>
      </c>
      <c r="AA24" s="8">
        <f t="shared" si="32"/>
        <v>-64.999999999999986</v>
      </c>
      <c r="AB24" s="8">
        <f t="shared" si="32"/>
        <v>-143.59999999999997</v>
      </c>
      <c r="AC24" s="8">
        <f t="shared" si="32"/>
        <v>-136.19999999999999</v>
      </c>
      <c r="AD24" s="8">
        <f t="shared" si="32"/>
        <v>-158.5</v>
      </c>
      <c r="AE24" s="8">
        <f t="shared" si="32"/>
        <v>-113.01050000000002</v>
      </c>
      <c r="AF24" s="8">
        <f t="shared" si="32"/>
        <v>-82.734049999999996</v>
      </c>
      <c r="AG24" s="8">
        <f t="shared" si="32"/>
        <v>-56.891725900000012</v>
      </c>
      <c r="AH24" s="8">
        <f t="shared" si="32"/>
        <v>-37.923156382000059</v>
      </c>
      <c r="AI24" s="8">
        <f t="shared" si="32"/>
        <v>-26.087699518660045</v>
      </c>
      <c r="AJ24" s="8">
        <f t="shared" si="32"/>
        <v>-9.1194068775530752</v>
      </c>
      <c r="AK24" s="8">
        <f t="shared" si="32"/>
        <v>5.7771948490400007</v>
      </c>
      <c r="AL24" s="8">
        <f t="shared" si="32"/>
        <v>21.801953824540846</v>
      </c>
      <c r="AM24" s="8">
        <f t="shared" si="32"/>
        <v>38.663309304857037</v>
      </c>
      <c r="AN24" s="8">
        <f t="shared" si="32"/>
        <v>58.236080129360701</v>
      </c>
      <c r="AO24" s="8">
        <f t="shared" si="32"/>
        <v>80.922016638015151</v>
      </c>
    </row>
    <row r="25" spans="2:148" x14ac:dyDescent="0.3">
      <c r="B25" t="s">
        <v>37</v>
      </c>
      <c r="C25" s="6">
        <v>2.5</v>
      </c>
      <c r="D25" s="6">
        <v>1.6</v>
      </c>
      <c r="E25" s="6">
        <v>1.6</v>
      </c>
      <c r="F25" s="6">
        <v>1.7</v>
      </c>
      <c r="G25" s="6">
        <v>1.4</v>
      </c>
      <c r="H25" s="6">
        <v>1.7</v>
      </c>
      <c r="I25" s="6">
        <v>1.6</v>
      </c>
      <c r="J25" s="6">
        <v>1.6</v>
      </c>
      <c r="K25" s="6">
        <v>1.5</v>
      </c>
      <c r="L25" s="6">
        <v>1.5</v>
      </c>
      <c r="M25" s="6">
        <v>1.9</v>
      </c>
      <c r="N25" s="6">
        <v>2.2999999999999998</v>
      </c>
      <c r="O25" s="6">
        <v>2.2999999999999998</v>
      </c>
      <c r="P25" s="6">
        <v>2.2999999999999998</v>
      </c>
      <c r="Q25" s="6">
        <v>2.6</v>
      </c>
      <c r="R25" s="6">
        <v>2.5</v>
      </c>
      <c r="S25" s="6">
        <v>2.6</v>
      </c>
      <c r="T25" s="6">
        <v>3</v>
      </c>
      <c r="U25" s="6">
        <v>3</v>
      </c>
      <c r="V25" s="6">
        <v>3</v>
      </c>
      <c r="X25" s="6">
        <v>9.1</v>
      </c>
      <c r="Y25" s="6">
        <v>10.6</v>
      </c>
      <c r="Z25" s="6">
        <v>15.3</v>
      </c>
      <c r="AA25" s="6">
        <f>SUM(C25:F25)</f>
        <v>7.3999999999999995</v>
      </c>
      <c r="AB25" s="6">
        <f>SUM(G25:J25)</f>
        <v>6.2999999999999989</v>
      </c>
      <c r="AC25" s="6">
        <f>SUM(K25:N25)</f>
        <v>7.2</v>
      </c>
      <c r="AD25" s="6">
        <f>SUM(O25:R25)</f>
        <v>9.6999999999999993</v>
      </c>
      <c r="AE25" s="6">
        <f>SUM(S25:V25)</f>
        <v>11.6</v>
      </c>
      <c r="AF25" s="6">
        <f>AE25*1.03</f>
        <v>11.948</v>
      </c>
      <c r="AG25" s="6">
        <f t="shared" ref="AG25:AO25" si="33">AF25*1.03</f>
        <v>12.30644</v>
      </c>
      <c r="AH25" s="6">
        <f t="shared" si="33"/>
        <v>12.6756332</v>
      </c>
      <c r="AI25" s="6">
        <f t="shared" si="33"/>
        <v>13.055902196</v>
      </c>
      <c r="AJ25" s="6">
        <f t="shared" si="33"/>
        <v>13.44757926188</v>
      </c>
      <c r="AK25" s="6">
        <f t="shared" si="33"/>
        <v>13.851006639736401</v>
      </c>
      <c r="AL25" s="6">
        <f t="shared" si="33"/>
        <v>14.266536838928493</v>
      </c>
      <c r="AM25" s="6">
        <f t="shared" si="33"/>
        <v>14.694532944096348</v>
      </c>
      <c r="AN25" s="6">
        <f t="shared" si="33"/>
        <v>15.135368932419238</v>
      </c>
      <c r="AO25" s="6">
        <f t="shared" si="33"/>
        <v>15.589430000391816</v>
      </c>
    </row>
    <row r="26" spans="2:148" x14ac:dyDescent="0.3">
      <c r="B26" t="s">
        <v>38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-2.4</v>
      </c>
      <c r="K26" s="6">
        <v>-3.4</v>
      </c>
      <c r="L26" s="6">
        <v>-3.7</v>
      </c>
      <c r="M26" s="6">
        <v>-4</v>
      </c>
      <c r="N26" s="6">
        <v>-4.7</v>
      </c>
      <c r="O26" s="6">
        <v>-4.0999999999999996</v>
      </c>
      <c r="P26" s="6">
        <v>-3.4</v>
      </c>
      <c r="Q26" s="6">
        <v>-3.3</v>
      </c>
      <c r="R26" s="6">
        <v>-3</v>
      </c>
      <c r="S26" s="6">
        <v>-2.4</v>
      </c>
      <c r="T26" s="6">
        <v>-3</v>
      </c>
      <c r="U26" s="6">
        <v>-3</v>
      </c>
      <c r="V26" s="6">
        <v>-3</v>
      </c>
      <c r="X26" s="6">
        <v>0</v>
      </c>
      <c r="Y26" s="6">
        <v>0</v>
      </c>
      <c r="Z26" s="6">
        <v>-1.8</v>
      </c>
      <c r="AA26" s="6">
        <f>SUM(C26:F26)</f>
        <v>0</v>
      </c>
      <c r="AB26" s="6">
        <f>SUM(G26:J26)</f>
        <v>-2.4</v>
      </c>
      <c r="AC26" s="6">
        <f>SUM(K26:N26)</f>
        <v>-15.8</v>
      </c>
      <c r="AD26" s="6">
        <f>SUM(O26:R26)</f>
        <v>-13.8</v>
      </c>
      <c r="AE26" s="6">
        <f>SUM(S26:V26)</f>
        <v>-11.4</v>
      </c>
      <c r="AF26" s="6">
        <f t="shared" ref="AF26:AO26" si="34">AE26*1.03</f>
        <v>-11.742000000000001</v>
      </c>
      <c r="AG26" s="6">
        <f t="shared" si="34"/>
        <v>-12.094260000000002</v>
      </c>
      <c r="AH26" s="6">
        <f t="shared" si="34"/>
        <v>-12.457087800000002</v>
      </c>
      <c r="AI26" s="6">
        <f t="shared" si="34"/>
        <v>-12.830800434000002</v>
      </c>
      <c r="AJ26" s="6">
        <f t="shared" si="34"/>
        <v>-13.215724447020003</v>
      </c>
      <c r="AK26" s="6">
        <f t="shared" si="34"/>
        <v>-13.612196180430603</v>
      </c>
      <c r="AL26" s="6">
        <f t="shared" si="34"/>
        <v>-14.020562065843521</v>
      </c>
      <c r="AM26" s="6">
        <f t="shared" si="34"/>
        <v>-14.441178927818827</v>
      </c>
      <c r="AN26" s="6">
        <f t="shared" si="34"/>
        <v>-14.874414295653391</v>
      </c>
      <c r="AO26" s="6">
        <f t="shared" si="34"/>
        <v>-15.320646724522993</v>
      </c>
    </row>
    <row r="27" spans="2:148" x14ac:dyDescent="0.3">
      <c r="B27" t="s">
        <v>39</v>
      </c>
      <c r="C27" s="6">
        <f>16+11.2+0.9+1</f>
        <v>29.099999999999998</v>
      </c>
      <c r="D27" s="6">
        <v>0</v>
      </c>
      <c r="E27" s="6">
        <v>-0.2</v>
      </c>
      <c r="F27" s="6">
        <v>-0.1</v>
      </c>
      <c r="G27" s="6">
        <v>-0.2</v>
      </c>
      <c r="H27" s="6">
        <v>0.2</v>
      </c>
      <c r="I27" s="6">
        <v>-1.1000000000000001</v>
      </c>
      <c r="J27" s="6">
        <v>-0.2</v>
      </c>
      <c r="K27" s="6">
        <v>-0.1</v>
      </c>
      <c r="L27" s="6">
        <v>0.2</v>
      </c>
      <c r="M27" s="6">
        <f>-15.3-0.4</f>
        <v>-15.700000000000001</v>
      </c>
      <c r="N27" s="6">
        <v>-4.5</v>
      </c>
      <c r="O27" s="6">
        <v>3.7</v>
      </c>
      <c r="P27" s="6">
        <v>-2.6</v>
      </c>
      <c r="Q27" s="6">
        <v>2.2000000000000002</v>
      </c>
      <c r="R27" s="6">
        <v>-1</v>
      </c>
      <c r="S27" s="6">
        <v>-0.7</v>
      </c>
      <c r="T27" s="6">
        <v>0</v>
      </c>
      <c r="U27" s="6">
        <v>0</v>
      </c>
      <c r="V27" s="6">
        <v>0</v>
      </c>
      <c r="X27" s="6">
        <v>0</v>
      </c>
      <c r="Y27" s="6">
        <v>-0.1</v>
      </c>
      <c r="Z27" s="6">
        <f>37.1-0.7</f>
        <v>36.4</v>
      </c>
      <c r="AA27" s="6">
        <f>SUM(C27:F27)</f>
        <v>28.799999999999997</v>
      </c>
      <c r="AB27" s="6">
        <f>SUM(G27:J27)</f>
        <v>-1.3</v>
      </c>
      <c r="AC27" s="6">
        <f>SUM(K27:N27)</f>
        <v>-20.100000000000001</v>
      </c>
      <c r="AD27" s="6">
        <f>SUM(O27:R27)</f>
        <v>2.3000000000000003</v>
      </c>
      <c r="AE27" s="6">
        <f>SUM(S27:V27)</f>
        <v>-0.7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</row>
    <row r="28" spans="2:148" s="1" customFormat="1" x14ac:dyDescent="0.3">
      <c r="B28" s="1" t="s">
        <v>40</v>
      </c>
      <c r="C28" s="8">
        <f t="shared" ref="C28:V28" si="35">C24-C25-C26-C27</f>
        <v>-45.9</v>
      </c>
      <c r="D28" s="8">
        <f t="shared" si="35"/>
        <v>-19</v>
      </c>
      <c r="E28" s="8">
        <f t="shared" si="35"/>
        <v>-12.100000000000003</v>
      </c>
      <c r="F28" s="8">
        <f t="shared" si="35"/>
        <v>-24.2</v>
      </c>
      <c r="G28" s="8">
        <f t="shared" si="35"/>
        <v>-46.099999999999994</v>
      </c>
      <c r="H28" s="8">
        <f t="shared" si="35"/>
        <v>-30</v>
      </c>
      <c r="I28" s="8">
        <f t="shared" si="35"/>
        <v>-28.4</v>
      </c>
      <c r="J28" s="8">
        <f t="shared" si="35"/>
        <v>-41.699999999999989</v>
      </c>
      <c r="K28" s="8">
        <f t="shared" si="35"/>
        <v>-20.399999999999999</v>
      </c>
      <c r="L28" s="8">
        <f t="shared" si="35"/>
        <v>-33.999999999999993</v>
      </c>
      <c r="M28" s="8">
        <f t="shared" si="35"/>
        <v>-23.699999999999996</v>
      </c>
      <c r="N28" s="8">
        <f t="shared" si="35"/>
        <v>-29.399999999999991</v>
      </c>
      <c r="O28" s="8">
        <f t="shared" si="35"/>
        <v>-44.4</v>
      </c>
      <c r="P28" s="8">
        <f t="shared" si="35"/>
        <v>-37.699999999999989</v>
      </c>
      <c r="Q28" s="8">
        <f t="shared" si="35"/>
        <v>-35.100000000000009</v>
      </c>
      <c r="R28" s="8">
        <f t="shared" si="35"/>
        <v>-39.500000000000007</v>
      </c>
      <c r="S28" s="8">
        <f t="shared" si="35"/>
        <v>-32.4</v>
      </c>
      <c r="T28" s="8">
        <f t="shared" si="35"/>
        <v>-26.849499999999999</v>
      </c>
      <c r="U28" s="8">
        <f t="shared" si="35"/>
        <v>-24.463000000000005</v>
      </c>
      <c r="V28" s="8">
        <f t="shared" si="35"/>
        <v>-28.797999999999995</v>
      </c>
      <c r="X28" s="8">
        <f t="shared" ref="X28:AE28" si="36">X24-X25-X26-X27</f>
        <v>-53.70000000000001</v>
      </c>
      <c r="Y28" s="8">
        <f t="shared" si="36"/>
        <v>-77.5</v>
      </c>
      <c r="Z28" s="8">
        <f t="shared" si="36"/>
        <v>-79.099999999999994</v>
      </c>
      <c r="AA28" s="8">
        <f t="shared" si="36"/>
        <v>-101.19999999999999</v>
      </c>
      <c r="AB28" s="8">
        <f t="shared" si="36"/>
        <v>-146.19999999999996</v>
      </c>
      <c r="AC28" s="8">
        <f t="shared" si="36"/>
        <v>-107.49999999999997</v>
      </c>
      <c r="AD28" s="8">
        <f t="shared" si="36"/>
        <v>-156.69999999999999</v>
      </c>
      <c r="AE28" s="8">
        <f t="shared" si="36"/>
        <v>-112.51050000000001</v>
      </c>
      <c r="AF28" s="8">
        <f t="shared" ref="AF28:AO28" si="37">AF24-AF25-AF26-AF27</f>
        <v>-82.940049999999999</v>
      </c>
      <c r="AG28" s="8">
        <f t="shared" si="37"/>
        <v>-57.103905900000001</v>
      </c>
      <c r="AH28" s="8">
        <f t="shared" si="37"/>
        <v>-38.141701782000055</v>
      </c>
      <c r="AI28" s="8">
        <f t="shared" si="37"/>
        <v>-26.31280128066004</v>
      </c>
      <c r="AJ28" s="8">
        <f t="shared" si="37"/>
        <v>-9.3512616924130736</v>
      </c>
      <c r="AK28" s="8">
        <f t="shared" si="37"/>
        <v>5.5383843897342029</v>
      </c>
      <c r="AL28" s="8">
        <f t="shared" si="37"/>
        <v>21.555979051455871</v>
      </c>
      <c r="AM28" s="8">
        <f t="shared" si="37"/>
        <v>38.409955288579518</v>
      </c>
      <c r="AN28" s="8">
        <f t="shared" si="37"/>
        <v>57.975125492594856</v>
      </c>
      <c r="AO28" s="8">
        <f t="shared" si="37"/>
        <v>80.653233362146324</v>
      </c>
    </row>
    <row r="29" spans="2:148" x14ac:dyDescent="0.3">
      <c r="B29" t="s">
        <v>41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0.5</v>
      </c>
      <c r="J29" s="6">
        <v>0.3</v>
      </c>
      <c r="K29" s="6">
        <v>0.6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X29" s="6">
        <v>-3</v>
      </c>
      <c r="Y29" s="6">
        <v>0.1</v>
      </c>
      <c r="Z29" s="6">
        <v>0.1</v>
      </c>
      <c r="AA29" s="6">
        <f>SUM(C29:F29)</f>
        <v>0</v>
      </c>
      <c r="AB29" s="6">
        <f>SUM(G29:J29)</f>
        <v>0.8</v>
      </c>
      <c r="AC29" s="6">
        <f>SUM(K29:N29)</f>
        <v>0.6</v>
      </c>
      <c r="AD29" s="6">
        <f>SUM(O29:R29)</f>
        <v>0</v>
      </c>
      <c r="AE29" s="6">
        <f>SUM(S29:V29)</f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</row>
    <row r="30" spans="2:148" x14ac:dyDescent="0.3">
      <c r="B30" t="s">
        <v>42</v>
      </c>
      <c r="C30" s="6">
        <v>0</v>
      </c>
      <c r="D30" s="6">
        <v>0</v>
      </c>
      <c r="E30" s="6">
        <v>0</v>
      </c>
      <c r="F30" s="6">
        <v>0</v>
      </c>
      <c r="G30" s="6">
        <v>-5.5</v>
      </c>
      <c r="H30" s="6">
        <v>-0.1</v>
      </c>
      <c r="I30" s="6">
        <v>0.4</v>
      </c>
      <c r="J30" s="6">
        <v>0.5</v>
      </c>
      <c r="K30" s="6">
        <v>-2.5</v>
      </c>
      <c r="L30" s="6">
        <v>0.4</v>
      </c>
      <c r="M30" s="6">
        <v>0.7</v>
      </c>
      <c r="N30" s="6">
        <f>0.9+0.8</f>
        <v>1.7000000000000002</v>
      </c>
      <c r="O30" s="6">
        <f>-24.6+0.8</f>
        <v>-23.8</v>
      </c>
      <c r="P30" s="6">
        <f>-5.5+0.8</f>
        <v>-4.7</v>
      </c>
      <c r="Q30" s="6">
        <f>-2.5+0.8</f>
        <v>-1.7</v>
      </c>
      <c r="R30" s="6">
        <f>1.8+0.8</f>
        <v>2.6</v>
      </c>
      <c r="S30" s="6">
        <v>-4.0999999999999996</v>
      </c>
      <c r="T30" s="6">
        <v>2</v>
      </c>
      <c r="U30" s="6">
        <v>2</v>
      </c>
      <c r="V30" s="6">
        <v>2</v>
      </c>
      <c r="X30" s="6">
        <v>0</v>
      </c>
      <c r="Y30" s="6">
        <v>0</v>
      </c>
      <c r="Z30" s="6">
        <v>0</v>
      </c>
      <c r="AA30" s="6">
        <f>SUM(C30:F30)</f>
        <v>0</v>
      </c>
      <c r="AB30" s="6">
        <f>SUM(G30:J30)</f>
        <v>-4.6999999999999993</v>
      </c>
      <c r="AC30" s="6">
        <f>SUM(K30:N30)</f>
        <v>0.30000000000000004</v>
      </c>
      <c r="AD30" s="6">
        <f>SUM(O30:R30)</f>
        <v>-27.599999999999998</v>
      </c>
      <c r="AE30" s="6">
        <f>SUM(S30:V30)</f>
        <v>1.9000000000000004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</row>
    <row r="31" spans="2:148" s="1" customFormat="1" x14ac:dyDescent="0.3">
      <c r="B31" s="1" t="s">
        <v>43</v>
      </c>
      <c r="C31" s="8">
        <f t="shared" ref="C31:R31" si="38">C28-C29-C30</f>
        <v>-45.9</v>
      </c>
      <c r="D31" s="8">
        <f t="shared" si="38"/>
        <v>-19</v>
      </c>
      <c r="E31" s="8">
        <f t="shared" si="38"/>
        <v>-12.100000000000003</v>
      </c>
      <c r="F31" s="8">
        <f t="shared" si="38"/>
        <v>-24.2</v>
      </c>
      <c r="G31" s="8">
        <f t="shared" si="38"/>
        <v>-40.599999999999994</v>
      </c>
      <c r="H31" s="8">
        <f t="shared" si="38"/>
        <v>-29.9</v>
      </c>
      <c r="I31" s="8">
        <f t="shared" si="38"/>
        <v>-29.299999999999997</v>
      </c>
      <c r="J31" s="8">
        <f t="shared" si="38"/>
        <v>-42.499999999999986</v>
      </c>
      <c r="K31" s="8">
        <f t="shared" si="38"/>
        <v>-18.5</v>
      </c>
      <c r="L31" s="8">
        <f t="shared" si="38"/>
        <v>-34.399999999999991</v>
      </c>
      <c r="M31" s="8">
        <f t="shared" si="38"/>
        <v>-24.399999999999995</v>
      </c>
      <c r="N31" s="8">
        <f t="shared" si="38"/>
        <v>-31.099999999999991</v>
      </c>
      <c r="O31" s="8">
        <f t="shared" si="38"/>
        <v>-20.599999999999998</v>
      </c>
      <c r="P31" s="8">
        <f t="shared" si="38"/>
        <v>-32.999999999999986</v>
      </c>
      <c r="Q31" s="8">
        <f t="shared" si="38"/>
        <v>-33.400000000000006</v>
      </c>
      <c r="R31" s="8">
        <f t="shared" si="38"/>
        <v>-42.100000000000009</v>
      </c>
      <c r="S31" s="8">
        <f t="shared" ref="S31:V31" si="39">S28-S29-S30</f>
        <v>-28.299999999999997</v>
      </c>
      <c r="T31" s="8">
        <f t="shared" si="39"/>
        <v>-28.849499999999999</v>
      </c>
      <c r="U31" s="8">
        <f t="shared" si="39"/>
        <v>-26.463000000000005</v>
      </c>
      <c r="V31" s="8">
        <f t="shared" si="39"/>
        <v>-30.797999999999995</v>
      </c>
      <c r="X31" s="8">
        <f t="shared" ref="X31:AE31" si="40">X28-X29-X30</f>
        <v>-50.70000000000001</v>
      </c>
      <c r="Y31" s="8">
        <f t="shared" si="40"/>
        <v>-77.599999999999994</v>
      </c>
      <c r="Z31" s="8">
        <f t="shared" si="40"/>
        <v>-79.199999999999989</v>
      </c>
      <c r="AA31" s="8">
        <f t="shared" si="40"/>
        <v>-101.19999999999999</v>
      </c>
      <c r="AB31" s="8">
        <f t="shared" si="40"/>
        <v>-142.29999999999998</v>
      </c>
      <c r="AC31" s="8">
        <f t="shared" si="40"/>
        <v>-108.39999999999996</v>
      </c>
      <c r="AD31" s="8">
        <f t="shared" si="40"/>
        <v>-129.1</v>
      </c>
      <c r="AE31" s="8">
        <f t="shared" si="40"/>
        <v>-114.41050000000001</v>
      </c>
      <c r="AF31" s="8">
        <f t="shared" ref="AF31:AO31" si="41">AF28-AF29-AF30</f>
        <v>-82.940049999999999</v>
      </c>
      <c r="AG31" s="8">
        <f t="shared" si="41"/>
        <v>-57.103905900000001</v>
      </c>
      <c r="AH31" s="8">
        <f t="shared" si="41"/>
        <v>-38.141701782000055</v>
      </c>
      <c r="AI31" s="8">
        <f t="shared" si="41"/>
        <v>-26.31280128066004</v>
      </c>
      <c r="AJ31" s="8">
        <f t="shared" si="41"/>
        <v>-9.3512616924130736</v>
      </c>
      <c r="AK31" s="8">
        <f t="shared" si="41"/>
        <v>5.5383843897342029</v>
      </c>
      <c r="AL31" s="8">
        <f t="shared" si="41"/>
        <v>21.555979051455871</v>
      </c>
      <c r="AM31" s="8">
        <f t="shared" si="41"/>
        <v>38.409955288579518</v>
      </c>
      <c r="AN31" s="8">
        <f t="shared" si="41"/>
        <v>57.975125492594856</v>
      </c>
      <c r="AO31" s="8">
        <f t="shared" si="41"/>
        <v>80.653233362146324</v>
      </c>
      <c r="AP31" s="1">
        <f>AO31*(1+$AS$41)</f>
        <v>79.846701028524862</v>
      </c>
      <c r="AQ31" s="1">
        <f t="shared" ref="AQ31:DB31" si="42">AP31*(1+$AS$41)</f>
        <v>79.048234018239611</v>
      </c>
      <c r="AR31" s="1">
        <f t="shared" si="42"/>
        <v>78.257751678057218</v>
      </c>
      <c r="AS31" s="1">
        <f t="shared" si="42"/>
        <v>77.475174161276641</v>
      </c>
      <c r="AT31" s="1">
        <f t="shared" si="42"/>
        <v>76.70042241966388</v>
      </c>
      <c r="AU31" s="1">
        <f t="shared" si="42"/>
        <v>75.93341819546724</v>
      </c>
      <c r="AV31" s="1">
        <f t="shared" si="42"/>
        <v>75.174084013512569</v>
      </c>
      <c r="AW31" s="1">
        <f t="shared" si="42"/>
        <v>74.422343173377442</v>
      </c>
      <c r="AX31" s="1">
        <f t="shared" si="42"/>
        <v>73.67811974164367</v>
      </c>
      <c r="AY31" s="1">
        <f t="shared" si="42"/>
        <v>72.941338544227236</v>
      </c>
      <c r="AZ31" s="1">
        <f t="shared" si="42"/>
        <v>72.211925158784965</v>
      </c>
      <c r="BA31" s="1">
        <f t="shared" si="42"/>
        <v>71.489805907197109</v>
      </c>
      <c r="BB31" s="1">
        <f t="shared" si="42"/>
        <v>70.774907848125139</v>
      </c>
      <c r="BC31" s="1">
        <f t="shared" si="42"/>
        <v>70.067158769643882</v>
      </c>
      <c r="BD31" s="1">
        <f t="shared" si="42"/>
        <v>69.366487181947448</v>
      </c>
      <c r="BE31" s="1">
        <f t="shared" si="42"/>
        <v>68.67282231012797</v>
      </c>
      <c r="BF31" s="1">
        <f t="shared" si="42"/>
        <v>67.986094087026686</v>
      </c>
      <c r="BG31" s="1">
        <f t="shared" si="42"/>
        <v>67.306233146156416</v>
      </c>
      <c r="BH31" s="1">
        <f t="shared" si="42"/>
        <v>66.63317081469485</v>
      </c>
      <c r="BI31" s="1">
        <f t="shared" si="42"/>
        <v>65.966839106547894</v>
      </c>
      <c r="BJ31" s="1">
        <f t="shared" si="42"/>
        <v>65.307170715482414</v>
      </c>
      <c r="BK31" s="1">
        <f t="shared" si="42"/>
        <v>64.654099008327591</v>
      </c>
      <c r="BL31" s="1">
        <f t="shared" si="42"/>
        <v>64.00755801824431</v>
      </c>
      <c r="BM31" s="1">
        <f t="shared" si="42"/>
        <v>63.36748243806187</v>
      </c>
      <c r="BN31" s="1">
        <f t="shared" si="42"/>
        <v>62.73380761368125</v>
      </c>
      <c r="BO31" s="1">
        <f t="shared" si="42"/>
        <v>62.106469537544434</v>
      </c>
      <c r="BP31" s="1">
        <f t="shared" si="42"/>
        <v>61.48540484216899</v>
      </c>
      <c r="BQ31" s="1">
        <f t="shared" si="42"/>
        <v>60.870550793747299</v>
      </c>
      <c r="BR31" s="1">
        <f t="shared" si="42"/>
        <v>60.261845285809827</v>
      </c>
      <c r="BS31" s="1">
        <f t="shared" si="42"/>
        <v>59.659226832951731</v>
      </c>
      <c r="BT31" s="1">
        <f t="shared" si="42"/>
        <v>59.062634564622215</v>
      </c>
      <c r="BU31" s="1">
        <f t="shared" si="42"/>
        <v>58.472008218975994</v>
      </c>
      <c r="BV31" s="1">
        <f t="shared" si="42"/>
        <v>57.887288136786232</v>
      </c>
      <c r="BW31" s="1">
        <f t="shared" si="42"/>
        <v>57.308415255418367</v>
      </c>
      <c r="BX31" s="1">
        <f t="shared" si="42"/>
        <v>56.73533110286418</v>
      </c>
      <c r="BY31" s="1">
        <f t="shared" si="42"/>
        <v>56.16797779183554</v>
      </c>
      <c r="BZ31" s="1">
        <f t="shared" si="42"/>
        <v>55.606298013917183</v>
      </c>
      <c r="CA31" s="1">
        <f t="shared" si="42"/>
        <v>55.050235033778009</v>
      </c>
      <c r="CB31" s="1">
        <f t="shared" si="42"/>
        <v>54.499732683440229</v>
      </c>
      <c r="CC31" s="1">
        <f t="shared" si="42"/>
        <v>53.954735356605823</v>
      </c>
      <c r="CD31" s="1">
        <f t="shared" si="42"/>
        <v>53.415188003039766</v>
      </c>
      <c r="CE31" s="1">
        <f t="shared" si="42"/>
        <v>52.881036123009366</v>
      </c>
      <c r="CF31" s="1">
        <f t="shared" si="42"/>
        <v>52.352225761779273</v>
      </c>
      <c r="CG31" s="1">
        <f t="shared" si="42"/>
        <v>51.828703504161481</v>
      </c>
      <c r="CH31" s="1">
        <f t="shared" si="42"/>
        <v>51.310416469119865</v>
      </c>
      <c r="CI31" s="1">
        <f t="shared" si="42"/>
        <v>50.797312304428665</v>
      </c>
      <c r="CJ31" s="1">
        <f t="shared" si="42"/>
        <v>50.289339181384378</v>
      </c>
      <c r="CK31" s="1">
        <f t="shared" si="42"/>
        <v>49.786445789570536</v>
      </c>
      <c r="CL31" s="1">
        <f t="shared" si="42"/>
        <v>49.288581331674827</v>
      </c>
      <c r="CM31" s="1">
        <f t="shared" si="42"/>
        <v>48.79569551835808</v>
      </c>
      <c r="CN31" s="1">
        <f t="shared" si="42"/>
        <v>48.307738563174496</v>
      </c>
      <c r="CO31" s="1">
        <f t="shared" si="42"/>
        <v>47.824661177542751</v>
      </c>
      <c r="CP31" s="1">
        <f t="shared" si="42"/>
        <v>47.346414565767326</v>
      </c>
      <c r="CQ31" s="1">
        <f t="shared" si="42"/>
        <v>46.872950420109653</v>
      </c>
      <c r="CR31" s="1">
        <f t="shared" si="42"/>
        <v>46.404220915908553</v>
      </c>
      <c r="CS31" s="1">
        <f t="shared" si="42"/>
        <v>45.940178706749464</v>
      </c>
      <c r="CT31" s="1">
        <f t="shared" si="42"/>
        <v>45.480776919681972</v>
      </c>
      <c r="CU31" s="1">
        <f t="shared" si="42"/>
        <v>45.025969150485153</v>
      </c>
      <c r="CV31" s="1">
        <f t="shared" si="42"/>
        <v>44.575709458980299</v>
      </c>
      <c r="CW31" s="1">
        <f t="shared" si="42"/>
        <v>44.129952364390498</v>
      </c>
      <c r="CX31" s="1">
        <f t="shared" si="42"/>
        <v>43.688652840746592</v>
      </c>
      <c r="CY31" s="1">
        <f t="shared" si="42"/>
        <v>43.251766312339129</v>
      </c>
      <c r="CZ31" s="1">
        <f t="shared" si="42"/>
        <v>42.819248649215737</v>
      </c>
      <c r="DA31" s="1">
        <f t="shared" si="42"/>
        <v>42.391056162723579</v>
      </c>
      <c r="DB31" s="1">
        <f t="shared" si="42"/>
        <v>41.967145601096341</v>
      </c>
      <c r="DC31" s="1">
        <f t="shared" ref="DC31:ER31" si="43">DB31*(1+$AS$41)</f>
        <v>41.547474145085374</v>
      </c>
      <c r="DD31" s="1">
        <f t="shared" si="43"/>
        <v>41.131999403634524</v>
      </c>
      <c r="DE31" s="1">
        <f t="shared" si="43"/>
        <v>40.720679409598176</v>
      </c>
      <c r="DF31" s="1">
        <f t="shared" si="43"/>
        <v>40.313472615502192</v>
      </c>
      <c r="DG31" s="1">
        <f t="shared" si="43"/>
        <v>39.910337889347169</v>
      </c>
      <c r="DH31" s="1">
        <f t="shared" si="43"/>
        <v>39.511234510453697</v>
      </c>
      <c r="DI31" s="1">
        <f t="shared" si="43"/>
        <v>39.116122165349161</v>
      </c>
      <c r="DJ31" s="1">
        <f t="shared" si="43"/>
        <v>38.72496094369567</v>
      </c>
      <c r="DK31" s="1">
        <f t="shared" si="43"/>
        <v>38.337711334258714</v>
      </c>
      <c r="DL31" s="1">
        <f t="shared" si="43"/>
        <v>37.954334220916124</v>
      </c>
      <c r="DM31" s="1">
        <f t="shared" si="43"/>
        <v>37.574790878706963</v>
      </c>
      <c r="DN31" s="1">
        <f t="shared" si="43"/>
        <v>37.199042969919894</v>
      </c>
      <c r="DO31" s="1">
        <f t="shared" si="43"/>
        <v>36.827052540220691</v>
      </c>
      <c r="DP31" s="1">
        <f t="shared" si="43"/>
        <v>36.458782014818482</v>
      </c>
      <c r="DQ31" s="1">
        <f t="shared" si="43"/>
        <v>36.094194194670294</v>
      </c>
      <c r="DR31" s="1">
        <f t="shared" si="43"/>
        <v>35.733252252723588</v>
      </c>
      <c r="DS31" s="1">
        <f t="shared" si="43"/>
        <v>35.375919730196351</v>
      </c>
      <c r="DT31" s="1">
        <f t="shared" si="43"/>
        <v>35.022160532894389</v>
      </c>
      <c r="DU31" s="1">
        <f t="shared" si="43"/>
        <v>34.671938927565442</v>
      </c>
      <c r="DV31" s="1">
        <f t="shared" si="43"/>
        <v>34.325219538289787</v>
      </c>
      <c r="DW31" s="1">
        <f t="shared" si="43"/>
        <v>33.981967342906891</v>
      </c>
      <c r="DX31" s="1">
        <f t="shared" si="43"/>
        <v>33.642147669477822</v>
      </c>
      <c r="DY31" s="1">
        <f t="shared" si="43"/>
        <v>33.305726192783041</v>
      </c>
      <c r="DZ31" s="1">
        <f t="shared" si="43"/>
        <v>32.972668930855207</v>
      </c>
      <c r="EA31" s="1">
        <f t="shared" si="43"/>
        <v>32.642942241546656</v>
      </c>
      <c r="EB31" s="1">
        <f t="shared" si="43"/>
        <v>32.316512819131191</v>
      </c>
      <c r="EC31" s="1">
        <f t="shared" si="43"/>
        <v>31.993347690939878</v>
      </c>
      <c r="ED31" s="1">
        <f t="shared" si="43"/>
        <v>31.67341421403048</v>
      </c>
      <c r="EE31" s="1">
        <f t="shared" si="43"/>
        <v>31.356680071890175</v>
      </c>
      <c r="EF31" s="1">
        <f t="shared" si="43"/>
        <v>31.043113271171272</v>
      </c>
      <c r="EG31" s="1">
        <f t="shared" si="43"/>
        <v>30.732682138459559</v>
      </c>
      <c r="EH31" s="1">
        <f t="shared" si="43"/>
        <v>30.425355317074963</v>
      </c>
      <c r="EI31" s="1">
        <f t="shared" si="43"/>
        <v>30.121101763904214</v>
      </c>
      <c r="EJ31" s="1">
        <f t="shared" si="43"/>
        <v>29.819890746265173</v>
      </c>
      <c r="EK31" s="1">
        <f t="shared" si="43"/>
        <v>29.521691838802521</v>
      </c>
      <c r="EL31" s="1">
        <f t="shared" si="43"/>
        <v>29.226474920414496</v>
      </c>
      <c r="EM31" s="1">
        <f t="shared" si="43"/>
        <v>28.934210171210353</v>
      </c>
      <c r="EN31" s="1">
        <f t="shared" si="43"/>
        <v>28.644868069498248</v>
      </c>
      <c r="EO31" s="1">
        <f t="shared" si="43"/>
        <v>28.358419388803267</v>
      </c>
      <c r="EP31" s="1">
        <f t="shared" si="43"/>
        <v>28.074835194915234</v>
      </c>
      <c r="EQ31" s="1">
        <f t="shared" si="43"/>
        <v>27.794086842966081</v>
      </c>
      <c r="ER31" s="1">
        <f t="shared" si="43"/>
        <v>27.516145974536421</v>
      </c>
    </row>
    <row r="32" spans="2:148" x14ac:dyDescent="0.3">
      <c r="B32" t="s">
        <v>2</v>
      </c>
      <c r="C32" s="6">
        <v>497</v>
      </c>
      <c r="D32" s="6">
        <v>497</v>
      </c>
      <c r="E32" s="6">
        <v>497</v>
      </c>
      <c r="F32" s="6">
        <v>497</v>
      </c>
      <c r="G32" s="6">
        <v>497</v>
      </c>
      <c r="H32" s="6">
        <v>497</v>
      </c>
      <c r="I32" s="6">
        <v>497</v>
      </c>
      <c r="J32" s="6">
        <v>497</v>
      </c>
      <c r="K32" s="6">
        <v>497</v>
      </c>
      <c r="L32" s="6">
        <v>497</v>
      </c>
      <c r="M32" s="6">
        <v>497</v>
      </c>
      <c r="N32" s="6">
        <v>497</v>
      </c>
      <c r="O32" s="6">
        <v>497</v>
      </c>
      <c r="P32" s="6">
        <v>497</v>
      </c>
      <c r="Q32" s="6">
        <v>497</v>
      </c>
      <c r="R32" s="6">
        <v>20.399999999999999</v>
      </c>
      <c r="S32" s="6">
        <v>21.1</v>
      </c>
      <c r="T32" s="6">
        <v>21.1</v>
      </c>
      <c r="U32" s="6">
        <v>21.1</v>
      </c>
      <c r="V32" s="6">
        <v>21.1</v>
      </c>
      <c r="X32" s="6">
        <v>497</v>
      </c>
      <c r="Y32" s="6">
        <v>497</v>
      </c>
      <c r="Z32" s="6">
        <v>497</v>
      </c>
      <c r="AA32" s="6">
        <v>497</v>
      </c>
      <c r="AB32" s="6">
        <v>497</v>
      </c>
      <c r="AC32" s="6">
        <v>497</v>
      </c>
      <c r="AD32" s="6">
        <v>20.399999999999999</v>
      </c>
      <c r="AE32" s="6">
        <v>21.1</v>
      </c>
      <c r="AF32" s="6">
        <v>21.1</v>
      </c>
      <c r="AG32" s="6">
        <v>21.1</v>
      </c>
      <c r="AH32" s="6">
        <v>21.1</v>
      </c>
      <c r="AI32" s="6">
        <v>21.1</v>
      </c>
      <c r="AJ32" s="6">
        <v>21.1</v>
      </c>
      <c r="AK32" s="6">
        <v>21.1</v>
      </c>
      <c r="AL32" s="6">
        <v>21.1</v>
      </c>
      <c r="AM32" s="6">
        <v>21.1</v>
      </c>
      <c r="AN32" s="6">
        <v>21.1</v>
      </c>
      <c r="AO32" s="6">
        <v>21.1</v>
      </c>
    </row>
    <row r="33" spans="2:45" x14ac:dyDescent="0.3">
      <c r="B33" t="s">
        <v>44</v>
      </c>
      <c r="C33" s="9">
        <f t="shared" ref="C33:R33" si="44">C31/C32</f>
        <v>-9.2354124748490946E-2</v>
      </c>
      <c r="D33" s="9">
        <f t="shared" si="44"/>
        <v>-3.8229376257545272E-2</v>
      </c>
      <c r="E33" s="9">
        <f t="shared" si="44"/>
        <v>-2.434607645875252E-2</v>
      </c>
      <c r="F33" s="9">
        <f t="shared" si="44"/>
        <v>-4.8692152917505026E-2</v>
      </c>
      <c r="G33" s="9">
        <f t="shared" si="44"/>
        <v>-8.1690140845070411E-2</v>
      </c>
      <c r="H33" s="9">
        <f t="shared" si="44"/>
        <v>-6.0160965794768609E-2</v>
      </c>
      <c r="I33" s="9">
        <f t="shared" si="44"/>
        <v>-5.8953722334004019E-2</v>
      </c>
      <c r="J33" s="9">
        <f t="shared" si="44"/>
        <v>-8.5513078470824927E-2</v>
      </c>
      <c r="K33" s="9">
        <f t="shared" si="44"/>
        <v>-3.722334004024145E-2</v>
      </c>
      <c r="L33" s="9">
        <f t="shared" si="44"/>
        <v>-6.9215291750503005E-2</v>
      </c>
      <c r="M33" s="9">
        <f t="shared" si="44"/>
        <v>-4.9094567404426546E-2</v>
      </c>
      <c r="N33" s="9">
        <f t="shared" si="44"/>
        <v>-6.2575452716297775E-2</v>
      </c>
      <c r="O33" s="9">
        <f t="shared" si="44"/>
        <v>-4.14486921529175E-2</v>
      </c>
      <c r="P33" s="9">
        <f t="shared" si="44"/>
        <v>-6.6398390342052291E-2</v>
      </c>
      <c r="Q33" s="9">
        <f t="shared" si="44"/>
        <v>-6.7203219315895388E-2</v>
      </c>
      <c r="R33" s="9">
        <f t="shared" si="44"/>
        <v>-2.0637254901960791</v>
      </c>
      <c r="S33" s="9">
        <f t="shared" ref="S33:V33" si="45">S31/S32</f>
        <v>-1.3412322274881514</v>
      </c>
      <c r="T33" s="9">
        <f t="shared" si="45"/>
        <v>-1.3672748815165876</v>
      </c>
      <c r="U33" s="9">
        <f t="shared" si="45"/>
        <v>-1.2541706161137443</v>
      </c>
      <c r="V33" s="9">
        <f t="shared" si="45"/>
        <v>-1.4596208530805683</v>
      </c>
      <c r="X33" s="9">
        <f t="shared" ref="X33:AE33" si="46">X31/X32</f>
        <v>-0.10201207243460766</v>
      </c>
      <c r="Y33" s="9">
        <f t="shared" si="46"/>
        <v>-0.15613682092555331</v>
      </c>
      <c r="Z33" s="9">
        <f t="shared" si="46"/>
        <v>-0.15935613682092553</v>
      </c>
      <c r="AA33" s="9">
        <f t="shared" si="46"/>
        <v>-0.20362173038229375</v>
      </c>
      <c r="AB33" s="9">
        <f t="shared" si="46"/>
        <v>-0.28631790744466795</v>
      </c>
      <c r="AC33" s="9">
        <f t="shared" si="46"/>
        <v>-0.21810865191146875</v>
      </c>
      <c r="AD33" s="9">
        <f t="shared" si="46"/>
        <v>-6.3284313725490193</v>
      </c>
      <c r="AE33" s="9">
        <f t="shared" si="46"/>
        <v>-5.4222985781990527</v>
      </c>
      <c r="AF33" s="9">
        <f t="shared" ref="AF33:AO33" si="47">AF31/AF32</f>
        <v>-3.9308080568720376</v>
      </c>
      <c r="AG33" s="9">
        <f t="shared" si="47"/>
        <v>-2.7063462511848342</v>
      </c>
      <c r="AH33" s="9">
        <f t="shared" si="47"/>
        <v>-1.8076635915639836</v>
      </c>
      <c r="AI33" s="9">
        <f t="shared" si="47"/>
        <v>-1.2470521933962104</v>
      </c>
      <c r="AJ33" s="9">
        <f t="shared" si="47"/>
        <v>-0.44318775793426884</v>
      </c>
      <c r="AK33" s="9">
        <f t="shared" si="47"/>
        <v>0.26248267249925128</v>
      </c>
      <c r="AL33" s="9">
        <f t="shared" si="47"/>
        <v>1.0216103815855861</v>
      </c>
      <c r="AM33" s="9">
        <f t="shared" si="47"/>
        <v>1.8203770278947637</v>
      </c>
      <c r="AN33" s="9">
        <f t="shared" si="47"/>
        <v>2.7476362792698983</v>
      </c>
      <c r="AO33" s="9">
        <f t="shared" si="47"/>
        <v>3.8224281214287354</v>
      </c>
    </row>
    <row r="35" spans="2:45" x14ac:dyDescent="0.3">
      <c r="B35" t="s">
        <v>113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 t="e">
        <f t="shared" ref="R35:S35" si="48">R3/N3-1</f>
        <v>#DIV/0!</v>
      </c>
      <c r="S35" s="10" t="e">
        <f t="shared" si="48"/>
        <v>#DIV/0!</v>
      </c>
      <c r="T35" s="10"/>
      <c r="U35" s="10"/>
      <c r="V35" s="10"/>
    </row>
    <row r="36" spans="2:45" x14ac:dyDescent="0.3">
      <c r="B36" t="s">
        <v>114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>
        <f t="shared" ref="R36:S36" si="49">R4/N4-1</f>
        <v>0.23721590909090895</v>
      </c>
      <c r="S36" s="10">
        <f t="shared" si="49"/>
        <v>0.22720797720797714</v>
      </c>
      <c r="T36" s="10"/>
      <c r="U36" s="10"/>
      <c r="V36" s="10"/>
    </row>
    <row r="37" spans="2:45" x14ac:dyDescent="0.3">
      <c r="B37" t="s">
        <v>115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>
        <f t="shared" ref="R37:S37" si="50">R5/N5-1</f>
        <v>-3.5202385047586326E-2</v>
      </c>
      <c r="S37" s="10">
        <f t="shared" si="50"/>
        <v>0.1576137418755803</v>
      </c>
      <c r="T37" s="10"/>
      <c r="U37" s="10"/>
      <c r="V37" s="10"/>
    </row>
    <row r="38" spans="2:45" x14ac:dyDescent="0.3">
      <c r="B38" t="s">
        <v>116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>
        <f t="shared" ref="R38:S38" si="51">R6/N6-1</f>
        <v>1.3529411764705883</v>
      </c>
      <c r="S38" s="10">
        <f t="shared" si="51"/>
        <v>0.35042735042735051</v>
      </c>
      <c r="T38" s="10"/>
      <c r="U38" s="10"/>
      <c r="V38" s="10"/>
    </row>
    <row r="39" spans="2:45" s="1" customFormat="1" x14ac:dyDescent="0.3">
      <c r="B39" s="1" t="s">
        <v>117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>
        <f>R7/N7-1</f>
        <v>0.13100564092588995</v>
      </c>
      <c r="S39" s="11">
        <f>S7/O7-1</f>
        <v>0.27998829724985352</v>
      </c>
      <c r="T39" s="11"/>
      <c r="U39" s="11"/>
      <c r="V39" s="11"/>
    </row>
    <row r="40" spans="2:45" x14ac:dyDescent="0.3">
      <c r="B40" t="s">
        <v>50</v>
      </c>
      <c r="G40" s="10" t="e">
        <f t="shared" ref="G40:O44" si="52">G9/C9-1</f>
        <v>#DIV/0!</v>
      </c>
      <c r="H40" s="10" t="e">
        <f t="shared" si="52"/>
        <v>#DIV/0!</v>
      </c>
      <c r="I40" s="10" t="e">
        <f t="shared" si="52"/>
        <v>#DIV/0!</v>
      </c>
      <c r="J40" s="10" t="e">
        <f t="shared" si="52"/>
        <v>#DIV/0!</v>
      </c>
      <c r="K40" s="10">
        <f t="shared" si="52"/>
        <v>-0.49444444444444446</v>
      </c>
      <c r="L40" s="10" t="e">
        <f t="shared" si="52"/>
        <v>#DIV/0!</v>
      </c>
      <c r="M40" s="10">
        <f t="shared" si="52"/>
        <v>-1</v>
      </c>
      <c r="N40" s="10">
        <f t="shared" si="52"/>
        <v>-0.5625</v>
      </c>
      <c r="O40" s="10">
        <f t="shared" si="52"/>
        <v>-1</v>
      </c>
      <c r="P40" s="10"/>
      <c r="Q40" s="10"/>
      <c r="R40" s="10">
        <f>R9/N9-1</f>
        <v>1.4190476190476189</v>
      </c>
      <c r="S40" s="10" t="e">
        <f t="shared" ref="S40:V40" si="53">S9/O9-1</f>
        <v>#DIV/0!</v>
      </c>
      <c r="T40" s="10" t="e">
        <f t="shared" si="53"/>
        <v>#DIV/0!</v>
      </c>
      <c r="U40" s="10">
        <f t="shared" si="53"/>
        <v>-1</v>
      </c>
      <c r="V40" s="10">
        <f t="shared" si="53"/>
        <v>0.18110236220472453</v>
      </c>
      <c r="Y40" s="10">
        <f>Y9/X9-1</f>
        <v>-0.99047619047619051</v>
      </c>
      <c r="Z40" s="10">
        <f t="shared" ref="Z40:AO40" si="54">Z9/Y9-1</f>
        <v>-1</v>
      </c>
      <c r="AA40" s="10" t="e">
        <f t="shared" si="54"/>
        <v>#DIV/0!</v>
      </c>
      <c r="AB40" s="10" t="e">
        <f t="shared" si="54"/>
        <v>#DIV/0!</v>
      </c>
      <c r="AC40" s="10">
        <f t="shared" si="54"/>
        <v>-0.67333333333333334</v>
      </c>
      <c r="AD40" s="10">
        <f t="shared" si="54"/>
        <v>0.31122448979591821</v>
      </c>
      <c r="AE40" s="10">
        <f t="shared" si="54"/>
        <v>0.17120622568093391</v>
      </c>
      <c r="AF40" s="10">
        <f t="shared" si="54"/>
        <v>0.30000000000000004</v>
      </c>
      <c r="AG40" s="10">
        <f t="shared" si="54"/>
        <v>0.25</v>
      </c>
      <c r="AH40" s="10">
        <f t="shared" si="54"/>
        <v>0.19999999999999996</v>
      </c>
      <c r="AI40" s="10">
        <f t="shared" si="54"/>
        <v>0.14999999999999991</v>
      </c>
      <c r="AJ40" s="10">
        <f t="shared" si="54"/>
        <v>0.10000000000000009</v>
      </c>
      <c r="AK40" s="10">
        <f t="shared" si="54"/>
        <v>0.10000000000000009</v>
      </c>
      <c r="AL40" s="10">
        <f t="shared" si="54"/>
        <v>0.10000000000000009</v>
      </c>
      <c r="AM40" s="10">
        <f t="shared" si="54"/>
        <v>0.10000000000000009</v>
      </c>
      <c r="AN40" s="10">
        <f t="shared" si="54"/>
        <v>0.10000000000000009</v>
      </c>
      <c r="AO40" s="10">
        <f t="shared" si="54"/>
        <v>0.10000000000000009</v>
      </c>
    </row>
    <row r="41" spans="2:45" x14ac:dyDescent="0.3">
      <c r="B41" t="s">
        <v>51</v>
      </c>
      <c r="G41" s="10">
        <f t="shared" si="52"/>
        <v>-0.55102040816326525</v>
      </c>
      <c r="H41" s="10">
        <f t="shared" si="52"/>
        <v>2.7142857142857149</v>
      </c>
      <c r="I41" s="10">
        <f t="shared" si="52"/>
        <v>-0.36363636363636365</v>
      </c>
      <c r="J41" s="10">
        <f t="shared" si="52"/>
        <v>10</v>
      </c>
      <c r="K41" s="10">
        <f t="shared" si="52"/>
        <v>5.3181818181818175</v>
      </c>
      <c r="L41" s="10">
        <f t="shared" si="52"/>
        <v>9.0769230769230766</v>
      </c>
      <c r="M41" s="10">
        <f t="shared" si="52"/>
        <v>7.6923076923077094E-2</v>
      </c>
      <c r="N41" s="10">
        <f t="shared" si="52"/>
        <v>-0.27272727272727271</v>
      </c>
      <c r="O41" s="10">
        <f t="shared" si="52"/>
        <v>-0.8848920863309353</v>
      </c>
      <c r="P41" s="10">
        <f t="shared" ref="P41:Q44" si="55">P10/L10-1</f>
        <v>-0.94656488549618323</v>
      </c>
      <c r="Q41" s="10">
        <f t="shared" si="55"/>
        <v>-0.85714285714285721</v>
      </c>
      <c r="R41" s="10"/>
      <c r="S41" s="10">
        <f t="shared" ref="S41:V41" si="56">S10/O10-1</f>
        <v>0.125</v>
      </c>
      <c r="T41" s="10">
        <f t="shared" si="56"/>
        <v>0.19999999999999996</v>
      </c>
      <c r="U41" s="10">
        <f t="shared" si="56"/>
        <v>0.19999999999999996</v>
      </c>
      <c r="V41" s="10">
        <f t="shared" si="56"/>
        <v>0.19999999999999996</v>
      </c>
      <c r="Y41" s="10">
        <f>Y10/X10-1</f>
        <v>0.68354430379746844</v>
      </c>
      <c r="Z41" s="10">
        <f t="shared" ref="Z41:AO41" si="57">Z10/Y10-1</f>
        <v>-5.6390977443608992E-2</v>
      </c>
      <c r="AA41" s="10">
        <f t="shared" si="57"/>
        <v>-0.21115537848605581</v>
      </c>
      <c r="AB41" s="10">
        <f t="shared" si="57"/>
        <v>-0.35353535353535348</v>
      </c>
      <c r="AC41" s="10">
        <f t="shared" si="57"/>
        <v>2.8359375000000004</v>
      </c>
      <c r="AD41" s="10">
        <f t="shared" si="57"/>
        <v>-0.79633401221995936</v>
      </c>
      <c r="AE41" s="10">
        <f t="shared" si="57"/>
        <v>0.18799999999999994</v>
      </c>
      <c r="AF41" s="10">
        <f t="shared" si="57"/>
        <v>0.12000000000000011</v>
      </c>
      <c r="AG41" s="10">
        <f t="shared" si="57"/>
        <v>8.0000000000000071E-2</v>
      </c>
      <c r="AH41" s="10">
        <f t="shared" si="57"/>
        <v>8.0000000000000071E-2</v>
      </c>
      <c r="AI41" s="10">
        <f t="shared" si="57"/>
        <v>8.0000000000000293E-2</v>
      </c>
      <c r="AJ41" s="10">
        <f t="shared" si="57"/>
        <v>8.0000000000000071E-2</v>
      </c>
      <c r="AK41" s="10">
        <f t="shared" si="57"/>
        <v>8.0000000000000071E-2</v>
      </c>
      <c r="AL41" s="10">
        <f t="shared" si="57"/>
        <v>8.0000000000000071E-2</v>
      </c>
      <c r="AM41" s="10">
        <f t="shared" si="57"/>
        <v>8.0000000000000071E-2</v>
      </c>
      <c r="AN41" s="10">
        <f t="shared" si="57"/>
        <v>8.0000000000000071E-2</v>
      </c>
      <c r="AO41" s="10">
        <f t="shared" si="57"/>
        <v>8.0000000000000071E-2</v>
      </c>
      <c r="AR41" t="s">
        <v>63</v>
      </c>
      <c r="AS41" s="10">
        <v>-0.01</v>
      </c>
    </row>
    <row r="42" spans="2:45" x14ac:dyDescent="0.3">
      <c r="B42" t="s">
        <v>52</v>
      </c>
      <c r="G42" s="10">
        <f t="shared" si="52"/>
        <v>0.53061224489795911</v>
      </c>
      <c r="H42" s="10">
        <f t="shared" si="52"/>
        <v>0.46774193548387077</v>
      </c>
      <c r="I42" s="10">
        <f t="shared" si="52"/>
        <v>0.75806451612903225</v>
      </c>
      <c r="J42" s="10">
        <f t="shared" si="52"/>
        <v>0.31343283582089554</v>
      </c>
      <c r="K42" s="10">
        <f t="shared" si="52"/>
        <v>0.28000000000000003</v>
      </c>
      <c r="L42" s="10">
        <f t="shared" si="52"/>
        <v>-7.6923076923076872E-2</v>
      </c>
      <c r="M42" s="10">
        <f t="shared" si="52"/>
        <v>9.1743119266054496E-3</v>
      </c>
      <c r="N42" s="10">
        <f t="shared" si="52"/>
        <v>-3.4090909090909172E-2</v>
      </c>
      <c r="O42" s="10">
        <f t="shared" si="52"/>
        <v>9.375E-2</v>
      </c>
      <c r="P42" s="10">
        <f t="shared" si="55"/>
        <v>0.67857142857142838</v>
      </c>
      <c r="Q42" s="10">
        <f t="shared" si="55"/>
        <v>0.21818181818181825</v>
      </c>
      <c r="R42" s="10">
        <f>R11/N11-1</f>
        <v>0.41176470588235303</v>
      </c>
      <c r="S42" s="10">
        <f t="shared" ref="S42:V42" si="58">S11/O11-1</f>
        <v>7.6190476190476364E-2</v>
      </c>
      <c r="T42" s="10">
        <f t="shared" si="58"/>
        <v>0.30000000000000027</v>
      </c>
      <c r="U42" s="10">
        <f t="shared" si="58"/>
        <v>0.30000000000000004</v>
      </c>
      <c r="V42" s="10">
        <f t="shared" si="58"/>
        <v>0.30000000000000004</v>
      </c>
      <c r="Y42" s="10">
        <f>Y11/X11-1</f>
        <v>0.94444444444444442</v>
      </c>
      <c r="Z42" s="10">
        <f t="shared" ref="Z42:AO42" si="59">Z11/Y11-1</f>
        <v>0.42142857142857126</v>
      </c>
      <c r="AA42" s="10">
        <f t="shared" si="59"/>
        <v>0.20603015075376896</v>
      </c>
      <c r="AB42" s="10">
        <f t="shared" si="59"/>
        <v>0.51249999999999996</v>
      </c>
      <c r="AC42" s="10">
        <f t="shared" si="59"/>
        <v>3.3057851239669533E-2</v>
      </c>
      <c r="AD42" s="10">
        <f t="shared" si="59"/>
        <v>0.33333333333333326</v>
      </c>
      <c r="AE42" s="10">
        <f t="shared" si="59"/>
        <v>0.25300000000000011</v>
      </c>
      <c r="AF42" s="10">
        <f t="shared" si="59"/>
        <v>0.20999999999999996</v>
      </c>
      <c r="AG42" s="10">
        <f t="shared" si="59"/>
        <v>0.14999999999999991</v>
      </c>
      <c r="AH42" s="10">
        <f t="shared" si="59"/>
        <v>0.14999999999999991</v>
      </c>
      <c r="AI42" s="10">
        <f t="shared" si="59"/>
        <v>0.14999999999999991</v>
      </c>
      <c r="AJ42" s="10">
        <f t="shared" si="59"/>
        <v>0.14999999999999991</v>
      </c>
      <c r="AK42" s="10">
        <f t="shared" si="59"/>
        <v>0.14999999999999991</v>
      </c>
      <c r="AL42" s="10">
        <f t="shared" si="59"/>
        <v>0.14999999999999991</v>
      </c>
      <c r="AM42" s="10">
        <f t="shared" si="59"/>
        <v>0.14999999999999991</v>
      </c>
      <c r="AN42" s="10">
        <f t="shared" si="59"/>
        <v>0.14999999999999991</v>
      </c>
      <c r="AO42" s="10">
        <f t="shared" si="59"/>
        <v>0.14999999999999991</v>
      </c>
      <c r="AR42" t="s">
        <v>64</v>
      </c>
      <c r="AS42" s="10">
        <v>0.12</v>
      </c>
    </row>
    <row r="43" spans="2:45" x14ac:dyDescent="0.3">
      <c r="B43" t="s">
        <v>53</v>
      </c>
      <c r="G43" s="10">
        <f t="shared" si="52"/>
        <v>-0.19607843137254899</v>
      </c>
      <c r="H43" s="10">
        <f t="shared" si="52"/>
        <v>-0.3380281690140845</v>
      </c>
      <c r="I43" s="10">
        <f t="shared" si="52"/>
        <v>-0.16129032258064513</v>
      </c>
      <c r="J43" s="10">
        <f t="shared" si="52"/>
        <v>2.7397260273972712E-2</v>
      </c>
      <c r="K43" s="10">
        <f t="shared" si="52"/>
        <v>9.7560975609756184E-2</v>
      </c>
      <c r="L43" s="10">
        <f t="shared" si="52"/>
        <v>-0.21276595744680848</v>
      </c>
      <c r="M43" s="10">
        <f t="shared" si="52"/>
        <v>-9.6153846153846145E-2</v>
      </c>
      <c r="N43" s="10">
        <f t="shared" si="52"/>
        <v>-0.42666666666666664</v>
      </c>
      <c r="O43" s="10">
        <f t="shared" si="52"/>
        <v>2.2222222222222143E-2</v>
      </c>
      <c r="P43" s="10">
        <f t="shared" si="55"/>
        <v>0.86486486486486491</v>
      </c>
      <c r="Q43" s="10">
        <f t="shared" si="55"/>
        <v>0.82978723404255295</v>
      </c>
      <c r="R43" s="10">
        <f>R12/N12-1</f>
        <v>0.48837209302325602</v>
      </c>
      <c r="S43" s="10">
        <f t="shared" ref="S43:V43" si="60">S12/O12-1</f>
        <v>0.23913043478260887</v>
      </c>
      <c r="T43" s="10">
        <f t="shared" si="60"/>
        <v>0.30000000000000004</v>
      </c>
      <c r="U43" s="10">
        <f t="shared" si="60"/>
        <v>0.30000000000000004</v>
      </c>
      <c r="V43" s="10">
        <f t="shared" si="60"/>
        <v>0.39999999999999969</v>
      </c>
      <c r="Y43" s="10">
        <f>Y12/X12-1</f>
        <v>0.40000000000000013</v>
      </c>
      <c r="Z43" s="10">
        <f t="shared" ref="Z43:AO43" si="61">Z12/Y12-1</f>
        <v>0.31632653061224492</v>
      </c>
      <c r="AA43" s="10">
        <f t="shared" si="61"/>
        <v>-3.8759689922480689E-3</v>
      </c>
      <c r="AB43" s="10">
        <f t="shared" si="61"/>
        <v>-0.16342412451361865</v>
      </c>
      <c r="AC43" s="10">
        <f t="shared" si="61"/>
        <v>-0.20000000000000007</v>
      </c>
      <c r="AD43" s="10">
        <f t="shared" si="61"/>
        <v>0.54069767441860472</v>
      </c>
      <c r="AE43" s="10">
        <f t="shared" si="61"/>
        <v>0.31358490566037744</v>
      </c>
      <c r="AF43" s="10">
        <f t="shared" si="61"/>
        <v>0.28000000000000003</v>
      </c>
      <c r="AG43" s="10">
        <f t="shared" si="61"/>
        <v>0.19999999999999996</v>
      </c>
      <c r="AH43" s="10">
        <f t="shared" si="61"/>
        <v>0.14999999999999991</v>
      </c>
      <c r="AI43" s="10">
        <f t="shared" si="61"/>
        <v>0.14999999999999991</v>
      </c>
      <c r="AJ43" s="10">
        <f t="shared" si="61"/>
        <v>0.14999999999999991</v>
      </c>
      <c r="AK43" s="10">
        <f t="shared" si="61"/>
        <v>0.14999999999999991</v>
      </c>
      <c r="AL43" s="10">
        <f t="shared" si="61"/>
        <v>0.14999999999999991</v>
      </c>
      <c r="AM43" s="10">
        <f t="shared" si="61"/>
        <v>0.14999999999999991</v>
      </c>
      <c r="AN43" s="10">
        <f t="shared" si="61"/>
        <v>0.14999999999999991</v>
      </c>
      <c r="AO43" s="10">
        <f t="shared" si="61"/>
        <v>0.14999999999999991</v>
      </c>
      <c r="AR43" t="s">
        <v>65</v>
      </c>
      <c r="AS43" s="6">
        <f>NPV(AS42,AE31:ER31)</f>
        <v>-9.3411754286482083</v>
      </c>
    </row>
    <row r="44" spans="2:45" s="1" customFormat="1" x14ac:dyDescent="0.3">
      <c r="B44" s="1" t="s">
        <v>49</v>
      </c>
      <c r="G44" s="11">
        <f t="shared" si="52"/>
        <v>1.1342281879194629</v>
      </c>
      <c r="H44" s="11">
        <f t="shared" si="52"/>
        <v>0.17142857142857126</v>
      </c>
      <c r="I44" s="11">
        <f t="shared" si="52"/>
        <v>0.61797752808988782</v>
      </c>
      <c r="J44" s="11">
        <f t="shared" si="52"/>
        <v>1.8201438848920866</v>
      </c>
      <c r="K44" s="11">
        <f t="shared" si="52"/>
        <v>0.16666666666666674</v>
      </c>
      <c r="L44" s="11">
        <f t="shared" si="52"/>
        <v>1.3353658536585371</v>
      </c>
      <c r="M44" s="11">
        <f t="shared" si="52"/>
        <v>-0.40972222222222221</v>
      </c>
      <c r="N44" s="11">
        <f t="shared" si="52"/>
        <v>-0.42602040816326536</v>
      </c>
      <c r="O44" s="11">
        <f t="shared" si="52"/>
        <v>-0.54986522911051217</v>
      </c>
      <c r="P44" s="11">
        <f t="shared" si="55"/>
        <v>-0.41514360313315934</v>
      </c>
      <c r="Q44" s="11">
        <f t="shared" si="55"/>
        <v>-7.0588235294117729E-2</v>
      </c>
      <c r="R44" s="11">
        <f>R13/N13-1</f>
        <v>1.1955555555555555</v>
      </c>
      <c r="S44" s="11">
        <f t="shared" ref="S44:V44" si="62">S13/O13-1</f>
        <v>0.13173652694610793</v>
      </c>
      <c r="T44" s="11">
        <f t="shared" si="62"/>
        <v>0.29375000000000018</v>
      </c>
      <c r="U44" s="11">
        <f t="shared" si="62"/>
        <v>0.27763713080168784</v>
      </c>
      <c r="V44" s="11">
        <f t="shared" si="62"/>
        <v>0.24048582995951429</v>
      </c>
      <c r="Y44" s="11">
        <f>Y13/X13-1</f>
        <v>-0.3217877094972067</v>
      </c>
      <c r="Z44" s="11">
        <f t="shared" ref="Z44:AO44" si="63">Z13/Y13-1</f>
        <v>0.16639209225700147</v>
      </c>
      <c r="AA44" s="11">
        <f t="shared" si="63"/>
        <v>-1.8361581920903869E-2</v>
      </c>
      <c r="AB44" s="11">
        <f t="shared" si="63"/>
        <v>0.87913669064748201</v>
      </c>
      <c r="AC44" s="11">
        <f t="shared" si="63"/>
        <v>-5.5130168453292328E-2</v>
      </c>
      <c r="AD44" s="11">
        <f t="shared" si="63"/>
        <v>-9.0761750405186525E-2</v>
      </c>
      <c r="AE44" s="11">
        <f t="shared" si="63"/>
        <v>0.24278074866310151</v>
      </c>
      <c r="AF44" s="11">
        <f t="shared" si="63"/>
        <v>0.2392347963281698</v>
      </c>
      <c r="AG44" s="11">
        <f t="shared" si="63"/>
        <v>0.18014746042943552</v>
      </c>
      <c r="AH44" s="11">
        <f t="shared" si="63"/>
        <v>0.15705994443151572</v>
      </c>
      <c r="AI44" s="11">
        <f t="shared" si="63"/>
        <v>0.14539587712743685</v>
      </c>
      <c r="AJ44" s="11">
        <f t="shared" si="63"/>
        <v>0.1331711116232146</v>
      </c>
      <c r="AK44" s="11">
        <f t="shared" si="63"/>
        <v>0.13374036191383953</v>
      </c>
      <c r="AL44" s="11">
        <f t="shared" si="63"/>
        <v>0.13429724169392188</v>
      </c>
      <c r="AM44" s="11">
        <f t="shared" si="63"/>
        <v>0.13484153450194092</v>
      </c>
      <c r="AN44" s="11">
        <f t="shared" si="63"/>
        <v>0.1353730618572877</v>
      </c>
      <c r="AO44" s="11">
        <f t="shared" si="63"/>
        <v>0.13589168227264126</v>
      </c>
      <c r="AR44" t="s">
        <v>66</v>
      </c>
      <c r="AS44" s="6">
        <f>Main!D8</f>
        <v>128</v>
      </c>
    </row>
    <row r="45" spans="2:45" x14ac:dyDescent="0.3">
      <c r="B45" t="s">
        <v>54</v>
      </c>
      <c r="C45" s="10" t="e">
        <f t="shared" ref="C45:G48" si="64">(C9-C14)/C9</f>
        <v>#DIV/0!</v>
      </c>
      <c r="D45" s="10" t="e">
        <f t="shared" si="64"/>
        <v>#DIV/0!</v>
      </c>
      <c r="E45" s="10" t="e">
        <f t="shared" si="64"/>
        <v>#DIV/0!</v>
      </c>
      <c r="F45" s="10" t="e">
        <f t="shared" si="64"/>
        <v>#DIV/0!</v>
      </c>
      <c r="G45" s="10">
        <f t="shared" si="64"/>
        <v>-1.1111111111111072E-2</v>
      </c>
      <c r="H45" s="10" t="e">
        <f t="shared" ref="H45:R45" si="65">(H9-H14)/H9</f>
        <v>#DIV/0!</v>
      </c>
      <c r="I45" s="10">
        <f t="shared" si="65"/>
        <v>5.5555555555556347E-3</v>
      </c>
      <c r="J45" s="10">
        <f t="shared" si="65"/>
        <v>-5.4166666666666696E-2</v>
      </c>
      <c r="K45" s="10">
        <f t="shared" si="65"/>
        <v>0.89010989010989006</v>
      </c>
      <c r="L45" s="10" t="e">
        <f t="shared" si="65"/>
        <v>#DIV/0!</v>
      </c>
      <c r="M45" s="10" t="e">
        <f t="shared" si="65"/>
        <v>#DIV/0!</v>
      </c>
      <c r="N45" s="10">
        <f t="shared" si="65"/>
        <v>0.47619047619047616</v>
      </c>
      <c r="O45" s="10" t="e">
        <f t="shared" si="65"/>
        <v>#DIV/0!</v>
      </c>
      <c r="P45" s="10" t="e">
        <f t="shared" si="65"/>
        <v>#DIV/0!</v>
      </c>
      <c r="Q45" s="10">
        <f t="shared" si="65"/>
        <v>-13.000000000000002</v>
      </c>
      <c r="R45" s="10">
        <f t="shared" si="65"/>
        <v>-0.18503937007874027</v>
      </c>
      <c r="S45" s="10">
        <f t="shared" ref="S45:V45" si="66">(S9-S14)/S9</f>
        <v>-28.999999999999996</v>
      </c>
      <c r="T45" s="10" t="e">
        <f t="shared" si="66"/>
        <v>#DIV/0!</v>
      </c>
      <c r="U45" s="10" t="e">
        <f t="shared" si="66"/>
        <v>#DIV/0!</v>
      </c>
      <c r="V45" s="10">
        <f t="shared" si="66"/>
        <v>-0.05</v>
      </c>
      <c r="Y45" s="10">
        <f t="shared" ref="Y45:AO45" si="67">(Y9-Y14)/Y9</f>
        <v>-36.200000000000003</v>
      </c>
      <c r="Z45" s="10" t="e">
        <f t="shared" si="67"/>
        <v>#DIV/0!</v>
      </c>
      <c r="AA45" s="10" t="e">
        <f t="shared" si="67"/>
        <v>#DIV/0!</v>
      </c>
      <c r="AB45" s="10">
        <f t="shared" si="67"/>
        <v>-7.3333333333333195E-2</v>
      </c>
      <c r="AC45" s="10">
        <f t="shared" si="67"/>
        <v>0.3418367346938776</v>
      </c>
      <c r="AD45" s="10">
        <f t="shared" si="67"/>
        <v>-0.54085603112840475</v>
      </c>
      <c r="AE45" s="10">
        <f t="shared" si="67"/>
        <v>-0.14617940199335544</v>
      </c>
      <c r="AF45" s="10">
        <f t="shared" si="67"/>
        <v>0</v>
      </c>
      <c r="AG45" s="10">
        <f t="shared" si="67"/>
        <v>4.9999999999999996E-2</v>
      </c>
      <c r="AH45" s="10">
        <f t="shared" si="67"/>
        <v>0.10000000000000003</v>
      </c>
      <c r="AI45" s="10">
        <f t="shared" si="67"/>
        <v>0.15000000000000002</v>
      </c>
      <c r="AJ45" s="10">
        <f t="shared" si="67"/>
        <v>0.2</v>
      </c>
      <c r="AK45" s="10">
        <f t="shared" si="67"/>
        <v>0.19999999999999996</v>
      </c>
      <c r="AL45" s="10">
        <f t="shared" si="67"/>
        <v>0.1999999999999999</v>
      </c>
      <c r="AM45" s="10">
        <f t="shared" si="67"/>
        <v>0.19999999999999987</v>
      </c>
      <c r="AN45" s="10">
        <f t="shared" si="67"/>
        <v>0.1999999999999999</v>
      </c>
      <c r="AO45" s="10">
        <f t="shared" si="67"/>
        <v>0.19999999999999998</v>
      </c>
      <c r="AR45" t="s">
        <v>67</v>
      </c>
      <c r="AS45" s="6">
        <f>AS43+AS44</f>
        <v>118.65882457135179</v>
      </c>
    </row>
    <row r="46" spans="2:45" x14ac:dyDescent="0.3">
      <c r="B46" t="s">
        <v>55</v>
      </c>
      <c r="C46" s="10">
        <f t="shared" si="64"/>
        <v>-4.0816326530612096E-2</v>
      </c>
      <c r="D46" s="10">
        <f t="shared" si="64"/>
        <v>-3.1428571428571432</v>
      </c>
      <c r="E46" s="10">
        <f t="shared" si="64"/>
        <v>9.0909090909090953E-2</v>
      </c>
      <c r="F46" s="10">
        <f t="shared" si="64"/>
        <v>38</v>
      </c>
      <c r="G46" s="10">
        <f t="shared" si="64"/>
        <v>-9.0909090909090787E-2</v>
      </c>
      <c r="H46" s="10">
        <f t="shared" ref="H46:R46" si="68">(H10-H15)/H10</f>
        <v>-0.1538461538461538</v>
      </c>
      <c r="I46" s="10">
        <f t="shared" si="68"/>
        <v>0.1538461538461538</v>
      </c>
      <c r="J46" s="10">
        <f t="shared" si="68"/>
        <v>4.7272727272727266</v>
      </c>
      <c r="K46" s="10">
        <f t="shared" si="68"/>
        <v>0.21582733812949639</v>
      </c>
      <c r="L46" s="10">
        <f t="shared" si="68"/>
        <v>0.23282442748091595</v>
      </c>
      <c r="M46" s="10">
        <f t="shared" si="68"/>
        <v>2.0408163265306228E-2</v>
      </c>
      <c r="N46" s="10">
        <f t="shared" si="68"/>
        <v>6.3749999999999991</v>
      </c>
      <c r="O46" s="10">
        <f t="shared" si="68"/>
        <v>-0.18749999999999989</v>
      </c>
      <c r="P46" s="10">
        <f t="shared" si="68"/>
        <v>7.1428571428571341E-2</v>
      </c>
      <c r="Q46" s="10">
        <f t="shared" si="68"/>
        <v>0.21428571428571416</v>
      </c>
      <c r="R46" s="10">
        <f t="shared" si="68"/>
        <v>-0.21428571428571433</v>
      </c>
      <c r="S46" s="10">
        <f t="shared" ref="S46:V46" si="69">(S10-S15)/S10</f>
        <v>5.5555555555555601E-2</v>
      </c>
      <c r="T46" s="10">
        <f t="shared" si="69"/>
        <v>5.0000000000000044E-2</v>
      </c>
      <c r="U46" s="10">
        <f t="shared" si="69"/>
        <v>5.0000000000000044E-2</v>
      </c>
      <c r="V46" s="10">
        <f t="shared" si="69"/>
        <v>-5.0000000000000044E-2</v>
      </c>
      <c r="Y46" s="10">
        <f t="shared" ref="Y46:AO46" si="70">(Y10-Y15)/Y10</f>
        <v>0.28947368421052638</v>
      </c>
      <c r="Z46" s="10">
        <f t="shared" si="70"/>
        <v>0.42231075697211157</v>
      </c>
      <c r="AA46" s="10">
        <f t="shared" si="70"/>
        <v>-0.2474747474747474</v>
      </c>
      <c r="AB46" s="10">
        <f t="shared" si="70"/>
        <v>-0.34375000000000017</v>
      </c>
      <c r="AC46" s="10">
        <f t="shared" si="70"/>
        <v>8.55397148676173E-2</v>
      </c>
      <c r="AD46" s="10">
        <f t="shared" si="70"/>
        <v>-0.11000000000000014</v>
      </c>
      <c r="AE46" s="10">
        <f t="shared" si="70"/>
        <v>-5.723905723905842E-3</v>
      </c>
      <c r="AF46" s="10">
        <f>(AF10-AF15)/AF10</f>
        <v>0.10000000000000002</v>
      </c>
      <c r="AG46" s="10">
        <f t="shared" si="70"/>
        <v>0.19999999999999993</v>
      </c>
      <c r="AH46" s="10">
        <f t="shared" si="70"/>
        <v>0.2</v>
      </c>
      <c r="AI46" s="10">
        <f t="shared" si="70"/>
        <v>0.2</v>
      </c>
      <c r="AJ46" s="10">
        <f t="shared" si="70"/>
        <v>0.19999999999999993</v>
      </c>
      <c r="AK46" s="10">
        <f t="shared" si="70"/>
        <v>0.2</v>
      </c>
      <c r="AL46" s="10">
        <f t="shared" si="70"/>
        <v>0.19999999999999996</v>
      </c>
      <c r="AM46" s="10">
        <f t="shared" si="70"/>
        <v>0.19999999999999996</v>
      </c>
      <c r="AN46" s="10">
        <f t="shared" si="70"/>
        <v>0.19999999999999998</v>
      </c>
      <c r="AO46" s="10">
        <f t="shared" si="70"/>
        <v>0.2</v>
      </c>
      <c r="AR46" t="s">
        <v>68</v>
      </c>
      <c r="AS46" s="5">
        <f>AS45/AO32</f>
        <v>5.623640974945582</v>
      </c>
    </row>
    <row r="47" spans="2:45" x14ac:dyDescent="0.3">
      <c r="B47" t="s">
        <v>56</v>
      </c>
      <c r="C47" s="10">
        <f t="shared" si="64"/>
        <v>-0.44897959183673453</v>
      </c>
      <c r="D47" s="10">
        <f t="shared" si="64"/>
        <v>-0.5161290322580645</v>
      </c>
      <c r="E47" s="10">
        <f t="shared" si="64"/>
        <v>-8.0645161290322578E-2</v>
      </c>
      <c r="F47" s="10">
        <f t="shared" si="64"/>
        <v>-0.91044776119402993</v>
      </c>
      <c r="G47" s="10">
        <f t="shared" si="64"/>
        <v>-0.42666666666666658</v>
      </c>
      <c r="H47" s="10">
        <f t="shared" ref="H47:R47" si="71">(H11-H16)/H11</f>
        <v>-0.5494505494505495</v>
      </c>
      <c r="I47" s="10">
        <f t="shared" si="71"/>
        <v>-0.66055045871559637</v>
      </c>
      <c r="J47" s="10">
        <f t="shared" si="71"/>
        <v>-1.2954545454545452</v>
      </c>
      <c r="K47" s="10">
        <f t="shared" si="71"/>
        <v>-0.72916666666666685</v>
      </c>
      <c r="L47" s="10">
        <f t="shared" si="71"/>
        <v>-1.0357142857142858</v>
      </c>
      <c r="M47" s="10">
        <f t="shared" si="71"/>
        <v>-0.59090909090909094</v>
      </c>
      <c r="N47" s="10">
        <f t="shared" si="71"/>
        <v>-0.37647058823529406</v>
      </c>
      <c r="O47" s="10">
        <f t="shared" si="71"/>
        <v>-0.99047619047619029</v>
      </c>
      <c r="P47" s="10">
        <f t="shared" si="71"/>
        <v>-0.51773049645390068</v>
      </c>
      <c r="Q47" s="10">
        <f t="shared" si="71"/>
        <v>-0.40298507462686567</v>
      </c>
      <c r="R47" s="10">
        <f t="shared" si="71"/>
        <v>-0.56666666666666676</v>
      </c>
      <c r="S47" s="10">
        <f t="shared" ref="S47:V47" si="72">(S11-S16)/S11</f>
        <v>-0.35398230088495575</v>
      </c>
      <c r="T47" s="10">
        <f t="shared" si="72"/>
        <v>-0.2</v>
      </c>
      <c r="U47" s="10">
        <f t="shared" si="72"/>
        <v>-0.3000000000000001</v>
      </c>
      <c r="V47" s="10">
        <f t="shared" si="72"/>
        <v>-0.39999999999999986</v>
      </c>
      <c r="Y47" s="10">
        <f t="shared" ref="Y47:AO47" si="73">(Y11-Y16)/Y11</f>
        <v>-1.2571428571428573</v>
      </c>
      <c r="Z47" s="10">
        <f t="shared" si="73"/>
        <v>-0.4020100502512563</v>
      </c>
      <c r="AA47" s="10">
        <f t="shared" si="73"/>
        <v>-0.5</v>
      </c>
      <c r="AB47" s="10">
        <f t="shared" si="73"/>
        <v>-0.73829201101928377</v>
      </c>
      <c r="AC47" s="10">
        <f t="shared" si="73"/>
        <v>-0.67733333333333345</v>
      </c>
      <c r="AD47" s="10">
        <f t="shared" si="73"/>
        <v>-0.59799999999999986</v>
      </c>
      <c r="AE47" s="10">
        <f t="shared" si="73"/>
        <v>-0.30537909018355952</v>
      </c>
      <c r="AF47" s="10">
        <f t="shared" si="73"/>
        <v>-0.10000000000000007</v>
      </c>
      <c r="AG47" s="10">
        <f t="shared" si="73"/>
        <v>0.10000000000000003</v>
      </c>
      <c r="AH47" s="10">
        <f t="shared" si="73"/>
        <v>0.19999999999999996</v>
      </c>
      <c r="AI47" s="10">
        <f t="shared" si="73"/>
        <v>0.1999999999999999</v>
      </c>
      <c r="AJ47" s="10">
        <f t="shared" si="73"/>
        <v>0.23</v>
      </c>
      <c r="AK47" s="10">
        <f t="shared" si="73"/>
        <v>0.25000000000000006</v>
      </c>
      <c r="AL47" s="10">
        <f t="shared" si="73"/>
        <v>0.25999999999999995</v>
      </c>
      <c r="AM47" s="10">
        <f t="shared" si="73"/>
        <v>0.26000000000000006</v>
      </c>
      <c r="AN47" s="10">
        <f t="shared" si="73"/>
        <v>0.26</v>
      </c>
      <c r="AO47" s="10">
        <f t="shared" si="73"/>
        <v>0.26000000000000006</v>
      </c>
      <c r="AR47" t="s">
        <v>69</v>
      </c>
      <c r="AS47" s="5">
        <f>Main!D3</f>
        <v>3.72</v>
      </c>
    </row>
    <row r="48" spans="2:45" x14ac:dyDescent="0.3">
      <c r="B48" t="s">
        <v>57</v>
      </c>
      <c r="C48" s="10">
        <f t="shared" si="64"/>
        <v>0.23529411764705879</v>
      </c>
      <c r="D48" s="10">
        <f t="shared" si="64"/>
        <v>0.36619718309859151</v>
      </c>
      <c r="E48" s="10">
        <f t="shared" si="64"/>
        <v>0.33870967741935493</v>
      </c>
      <c r="F48" s="10">
        <f t="shared" si="64"/>
        <v>0.45205479452054792</v>
      </c>
      <c r="G48" s="10">
        <f t="shared" si="64"/>
        <v>0.17073170731707313</v>
      </c>
      <c r="H48" s="10">
        <f t="shared" ref="H48:R48" si="74">(H12-H17)/H12</f>
        <v>0.25531914893617025</v>
      </c>
      <c r="I48" s="10">
        <f t="shared" si="74"/>
        <v>0.32692307692307693</v>
      </c>
      <c r="J48" s="10">
        <f t="shared" si="74"/>
        <v>0.36000000000000004</v>
      </c>
      <c r="K48" s="10">
        <f t="shared" si="74"/>
        <v>0.26666666666666672</v>
      </c>
      <c r="L48" s="10">
        <f t="shared" si="74"/>
        <v>-2.7027027027026931E-2</v>
      </c>
      <c r="M48" s="10">
        <f t="shared" si="74"/>
        <v>0.19148936170212774</v>
      </c>
      <c r="N48" s="10">
        <f t="shared" si="74"/>
        <v>0.44186046511627908</v>
      </c>
      <c r="O48" s="10">
        <f t="shared" si="74"/>
        <v>0.30434782608695643</v>
      </c>
      <c r="P48" s="10">
        <f t="shared" si="74"/>
        <v>0.43478260869565222</v>
      </c>
      <c r="Q48" s="10">
        <f t="shared" si="74"/>
        <v>0.32558139534883718</v>
      </c>
      <c r="R48" s="10">
        <f t="shared" si="74"/>
        <v>0.28125000000000011</v>
      </c>
      <c r="S48" s="10">
        <f t="shared" ref="S48:V48" si="75">(S12-S17)/S12</f>
        <v>0.26315789473684209</v>
      </c>
      <c r="T48" s="10">
        <f t="shared" si="75"/>
        <v>0.45</v>
      </c>
      <c r="U48" s="10">
        <f t="shared" si="75"/>
        <v>0.45</v>
      </c>
      <c r="V48" s="10">
        <f t="shared" si="75"/>
        <v>0.44999999999999996</v>
      </c>
      <c r="Y48" s="10">
        <f t="shared" ref="Y48:AO48" si="76">(Y12-Y17)/Y12</f>
        <v>0.3418367346938776</v>
      </c>
      <c r="Z48" s="10">
        <f t="shared" si="76"/>
        <v>0.36821705426356588</v>
      </c>
      <c r="AA48" s="10">
        <f t="shared" si="76"/>
        <v>0.35797665369649806</v>
      </c>
      <c r="AB48" s="10">
        <f t="shared" si="76"/>
        <v>0.2930232558139535</v>
      </c>
      <c r="AC48" s="10">
        <f t="shared" si="76"/>
        <v>0.22674418604651167</v>
      </c>
      <c r="AD48" s="10">
        <f t="shared" si="76"/>
        <v>0.33962264150943394</v>
      </c>
      <c r="AE48" s="10">
        <f t="shared" si="76"/>
        <v>0.4194053432921574</v>
      </c>
      <c r="AF48" s="10">
        <f t="shared" si="76"/>
        <v>0.55000000000000004</v>
      </c>
      <c r="AG48" s="10">
        <f t="shared" si="76"/>
        <v>0.6</v>
      </c>
      <c r="AH48" s="10">
        <f t="shared" si="76"/>
        <v>0.62</v>
      </c>
      <c r="AI48" s="10">
        <f t="shared" si="76"/>
        <v>0.63000000000000012</v>
      </c>
      <c r="AJ48" s="10">
        <f t="shared" si="76"/>
        <v>0.63</v>
      </c>
      <c r="AK48" s="10">
        <f t="shared" si="76"/>
        <v>0.63</v>
      </c>
      <c r="AL48" s="10">
        <f t="shared" si="76"/>
        <v>0.63</v>
      </c>
      <c r="AM48" s="10">
        <f t="shared" si="76"/>
        <v>0.63</v>
      </c>
      <c r="AN48" s="10">
        <f t="shared" si="76"/>
        <v>0.63000000000000012</v>
      </c>
      <c r="AO48" s="10">
        <f t="shared" si="76"/>
        <v>0.63</v>
      </c>
      <c r="AR48" s="1" t="s">
        <v>70</v>
      </c>
      <c r="AS48" s="11">
        <f>AS46/AS47-1</f>
        <v>0.5117314448778445</v>
      </c>
    </row>
    <row r="49" spans="2:45" s="1" customFormat="1" x14ac:dyDescent="0.3">
      <c r="B49" s="1" t="s">
        <v>58</v>
      </c>
      <c r="C49" s="11">
        <f t="shared" ref="C49:F49" si="77">C19/C13</f>
        <v>-0.24161073825503351</v>
      </c>
      <c r="D49" s="11">
        <f t="shared" si="77"/>
        <v>-0.33571428571428569</v>
      </c>
      <c r="E49" s="11">
        <f t="shared" si="77"/>
        <v>3.745318352059912E-2</v>
      </c>
      <c r="F49" s="11">
        <f t="shared" si="77"/>
        <v>-0.60431654676258995</v>
      </c>
      <c r="G49" s="11">
        <f>G19/G13</f>
        <v>-9.1194968553459085E-2</v>
      </c>
      <c r="H49" s="11">
        <f t="shared" ref="H49:R49" si="78">H19/H13</f>
        <v>-0.43902439024390266</v>
      </c>
      <c r="I49" s="11">
        <f t="shared" si="78"/>
        <v>-9.2592592592592587E-2</v>
      </c>
      <c r="J49" s="11">
        <f t="shared" si="78"/>
        <v>-0.38775510204081604</v>
      </c>
      <c r="K49" s="11">
        <f t="shared" si="78"/>
        <v>0.14285714285714288</v>
      </c>
      <c r="L49" s="11">
        <f t="shared" si="78"/>
        <v>-0.16187989556135757</v>
      </c>
      <c r="M49" s="11">
        <f t="shared" si="78"/>
        <v>-0.32549019607843127</v>
      </c>
      <c r="N49" s="11">
        <f t="shared" si="78"/>
        <v>-6.2222222222222158E-2</v>
      </c>
      <c r="O49" s="11">
        <f t="shared" si="78"/>
        <v>-0.70059880239520955</v>
      </c>
      <c r="P49" s="11">
        <f t="shared" si="78"/>
        <v>-0.31696428571428564</v>
      </c>
      <c r="Q49" s="11">
        <f t="shared" si="78"/>
        <v>-0.2616033755274263</v>
      </c>
      <c r="R49" s="11">
        <f t="shared" si="78"/>
        <v>-0.22064777327935234</v>
      </c>
      <c r="S49" s="11">
        <f t="shared" ref="S49:V49" si="79">S19/S13</f>
        <v>-0.28042328042328024</v>
      </c>
      <c r="T49" s="11">
        <f t="shared" si="79"/>
        <v>1.5683229813664698E-2</v>
      </c>
      <c r="U49" s="11">
        <f t="shared" si="79"/>
        <v>-3.6657859973581309E-3</v>
      </c>
      <c r="V49" s="11">
        <f t="shared" si="79"/>
        <v>-6.599216710182762E-2</v>
      </c>
      <c r="Y49" s="11">
        <f t="shared" ref="Y49:AO49" si="80">Y19/Y13</f>
        <v>-0.3509060955518945</v>
      </c>
      <c r="Z49" s="11">
        <f t="shared" si="80"/>
        <v>3.1073446327683656E-2</v>
      </c>
      <c r="AA49" s="11">
        <f t="shared" si="80"/>
        <v>-0.2258992805755394</v>
      </c>
      <c r="AB49" s="11">
        <f t="shared" si="80"/>
        <v>-0.22434915773353739</v>
      </c>
      <c r="AC49" s="11">
        <f t="shared" si="80"/>
        <v>-8.5899513776336936E-2</v>
      </c>
      <c r="AD49" s="11">
        <f t="shared" si="80"/>
        <v>-0.31996434937611401</v>
      </c>
      <c r="AE49" s="11">
        <f t="shared" si="80"/>
        <v>-6.454747561675285E-2</v>
      </c>
      <c r="AF49" s="11">
        <f t="shared" si="80"/>
        <v>0.10564968874223168</v>
      </c>
      <c r="AG49" s="11">
        <f t="shared" si="80"/>
        <v>0.22614960532453721</v>
      </c>
      <c r="AH49" s="11">
        <f t="shared" si="80"/>
        <v>0.28457307945406118</v>
      </c>
      <c r="AI49" s="11">
        <f t="shared" si="80"/>
        <v>0.30001706018916202</v>
      </c>
      <c r="AJ49" s="11">
        <f t="shared" si="80"/>
        <v>0.3271632972115458</v>
      </c>
      <c r="AK49" s="11">
        <f t="shared" si="80"/>
        <v>0.33776971623617191</v>
      </c>
      <c r="AL49" s="11">
        <f t="shared" si="80"/>
        <v>0.34412908491916433</v>
      </c>
      <c r="AM49" s="11">
        <f t="shared" si="80"/>
        <v>0.34605426627232372</v>
      </c>
      <c r="AN49" s="11">
        <f t="shared" si="80"/>
        <v>0.34793587399230075</v>
      </c>
      <c r="AO49" s="11">
        <f t="shared" si="80"/>
        <v>0.3497733082707013</v>
      </c>
      <c r="AR49" t="s">
        <v>71</v>
      </c>
      <c r="AS49" s="7" t="s">
        <v>124</v>
      </c>
    </row>
    <row r="50" spans="2:45" x14ac:dyDescent="0.3">
      <c r="B50" t="s">
        <v>59</v>
      </c>
      <c r="G50" s="10">
        <f>G20/C20-1</f>
        <v>3.1573033707865168</v>
      </c>
      <c r="H50" s="10">
        <f t="shared" ref="H50:R50" si="81">H20/D20-1</f>
        <v>0.36082474226804129</v>
      </c>
      <c r="I50" s="10">
        <f t="shared" si="81"/>
        <v>0.63218390804597702</v>
      </c>
      <c r="J50" s="10">
        <f t="shared" si="81"/>
        <v>0.42990654205607504</v>
      </c>
      <c r="K50" s="10">
        <f t="shared" si="81"/>
        <v>-0.59459459459459452</v>
      </c>
      <c r="L50" s="10">
        <f t="shared" si="81"/>
        <v>0.14393939393939403</v>
      </c>
      <c r="M50" s="10">
        <f t="shared" si="81"/>
        <v>0.23943661971830998</v>
      </c>
      <c r="N50" s="10">
        <f t="shared" si="81"/>
        <v>0.10457516339869266</v>
      </c>
      <c r="O50" s="10">
        <f t="shared" si="81"/>
        <v>9.3333333333333268E-2</v>
      </c>
      <c r="P50" s="10">
        <f t="shared" si="81"/>
        <v>0.17218543046357615</v>
      </c>
      <c r="Q50" s="10">
        <f t="shared" si="81"/>
        <v>-0.17045454545454553</v>
      </c>
      <c r="R50" s="10">
        <f t="shared" si="81"/>
        <v>-5.9171597633135953E-2</v>
      </c>
      <c r="S50" s="10">
        <f t="shared" ref="S50:S51" si="82">S20/O20-1</f>
        <v>-8.536585365853655E-2</v>
      </c>
      <c r="T50" s="10">
        <f t="shared" ref="T50:T51" si="83">T20/P20-1</f>
        <v>-0.18000000000000005</v>
      </c>
      <c r="U50" s="10">
        <f t="shared" ref="U50:U51" si="84">U20/Q20-1</f>
        <v>-0.18000000000000005</v>
      </c>
      <c r="V50" s="10">
        <f t="shared" ref="V50:V51" si="85">V20/R20-1</f>
        <v>-0.18000000000000005</v>
      </c>
      <c r="Y50" s="10">
        <f>Y20/X20-1</f>
        <v>0.28112449799196781</v>
      </c>
      <c r="Z50" s="10">
        <f t="shared" ref="Z50:AO50" si="86">Z20/Y20-1</f>
        <v>-0.16614420062695912</v>
      </c>
      <c r="AA50" s="10">
        <f t="shared" si="86"/>
        <v>0.4285714285714286</v>
      </c>
      <c r="AB50" s="10">
        <f t="shared" si="86"/>
        <v>1.0973684210526318</v>
      </c>
      <c r="AC50" s="10">
        <f t="shared" si="86"/>
        <v>-0.18946047678795497</v>
      </c>
      <c r="AD50" s="10">
        <f t="shared" si="86"/>
        <v>0</v>
      </c>
      <c r="AE50" s="10">
        <f t="shared" si="86"/>
        <v>-0.15597523219814236</v>
      </c>
      <c r="AF50" s="10">
        <f t="shared" si="86"/>
        <v>2.0000000000000018E-2</v>
      </c>
      <c r="AG50" s="10">
        <f t="shared" si="86"/>
        <v>2.0000000000000018E-2</v>
      </c>
      <c r="AH50" s="10">
        <f t="shared" si="86"/>
        <v>2.0000000000000018E-2</v>
      </c>
      <c r="AI50" s="10">
        <f t="shared" si="86"/>
        <v>2.0000000000000018E-2</v>
      </c>
      <c r="AJ50" s="10">
        <f t="shared" si="86"/>
        <v>2.0000000000000018E-2</v>
      </c>
      <c r="AK50" s="10">
        <f t="shared" si="86"/>
        <v>2.0000000000000018E-2</v>
      </c>
      <c r="AL50" s="10">
        <f t="shared" si="86"/>
        <v>2.0000000000000018E-2</v>
      </c>
      <c r="AM50" s="10">
        <f t="shared" si="86"/>
        <v>2.0000000000000018E-2</v>
      </c>
      <c r="AN50" s="10">
        <f t="shared" si="86"/>
        <v>2.0000000000000018E-2</v>
      </c>
      <c r="AO50" s="10">
        <f t="shared" si="86"/>
        <v>2.0000000000000018E-2</v>
      </c>
    </row>
    <row r="51" spans="2:45" x14ac:dyDescent="0.3">
      <c r="B51" t="s">
        <v>60</v>
      </c>
      <c r="G51" s="10">
        <f>G21/C21-1</f>
        <v>1.7777777777777777</v>
      </c>
      <c r="H51" s="10">
        <f t="shared" ref="H51:R51" si="87">H21/D21-1</f>
        <v>1.5666666666666669</v>
      </c>
      <c r="I51" s="10">
        <f t="shared" si="87"/>
        <v>2.2333333333333329</v>
      </c>
      <c r="J51" s="10">
        <f t="shared" si="87"/>
        <v>2.4857142857142853</v>
      </c>
      <c r="K51" s="10">
        <f t="shared" si="87"/>
        <v>1.54</v>
      </c>
      <c r="L51" s="10">
        <f t="shared" si="87"/>
        <v>0.90909090909090895</v>
      </c>
      <c r="M51" s="10">
        <f t="shared" si="87"/>
        <v>0.60824742268041243</v>
      </c>
      <c r="N51" s="10">
        <f t="shared" si="87"/>
        <v>0.47540983606557385</v>
      </c>
      <c r="O51" s="10">
        <f t="shared" si="87"/>
        <v>0.13385826771653542</v>
      </c>
      <c r="P51" s="10">
        <f t="shared" si="87"/>
        <v>0.12925170068027225</v>
      </c>
      <c r="Q51" s="10">
        <f t="shared" si="87"/>
        <v>-0.1794871794871794</v>
      </c>
      <c r="R51" s="10">
        <f t="shared" si="87"/>
        <v>-0.35555555555555562</v>
      </c>
      <c r="S51" s="10">
        <f t="shared" si="82"/>
        <v>-0.22916666666666674</v>
      </c>
      <c r="T51" s="10">
        <f t="shared" si="83"/>
        <v>-0.35</v>
      </c>
      <c r="U51" s="10">
        <f t="shared" si="84"/>
        <v>-0.15000000000000002</v>
      </c>
      <c r="V51" s="10">
        <f t="shared" si="85"/>
        <v>1.0000000000000009E-2</v>
      </c>
      <c r="Y51" s="10">
        <f>Y21/X21-1</f>
        <v>-0.39473684210526316</v>
      </c>
      <c r="Z51" s="10">
        <f t="shared" ref="Z51:AO51" si="88">Z21/Y21-1</f>
        <v>-0.65217391304347827</v>
      </c>
      <c r="AA51" s="10">
        <f t="shared" si="88"/>
        <v>1.354166666666667</v>
      </c>
      <c r="AB51" s="10">
        <f t="shared" si="88"/>
        <v>2.0619469026548667</v>
      </c>
      <c r="AC51" s="10">
        <f t="shared" si="88"/>
        <v>0.76300578034682109</v>
      </c>
      <c r="AD51" s="10">
        <f t="shared" si="88"/>
        <v>-9.1803278688524559E-2</v>
      </c>
      <c r="AE51" s="10">
        <f t="shared" si="88"/>
        <v>-0.19700361010830314</v>
      </c>
      <c r="AF51" s="10">
        <f t="shared" si="88"/>
        <v>2.0000000000000018E-2</v>
      </c>
      <c r="AG51" s="10">
        <f t="shared" si="88"/>
        <v>2.0000000000000018E-2</v>
      </c>
      <c r="AH51" s="10">
        <f t="shared" si="88"/>
        <v>2.0000000000000018E-2</v>
      </c>
      <c r="AI51" s="10">
        <f t="shared" si="88"/>
        <v>2.0000000000000018E-2</v>
      </c>
      <c r="AJ51" s="10">
        <f t="shared" si="88"/>
        <v>2.0000000000000018E-2</v>
      </c>
      <c r="AK51" s="10">
        <f t="shared" si="88"/>
        <v>2.0000000000000018E-2</v>
      </c>
      <c r="AL51" s="10">
        <f t="shared" si="88"/>
        <v>2.0000000000000018E-2</v>
      </c>
      <c r="AM51" s="10">
        <f t="shared" si="88"/>
        <v>2.0000000000000018E-2</v>
      </c>
      <c r="AN51" s="10">
        <f t="shared" si="88"/>
        <v>2.0000000000000018E-2</v>
      </c>
      <c r="AO51" s="10">
        <f t="shared" si="88"/>
        <v>2.0000000000000018E-2</v>
      </c>
    </row>
    <row r="52" spans="2:45" x14ac:dyDescent="0.3">
      <c r="B52" s="1" t="s">
        <v>62</v>
      </c>
      <c r="C52" s="11">
        <f>C24/C13</f>
        <v>-0.95973154362416113</v>
      </c>
      <c r="D52" s="11">
        <f t="shared" ref="D52:R52" si="89">D24/D13</f>
        <v>-1.2428571428571427</v>
      </c>
      <c r="E52" s="11">
        <f t="shared" si="89"/>
        <v>-0.40074906367041208</v>
      </c>
      <c r="F52" s="11">
        <f t="shared" si="89"/>
        <v>-1.6258992805755397</v>
      </c>
      <c r="G52" s="11">
        <f t="shared" si="89"/>
        <v>-1.4119496855345912</v>
      </c>
      <c r="H52" s="11">
        <f t="shared" si="89"/>
        <v>-1.7134146341463417</v>
      </c>
      <c r="I52" s="11">
        <f t="shared" si="89"/>
        <v>-0.64583333333333326</v>
      </c>
      <c r="J52" s="11">
        <f t="shared" si="89"/>
        <v>-1.089285714285714</v>
      </c>
      <c r="K52" s="11">
        <f t="shared" si="89"/>
        <v>-0.60377358490566035</v>
      </c>
      <c r="L52" s="11">
        <f t="shared" si="89"/>
        <v>-0.93994778067885087</v>
      </c>
      <c r="M52" s="11">
        <f t="shared" si="89"/>
        <v>-1.6274509803921569</v>
      </c>
      <c r="N52" s="11">
        <f t="shared" si="89"/>
        <v>-1.6133333333333333</v>
      </c>
      <c r="O52" s="11">
        <f t="shared" si="89"/>
        <v>-2.5449101796407185</v>
      </c>
      <c r="P52" s="11">
        <f t="shared" si="89"/>
        <v>-1.8482142857142854</v>
      </c>
      <c r="Q52" s="11">
        <f t="shared" si="89"/>
        <v>-1.4177215189873418</v>
      </c>
      <c r="R52" s="11">
        <f t="shared" si="89"/>
        <v>-0.82995951417004066</v>
      </c>
      <c r="S52" s="11">
        <f t="shared" ref="S52:V52" si="90">S24/S13</f>
        <v>-1.7407407407407405</v>
      </c>
      <c r="T52" s="11">
        <f t="shared" si="90"/>
        <v>-0.9264837819185644</v>
      </c>
      <c r="U52" s="11">
        <f t="shared" si="90"/>
        <v>-0.80789299867899611</v>
      </c>
      <c r="V52" s="11">
        <f t="shared" si="90"/>
        <v>-0.4699412532637075</v>
      </c>
      <c r="W52" s="1"/>
      <c r="X52" s="1"/>
      <c r="Y52" s="11">
        <f t="shared" ref="Y52:AO52" si="91">Y24/Y13</f>
        <v>-1.1037891268533773</v>
      </c>
      <c r="Z52" s="11">
        <f t="shared" si="91"/>
        <v>-0.41242937853107348</v>
      </c>
      <c r="AA52" s="11">
        <f t="shared" si="91"/>
        <v>-0.93525179856115093</v>
      </c>
      <c r="AB52" s="11">
        <f t="shared" si="91"/>
        <v>-1.0995405819295556</v>
      </c>
      <c r="AC52" s="11">
        <f t="shared" si="91"/>
        <v>-1.1037277147487841</v>
      </c>
      <c r="AD52" s="11">
        <f t="shared" si="91"/>
        <v>-1.4126559714795008</v>
      </c>
      <c r="AE52" s="11">
        <f t="shared" si="91"/>
        <v>-0.81045969592656353</v>
      </c>
      <c r="AF52" s="11">
        <f t="shared" si="91"/>
        <v>-0.47878805941473002</v>
      </c>
      <c r="AG52" s="11">
        <f t="shared" si="91"/>
        <v>-0.2789792223078848</v>
      </c>
      <c r="AH52" s="11">
        <f t="shared" si="91"/>
        <v>-0.16072053447206341</v>
      </c>
      <c r="AI52" s="11">
        <f t="shared" si="91"/>
        <v>-9.6526611107912885E-2</v>
      </c>
      <c r="AJ52" s="11">
        <f t="shared" si="91"/>
        <v>-2.9777098262907753E-2</v>
      </c>
      <c r="AK52" s="11">
        <f t="shared" si="91"/>
        <v>1.6638692225216342E-2</v>
      </c>
      <c r="AL52" s="11">
        <f t="shared" si="91"/>
        <v>5.5356766296563262E-2</v>
      </c>
      <c r="AM52" s="11">
        <f t="shared" si="91"/>
        <v>8.6504579342399926E-2</v>
      </c>
      <c r="AN52" s="11">
        <f t="shared" si="91"/>
        <v>0.11476081500732792</v>
      </c>
      <c r="AO52" s="11">
        <f t="shared" si="91"/>
        <v>0.14038841367510438</v>
      </c>
    </row>
    <row r="53" spans="2:45" x14ac:dyDescent="0.3">
      <c r="B53" t="s">
        <v>41</v>
      </c>
      <c r="C53" s="10">
        <f t="shared" ref="C53:F53" si="92">C29/C28</f>
        <v>0</v>
      </c>
      <c r="D53" s="10">
        <f t="shared" si="92"/>
        <v>0</v>
      </c>
      <c r="E53" s="10">
        <f t="shared" si="92"/>
        <v>0</v>
      </c>
      <c r="F53" s="10">
        <f t="shared" si="92"/>
        <v>0</v>
      </c>
      <c r="G53" s="10">
        <f>G29/G28</f>
        <v>0</v>
      </c>
      <c r="H53" s="10">
        <f t="shared" ref="H53:R53" si="93">H29/H28</f>
        <v>0</v>
      </c>
      <c r="I53" s="10">
        <f t="shared" si="93"/>
        <v>-1.7605633802816902E-2</v>
      </c>
      <c r="J53" s="10">
        <f t="shared" si="93"/>
        <v>-7.1942446043165489E-3</v>
      </c>
      <c r="K53" s="10">
        <f t="shared" si="93"/>
        <v>-2.9411764705882353E-2</v>
      </c>
      <c r="L53" s="10">
        <f t="shared" si="93"/>
        <v>0</v>
      </c>
      <c r="M53" s="10">
        <f t="shared" si="93"/>
        <v>0</v>
      </c>
      <c r="N53" s="10">
        <f t="shared" si="93"/>
        <v>0</v>
      </c>
      <c r="O53" s="10">
        <f t="shared" si="93"/>
        <v>0</v>
      </c>
      <c r="P53" s="10">
        <f t="shared" si="93"/>
        <v>0</v>
      </c>
      <c r="Q53" s="10">
        <f t="shared" si="93"/>
        <v>0</v>
      </c>
      <c r="R53" s="10">
        <f t="shared" si="93"/>
        <v>0</v>
      </c>
      <c r="S53" s="10">
        <f t="shared" ref="S53:V53" si="94">S29/S28</f>
        <v>0</v>
      </c>
      <c r="T53" s="10">
        <f t="shared" si="94"/>
        <v>0</v>
      </c>
      <c r="U53" s="10">
        <f t="shared" si="94"/>
        <v>0</v>
      </c>
      <c r="V53" s="10">
        <f t="shared" si="94"/>
        <v>0</v>
      </c>
      <c r="Y53" s="10">
        <f t="shared" ref="Y53:AO53" si="95">Y29/Y28</f>
        <v>-1.2903225806451613E-3</v>
      </c>
      <c r="Z53" s="10">
        <f t="shared" si="95"/>
        <v>-1.2642225031605564E-3</v>
      </c>
      <c r="AA53" s="10">
        <f t="shared" si="95"/>
        <v>0</v>
      </c>
      <c r="AB53" s="10">
        <f t="shared" si="95"/>
        <v>-5.4719562243502069E-3</v>
      </c>
      <c r="AC53" s="10">
        <f t="shared" si="95"/>
        <v>-5.5813953488372103E-3</v>
      </c>
      <c r="AD53" s="10">
        <f t="shared" si="95"/>
        <v>0</v>
      </c>
      <c r="AE53" s="10">
        <f t="shared" si="95"/>
        <v>0</v>
      </c>
      <c r="AF53" s="10">
        <f t="shared" si="95"/>
        <v>0</v>
      </c>
      <c r="AG53" s="10">
        <f t="shared" si="95"/>
        <v>0</v>
      </c>
      <c r="AH53" s="10">
        <f t="shared" si="95"/>
        <v>0</v>
      </c>
      <c r="AI53" s="10">
        <f t="shared" si="95"/>
        <v>0</v>
      </c>
      <c r="AJ53" s="10">
        <f t="shared" si="95"/>
        <v>0</v>
      </c>
      <c r="AK53" s="10">
        <f t="shared" si="95"/>
        <v>0</v>
      </c>
      <c r="AL53" s="10">
        <f t="shared" si="95"/>
        <v>0</v>
      </c>
      <c r="AM53" s="10">
        <f t="shared" si="95"/>
        <v>0</v>
      </c>
      <c r="AN53" s="10">
        <f t="shared" si="95"/>
        <v>0</v>
      </c>
      <c r="AO53" s="10">
        <f t="shared" si="95"/>
        <v>0</v>
      </c>
    </row>
    <row r="54" spans="2:45" s="1" customFormat="1" x14ac:dyDescent="0.3">
      <c r="B54" s="1" t="s">
        <v>61</v>
      </c>
      <c r="C54" s="11">
        <f t="shared" ref="C54:F54" si="96">C31/C13</f>
        <v>-3.0805369127516777</v>
      </c>
      <c r="D54" s="11">
        <f t="shared" si="96"/>
        <v>-1.3571428571428572</v>
      </c>
      <c r="E54" s="11">
        <f t="shared" si="96"/>
        <v>-0.45318352059925104</v>
      </c>
      <c r="F54" s="11">
        <f t="shared" si="96"/>
        <v>-1.7410071942446042</v>
      </c>
      <c r="G54" s="11">
        <f>G31/G13</f>
        <v>-1.2767295597484276</v>
      </c>
      <c r="H54" s="11">
        <f t="shared" ref="H54:R54" si="97">H31/H13</f>
        <v>-1.8231707317073171</v>
      </c>
      <c r="I54" s="11">
        <f t="shared" si="97"/>
        <v>-0.67824074074074059</v>
      </c>
      <c r="J54" s="11">
        <f t="shared" si="97"/>
        <v>-1.0841836734693873</v>
      </c>
      <c r="K54" s="11">
        <f t="shared" si="97"/>
        <v>-0.49865229110512127</v>
      </c>
      <c r="L54" s="11">
        <f t="shared" si="97"/>
        <v>-0.89817232375979084</v>
      </c>
      <c r="M54" s="11">
        <f t="shared" si="97"/>
        <v>-0.95686274509803904</v>
      </c>
      <c r="N54" s="11">
        <f t="shared" si="97"/>
        <v>-1.3822222222222218</v>
      </c>
      <c r="O54" s="11">
        <f t="shared" si="97"/>
        <v>-1.2335329341317365</v>
      </c>
      <c r="P54" s="11">
        <f t="shared" si="97"/>
        <v>-1.4732142857142851</v>
      </c>
      <c r="Q54" s="11">
        <f t="shared" si="97"/>
        <v>-1.4092827004219413</v>
      </c>
      <c r="R54" s="11">
        <f t="shared" si="97"/>
        <v>-0.85222672064777349</v>
      </c>
      <c r="S54" s="11">
        <f t="shared" ref="S54:V54" si="98">S31/S13</f>
        <v>-1.497354497354497</v>
      </c>
      <c r="T54" s="11">
        <f t="shared" si="98"/>
        <v>-0.99549689440993772</v>
      </c>
      <c r="U54" s="11">
        <f t="shared" si="98"/>
        <v>-0.87394319682959065</v>
      </c>
      <c r="V54" s="11">
        <f t="shared" si="98"/>
        <v>-0.50257832898172317</v>
      </c>
      <c r="Y54" s="11">
        <f t="shared" ref="Y54:AO54" si="99">Y31/Y13</f>
        <v>-1.2784184514003294</v>
      </c>
      <c r="Z54" s="11">
        <f t="shared" si="99"/>
        <v>-1.1186440677966101</v>
      </c>
      <c r="AA54" s="11">
        <f t="shared" si="99"/>
        <v>-1.4561151079136689</v>
      </c>
      <c r="AB54" s="11">
        <f t="shared" si="99"/>
        <v>-1.0895865237366003</v>
      </c>
      <c r="AC54" s="11">
        <f t="shared" si="99"/>
        <v>-0.87844408427876775</v>
      </c>
      <c r="AD54" s="11">
        <f t="shared" si="99"/>
        <v>-1.1506238859180036</v>
      </c>
      <c r="AE54" s="11">
        <f t="shared" si="99"/>
        <v>-0.82049985656913382</v>
      </c>
      <c r="AF54" s="11">
        <f t="shared" si="99"/>
        <v>-0.47998019663319613</v>
      </c>
      <c r="AG54" s="11">
        <f t="shared" si="99"/>
        <v>-0.28001968663644694</v>
      </c>
      <c r="AH54" s="11">
        <f t="shared" si="99"/>
        <v>-0.16164674254242017</v>
      </c>
      <c r="AI54" s="11">
        <f t="shared" si="99"/>
        <v>-9.7359505944988781E-2</v>
      </c>
      <c r="AJ54" s="11">
        <f t="shared" si="99"/>
        <v>-3.0534161051915247E-2</v>
      </c>
      <c r="AK54" s="11">
        <f t="shared" si="99"/>
        <v>1.5950902764001958E-2</v>
      </c>
      <c r="AL54" s="11">
        <f t="shared" si="99"/>
        <v>5.4732218233664962E-2</v>
      </c>
      <c r="AM54" s="11">
        <f t="shared" si="99"/>
        <v>8.5937729711656044E-2</v>
      </c>
      <c r="AN54" s="11">
        <f t="shared" si="99"/>
        <v>0.11424657423547879</v>
      </c>
      <c r="AO54" s="11">
        <f t="shared" si="99"/>
        <v>0.13992211217534792</v>
      </c>
    </row>
    <row r="56" spans="2:45" s="1" customFormat="1" x14ac:dyDescent="0.3">
      <c r="B56" s="1" t="s">
        <v>66</v>
      </c>
      <c r="N56" s="8">
        <f>N57+N58+N63-N73-N81</f>
        <v>273.79999999999995</v>
      </c>
      <c r="O56" s="8">
        <f>O57+O58+O63-O73-O81</f>
        <v>221</v>
      </c>
      <c r="P56" s="8">
        <f>P57+P58+P63-P73-P81</f>
        <v>171.50000000000006</v>
      </c>
      <c r="Q56" s="8">
        <f>Q57+Q58+Q63-Q73-Q81</f>
        <v>187.00000000000006</v>
      </c>
      <c r="R56" s="8">
        <f>R57+R58+R63-R73-R81</f>
        <v>171.20000000000002</v>
      </c>
      <c r="S56" s="8"/>
      <c r="T56" s="8"/>
      <c r="U56" s="8"/>
      <c r="V56" s="8"/>
      <c r="AC56" s="8">
        <f>AC57+AC58+AC63-AC73-AC81</f>
        <v>273.79999999999995</v>
      </c>
      <c r="AD56" s="8">
        <f>AD57+AD58+AD63-AD73-AD81</f>
        <v>171.20000000000002</v>
      </c>
    </row>
    <row r="57" spans="2:45" x14ac:dyDescent="0.3">
      <c r="B57" t="s">
        <v>4</v>
      </c>
      <c r="N57" s="6">
        <f>250+5.2</f>
        <v>255.2</v>
      </c>
      <c r="O57" s="6">
        <f>297.5+6</f>
        <v>303.5</v>
      </c>
      <c r="P57" s="6">
        <f>158.8+5</f>
        <v>163.80000000000001</v>
      </c>
      <c r="Q57" s="6">
        <f>159.3+9.7</f>
        <v>169</v>
      </c>
      <c r="R57" s="6">
        <f>148.1+12.2</f>
        <v>160.29999999999998</v>
      </c>
      <c r="S57" s="6"/>
      <c r="T57" s="6"/>
      <c r="U57" s="6"/>
      <c r="V57" s="6"/>
      <c r="AC57" s="6">
        <f>250+5.2</f>
        <v>255.2</v>
      </c>
      <c r="AD57" s="6">
        <f>148.1+12.2</f>
        <v>160.29999999999998</v>
      </c>
    </row>
    <row r="58" spans="2:45" x14ac:dyDescent="0.3">
      <c r="B58" t="s">
        <v>72</v>
      </c>
      <c r="N58" s="6">
        <v>103.8</v>
      </c>
      <c r="O58" s="6">
        <v>0</v>
      </c>
      <c r="P58" s="6">
        <v>101.3</v>
      </c>
      <c r="Q58" s="6">
        <v>107.8</v>
      </c>
      <c r="R58" s="6">
        <v>109.1</v>
      </c>
      <c r="S58" s="6"/>
      <c r="T58" s="6"/>
      <c r="U58" s="6"/>
      <c r="V58" s="6"/>
      <c r="AC58" s="6">
        <v>103.8</v>
      </c>
      <c r="AD58" s="6">
        <v>109.1</v>
      </c>
    </row>
    <row r="59" spans="2:45" x14ac:dyDescent="0.3">
      <c r="B59" t="s">
        <v>73</v>
      </c>
      <c r="N59" s="6">
        <f>3.8+16.3</f>
        <v>20.100000000000001</v>
      </c>
      <c r="O59" s="6">
        <f>3.3+22.5</f>
        <v>25.8</v>
      </c>
      <c r="P59" s="6">
        <f>7.2+26.4</f>
        <v>33.6</v>
      </c>
      <c r="Q59" s="6">
        <f>11.2+30.2</f>
        <v>41.4</v>
      </c>
      <c r="R59" s="6">
        <f>11.8+36.9</f>
        <v>48.7</v>
      </c>
      <c r="S59" s="6"/>
      <c r="T59" s="6"/>
      <c r="U59" s="6"/>
      <c r="V59" s="6"/>
      <c r="AC59" s="6">
        <f>3.8+16.3</f>
        <v>20.100000000000001</v>
      </c>
      <c r="AD59" s="6">
        <f>11.8+36.9</f>
        <v>48.7</v>
      </c>
    </row>
    <row r="60" spans="2:45" x14ac:dyDescent="0.3">
      <c r="B60" t="s">
        <v>74</v>
      </c>
      <c r="N60" s="6">
        <v>84.5</v>
      </c>
      <c r="O60" s="6">
        <v>102.9</v>
      </c>
      <c r="P60" s="6">
        <v>113.9</v>
      </c>
      <c r="Q60" s="6">
        <v>129.30000000000001</v>
      </c>
      <c r="R60" s="6">
        <v>113.7</v>
      </c>
      <c r="S60" s="6"/>
      <c r="T60" s="6"/>
      <c r="U60" s="6"/>
      <c r="V60" s="6"/>
      <c r="AC60" s="6">
        <v>84.5</v>
      </c>
      <c r="AD60" s="6">
        <v>113.7</v>
      </c>
    </row>
    <row r="61" spans="2:45" x14ac:dyDescent="0.3">
      <c r="B61" t="s">
        <v>75</v>
      </c>
      <c r="N61" s="6">
        <v>12.9</v>
      </c>
      <c r="O61" s="6">
        <v>13.2</v>
      </c>
      <c r="P61" s="6">
        <v>13.3</v>
      </c>
      <c r="Q61" s="6">
        <v>12.4</v>
      </c>
      <c r="R61" s="6">
        <v>12.7</v>
      </c>
      <c r="S61" s="6"/>
      <c r="T61" s="6"/>
      <c r="U61" s="6"/>
      <c r="V61" s="6"/>
      <c r="AC61" s="6">
        <v>12.9</v>
      </c>
      <c r="AD61" s="6">
        <v>12.7</v>
      </c>
    </row>
    <row r="62" spans="2:45" s="1" customFormat="1" x14ac:dyDescent="0.3">
      <c r="B62" s="1" t="s">
        <v>86</v>
      </c>
      <c r="N62" s="8">
        <f>SUM(N57:N61)</f>
        <v>476.5</v>
      </c>
      <c r="O62" s="8">
        <f>SUM(O57:O61)</f>
        <v>445.40000000000003</v>
      </c>
      <c r="P62" s="8">
        <f>SUM(P57:P61)</f>
        <v>425.90000000000003</v>
      </c>
      <c r="Q62" s="8">
        <f>SUM(Q57:Q61)</f>
        <v>459.9</v>
      </c>
      <c r="R62" s="8">
        <f>SUM(R57:R61)</f>
        <v>444.49999999999994</v>
      </c>
      <c r="S62" s="8"/>
      <c r="T62" s="8"/>
      <c r="U62" s="8"/>
      <c r="V62" s="8"/>
      <c r="AC62" s="8">
        <f>SUM(AC57:AC61)</f>
        <v>476.5</v>
      </c>
      <c r="AD62" s="8">
        <f>SUM(AD57:AD61)</f>
        <v>444.49999999999994</v>
      </c>
    </row>
    <row r="63" spans="2:45" x14ac:dyDescent="0.3">
      <c r="B63" t="s">
        <v>4</v>
      </c>
      <c r="N63" s="6">
        <v>44.5</v>
      </c>
      <c r="O63" s="6">
        <v>45.4</v>
      </c>
      <c r="P63" s="6">
        <v>48.1</v>
      </c>
      <c r="Q63" s="6">
        <v>49.1</v>
      </c>
      <c r="R63" s="6">
        <v>48.6</v>
      </c>
      <c r="S63" s="6"/>
      <c r="T63" s="6"/>
      <c r="U63" s="6"/>
      <c r="V63" s="6"/>
      <c r="AC63" s="6">
        <v>44.5</v>
      </c>
      <c r="AD63" s="6">
        <v>48.6</v>
      </c>
    </row>
    <row r="64" spans="2:45" x14ac:dyDescent="0.3">
      <c r="B64" t="s">
        <v>74</v>
      </c>
      <c r="N64" s="6">
        <v>7.3</v>
      </c>
      <c r="O64" s="6">
        <v>2.7</v>
      </c>
      <c r="P64" s="6">
        <v>2.7</v>
      </c>
      <c r="Q64" s="6">
        <v>2.7</v>
      </c>
      <c r="R64" s="6">
        <v>2.7</v>
      </c>
      <c r="S64" s="6"/>
      <c r="T64" s="6"/>
      <c r="U64" s="6"/>
      <c r="V64" s="6"/>
      <c r="AC64" s="6">
        <v>7.3</v>
      </c>
      <c r="AD64" s="6">
        <v>2.7</v>
      </c>
    </row>
    <row r="65" spans="2:30" x14ac:dyDescent="0.3">
      <c r="B65" t="s">
        <v>91</v>
      </c>
      <c r="N65" s="6">
        <v>258.10000000000002</v>
      </c>
      <c r="O65" s="6">
        <v>260.8</v>
      </c>
      <c r="P65" s="6">
        <v>256.60000000000002</v>
      </c>
      <c r="Q65" s="6">
        <v>248.8</v>
      </c>
      <c r="R65" s="6">
        <v>242.1</v>
      </c>
      <c r="S65" s="6"/>
      <c r="T65" s="6"/>
      <c r="U65" s="6"/>
      <c r="V65" s="6"/>
      <c r="AC65" s="6">
        <v>258.10000000000002</v>
      </c>
      <c r="AD65" s="6">
        <v>242.1</v>
      </c>
    </row>
    <row r="66" spans="2:30" x14ac:dyDescent="0.3">
      <c r="B66" t="s">
        <v>76</v>
      </c>
      <c r="N66" s="6">
        <v>89.7</v>
      </c>
      <c r="O66" s="6">
        <v>97.9</v>
      </c>
      <c r="P66" s="6">
        <v>111.6</v>
      </c>
      <c r="Q66" s="6">
        <v>121.4</v>
      </c>
      <c r="R66" s="6">
        <v>130.69999999999999</v>
      </c>
      <c r="S66" s="6"/>
      <c r="T66" s="6"/>
      <c r="U66" s="6"/>
      <c r="V66" s="6"/>
      <c r="AC66" s="6">
        <v>89.7</v>
      </c>
      <c r="AD66" s="6">
        <v>130.69999999999999</v>
      </c>
    </row>
    <row r="67" spans="2:30" x14ac:dyDescent="0.3">
      <c r="B67" t="s">
        <v>77</v>
      </c>
      <c r="N67" s="6">
        <v>8.4</v>
      </c>
      <c r="O67" s="6">
        <v>8.1999999999999993</v>
      </c>
      <c r="P67" s="6">
        <v>8</v>
      </c>
      <c r="Q67" s="6">
        <v>7.9</v>
      </c>
      <c r="R67" s="6">
        <v>8.1</v>
      </c>
      <c r="S67" s="6"/>
      <c r="T67" s="6"/>
      <c r="U67" s="6"/>
      <c r="V67" s="6"/>
      <c r="AC67" s="6">
        <v>8.4</v>
      </c>
      <c r="AD67" s="6">
        <v>8.1</v>
      </c>
    </row>
    <row r="68" spans="2:30" x14ac:dyDescent="0.3">
      <c r="B68" t="s">
        <v>78</v>
      </c>
      <c r="N68" s="6">
        <v>4.0999999999999996</v>
      </c>
      <c r="O68" s="6">
        <v>4.0999999999999996</v>
      </c>
      <c r="P68" s="6">
        <v>4.0999999999999996</v>
      </c>
      <c r="Q68" s="6">
        <v>4.0999999999999996</v>
      </c>
      <c r="R68" s="6">
        <v>4.0999999999999996</v>
      </c>
      <c r="S68" s="6"/>
      <c r="T68" s="6"/>
      <c r="U68" s="6"/>
      <c r="V68" s="6"/>
      <c r="AC68" s="6">
        <v>4.0999999999999996</v>
      </c>
      <c r="AD68" s="6">
        <v>4.0999999999999996</v>
      </c>
    </row>
    <row r="69" spans="2:30" x14ac:dyDescent="0.3">
      <c r="B69" t="s">
        <v>79</v>
      </c>
      <c r="N69" s="6">
        <v>16.100000000000001</v>
      </c>
      <c r="O69" s="6">
        <v>15.8</v>
      </c>
      <c r="P69" s="6">
        <v>15.4</v>
      </c>
      <c r="Q69" s="6">
        <v>15.1</v>
      </c>
      <c r="R69" s="6">
        <v>14.8</v>
      </c>
      <c r="S69" s="6"/>
      <c r="T69" s="6"/>
      <c r="U69" s="6"/>
      <c r="V69" s="6"/>
      <c r="AC69" s="6">
        <v>16.100000000000001</v>
      </c>
      <c r="AD69" s="6">
        <v>14.8</v>
      </c>
    </row>
    <row r="70" spans="2:30" x14ac:dyDescent="0.3">
      <c r="B70" t="s">
        <v>80</v>
      </c>
      <c r="N70" s="6">
        <v>51.2</v>
      </c>
      <c r="O70" s="6">
        <v>43.1</v>
      </c>
      <c r="P70" s="6">
        <v>44.4</v>
      </c>
      <c r="Q70" s="6">
        <v>39.799999999999997</v>
      </c>
      <c r="R70" s="6">
        <v>48.5</v>
      </c>
      <c r="S70" s="6"/>
      <c r="T70" s="6"/>
      <c r="U70" s="6"/>
      <c r="V70" s="6"/>
      <c r="AC70" s="6">
        <v>51.2</v>
      </c>
      <c r="AD70" s="6">
        <v>48.5</v>
      </c>
    </row>
    <row r="71" spans="2:30" s="1" customFormat="1" x14ac:dyDescent="0.3">
      <c r="B71" s="1" t="s">
        <v>87</v>
      </c>
      <c r="N71" s="8">
        <f>SUM(N63:N70)</f>
        <v>479.40000000000003</v>
      </c>
      <c r="O71" s="8">
        <f>SUM(O63:O70)</f>
        <v>478.00000000000011</v>
      </c>
      <c r="P71" s="8">
        <f>SUM(P63:P70)</f>
        <v>490.9</v>
      </c>
      <c r="Q71" s="8">
        <f>SUM(Q63:Q70)</f>
        <v>488.90000000000003</v>
      </c>
      <c r="R71" s="8">
        <f>SUM(R63:R70)</f>
        <v>499.6</v>
      </c>
      <c r="S71" s="8"/>
      <c r="T71" s="8"/>
      <c r="U71" s="8"/>
      <c r="V71" s="8"/>
      <c r="AC71" s="8">
        <f>SUM(AC63:AC70)</f>
        <v>479.40000000000003</v>
      </c>
      <c r="AD71" s="8">
        <f>SUM(AD63:AD70)</f>
        <v>499.6</v>
      </c>
    </row>
    <row r="72" spans="2:30" s="1" customFormat="1" x14ac:dyDescent="0.3">
      <c r="B72" s="1" t="s">
        <v>90</v>
      </c>
      <c r="N72" s="12">
        <f>N62+N71</f>
        <v>955.90000000000009</v>
      </c>
      <c r="O72" s="12">
        <f>O62+O71</f>
        <v>923.40000000000009</v>
      </c>
      <c r="P72" s="12">
        <f>P62+P71</f>
        <v>916.8</v>
      </c>
      <c r="Q72" s="12">
        <f>Q62+Q71</f>
        <v>948.8</v>
      </c>
      <c r="R72" s="12">
        <f>R62+R71</f>
        <v>944.09999999999991</v>
      </c>
      <c r="S72" s="12"/>
      <c r="T72" s="12"/>
      <c r="U72" s="12"/>
      <c r="V72" s="12"/>
      <c r="AC72" s="12">
        <f>AC62+AC71</f>
        <v>955.90000000000009</v>
      </c>
      <c r="AD72" s="12">
        <f>AD62+AD71</f>
        <v>944.09999999999991</v>
      </c>
    </row>
    <row r="73" spans="2:30" x14ac:dyDescent="0.3">
      <c r="B73" t="s">
        <v>5</v>
      </c>
      <c r="N73" s="6">
        <v>10.1</v>
      </c>
      <c r="O73" s="6">
        <v>10.199999999999999</v>
      </c>
      <c r="P73" s="6">
        <v>11.7</v>
      </c>
      <c r="Q73" s="6">
        <v>12.2</v>
      </c>
      <c r="R73" s="6">
        <v>15.9</v>
      </c>
      <c r="S73" s="6"/>
      <c r="T73" s="6"/>
      <c r="U73" s="6"/>
      <c r="V73" s="6"/>
      <c r="AC73" s="6">
        <v>10.1</v>
      </c>
      <c r="AD73" s="6">
        <v>15.9</v>
      </c>
    </row>
    <row r="74" spans="2:30" x14ac:dyDescent="0.3">
      <c r="B74" t="s">
        <v>77</v>
      </c>
      <c r="N74" s="6">
        <v>0.6</v>
      </c>
      <c r="O74" s="6">
        <v>0.7</v>
      </c>
      <c r="P74" s="6">
        <v>0.8</v>
      </c>
      <c r="Q74" s="6">
        <v>0.8</v>
      </c>
      <c r="R74" s="6">
        <v>0.8</v>
      </c>
      <c r="S74" s="6"/>
      <c r="T74" s="6"/>
      <c r="U74" s="6"/>
      <c r="V74" s="6"/>
      <c r="AC74" s="6">
        <v>0.6</v>
      </c>
      <c r="AD74" s="6">
        <v>0.8</v>
      </c>
    </row>
    <row r="75" spans="2:30" x14ac:dyDescent="0.3">
      <c r="B75" t="s">
        <v>81</v>
      </c>
      <c r="N75" s="6">
        <v>26.5</v>
      </c>
      <c r="O75" s="6">
        <v>17.100000000000001</v>
      </c>
      <c r="P75" s="6">
        <v>21.6</v>
      </c>
      <c r="Q75" s="6">
        <v>16.899999999999999</v>
      </c>
      <c r="R75" s="6">
        <v>22.6</v>
      </c>
      <c r="S75" s="6"/>
      <c r="T75" s="6"/>
      <c r="U75" s="6"/>
      <c r="V75" s="6"/>
      <c r="AC75" s="6">
        <v>26.5</v>
      </c>
      <c r="AD75" s="6">
        <v>22.6</v>
      </c>
    </row>
    <row r="76" spans="2:30" x14ac:dyDescent="0.3">
      <c r="B76" t="s">
        <v>82</v>
      </c>
      <c r="N76" s="6">
        <v>26.3</v>
      </c>
      <c r="O76" s="6">
        <v>22.3</v>
      </c>
      <c r="P76" s="6">
        <v>24.1</v>
      </c>
      <c r="Q76" s="6">
        <v>26</v>
      </c>
      <c r="R76" s="6">
        <v>30.4</v>
      </c>
      <c r="S76" s="6"/>
      <c r="T76" s="6"/>
      <c r="U76" s="6"/>
      <c r="V76" s="6"/>
      <c r="AC76" s="6">
        <v>26.3</v>
      </c>
      <c r="AD76" s="6">
        <v>30.4</v>
      </c>
    </row>
    <row r="77" spans="2:30" x14ac:dyDescent="0.3">
      <c r="B77" t="s">
        <v>83</v>
      </c>
      <c r="N77" s="6">
        <v>2.4</v>
      </c>
      <c r="O77" s="6">
        <v>3.6</v>
      </c>
      <c r="P77" s="6">
        <v>6.8</v>
      </c>
      <c r="Q77" s="6">
        <v>10.6</v>
      </c>
      <c r="R77" s="6">
        <v>4.2</v>
      </c>
      <c r="S77" s="6"/>
      <c r="T77" s="6"/>
      <c r="U77" s="6"/>
      <c r="V77" s="6"/>
      <c r="AC77" s="6">
        <v>2.4</v>
      </c>
      <c r="AD77" s="6">
        <v>4.2</v>
      </c>
    </row>
    <row r="78" spans="2:30" s="1" customFormat="1" x14ac:dyDescent="0.3">
      <c r="B78" s="1" t="s">
        <v>88</v>
      </c>
      <c r="N78" s="8">
        <f>SUM(N73:N77)</f>
        <v>65.900000000000006</v>
      </c>
      <c r="O78" s="8">
        <f>SUM(O73:O77)</f>
        <v>53.9</v>
      </c>
      <c r="P78" s="8">
        <f>SUM(P73:P77)</f>
        <v>65</v>
      </c>
      <c r="Q78" s="8">
        <f>SUM(Q73:Q77)</f>
        <v>66.5</v>
      </c>
      <c r="R78" s="8">
        <f>SUM(R73:R77)</f>
        <v>73.899999999999991</v>
      </c>
      <c r="S78" s="8"/>
      <c r="T78" s="8"/>
      <c r="U78" s="8"/>
      <c r="V78" s="8"/>
      <c r="AC78" s="8">
        <f>SUM(AC73:AC77)</f>
        <v>65.900000000000006</v>
      </c>
      <c r="AD78" s="8">
        <f>SUM(AD73:AD77)</f>
        <v>73.899999999999991</v>
      </c>
    </row>
    <row r="79" spans="2:30" x14ac:dyDescent="0.3">
      <c r="B79" t="s">
        <v>83</v>
      </c>
      <c r="N79" s="6">
        <v>0.7</v>
      </c>
      <c r="O79" s="6">
        <v>0.7</v>
      </c>
      <c r="P79" s="6">
        <v>1</v>
      </c>
      <c r="Q79" s="6">
        <v>2</v>
      </c>
      <c r="R79" s="6">
        <v>3</v>
      </c>
      <c r="S79" s="6"/>
      <c r="T79" s="6"/>
      <c r="U79" s="6"/>
      <c r="V79" s="6"/>
      <c r="AC79" s="6">
        <v>0.7</v>
      </c>
      <c r="AD79" s="6">
        <v>3</v>
      </c>
    </row>
    <row r="80" spans="2:30" x14ac:dyDescent="0.3">
      <c r="B80" t="s">
        <v>77</v>
      </c>
      <c r="N80" s="6">
        <v>9</v>
      </c>
      <c r="O80" s="6">
        <v>8.9</v>
      </c>
      <c r="P80" s="6">
        <v>8.9</v>
      </c>
      <c r="Q80" s="6">
        <v>8.6999999999999993</v>
      </c>
      <c r="R80" s="6">
        <v>8.9</v>
      </c>
      <c r="S80" s="6"/>
      <c r="T80" s="6"/>
      <c r="U80" s="6"/>
      <c r="V80" s="6"/>
      <c r="AC80" s="6">
        <v>9</v>
      </c>
      <c r="AD80" s="6">
        <v>8.9</v>
      </c>
    </row>
    <row r="81" spans="2:41" x14ac:dyDescent="0.3">
      <c r="B81" t="s">
        <v>5</v>
      </c>
      <c r="N81" s="6">
        <v>119.6</v>
      </c>
      <c r="O81" s="6">
        <v>117.7</v>
      </c>
      <c r="P81" s="6">
        <v>130</v>
      </c>
      <c r="Q81" s="6">
        <v>126.7</v>
      </c>
      <c r="R81" s="6">
        <v>130.9</v>
      </c>
      <c r="S81" s="6"/>
      <c r="T81" s="6"/>
      <c r="U81" s="6"/>
      <c r="V81" s="6"/>
      <c r="AC81" s="6">
        <v>119.6</v>
      </c>
      <c r="AD81" s="6">
        <v>130.9</v>
      </c>
    </row>
    <row r="82" spans="2:41" s="1" customFormat="1" x14ac:dyDescent="0.3">
      <c r="B82" s="1" t="s">
        <v>89</v>
      </c>
      <c r="N82" s="8">
        <f>SUM(N79:N81)</f>
        <v>129.29999999999998</v>
      </c>
      <c r="O82" s="8">
        <f>SUM(O79:O81)</f>
        <v>127.3</v>
      </c>
      <c r="P82" s="8">
        <f>SUM(P79:P81)</f>
        <v>139.9</v>
      </c>
      <c r="Q82" s="8">
        <f>SUM(Q79:Q81)</f>
        <v>137.4</v>
      </c>
      <c r="R82" s="8">
        <f>SUM(R79:R81)</f>
        <v>142.80000000000001</v>
      </c>
      <c r="S82" s="8"/>
      <c r="T82" s="8"/>
      <c r="U82" s="8"/>
      <c r="V82" s="8"/>
      <c r="AC82" s="8">
        <f>SUM(AC79:AC81)</f>
        <v>129.29999999999998</v>
      </c>
      <c r="AD82" s="8">
        <f>SUM(AD79:AD81)</f>
        <v>142.80000000000001</v>
      </c>
    </row>
    <row r="83" spans="2:41" s="1" customFormat="1" x14ac:dyDescent="0.3">
      <c r="B83" s="1" t="s">
        <v>84</v>
      </c>
      <c r="N83" s="8">
        <f>60+700.4</f>
        <v>760.4</v>
      </c>
      <c r="O83" s="8">
        <f>60+682.2</f>
        <v>742.2</v>
      </c>
      <c r="P83" s="8">
        <f>60+652</f>
        <v>712</v>
      </c>
      <c r="Q83" s="8">
        <f>685.1+60</f>
        <v>745.1</v>
      </c>
      <c r="R83" s="8">
        <f>59.9+667.6</f>
        <v>727.5</v>
      </c>
      <c r="S83" s="8"/>
      <c r="T83" s="8"/>
      <c r="U83" s="8"/>
      <c r="V83" s="8"/>
      <c r="AC83" s="8">
        <f>60+700.4</f>
        <v>760.4</v>
      </c>
      <c r="AD83" s="8">
        <f>59.9+667.6</f>
        <v>727.5</v>
      </c>
    </row>
    <row r="84" spans="2:41" s="1" customFormat="1" x14ac:dyDescent="0.3">
      <c r="B84" s="1" t="s">
        <v>85</v>
      </c>
      <c r="N84" s="12">
        <f>N78+N82+N83</f>
        <v>955.59999999999991</v>
      </c>
      <c r="O84" s="12">
        <f>O78+O82+O83</f>
        <v>923.40000000000009</v>
      </c>
      <c r="P84" s="12">
        <f>P78+P82+P83</f>
        <v>916.9</v>
      </c>
      <c r="Q84" s="12">
        <f>Q78+Q82+Q83</f>
        <v>949</v>
      </c>
      <c r="R84" s="12">
        <f>R78+R82+R83</f>
        <v>944.2</v>
      </c>
      <c r="S84" s="12"/>
      <c r="T84" s="12"/>
      <c r="U84" s="12"/>
      <c r="V84" s="12"/>
      <c r="AC84" s="12">
        <f>AC78+AC82+AC83</f>
        <v>955.59999999999991</v>
      </c>
      <c r="AD84" s="12">
        <f>AD78+AD82+AD83</f>
        <v>944.2</v>
      </c>
    </row>
    <row r="86" spans="2:41" s="1" customFormat="1" x14ac:dyDescent="0.3">
      <c r="B86" s="1" t="s">
        <v>43</v>
      </c>
      <c r="K86" s="8">
        <f t="shared" ref="K86:P86" si="100">K31</f>
        <v>-18.5</v>
      </c>
      <c r="L86" s="8">
        <f t="shared" si="100"/>
        <v>-34.399999999999991</v>
      </c>
      <c r="M86" s="8">
        <f>M31</f>
        <v>-24.399999999999995</v>
      </c>
      <c r="N86" s="8">
        <f t="shared" si="100"/>
        <v>-31.099999999999991</v>
      </c>
      <c r="O86" s="8">
        <f t="shared" si="100"/>
        <v>-20.599999999999998</v>
      </c>
      <c r="P86" s="8">
        <f t="shared" si="100"/>
        <v>-32.999999999999986</v>
      </c>
      <c r="Q86" s="8">
        <f>Q31</f>
        <v>-33.400000000000006</v>
      </c>
      <c r="R86" s="8">
        <f>R31</f>
        <v>-42.100000000000009</v>
      </c>
      <c r="S86" s="8">
        <f>S31</f>
        <v>-28.299999999999997</v>
      </c>
      <c r="T86" s="8">
        <f t="shared" ref="T86:V86" si="101">T31</f>
        <v>-28.849499999999999</v>
      </c>
      <c r="U86" s="8">
        <f t="shared" si="101"/>
        <v>-26.463000000000005</v>
      </c>
      <c r="V86" s="8">
        <f t="shared" si="101"/>
        <v>-30.797999999999995</v>
      </c>
      <c r="AB86" s="8">
        <f t="shared" ref="AB86:AO86" si="102">AB31</f>
        <v>-142.29999999999998</v>
      </c>
      <c r="AC86" s="8">
        <f t="shared" si="102"/>
        <v>-108.39999999999996</v>
      </c>
      <c r="AD86" s="8">
        <f t="shared" si="102"/>
        <v>-129.1</v>
      </c>
      <c r="AE86" s="8">
        <f t="shared" si="102"/>
        <v>-114.41050000000001</v>
      </c>
      <c r="AF86" s="8">
        <f t="shared" si="102"/>
        <v>-82.940049999999999</v>
      </c>
      <c r="AG86" s="8">
        <f t="shared" si="102"/>
        <v>-57.103905900000001</v>
      </c>
      <c r="AH86" s="8">
        <f t="shared" si="102"/>
        <v>-38.141701782000055</v>
      </c>
      <c r="AI86" s="8">
        <f t="shared" si="102"/>
        <v>-26.31280128066004</v>
      </c>
      <c r="AJ86" s="8">
        <f t="shared" si="102"/>
        <v>-9.3512616924130736</v>
      </c>
      <c r="AK86" s="8">
        <f t="shared" si="102"/>
        <v>5.5383843897342029</v>
      </c>
      <c r="AL86" s="8">
        <f t="shared" si="102"/>
        <v>21.555979051455871</v>
      </c>
      <c r="AM86" s="8">
        <f t="shared" si="102"/>
        <v>38.409955288579518</v>
      </c>
      <c r="AN86" s="8">
        <f t="shared" si="102"/>
        <v>57.975125492594856</v>
      </c>
      <c r="AO86" s="8">
        <f t="shared" si="102"/>
        <v>80.653233362146324</v>
      </c>
    </row>
    <row r="87" spans="2:41" x14ac:dyDescent="0.3">
      <c r="B87" t="s">
        <v>92</v>
      </c>
      <c r="K87" s="6">
        <v>2.6</v>
      </c>
      <c r="L87" s="6">
        <f>L111-K87</f>
        <v>3.1999999999999997</v>
      </c>
      <c r="M87" s="6">
        <f t="shared" ref="M87:M101" si="103">M111-L87-K87</f>
        <v>3.2000000000000006</v>
      </c>
      <c r="N87" s="6">
        <f>N111-M87-L87-K87</f>
        <v>2.9999999999999996</v>
      </c>
      <c r="O87" s="6">
        <v>2.9</v>
      </c>
      <c r="P87" s="6">
        <f>P111-O87</f>
        <v>3.0000000000000004</v>
      </c>
      <c r="Q87" s="6">
        <f t="shared" ref="Q87:Q101" si="104">Q111-P87-O87</f>
        <v>3.2999999999999994</v>
      </c>
      <c r="R87" s="6">
        <f>AD87-Q87-P87-O87</f>
        <v>2.6000000000000019</v>
      </c>
      <c r="S87" s="6">
        <v>2.1</v>
      </c>
      <c r="T87" s="6">
        <v>2.1</v>
      </c>
      <c r="U87" s="6">
        <v>2.1</v>
      </c>
      <c r="V87" s="6">
        <v>2.1</v>
      </c>
      <c r="AB87" s="6">
        <v>6.8</v>
      </c>
      <c r="AC87" s="6">
        <f>SUM(K87:N87)</f>
        <v>12</v>
      </c>
      <c r="AD87" s="6">
        <v>11.8</v>
      </c>
      <c r="AE87" s="6">
        <f>SUM(S87:V87)</f>
        <v>8.4</v>
      </c>
      <c r="AF87" s="6">
        <f t="shared" ref="AF87:AO87" si="105">AE87*1.02</f>
        <v>8.5680000000000014</v>
      </c>
      <c r="AG87" s="6">
        <f t="shared" si="105"/>
        <v>8.7393600000000013</v>
      </c>
      <c r="AH87" s="6">
        <f t="shared" si="105"/>
        <v>8.9141472000000022</v>
      </c>
      <c r="AI87" s="6">
        <f t="shared" si="105"/>
        <v>9.0924301440000015</v>
      </c>
      <c r="AJ87" s="6">
        <f t="shared" si="105"/>
        <v>9.2742787468800021</v>
      </c>
      <c r="AK87" s="6">
        <f t="shared" si="105"/>
        <v>9.4597643218176017</v>
      </c>
      <c r="AL87" s="6">
        <f t="shared" si="105"/>
        <v>9.6489596082539535</v>
      </c>
      <c r="AM87" s="6">
        <f t="shared" si="105"/>
        <v>9.8419388004190331</v>
      </c>
      <c r="AN87" s="6">
        <f t="shared" si="105"/>
        <v>10.038777576427414</v>
      </c>
      <c r="AO87" s="6">
        <f t="shared" si="105"/>
        <v>10.239553127955963</v>
      </c>
    </row>
    <row r="88" spans="2:41" x14ac:dyDescent="0.3">
      <c r="B88" t="s">
        <v>93</v>
      </c>
      <c r="K88" s="6">
        <v>5.4</v>
      </c>
      <c r="L88" s="6">
        <f t="shared" ref="L88:L101" si="106">L112-K88</f>
        <v>6.6</v>
      </c>
      <c r="M88" s="6">
        <f t="shared" si="103"/>
        <v>6.6999999999999993</v>
      </c>
      <c r="N88" s="6">
        <f t="shared" ref="N88:N101" si="107">N112-M88-L88-K88</f>
        <v>6.6999999999999993</v>
      </c>
      <c r="O88" s="6">
        <v>8.6</v>
      </c>
      <c r="P88" s="6">
        <f t="shared" ref="P88:P96" si="108">P112-O88</f>
        <v>9.6</v>
      </c>
      <c r="Q88" s="6">
        <f t="shared" si="104"/>
        <v>9.1999999999999975</v>
      </c>
      <c r="R88" s="6">
        <f t="shared" ref="R88:R101" si="109">AD88-Q88-P88-O88</f>
        <v>8.800000000000006</v>
      </c>
      <c r="S88" s="6">
        <v>9.9</v>
      </c>
      <c r="T88" s="6">
        <v>10</v>
      </c>
      <c r="U88" s="6">
        <v>10</v>
      </c>
      <c r="V88" s="6">
        <v>10</v>
      </c>
      <c r="AB88" s="6">
        <v>21.3</v>
      </c>
      <c r="AC88" s="6">
        <f t="shared" ref="AC88:AC104" si="110">SUM(K88:N88)</f>
        <v>25.4</v>
      </c>
      <c r="AD88" s="6">
        <v>36.200000000000003</v>
      </c>
      <c r="AE88" s="6">
        <f t="shared" ref="AE88:AE101" si="111">SUM(S88:V88)</f>
        <v>39.9</v>
      </c>
      <c r="AF88" s="6">
        <f t="shared" ref="AF88:AO88" si="112">AE88*1.03</f>
        <v>41.097000000000001</v>
      </c>
      <c r="AG88" s="6">
        <f t="shared" si="112"/>
        <v>42.329910000000005</v>
      </c>
      <c r="AH88" s="6">
        <f t="shared" si="112"/>
        <v>43.599807300000009</v>
      </c>
      <c r="AI88" s="6">
        <f t="shared" si="112"/>
        <v>44.90780151900001</v>
      </c>
      <c r="AJ88" s="6">
        <f t="shared" si="112"/>
        <v>46.255035564570015</v>
      </c>
      <c r="AK88" s="6">
        <f t="shared" si="112"/>
        <v>47.642686631507118</v>
      </c>
      <c r="AL88" s="6">
        <f t="shared" si="112"/>
        <v>49.07196723045233</v>
      </c>
      <c r="AM88" s="6">
        <f t="shared" si="112"/>
        <v>50.544126247365902</v>
      </c>
      <c r="AN88" s="6">
        <f t="shared" si="112"/>
        <v>52.060450034786882</v>
      </c>
      <c r="AO88" s="6">
        <f t="shared" si="112"/>
        <v>53.622263535830491</v>
      </c>
    </row>
    <row r="89" spans="2:41" x14ac:dyDescent="0.3">
      <c r="B89" t="s">
        <v>94</v>
      </c>
      <c r="K89" s="6">
        <v>0</v>
      </c>
      <c r="L89" s="6">
        <f t="shared" si="106"/>
        <v>0</v>
      </c>
      <c r="M89" s="6">
        <f t="shared" si="103"/>
        <v>-15.3</v>
      </c>
      <c r="N89" s="6">
        <f t="shared" si="107"/>
        <v>15.3</v>
      </c>
      <c r="O89" s="6">
        <v>0</v>
      </c>
      <c r="P89" s="6">
        <f t="shared" si="108"/>
        <v>0</v>
      </c>
      <c r="Q89" s="6">
        <f t="shared" si="104"/>
        <v>0</v>
      </c>
      <c r="R89" s="6">
        <f t="shared" si="109"/>
        <v>0</v>
      </c>
      <c r="S89" s="6"/>
      <c r="T89" s="6"/>
      <c r="U89" s="6"/>
      <c r="V89" s="6"/>
      <c r="AB89" s="6">
        <v>4.2</v>
      </c>
      <c r="AC89" s="6">
        <f t="shared" si="110"/>
        <v>0</v>
      </c>
      <c r="AD89" s="6">
        <v>0</v>
      </c>
      <c r="AE89" s="6">
        <f t="shared" si="111"/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</row>
    <row r="90" spans="2:41" x14ac:dyDescent="0.3">
      <c r="B90" t="s">
        <v>95</v>
      </c>
      <c r="K90" s="6">
        <v>1.1000000000000001</v>
      </c>
      <c r="L90" s="6">
        <f t="shared" si="106"/>
        <v>1</v>
      </c>
      <c r="M90" s="6">
        <f t="shared" si="103"/>
        <v>0.5</v>
      </c>
      <c r="N90" s="6">
        <f t="shared" si="107"/>
        <v>0.60000000000000009</v>
      </c>
      <c r="O90" s="6">
        <v>0.5</v>
      </c>
      <c r="P90" s="6">
        <f t="shared" si="108"/>
        <v>0.60000000000000009</v>
      </c>
      <c r="Q90" s="6">
        <f t="shared" si="104"/>
        <v>0.5</v>
      </c>
      <c r="R90" s="6">
        <f t="shared" si="109"/>
        <v>0.60000000000000009</v>
      </c>
      <c r="S90" s="6">
        <v>0.6</v>
      </c>
      <c r="T90" s="6">
        <v>1</v>
      </c>
      <c r="U90" s="6">
        <v>1</v>
      </c>
      <c r="V90" s="6">
        <v>1</v>
      </c>
      <c r="AB90" s="6">
        <v>-0.8</v>
      </c>
      <c r="AC90" s="6">
        <f t="shared" si="110"/>
        <v>3.2</v>
      </c>
      <c r="AD90" s="6">
        <v>2.2000000000000002</v>
      </c>
      <c r="AE90" s="6">
        <f t="shared" si="111"/>
        <v>3.6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</row>
    <row r="91" spans="2:41" x14ac:dyDescent="0.3">
      <c r="B91" t="s">
        <v>96</v>
      </c>
      <c r="K91" s="6">
        <v>0</v>
      </c>
      <c r="L91" s="6">
        <f t="shared" si="106"/>
        <v>0.1</v>
      </c>
      <c r="M91" s="6">
        <f t="shared" si="103"/>
        <v>-0.6</v>
      </c>
      <c r="N91" s="6">
        <f t="shared" si="107"/>
        <v>-22.200000000000003</v>
      </c>
      <c r="O91" s="6">
        <v>5.4</v>
      </c>
      <c r="P91" s="6">
        <f t="shared" si="108"/>
        <v>-0.40000000000000036</v>
      </c>
      <c r="Q91" s="6">
        <f t="shared" si="104"/>
        <v>3.3000000000000007</v>
      </c>
      <c r="R91" s="6">
        <f t="shared" si="109"/>
        <v>1.5999999999999996</v>
      </c>
      <c r="S91" s="6">
        <v>-2.7</v>
      </c>
      <c r="T91" s="6">
        <v>0</v>
      </c>
      <c r="U91" s="6">
        <v>0</v>
      </c>
      <c r="V91" s="6">
        <v>0</v>
      </c>
      <c r="AB91" s="6">
        <v>1.5</v>
      </c>
      <c r="AC91" s="6">
        <f t="shared" si="110"/>
        <v>-22.700000000000003</v>
      </c>
      <c r="AD91" s="6">
        <v>9.9</v>
      </c>
      <c r="AE91" s="6">
        <f t="shared" si="111"/>
        <v>-2.7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</row>
    <row r="92" spans="2:41" x14ac:dyDescent="0.3">
      <c r="B92" t="s">
        <v>97</v>
      </c>
      <c r="K92" s="6">
        <v>0.3</v>
      </c>
      <c r="L92" s="6">
        <f t="shared" si="106"/>
        <v>0.39999999999999997</v>
      </c>
      <c r="M92" s="6">
        <f t="shared" si="103"/>
        <v>0.5</v>
      </c>
      <c r="N92" s="6">
        <f t="shared" si="107"/>
        <v>0.3000000000000001</v>
      </c>
      <c r="O92" s="6">
        <v>0.4</v>
      </c>
      <c r="P92" s="6">
        <f t="shared" si="108"/>
        <v>0.29999999999999993</v>
      </c>
      <c r="Q92" s="6">
        <f t="shared" si="104"/>
        <v>0.40000000000000013</v>
      </c>
      <c r="R92" s="6">
        <f t="shared" si="109"/>
        <v>0.29999999999999982</v>
      </c>
      <c r="S92" s="6">
        <v>0.3</v>
      </c>
      <c r="T92" s="6">
        <v>0</v>
      </c>
      <c r="U92" s="6">
        <v>0</v>
      </c>
      <c r="V92" s="6">
        <v>0</v>
      </c>
      <c r="AB92" s="6">
        <v>-1.4</v>
      </c>
      <c r="AC92" s="6">
        <f t="shared" si="110"/>
        <v>1.5</v>
      </c>
      <c r="AD92" s="6">
        <v>1.4</v>
      </c>
      <c r="AE92" s="6">
        <f t="shared" si="111"/>
        <v>0.3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</row>
    <row r="93" spans="2:41" x14ac:dyDescent="0.3">
      <c r="B93" t="s">
        <v>98</v>
      </c>
      <c r="K93" s="6">
        <v>-0.3</v>
      </c>
      <c r="L93" s="6">
        <f t="shared" si="106"/>
        <v>-0.3</v>
      </c>
      <c r="M93" s="6">
        <f t="shared" si="103"/>
        <v>-0.3000000000000001</v>
      </c>
      <c r="N93" s="6">
        <f t="shared" si="107"/>
        <v>-0.29999999999999988</v>
      </c>
      <c r="O93" s="6">
        <v>-0.2</v>
      </c>
      <c r="P93" s="6">
        <f t="shared" si="108"/>
        <v>-0.49999999999999994</v>
      </c>
      <c r="Q93" s="6">
        <f t="shared" si="104"/>
        <v>-0.20000000000000007</v>
      </c>
      <c r="R93" s="6">
        <f t="shared" si="109"/>
        <v>-0.40000000000000008</v>
      </c>
      <c r="S93" s="6">
        <v>-0.3</v>
      </c>
      <c r="T93" s="6">
        <v>0</v>
      </c>
      <c r="U93" s="6">
        <v>0</v>
      </c>
      <c r="V93" s="6">
        <v>0</v>
      </c>
      <c r="AB93" s="6">
        <v>1.8</v>
      </c>
      <c r="AC93" s="6">
        <f t="shared" si="110"/>
        <v>-1.2</v>
      </c>
      <c r="AD93" s="6">
        <v>-1.3</v>
      </c>
      <c r="AE93" s="6">
        <f t="shared" si="111"/>
        <v>-0.3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</row>
    <row r="94" spans="2:41" x14ac:dyDescent="0.3">
      <c r="B94" t="s">
        <v>99</v>
      </c>
      <c r="K94" s="6">
        <v>0</v>
      </c>
      <c r="L94" s="6">
        <f t="shared" si="106"/>
        <v>2.4</v>
      </c>
      <c r="M94" s="6">
        <f t="shared" si="103"/>
        <v>0</v>
      </c>
      <c r="N94" s="6">
        <f t="shared" si="107"/>
        <v>0</v>
      </c>
      <c r="O94" s="6">
        <v>0</v>
      </c>
      <c r="P94" s="6">
        <f t="shared" si="108"/>
        <v>0</v>
      </c>
      <c r="Q94" s="6">
        <f t="shared" si="104"/>
        <v>1.1000000000000001</v>
      </c>
      <c r="R94" s="6">
        <f t="shared" si="109"/>
        <v>-1.1000000000000001</v>
      </c>
      <c r="S94" s="6">
        <v>0</v>
      </c>
      <c r="T94" s="6">
        <v>0</v>
      </c>
      <c r="U94" s="6">
        <v>0</v>
      </c>
      <c r="V94" s="6">
        <v>0</v>
      </c>
      <c r="AB94" s="6">
        <v>0.6</v>
      </c>
      <c r="AC94" s="6">
        <f t="shared" si="110"/>
        <v>2.4</v>
      </c>
      <c r="AD94" s="6">
        <v>0</v>
      </c>
      <c r="AE94" s="6">
        <f t="shared" si="111"/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</row>
    <row r="95" spans="2:41" x14ac:dyDescent="0.3">
      <c r="B95" t="s">
        <v>100</v>
      </c>
      <c r="K95" s="6">
        <v>0.1</v>
      </c>
      <c r="L95" s="6">
        <f t="shared" si="106"/>
        <v>-0.2</v>
      </c>
      <c r="M95" s="6">
        <f t="shared" si="103"/>
        <v>0.30000000000000004</v>
      </c>
      <c r="N95" s="6">
        <f t="shared" si="107"/>
        <v>0.19999999999999998</v>
      </c>
      <c r="O95" s="6">
        <v>0.1</v>
      </c>
      <c r="P95" s="6">
        <f t="shared" si="108"/>
        <v>-0.1</v>
      </c>
      <c r="Q95" s="6">
        <f t="shared" si="104"/>
        <v>0.20000000000000004</v>
      </c>
      <c r="R95" s="6">
        <f t="shared" si="109"/>
        <v>0</v>
      </c>
      <c r="S95" s="6">
        <v>0.1</v>
      </c>
      <c r="T95" s="6">
        <v>0</v>
      </c>
      <c r="U95" s="6">
        <v>0</v>
      </c>
      <c r="V95" s="6">
        <v>0</v>
      </c>
      <c r="AB95" s="6">
        <v>2.6</v>
      </c>
      <c r="AC95" s="6">
        <f t="shared" si="110"/>
        <v>0.4</v>
      </c>
      <c r="AD95" s="6">
        <v>0.2</v>
      </c>
      <c r="AE95" s="6">
        <f t="shared" si="111"/>
        <v>0.1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</row>
    <row r="96" spans="2:41" x14ac:dyDescent="0.3">
      <c r="B96" t="s">
        <v>73</v>
      </c>
      <c r="K96" s="6">
        <f>1.7-5</f>
        <v>-3.3</v>
      </c>
      <c r="L96" s="6">
        <f t="shared" si="106"/>
        <v>-19.5</v>
      </c>
      <c r="M96" s="6">
        <f t="shared" si="103"/>
        <v>-8</v>
      </c>
      <c r="N96" s="6">
        <f t="shared" si="107"/>
        <v>10.000000000000004</v>
      </c>
      <c r="O96" s="6">
        <f>0.4-3</f>
        <v>-2.6</v>
      </c>
      <c r="P96" s="6">
        <f t="shared" si="108"/>
        <v>-6.4</v>
      </c>
      <c r="Q96" s="6">
        <f t="shared" si="104"/>
        <v>-6.4</v>
      </c>
      <c r="R96" s="6">
        <f t="shared" si="109"/>
        <v>-15.500000000000002</v>
      </c>
      <c r="S96" s="6">
        <f>2.5-0.7</f>
        <v>1.8</v>
      </c>
      <c r="T96" s="6">
        <v>0</v>
      </c>
      <c r="U96" s="6">
        <v>0</v>
      </c>
      <c r="V96" s="6">
        <v>0</v>
      </c>
      <c r="AB96" s="6">
        <f>9.2-0.2</f>
        <v>9</v>
      </c>
      <c r="AC96" s="6">
        <f t="shared" si="110"/>
        <v>-20.799999999999997</v>
      </c>
      <c r="AD96" s="6">
        <f>-7.9-23</f>
        <v>-30.9</v>
      </c>
      <c r="AE96" s="6">
        <f t="shared" si="111"/>
        <v>1.8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</row>
    <row r="97" spans="2:142" x14ac:dyDescent="0.3">
      <c r="B97" t="s">
        <v>74</v>
      </c>
      <c r="K97" s="6">
        <v>-10.3</v>
      </c>
      <c r="L97" s="6">
        <f t="shared" si="106"/>
        <v>13.9</v>
      </c>
      <c r="M97" s="6">
        <f t="shared" si="103"/>
        <v>1.6999999999999993</v>
      </c>
      <c r="N97" s="6">
        <f t="shared" si="107"/>
        <v>-0.59999999999999787</v>
      </c>
      <c r="O97" s="6">
        <v>-18.399999999999999</v>
      </c>
      <c r="P97" s="6">
        <f>P121-O97</f>
        <v>-11.100000000000001</v>
      </c>
      <c r="Q97" s="6">
        <f t="shared" si="104"/>
        <v>-15.399999999999999</v>
      </c>
      <c r="R97" s="6">
        <f t="shared" si="109"/>
        <v>15.7</v>
      </c>
      <c r="S97" s="6">
        <v>-14.2</v>
      </c>
      <c r="T97" s="6">
        <v>-13</v>
      </c>
      <c r="U97" s="6">
        <v>-10</v>
      </c>
      <c r="V97" s="6">
        <v>15</v>
      </c>
      <c r="AB97" s="6">
        <v>-28.1</v>
      </c>
      <c r="AC97" s="6">
        <f t="shared" si="110"/>
        <v>4.7000000000000011</v>
      </c>
      <c r="AD97" s="6">
        <v>-29.2</v>
      </c>
      <c r="AE97" s="6">
        <f t="shared" si="111"/>
        <v>-22.200000000000003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</row>
    <row r="98" spans="2:142" x14ac:dyDescent="0.3">
      <c r="B98" t="s">
        <v>101</v>
      </c>
      <c r="K98" s="6">
        <v>-1.7</v>
      </c>
      <c r="L98" s="6">
        <f t="shared" si="106"/>
        <v>-8.9</v>
      </c>
      <c r="M98" s="6">
        <f t="shared" si="103"/>
        <v>-1.3999999999999997</v>
      </c>
      <c r="N98" s="6">
        <f t="shared" si="107"/>
        <v>-1.099999999999999</v>
      </c>
      <c r="O98" s="6">
        <v>-1.6</v>
      </c>
      <c r="P98" s="6">
        <f>P122-O98</f>
        <v>-0.69999999999999973</v>
      </c>
      <c r="Q98" s="6">
        <f t="shared" si="104"/>
        <v>-30.999999999999993</v>
      </c>
      <c r="R98" s="6">
        <f t="shared" si="109"/>
        <v>27.899999999999995</v>
      </c>
      <c r="S98" s="6">
        <v>-2</v>
      </c>
      <c r="T98" s="6">
        <v>0</v>
      </c>
      <c r="U98" s="6">
        <v>0</v>
      </c>
      <c r="V98" s="6">
        <v>0</v>
      </c>
      <c r="AB98" s="6">
        <v>-2.1</v>
      </c>
      <c r="AC98" s="6">
        <f t="shared" si="110"/>
        <v>-13.1</v>
      </c>
      <c r="AD98" s="6">
        <v>-5.4</v>
      </c>
      <c r="AE98" s="6">
        <f t="shared" si="111"/>
        <v>-2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</row>
    <row r="99" spans="2:142" x14ac:dyDescent="0.3">
      <c r="B99" t="s">
        <v>81</v>
      </c>
      <c r="K99" s="6">
        <v>-1.1000000000000001</v>
      </c>
      <c r="L99" s="6">
        <f t="shared" si="106"/>
        <v>-0.39999999999999991</v>
      </c>
      <c r="M99" s="6">
        <f t="shared" si="103"/>
        <v>2.4</v>
      </c>
      <c r="N99" s="6">
        <f t="shared" si="107"/>
        <v>2.1</v>
      </c>
      <c r="O99" s="6">
        <v>-6</v>
      </c>
      <c r="P99" s="6">
        <f>P123-O99</f>
        <v>-0.29999999999999982</v>
      </c>
      <c r="Q99" s="6">
        <f t="shared" si="104"/>
        <v>0.29999999999999982</v>
      </c>
      <c r="R99" s="6">
        <f t="shared" si="109"/>
        <v>5</v>
      </c>
      <c r="S99" s="6">
        <v>-3.3</v>
      </c>
      <c r="T99" s="6">
        <v>0</v>
      </c>
      <c r="U99" s="6">
        <v>0</v>
      </c>
      <c r="V99" s="6">
        <v>0</v>
      </c>
      <c r="AB99" s="6">
        <v>6.3</v>
      </c>
      <c r="AC99" s="6">
        <f t="shared" si="110"/>
        <v>3</v>
      </c>
      <c r="AD99" s="6">
        <v>-1</v>
      </c>
      <c r="AE99" s="6">
        <f t="shared" si="111"/>
        <v>-3.3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</row>
    <row r="100" spans="2:142" x14ac:dyDescent="0.3">
      <c r="B100" t="s">
        <v>82</v>
      </c>
      <c r="K100" s="6">
        <v>-7.1</v>
      </c>
      <c r="L100" s="6">
        <f t="shared" si="106"/>
        <v>2.8</v>
      </c>
      <c r="M100" s="6">
        <f t="shared" si="103"/>
        <v>9.9999999999999645E-2</v>
      </c>
      <c r="N100" s="6">
        <f t="shared" si="107"/>
        <v>-0.29999999999999982</v>
      </c>
      <c r="O100" s="6">
        <v>-4</v>
      </c>
      <c r="P100" s="6">
        <f>P124-O100</f>
        <v>3</v>
      </c>
      <c r="Q100" s="6">
        <f t="shared" si="104"/>
        <v>1.5</v>
      </c>
      <c r="R100" s="6">
        <f t="shared" si="109"/>
        <v>4.2</v>
      </c>
      <c r="S100" s="6">
        <v>-6.7</v>
      </c>
      <c r="T100" s="6">
        <v>0</v>
      </c>
      <c r="U100" s="6">
        <v>0</v>
      </c>
      <c r="V100" s="6">
        <v>0</v>
      </c>
      <c r="AB100" s="6">
        <v>24.6</v>
      </c>
      <c r="AC100" s="6">
        <f t="shared" si="110"/>
        <v>-4.5</v>
      </c>
      <c r="AD100" s="6">
        <v>4.7</v>
      </c>
      <c r="AE100" s="6">
        <f t="shared" si="111"/>
        <v>-6.7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</row>
    <row r="101" spans="2:142" x14ac:dyDescent="0.3">
      <c r="B101" t="s">
        <v>83</v>
      </c>
      <c r="K101" s="6">
        <v>-18.100000000000001</v>
      </c>
      <c r="L101" s="6">
        <f t="shared" si="106"/>
        <v>-2.5999999999999979</v>
      </c>
      <c r="M101" s="6">
        <f t="shared" si="103"/>
        <v>-1.6000000000000014</v>
      </c>
      <c r="N101" s="6">
        <f t="shared" si="107"/>
        <v>0</v>
      </c>
      <c r="O101" s="6">
        <v>1.2</v>
      </c>
      <c r="P101" s="6">
        <f>P125-O101</f>
        <v>3.3999999999999995</v>
      </c>
      <c r="Q101" s="6">
        <f t="shared" si="104"/>
        <v>4.9000000000000004</v>
      </c>
      <c r="R101" s="6">
        <f t="shared" si="109"/>
        <v>-5.4</v>
      </c>
      <c r="S101" s="6">
        <v>1</v>
      </c>
      <c r="T101" s="6">
        <v>0</v>
      </c>
      <c r="U101" s="6">
        <v>0</v>
      </c>
      <c r="V101" s="6">
        <v>0</v>
      </c>
      <c r="AB101" s="6">
        <v>-11.3</v>
      </c>
      <c r="AC101" s="6">
        <f t="shared" si="110"/>
        <v>-22.3</v>
      </c>
      <c r="AD101" s="6">
        <v>4.0999999999999996</v>
      </c>
      <c r="AE101" s="6">
        <f t="shared" si="111"/>
        <v>1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</row>
    <row r="102" spans="2:142" s="1" customFormat="1" x14ac:dyDescent="0.3">
      <c r="B102" s="1" t="s">
        <v>102</v>
      </c>
      <c r="K102" s="8">
        <f t="shared" ref="K102:N102" si="113">K86+SUM(K87:K101)</f>
        <v>-50.900000000000006</v>
      </c>
      <c r="L102" s="8">
        <f t="shared" si="113"/>
        <v>-35.899999999999991</v>
      </c>
      <c r="M102" s="8">
        <f t="shared" si="113"/>
        <v>-36.199999999999996</v>
      </c>
      <c r="N102" s="8">
        <f t="shared" si="113"/>
        <v>-17.399999999999984</v>
      </c>
      <c r="O102" s="8">
        <f>O86+SUM(O87:O101)</f>
        <v>-34.299999999999997</v>
      </c>
      <c r="P102" s="8">
        <f t="shared" ref="P102:R102" si="114">P86+SUM(P87:P101)</f>
        <v>-32.599999999999987</v>
      </c>
      <c r="Q102" s="8">
        <f t="shared" si="114"/>
        <v>-61.7</v>
      </c>
      <c r="R102" s="8">
        <f t="shared" si="114"/>
        <v>2.1999999999999957</v>
      </c>
      <c r="S102" s="8">
        <f t="shared" ref="S102:V102" si="115">S86+SUM(S87:S101)</f>
        <v>-41.699999999999996</v>
      </c>
      <c r="T102" s="8">
        <f t="shared" si="115"/>
        <v>-28.749499999999998</v>
      </c>
      <c r="U102" s="8">
        <f t="shared" si="115"/>
        <v>-23.363000000000007</v>
      </c>
      <c r="V102" s="8">
        <f t="shared" si="115"/>
        <v>-2.6979999999999933</v>
      </c>
      <c r="AB102" s="8">
        <f t="shared" ref="AB102" si="116">AB86+SUM(AB87:AB101)</f>
        <v>-107.29999999999998</v>
      </c>
      <c r="AC102" s="8">
        <f t="shared" ref="AC102:AE102" si="117">AC86+SUM(AC87:AC101)</f>
        <v>-140.39999999999998</v>
      </c>
      <c r="AD102" s="8">
        <f t="shared" si="117"/>
        <v>-126.39999999999999</v>
      </c>
      <c r="AE102" s="8">
        <f t="shared" si="117"/>
        <v>-96.510500000000022</v>
      </c>
      <c r="AF102" s="8">
        <f t="shared" ref="AF102" si="118">AF86+SUM(AF87:AF101)</f>
        <v>-33.275049999999993</v>
      </c>
      <c r="AG102" s="8">
        <f t="shared" ref="AG102" si="119">AG86+SUM(AG87:AG101)</f>
        <v>-6.0346358999999978</v>
      </c>
      <c r="AH102" s="8">
        <f t="shared" ref="AH102" si="120">AH86+SUM(AH87:AH101)</f>
        <v>14.372252717999956</v>
      </c>
      <c r="AI102" s="8">
        <f t="shared" ref="AI102" si="121">AI86+SUM(AI87:AI101)</f>
        <v>27.687430382339969</v>
      </c>
      <c r="AJ102" s="8">
        <f t="shared" ref="AJ102" si="122">AJ86+SUM(AJ87:AJ101)</f>
        <v>46.17805261903694</v>
      </c>
      <c r="AK102" s="8">
        <f t="shared" ref="AK102" si="123">AK86+SUM(AK87:AK101)</f>
        <v>62.640835343058924</v>
      </c>
      <c r="AL102" s="8">
        <f t="shared" ref="AL102" si="124">AL86+SUM(AL87:AL101)</f>
        <v>80.276905890162155</v>
      </c>
      <c r="AM102" s="8">
        <f t="shared" ref="AM102" si="125">AM86+SUM(AM87:AM101)</f>
        <v>98.79602033636445</v>
      </c>
      <c r="AN102" s="8">
        <f t="shared" ref="AN102" si="126">AN86+SUM(AN87:AN101)</f>
        <v>120.07435310380916</v>
      </c>
      <c r="AO102" s="8">
        <f t="shared" ref="AO102" si="127">AO86+SUM(AO87:AO101)</f>
        <v>144.51505002593279</v>
      </c>
    </row>
    <row r="103" spans="2:142" x14ac:dyDescent="0.3">
      <c r="B103" t="s">
        <v>76</v>
      </c>
      <c r="K103" s="6">
        <v>7.8</v>
      </c>
      <c r="L103" s="6">
        <f>L126-K103</f>
        <v>9.0999999999999979</v>
      </c>
      <c r="M103" s="6">
        <f t="shared" ref="M103:M104" si="128">M126-L103-K103</f>
        <v>11.200000000000003</v>
      </c>
      <c r="N103" s="6">
        <f>N126-M103-L103-K103</f>
        <v>11.299999999999997</v>
      </c>
      <c r="O103" s="6">
        <v>10.6</v>
      </c>
      <c r="P103" s="6">
        <f>P126-O103</f>
        <v>13.200000000000001</v>
      </c>
      <c r="Q103" s="6">
        <f>Q126-P103-O103</f>
        <v>13.4</v>
      </c>
      <c r="R103" s="6">
        <f t="shared" ref="R103:R104" si="129">AD103-Q103-P103-O103</f>
        <v>10.500000000000002</v>
      </c>
      <c r="S103" s="6">
        <v>7.1</v>
      </c>
      <c r="T103" s="6">
        <v>5</v>
      </c>
      <c r="U103" s="6">
        <v>5</v>
      </c>
      <c r="V103" s="6">
        <v>5</v>
      </c>
      <c r="AB103" s="6">
        <v>21.1</v>
      </c>
      <c r="AC103" s="6">
        <f t="shared" si="110"/>
        <v>39.4</v>
      </c>
      <c r="AD103" s="6">
        <v>47.7</v>
      </c>
      <c r="AE103" s="6">
        <f t="shared" ref="AE103:AE104" si="130">SUM(S103:V103)</f>
        <v>22.1</v>
      </c>
      <c r="AF103" s="6">
        <f>AE103*1.15</f>
        <v>25.414999999999999</v>
      </c>
      <c r="AG103" s="6">
        <f t="shared" ref="AG103:AO103" si="131">AF103*1.1</f>
        <v>27.956500000000002</v>
      </c>
      <c r="AH103" s="6">
        <f t="shared" si="131"/>
        <v>30.752150000000004</v>
      </c>
      <c r="AI103" s="6">
        <f t="shared" si="131"/>
        <v>33.827365000000007</v>
      </c>
      <c r="AJ103" s="6">
        <f t="shared" si="131"/>
        <v>37.210101500000015</v>
      </c>
      <c r="AK103" s="6">
        <f t="shared" si="131"/>
        <v>40.93111165000002</v>
      </c>
      <c r="AL103" s="6">
        <f t="shared" si="131"/>
        <v>45.024222815000023</v>
      </c>
      <c r="AM103" s="6">
        <f t="shared" si="131"/>
        <v>49.526645096500026</v>
      </c>
      <c r="AN103" s="6">
        <f t="shared" si="131"/>
        <v>54.479309606150032</v>
      </c>
      <c r="AO103" s="6">
        <f t="shared" si="131"/>
        <v>59.927240566765043</v>
      </c>
    </row>
    <row r="104" spans="2:142" x14ac:dyDescent="0.3">
      <c r="B104" t="s">
        <v>91</v>
      </c>
      <c r="K104" s="6">
        <v>2.1</v>
      </c>
      <c r="L104" s="6">
        <f>L127-K104</f>
        <v>17.7</v>
      </c>
      <c r="M104" s="6">
        <f t="shared" si="128"/>
        <v>15.6</v>
      </c>
      <c r="N104" s="6">
        <f>N127-M104-L104-K104</f>
        <v>17.599999999999998</v>
      </c>
      <c r="O104" s="6">
        <v>7.5</v>
      </c>
      <c r="P104" s="6">
        <f>P127-O104</f>
        <v>0.69999999999999929</v>
      </c>
      <c r="Q104" s="6">
        <f>Q127-P104-O104</f>
        <v>3.6000000000000014</v>
      </c>
      <c r="R104" s="6">
        <f t="shared" si="129"/>
        <v>0</v>
      </c>
      <c r="S104" s="6">
        <v>0.3</v>
      </c>
      <c r="T104" s="6">
        <v>0.4</v>
      </c>
      <c r="U104" s="6">
        <v>0.4</v>
      </c>
      <c r="V104" s="6">
        <v>0.4</v>
      </c>
      <c r="AB104" s="6">
        <v>25.6</v>
      </c>
      <c r="AC104" s="6">
        <f t="shared" si="110"/>
        <v>53</v>
      </c>
      <c r="AD104" s="6">
        <v>11.8</v>
      </c>
      <c r="AE104" s="6">
        <f t="shared" si="130"/>
        <v>1.5</v>
      </c>
      <c r="AF104" s="6">
        <f>AE104*1.5</f>
        <v>2.25</v>
      </c>
      <c r="AG104" s="6">
        <f>AF104*1.3</f>
        <v>2.9250000000000003</v>
      </c>
      <c r="AH104" s="6">
        <f>AG104*1.2</f>
        <v>3.5100000000000002</v>
      </c>
      <c r="AI104" s="6">
        <f>AH104*1.05</f>
        <v>3.6855000000000002</v>
      </c>
      <c r="AJ104" s="6">
        <f t="shared" ref="AJ104:AN104" si="132">AI104*1.03</f>
        <v>3.7960650000000005</v>
      </c>
      <c r="AK104" s="6">
        <f t="shared" si="132"/>
        <v>3.9099469500000006</v>
      </c>
      <c r="AL104" s="6">
        <f t="shared" si="132"/>
        <v>4.027245358500001</v>
      </c>
      <c r="AM104" s="6">
        <f t="shared" si="132"/>
        <v>4.1480627192550008</v>
      </c>
      <c r="AN104" s="6">
        <f t="shared" si="132"/>
        <v>4.2725046008326508</v>
      </c>
      <c r="AO104" s="6">
        <f t="shared" ref="AO104" si="133">AN104*1.03</f>
        <v>4.4006797388576304</v>
      </c>
    </row>
    <row r="105" spans="2:142" x14ac:dyDescent="0.3">
      <c r="B105" t="s">
        <v>104</v>
      </c>
      <c r="K105" s="6">
        <f t="shared" ref="K105:L105" si="134">K103+K104</f>
        <v>9.9</v>
      </c>
      <c r="L105" s="6">
        <f t="shared" si="134"/>
        <v>26.799999999999997</v>
      </c>
      <c r="M105" s="6">
        <f>M103+M104</f>
        <v>26.800000000000004</v>
      </c>
      <c r="N105" s="6">
        <f t="shared" ref="N105:P105" si="135">N103+N104</f>
        <v>28.899999999999995</v>
      </c>
      <c r="O105" s="6">
        <f t="shared" si="135"/>
        <v>18.100000000000001</v>
      </c>
      <c r="P105" s="6">
        <f t="shared" si="135"/>
        <v>13.9</v>
      </c>
      <c r="Q105" s="6">
        <f>Q103+Q104</f>
        <v>17</v>
      </c>
      <c r="R105" s="6">
        <f>R103+R104</f>
        <v>10.500000000000002</v>
      </c>
      <c r="S105" s="6">
        <f>S103+S104</f>
        <v>7.3999999999999995</v>
      </c>
      <c r="T105" s="6">
        <f t="shared" ref="T105:V105" si="136">T103+T104</f>
        <v>5.4</v>
      </c>
      <c r="U105" s="6">
        <f t="shared" si="136"/>
        <v>5.4</v>
      </c>
      <c r="V105" s="6">
        <f t="shared" si="136"/>
        <v>5.4</v>
      </c>
      <c r="AB105" s="6">
        <f>AB103+AB104</f>
        <v>46.7</v>
      </c>
      <c r="AC105" s="6">
        <f>AC103+AC104</f>
        <v>92.4</v>
      </c>
      <c r="AD105" s="6">
        <f>AD103+AD104</f>
        <v>59.5</v>
      </c>
      <c r="AE105" s="6">
        <f>AE103+AE104</f>
        <v>23.6</v>
      </c>
      <c r="AF105" s="6">
        <f t="shared" ref="AF105:AO105" si="137">AF103+AF104</f>
        <v>27.664999999999999</v>
      </c>
      <c r="AG105" s="6">
        <f t="shared" si="137"/>
        <v>30.881500000000003</v>
      </c>
      <c r="AH105" s="6">
        <f t="shared" si="137"/>
        <v>34.262150000000005</v>
      </c>
      <c r="AI105" s="6">
        <f t="shared" si="137"/>
        <v>37.512865000000005</v>
      </c>
      <c r="AJ105" s="6">
        <f t="shared" si="137"/>
        <v>41.006166500000013</v>
      </c>
      <c r="AK105" s="6">
        <f t="shared" si="137"/>
        <v>44.841058600000018</v>
      </c>
      <c r="AL105" s="6">
        <f t="shared" si="137"/>
        <v>49.051468173500027</v>
      </c>
      <c r="AM105" s="6">
        <f t="shared" si="137"/>
        <v>53.674707815755028</v>
      </c>
      <c r="AN105" s="6">
        <f t="shared" si="137"/>
        <v>58.751814206982687</v>
      </c>
      <c r="AO105" s="6">
        <f t="shared" si="137"/>
        <v>64.327920305622669</v>
      </c>
    </row>
    <row r="106" spans="2:142" s="1" customFormat="1" x14ac:dyDescent="0.3">
      <c r="B106" s="1" t="s">
        <v>103</v>
      </c>
      <c r="K106" s="8">
        <f>K102-K105</f>
        <v>-60.800000000000004</v>
      </c>
      <c r="L106" s="8">
        <f t="shared" ref="L106:R106" si="138">L102-L105</f>
        <v>-62.699999999999989</v>
      </c>
      <c r="M106" s="8">
        <f t="shared" si="138"/>
        <v>-63</v>
      </c>
      <c r="N106" s="8">
        <f t="shared" si="138"/>
        <v>-46.299999999999983</v>
      </c>
      <c r="O106" s="8">
        <f t="shared" si="138"/>
        <v>-52.4</v>
      </c>
      <c r="P106" s="8">
        <f t="shared" si="138"/>
        <v>-46.499999999999986</v>
      </c>
      <c r="Q106" s="8">
        <f t="shared" si="138"/>
        <v>-78.7</v>
      </c>
      <c r="R106" s="8">
        <f t="shared" si="138"/>
        <v>-8.300000000000006</v>
      </c>
      <c r="S106" s="8">
        <f t="shared" ref="S106:V106" si="139">S102-S105</f>
        <v>-49.099999999999994</v>
      </c>
      <c r="T106" s="8">
        <f t="shared" si="139"/>
        <v>-34.149499999999996</v>
      </c>
      <c r="U106" s="8">
        <f t="shared" si="139"/>
        <v>-28.763000000000005</v>
      </c>
      <c r="V106" s="8">
        <f t="shared" si="139"/>
        <v>-8.0979999999999936</v>
      </c>
      <c r="AB106" s="8">
        <f t="shared" ref="AB106" si="140">AB102-AB105</f>
        <v>-154</v>
      </c>
      <c r="AC106" s="8">
        <f t="shared" ref="AC106:AE106" si="141">AC102-AC105</f>
        <v>-232.79999999999998</v>
      </c>
      <c r="AD106" s="8">
        <f t="shared" si="141"/>
        <v>-185.89999999999998</v>
      </c>
      <c r="AE106" s="8">
        <f t="shared" si="141"/>
        <v>-120.11050000000003</v>
      </c>
      <c r="AF106" s="8">
        <f t="shared" ref="AF106" si="142">AF102-AF105</f>
        <v>-60.940049999999992</v>
      </c>
      <c r="AG106" s="8">
        <f t="shared" ref="AG106" si="143">AG102-AG105</f>
        <v>-36.9161359</v>
      </c>
      <c r="AH106" s="8">
        <f t="shared" ref="AH106" si="144">AH102-AH105</f>
        <v>-19.889897282000049</v>
      </c>
      <c r="AI106" s="8">
        <f t="shared" ref="AI106" si="145">AI102-AI105</f>
        <v>-9.8254346176600365</v>
      </c>
      <c r="AJ106" s="8">
        <f t="shared" ref="AJ106" si="146">AJ102-AJ105</f>
        <v>5.1718861190369267</v>
      </c>
      <c r="AK106" s="8">
        <f t="shared" ref="AK106" si="147">AK102-AK105</f>
        <v>17.799776743058906</v>
      </c>
      <c r="AL106" s="8">
        <f t="shared" ref="AL106" si="148">AL102-AL105</f>
        <v>31.225437716662128</v>
      </c>
      <c r="AM106" s="8">
        <f t="shared" ref="AM106" si="149">AM102-AM105</f>
        <v>45.121312520609422</v>
      </c>
      <c r="AN106" s="8">
        <f t="shared" ref="AN106:AO106" si="150">AN102-AN105</f>
        <v>61.322538896826472</v>
      </c>
      <c r="AO106" s="8">
        <f t="shared" si="150"/>
        <v>80.187129720310125</v>
      </c>
      <c r="AP106" s="1">
        <f>AO106*(1+$AS$41)</f>
        <v>79.385258423107018</v>
      </c>
      <c r="AQ106" s="1">
        <f t="shared" ref="AQ106:DB106" si="151">AP106*(1+$AS$41)</f>
        <v>78.591405838875943</v>
      </c>
      <c r="AR106" s="1">
        <f t="shared" si="151"/>
        <v>77.805491780487188</v>
      </c>
      <c r="AS106" s="1">
        <f t="shared" si="151"/>
        <v>77.027436862682322</v>
      </c>
      <c r="AT106" s="1">
        <f t="shared" si="151"/>
        <v>76.257162494055493</v>
      </c>
      <c r="AU106" s="1">
        <f t="shared" si="151"/>
        <v>75.494590869114944</v>
      </c>
      <c r="AV106" s="1">
        <f t="shared" si="151"/>
        <v>74.739644960423789</v>
      </c>
      <c r="AW106" s="1">
        <f t="shared" si="151"/>
        <v>73.99224851081955</v>
      </c>
      <c r="AX106" s="1">
        <f t="shared" si="151"/>
        <v>73.252326025711355</v>
      </c>
      <c r="AY106" s="1">
        <f t="shared" si="151"/>
        <v>72.519802765454244</v>
      </c>
      <c r="AZ106" s="1">
        <f t="shared" si="151"/>
        <v>71.794604737799702</v>
      </c>
      <c r="BA106" s="1">
        <f t="shared" si="151"/>
        <v>71.076658690421709</v>
      </c>
      <c r="BB106" s="1">
        <f t="shared" si="151"/>
        <v>70.365892103517496</v>
      </c>
      <c r="BC106" s="1">
        <f t="shared" si="151"/>
        <v>69.662233182482325</v>
      </c>
      <c r="BD106" s="1">
        <f t="shared" si="151"/>
        <v>68.965610850657498</v>
      </c>
      <c r="BE106" s="1">
        <f t="shared" si="151"/>
        <v>68.275954742150915</v>
      </c>
      <c r="BF106" s="1">
        <f t="shared" si="151"/>
        <v>67.593195194729404</v>
      </c>
      <c r="BG106" s="1">
        <f t="shared" si="151"/>
        <v>66.917263242782113</v>
      </c>
      <c r="BH106" s="1">
        <f t="shared" si="151"/>
        <v>66.248090610354296</v>
      </c>
      <c r="BI106" s="1">
        <f t="shared" si="151"/>
        <v>65.585609704250757</v>
      </c>
      <c r="BJ106" s="1">
        <f t="shared" si="151"/>
        <v>64.929753607208255</v>
      </c>
      <c r="BK106" s="1">
        <f t="shared" si="151"/>
        <v>64.280456071136172</v>
      </c>
      <c r="BL106" s="1">
        <f t="shared" si="151"/>
        <v>63.63765151042481</v>
      </c>
      <c r="BM106" s="1">
        <f t="shared" si="151"/>
        <v>63.001274995320564</v>
      </c>
      <c r="BN106" s="1">
        <f t="shared" si="151"/>
        <v>62.371262245367355</v>
      </c>
      <c r="BO106" s="1">
        <f t="shared" si="151"/>
        <v>61.747549622913681</v>
      </c>
      <c r="BP106" s="1">
        <f t="shared" si="151"/>
        <v>61.130074126684541</v>
      </c>
      <c r="BQ106" s="1">
        <f t="shared" si="151"/>
        <v>60.518773385417695</v>
      </c>
      <c r="BR106" s="1">
        <f t="shared" si="151"/>
        <v>59.913585651563515</v>
      </c>
      <c r="BS106" s="1">
        <f t="shared" si="151"/>
        <v>59.314449795047878</v>
      </c>
      <c r="BT106" s="1">
        <f t="shared" si="151"/>
        <v>58.721305297097402</v>
      </c>
      <c r="BU106" s="1">
        <f t="shared" si="151"/>
        <v>58.134092244126428</v>
      </c>
      <c r="BV106" s="1">
        <f t="shared" si="151"/>
        <v>57.552751321685164</v>
      </c>
      <c r="BW106" s="1">
        <f t="shared" si="151"/>
        <v>56.97722380846831</v>
      </c>
      <c r="BX106" s="1">
        <f t="shared" si="151"/>
        <v>56.407451570383628</v>
      </c>
      <c r="BY106" s="1">
        <f t="shared" si="151"/>
        <v>55.843377054679792</v>
      </c>
      <c r="BZ106" s="1">
        <f t="shared" si="151"/>
        <v>55.284943284132993</v>
      </c>
      <c r="CA106" s="1">
        <f t="shared" si="151"/>
        <v>54.732093851291665</v>
      </c>
      <c r="CB106" s="1">
        <f t="shared" si="151"/>
        <v>54.184772912778747</v>
      </c>
      <c r="CC106" s="1">
        <f t="shared" si="151"/>
        <v>53.642925183650959</v>
      </c>
      <c r="CD106" s="1">
        <f t="shared" si="151"/>
        <v>53.10649593181445</v>
      </c>
      <c r="CE106" s="1">
        <f t="shared" si="151"/>
        <v>52.575430972496306</v>
      </c>
      <c r="CF106" s="1">
        <f t="shared" si="151"/>
        <v>52.04967666277134</v>
      </c>
      <c r="CG106" s="1">
        <f t="shared" si="151"/>
        <v>51.529179896143624</v>
      </c>
      <c r="CH106" s="1">
        <f t="shared" si="151"/>
        <v>51.013888097182189</v>
      </c>
      <c r="CI106" s="1">
        <f t="shared" si="151"/>
        <v>50.503749216210366</v>
      </c>
      <c r="CJ106" s="1">
        <f t="shared" si="151"/>
        <v>49.998711724048263</v>
      </c>
      <c r="CK106" s="1">
        <f t="shared" si="151"/>
        <v>49.498724606807777</v>
      </c>
      <c r="CL106" s="1">
        <f t="shared" si="151"/>
        <v>49.003737360739699</v>
      </c>
      <c r="CM106" s="1">
        <f t="shared" si="151"/>
        <v>48.513699987132298</v>
      </c>
      <c r="CN106" s="1">
        <f t="shared" si="151"/>
        <v>48.028562987260976</v>
      </c>
      <c r="CO106" s="1">
        <f t="shared" si="151"/>
        <v>47.548277357388365</v>
      </c>
      <c r="CP106" s="1">
        <f t="shared" si="151"/>
        <v>47.072794583814478</v>
      </c>
      <c r="CQ106" s="1">
        <f t="shared" si="151"/>
        <v>46.602066637976336</v>
      </c>
      <c r="CR106" s="1">
        <f t="shared" si="151"/>
        <v>46.136045971596573</v>
      </c>
      <c r="CS106" s="1">
        <f t="shared" si="151"/>
        <v>45.674685511880604</v>
      </c>
      <c r="CT106" s="1">
        <f t="shared" si="151"/>
        <v>45.217938656761795</v>
      </c>
      <c r="CU106" s="1">
        <f t="shared" si="151"/>
        <v>44.765759270194174</v>
      </c>
      <c r="CV106" s="1">
        <f t="shared" si="151"/>
        <v>44.31810167749223</v>
      </c>
      <c r="CW106" s="1">
        <f t="shared" si="151"/>
        <v>43.874920660717308</v>
      </c>
      <c r="CX106" s="1">
        <f t="shared" si="151"/>
        <v>43.436171454110138</v>
      </c>
      <c r="CY106" s="1">
        <f t="shared" si="151"/>
        <v>43.001809739569033</v>
      </c>
      <c r="CZ106" s="1">
        <f t="shared" si="151"/>
        <v>42.571791642173345</v>
      </c>
      <c r="DA106" s="1">
        <f t="shared" si="151"/>
        <v>42.146073725751613</v>
      </c>
      <c r="DB106" s="1">
        <f t="shared" si="151"/>
        <v>41.724612988494094</v>
      </c>
      <c r="DC106" s="1">
        <f t="shared" ref="DC106:EL106" si="152">DB106*(1+$AS$41)</f>
        <v>41.30736685860915</v>
      </c>
      <c r="DD106" s="1">
        <f t="shared" si="152"/>
        <v>40.894293190023056</v>
      </c>
      <c r="DE106" s="1">
        <f t="shared" si="152"/>
        <v>40.485350258122828</v>
      </c>
      <c r="DF106" s="1">
        <f t="shared" si="152"/>
        <v>40.080496755541603</v>
      </c>
      <c r="DG106" s="1">
        <f t="shared" si="152"/>
        <v>39.679691787986187</v>
      </c>
      <c r="DH106" s="1">
        <f t="shared" si="152"/>
        <v>39.282894870106325</v>
      </c>
      <c r="DI106" s="1">
        <f t="shared" si="152"/>
        <v>38.89006592140526</v>
      </c>
      <c r="DJ106" s="1">
        <f t="shared" si="152"/>
        <v>38.501165262191208</v>
      </c>
      <c r="DK106" s="1">
        <f t="shared" si="152"/>
        <v>38.116153609569295</v>
      </c>
      <c r="DL106" s="1">
        <f t="shared" si="152"/>
        <v>37.734992073473599</v>
      </c>
      <c r="DM106" s="1">
        <f t="shared" si="152"/>
        <v>37.357642152738862</v>
      </c>
      <c r="DN106" s="1">
        <f t="shared" si="152"/>
        <v>36.984065731211473</v>
      </c>
      <c r="DO106" s="1">
        <f t="shared" si="152"/>
        <v>36.614225073899355</v>
      </c>
      <c r="DP106" s="1">
        <f t="shared" si="152"/>
        <v>36.24808282316036</v>
      </c>
      <c r="DQ106" s="1">
        <f t="shared" si="152"/>
        <v>35.885601994928756</v>
      </c>
      <c r="DR106" s="1">
        <f t="shared" si="152"/>
        <v>35.52674597497947</v>
      </c>
      <c r="DS106" s="1">
        <f t="shared" si="152"/>
        <v>35.171478515229673</v>
      </c>
      <c r="DT106" s="1">
        <f t="shared" si="152"/>
        <v>34.819763730077376</v>
      </c>
      <c r="DU106" s="1">
        <f t="shared" si="152"/>
        <v>34.471566092776605</v>
      </c>
      <c r="DV106" s="1">
        <f t="shared" si="152"/>
        <v>34.126850431848837</v>
      </c>
      <c r="DW106" s="1">
        <f t="shared" si="152"/>
        <v>33.785581927530345</v>
      </c>
      <c r="DX106" s="1">
        <f t="shared" si="152"/>
        <v>33.44772610825504</v>
      </c>
      <c r="DY106" s="1">
        <f t="shared" si="152"/>
        <v>33.113248847172493</v>
      </c>
      <c r="DZ106" s="1">
        <f t="shared" si="152"/>
        <v>32.782116358700769</v>
      </c>
      <c r="EA106" s="1">
        <f t="shared" si="152"/>
        <v>32.454295195113758</v>
      </c>
      <c r="EB106" s="1">
        <f t="shared" si="152"/>
        <v>32.129752243162621</v>
      </c>
      <c r="EC106" s="1">
        <f t="shared" si="152"/>
        <v>31.808454720730992</v>
      </c>
      <c r="ED106" s="1">
        <f t="shared" si="152"/>
        <v>31.490370173523683</v>
      </c>
      <c r="EE106" s="1">
        <f t="shared" si="152"/>
        <v>31.175466471788447</v>
      </c>
      <c r="EF106" s="1">
        <f t="shared" si="152"/>
        <v>30.863711807070562</v>
      </c>
      <c r="EG106" s="1">
        <f t="shared" si="152"/>
        <v>30.555074688999856</v>
      </c>
      <c r="EH106" s="1">
        <f t="shared" si="152"/>
        <v>30.249523942109857</v>
      </c>
      <c r="EI106" s="1">
        <f t="shared" si="152"/>
        <v>29.947028702688758</v>
      </c>
      <c r="EJ106" s="1">
        <f t="shared" si="152"/>
        <v>29.647558415661869</v>
      </c>
      <c r="EK106" s="1">
        <f t="shared" si="152"/>
        <v>29.351082831505252</v>
      </c>
      <c r="EL106" s="1">
        <f t="shared" si="152"/>
        <v>29.057572003190199</v>
      </c>
    </row>
    <row r="108" spans="2:142" x14ac:dyDescent="0.3">
      <c r="B108" t="s">
        <v>105</v>
      </c>
      <c r="K108" s="10"/>
      <c r="L108" s="10"/>
      <c r="M108" s="10"/>
      <c r="N108" s="10"/>
      <c r="O108" s="10">
        <f t="shared" ref="O108:Q108" si="153">K106/O106-1</f>
        <v>0.16030534351145054</v>
      </c>
      <c r="P108" s="10">
        <f t="shared" si="153"/>
        <v>0.34838709677419377</v>
      </c>
      <c r="Q108" s="10">
        <f t="shared" si="153"/>
        <v>-0.19949174078780185</v>
      </c>
      <c r="R108" s="10">
        <f>N106/R106-1</f>
        <v>4.5783132530120421</v>
      </c>
      <c r="S108" s="10">
        <f>O106/S106-1</f>
        <v>6.720977596741351E-2</v>
      </c>
      <c r="T108" s="10">
        <f t="shared" ref="T108:V108" si="154">P106/T106-1</f>
        <v>0.36165976075784401</v>
      </c>
      <c r="U108" s="10">
        <f t="shared" si="154"/>
        <v>1.7361540868476859</v>
      </c>
      <c r="V108" s="10">
        <f t="shared" si="154"/>
        <v>2.4944430723637057E-2</v>
      </c>
      <c r="AC108" s="10">
        <f>AB106/AC106-1</f>
        <v>-0.33848797250859097</v>
      </c>
      <c r="AD108" s="10">
        <f>AC106/AD106-1</f>
        <v>0.2522861753630985</v>
      </c>
      <c r="AE108" s="10">
        <f>AD106/AE106-1</f>
        <v>0.54774145474375624</v>
      </c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</row>
    <row r="109" spans="2:142" x14ac:dyDescent="0.3">
      <c r="B109" t="s">
        <v>122</v>
      </c>
      <c r="O109" s="10">
        <f>O105/K105-1</f>
        <v>0.82828282828282829</v>
      </c>
      <c r="P109" s="10">
        <f t="shared" ref="P109:S109" si="155">P105/L105-1</f>
        <v>-0.48134328358208944</v>
      </c>
      <c r="Q109" s="10">
        <f t="shared" si="155"/>
        <v>-0.36567164179104483</v>
      </c>
      <c r="R109" s="10">
        <f t="shared" si="155"/>
        <v>-0.6366782006920414</v>
      </c>
      <c r="S109" s="10">
        <f t="shared" si="155"/>
        <v>-0.59116022099447518</v>
      </c>
      <c r="T109" s="10">
        <f t="shared" ref="T109" si="156">T105/P105-1</f>
        <v>-0.61151079136690645</v>
      </c>
      <c r="U109" s="10">
        <f t="shared" ref="U109" si="157">U105/Q105-1</f>
        <v>-0.68235294117647061</v>
      </c>
      <c r="V109" s="10">
        <f t="shared" ref="V109" si="158">V105/R105-1</f>
        <v>-0.48571428571428577</v>
      </c>
      <c r="AC109" s="10">
        <f>AC105/AB105-1</f>
        <v>0.97858672376873668</v>
      </c>
      <c r="AD109" s="10">
        <f>AD105/AC105-1</f>
        <v>-0.35606060606060608</v>
      </c>
      <c r="AE109" s="10">
        <f t="shared" ref="AE109:AO109" si="159">AE105/AD105-1</f>
        <v>-0.60336134453781509</v>
      </c>
      <c r="AF109" s="10">
        <f t="shared" si="159"/>
        <v>0.17224576271186431</v>
      </c>
      <c r="AG109" s="10">
        <f t="shared" si="159"/>
        <v>0.11626604012289921</v>
      </c>
      <c r="AH109" s="10">
        <f t="shared" si="159"/>
        <v>0.10947169017049041</v>
      </c>
      <c r="AI109" s="10">
        <f t="shared" si="159"/>
        <v>9.4877729506175124E-2</v>
      </c>
      <c r="AJ109" s="10">
        <f t="shared" si="159"/>
        <v>9.3122759352025186E-2</v>
      </c>
      <c r="AK109" s="10">
        <f t="shared" si="159"/>
        <v>9.3519888039278243E-2</v>
      </c>
      <c r="AL109" s="10">
        <f t="shared" si="159"/>
        <v>9.3896301848235275E-2</v>
      </c>
      <c r="AM109" s="10">
        <f t="shared" si="159"/>
        <v>9.4252829006098882E-2</v>
      </c>
      <c r="AN109" s="10">
        <f t="shared" si="159"/>
        <v>9.4590293973382034E-2</v>
      </c>
      <c r="AO109" s="10">
        <f t="shared" si="159"/>
        <v>9.4909513415115221E-2</v>
      </c>
    </row>
    <row r="110" spans="2:142" x14ac:dyDescent="0.3">
      <c r="AR110" t="s">
        <v>123</v>
      </c>
      <c r="AS110" s="6">
        <f>NPV(AS42,AE106:EL106)</f>
        <v>57.584628024529948</v>
      </c>
    </row>
    <row r="111" spans="2:142" x14ac:dyDescent="0.3">
      <c r="B111" t="s">
        <v>92</v>
      </c>
      <c r="L111">
        <v>5.8</v>
      </c>
      <c r="M111">
        <v>9</v>
      </c>
      <c r="N111">
        <v>12</v>
      </c>
      <c r="P111">
        <v>5.9</v>
      </c>
      <c r="Q111" s="6">
        <v>9.1999999999999993</v>
      </c>
      <c r="AR111" t="s">
        <v>66</v>
      </c>
      <c r="AS111" s="6">
        <f>Main!D8</f>
        <v>128</v>
      </c>
    </row>
    <row r="112" spans="2:142" x14ac:dyDescent="0.3">
      <c r="B112" t="s">
        <v>93</v>
      </c>
      <c r="L112">
        <v>12</v>
      </c>
      <c r="M112">
        <v>18.7</v>
      </c>
      <c r="N112">
        <v>25.4</v>
      </c>
      <c r="P112">
        <v>18.2</v>
      </c>
      <c r="Q112" s="6">
        <v>27.4</v>
      </c>
      <c r="AR112" t="s">
        <v>67</v>
      </c>
      <c r="AS112" s="6">
        <f>AS110+AS111</f>
        <v>185.58462802452993</v>
      </c>
    </row>
    <row r="113" spans="2:45" x14ac:dyDescent="0.3">
      <c r="B113" t="s">
        <v>94</v>
      </c>
      <c r="L113">
        <v>0</v>
      </c>
      <c r="M113">
        <v>-15.3</v>
      </c>
      <c r="N113">
        <v>0</v>
      </c>
      <c r="P113">
        <v>0</v>
      </c>
      <c r="Q113" s="6">
        <v>0</v>
      </c>
      <c r="AR113" t="s">
        <v>68</v>
      </c>
      <c r="AS113" s="5">
        <f>AS112/AO32</f>
        <v>8.7954800011625558</v>
      </c>
    </row>
    <row r="114" spans="2:45" x14ac:dyDescent="0.3">
      <c r="B114" t="s">
        <v>95</v>
      </c>
      <c r="L114">
        <v>2.1</v>
      </c>
      <c r="M114">
        <v>2.6</v>
      </c>
      <c r="N114">
        <v>3.2</v>
      </c>
      <c r="P114">
        <v>1.1000000000000001</v>
      </c>
      <c r="Q114" s="6">
        <v>1.6</v>
      </c>
      <c r="AR114" t="s">
        <v>69</v>
      </c>
      <c r="AS114" s="5">
        <f>Main!D3</f>
        <v>3.72</v>
      </c>
    </row>
    <row r="115" spans="2:45" x14ac:dyDescent="0.3">
      <c r="B115" t="s">
        <v>96</v>
      </c>
      <c r="L115">
        <v>0.1</v>
      </c>
      <c r="M115">
        <v>-0.5</v>
      </c>
      <c r="N115">
        <f>-15.3-7.4</f>
        <v>-22.700000000000003</v>
      </c>
      <c r="P115">
        <v>5</v>
      </c>
      <c r="Q115" s="6">
        <v>8.3000000000000007</v>
      </c>
      <c r="AR115" s="1" t="s">
        <v>70</v>
      </c>
      <c r="AS115" s="11">
        <f>AS113/AS114-1</f>
        <v>1.3643763443985364</v>
      </c>
    </row>
    <row r="116" spans="2:45" x14ac:dyDescent="0.3">
      <c r="B116" t="s">
        <v>97</v>
      </c>
      <c r="L116">
        <v>0.7</v>
      </c>
      <c r="M116">
        <v>1.2</v>
      </c>
      <c r="N116">
        <v>1.5</v>
      </c>
      <c r="P116">
        <v>0.7</v>
      </c>
      <c r="Q116" s="6">
        <v>1.1000000000000001</v>
      </c>
    </row>
    <row r="117" spans="2:45" x14ac:dyDescent="0.3">
      <c r="B117" t="s">
        <v>98</v>
      </c>
      <c r="L117">
        <v>-0.6</v>
      </c>
      <c r="M117">
        <v>-0.9</v>
      </c>
      <c r="N117">
        <v>-1.2</v>
      </c>
      <c r="P117">
        <v>-0.7</v>
      </c>
      <c r="Q117" s="6">
        <v>-0.9</v>
      </c>
    </row>
    <row r="118" spans="2:45" x14ac:dyDescent="0.3">
      <c r="B118" t="s">
        <v>99</v>
      </c>
      <c r="L118">
        <v>2.4</v>
      </c>
      <c r="M118">
        <v>2.4</v>
      </c>
      <c r="N118">
        <v>2.4</v>
      </c>
      <c r="P118">
        <v>0</v>
      </c>
      <c r="Q118" s="6">
        <v>1.1000000000000001</v>
      </c>
    </row>
    <row r="119" spans="2:45" x14ac:dyDescent="0.3">
      <c r="B119" t="s">
        <v>100</v>
      </c>
      <c r="L119">
        <v>-0.1</v>
      </c>
      <c r="M119">
        <v>0.2</v>
      </c>
      <c r="N119">
        <v>0.4</v>
      </c>
      <c r="P119">
        <v>0</v>
      </c>
      <c r="Q119" s="6">
        <v>0.2</v>
      </c>
    </row>
    <row r="120" spans="2:45" x14ac:dyDescent="0.3">
      <c r="B120" t="s">
        <v>73</v>
      </c>
      <c r="L120">
        <f>-1.6-21.2</f>
        <v>-22.8</v>
      </c>
      <c r="M120">
        <f>-5.2-25.6</f>
        <v>-30.8</v>
      </c>
      <c r="N120">
        <f>1.1-21.9</f>
        <v>-20.799999999999997</v>
      </c>
      <c r="P120">
        <f>-3.3-5.7</f>
        <v>-9</v>
      </c>
      <c r="Q120" s="6">
        <f>-7.4-8</f>
        <v>-15.4</v>
      </c>
    </row>
    <row r="121" spans="2:45" x14ac:dyDescent="0.3">
      <c r="B121" t="s">
        <v>74</v>
      </c>
      <c r="L121">
        <v>3.6</v>
      </c>
      <c r="M121">
        <v>5.3</v>
      </c>
      <c r="N121">
        <v>4.7</v>
      </c>
      <c r="P121">
        <v>-29.5</v>
      </c>
      <c r="Q121" s="6">
        <v>-44.9</v>
      </c>
    </row>
    <row r="122" spans="2:45" x14ac:dyDescent="0.3">
      <c r="B122" t="s">
        <v>101</v>
      </c>
      <c r="L122">
        <v>-10.6</v>
      </c>
      <c r="M122">
        <v>-12</v>
      </c>
      <c r="N122">
        <v>-13.1</v>
      </c>
      <c r="P122">
        <v>-2.2999999999999998</v>
      </c>
      <c r="Q122" s="6">
        <v>-33.299999999999997</v>
      </c>
    </row>
    <row r="123" spans="2:45" x14ac:dyDescent="0.3">
      <c r="B123" t="s">
        <v>81</v>
      </c>
      <c r="L123">
        <v>-1.5</v>
      </c>
      <c r="M123">
        <v>0.9</v>
      </c>
      <c r="N123">
        <v>3</v>
      </c>
      <c r="P123">
        <v>-6.3</v>
      </c>
      <c r="Q123" s="6">
        <v>-6</v>
      </c>
    </row>
    <row r="124" spans="2:45" x14ac:dyDescent="0.3">
      <c r="B124" t="s">
        <v>82</v>
      </c>
      <c r="L124">
        <v>-4.3</v>
      </c>
      <c r="M124">
        <v>-4.2</v>
      </c>
      <c r="N124">
        <v>-4.5</v>
      </c>
      <c r="P124">
        <v>-1</v>
      </c>
      <c r="Q124" s="6">
        <v>0.5</v>
      </c>
    </row>
    <row r="125" spans="2:45" x14ac:dyDescent="0.3">
      <c r="B125" t="s">
        <v>83</v>
      </c>
      <c r="L125">
        <v>-20.7</v>
      </c>
      <c r="M125">
        <v>-22.3</v>
      </c>
      <c r="N125">
        <v>-22.3</v>
      </c>
      <c r="P125">
        <v>4.5999999999999996</v>
      </c>
      <c r="Q125" s="6">
        <v>9.5</v>
      </c>
    </row>
    <row r="126" spans="2:45" x14ac:dyDescent="0.3">
      <c r="B126" t="s">
        <v>76</v>
      </c>
      <c r="L126">
        <v>16.899999999999999</v>
      </c>
      <c r="M126">
        <v>28.1</v>
      </c>
      <c r="N126">
        <v>39.4</v>
      </c>
      <c r="P126">
        <v>23.8</v>
      </c>
      <c r="Q126" s="6">
        <v>37.200000000000003</v>
      </c>
    </row>
    <row r="127" spans="2:45" x14ac:dyDescent="0.3">
      <c r="B127" t="s">
        <v>91</v>
      </c>
      <c r="L127">
        <v>19.8</v>
      </c>
      <c r="M127">
        <v>35.4</v>
      </c>
      <c r="N127">
        <v>53</v>
      </c>
      <c r="P127">
        <v>8.1999999999999993</v>
      </c>
      <c r="Q127" s="6">
        <v>11.8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2024-09-28T09:50:14Z</dcterms:created>
  <dcterms:modified xsi:type="dcterms:W3CDTF">2025-04-25T14:30:04Z</dcterms:modified>
</cp:coreProperties>
</file>