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51CD61B6-CC3D-416F-B22D-A0E993ED791C}" xr6:coauthVersionLast="47" xr6:coauthVersionMax="47" xr10:uidLastSave="{00000000-0000-0000-0000-000000000000}"/>
  <bookViews>
    <workbookView xWindow="-108" yWindow="-108" windowWidth="23256" windowHeight="12576" activeTab="1" xr2:uid="{9F0C41CC-C0DB-440C-AB99-1B4D33A170A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2" l="1"/>
  <c r="AE4" i="2"/>
  <c r="AD4" i="2"/>
  <c r="AC4" i="2"/>
  <c r="AB4" i="2"/>
  <c r="AA4" i="2"/>
  <c r="AA7" i="2" s="1"/>
  <c r="AA8" i="2" s="1"/>
  <c r="AA9" i="2" s="1"/>
  <c r="Z7" i="2"/>
  <c r="Z8" i="2" s="1"/>
  <c r="Z9" i="2" s="1"/>
  <c r="Z29" i="2" s="1"/>
  <c r="AM31" i="2"/>
  <c r="AM28" i="2"/>
  <c r="AJ21" i="2"/>
  <c r="AI21" i="2"/>
  <c r="AH21" i="2"/>
  <c r="AG21" i="2"/>
  <c r="AF21" i="2"/>
  <c r="AE21" i="2"/>
  <c r="AD21" i="2"/>
  <c r="AC21" i="2"/>
  <c r="AB21" i="2"/>
  <c r="AA21" i="2"/>
  <c r="AB15" i="2"/>
  <c r="AC15" i="2" s="1"/>
  <c r="AD15" i="2" s="1"/>
  <c r="AE15" i="2" s="1"/>
  <c r="AF15" i="2" s="1"/>
  <c r="AG15" i="2" s="1"/>
  <c r="AH15" i="2" s="1"/>
  <c r="AI15" i="2" s="1"/>
  <c r="AJ15" i="2" s="1"/>
  <c r="AA15" i="2"/>
  <c r="AA14" i="2"/>
  <c r="AB14" i="2" s="1"/>
  <c r="AB10" i="2"/>
  <c r="AB12" i="2" s="1"/>
  <c r="AA10" i="2"/>
  <c r="AA12" i="2" s="1"/>
  <c r="Z21" i="2"/>
  <c r="Z16" i="2"/>
  <c r="Z15" i="2"/>
  <c r="Z14" i="2"/>
  <c r="Z12" i="2"/>
  <c r="Z10" i="2"/>
  <c r="Z30" i="2"/>
  <c r="AJ6" i="2"/>
  <c r="AI6" i="2"/>
  <c r="AH6" i="2"/>
  <c r="AG6" i="2"/>
  <c r="AF6" i="2"/>
  <c r="AE6" i="2"/>
  <c r="AD6" i="2"/>
  <c r="AC6" i="2"/>
  <c r="AB6" i="2"/>
  <c r="AA6" i="2"/>
  <c r="Z6" i="2"/>
  <c r="AB5" i="2"/>
  <c r="AB26" i="2" s="1"/>
  <c r="AA5" i="2"/>
  <c r="Z5" i="2"/>
  <c r="AG3" i="2"/>
  <c r="AH3" i="2" s="1"/>
  <c r="AI3" i="2" s="1"/>
  <c r="AJ3" i="2" s="1"/>
  <c r="AF3" i="2"/>
  <c r="AE3" i="2"/>
  <c r="AA3" i="2"/>
  <c r="AA27" i="2" s="1"/>
  <c r="AB7" i="2"/>
  <c r="AB8" i="2" s="1"/>
  <c r="AB9" i="2" s="1"/>
  <c r="Z4" i="2"/>
  <c r="Z3" i="2"/>
  <c r="N33" i="2"/>
  <c r="M33" i="2"/>
  <c r="L33" i="2"/>
  <c r="K33" i="2"/>
  <c r="I33" i="2"/>
  <c r="H33" i="2"/>
  <c r="N32" i="2"/>
  <c r="M32" i="2"/>
  <c r="L32" i="2"/>
  <c r="K32" i="2"/>
  <c r="I32" i="2"/>
  <c r="H32" i="2"/>
  <c r="N31" i="2"/>
  <c r="M31" i="2"/>
  <c r="L31" i="2"/>
  <c r="K31" i="2"/>
  <c r="I31" i="2"/>
  <c r="H31" i="2"/>
  <c r="M30" i="2"/>
  <c r="L30" i="2"/>
  <c r="N29" i="2"/>
  <c r="M29" i="2"/>
  <c r="L29" i="2"/>
  <c r="K29" i="2"/>
  <c r="I29" i="2"/>
  <c r="H29" i="2"/>
  <c r="N28" i="2"/>
  <c r="M28" i="2"/>
  <c r="L28" i="2"/>
  <c r="K28" i="2"/>
  <c r="I28" i="2"/>
  <c r="H28" i="2"/>
  <c r="N27" i="2"/>
  <c r="M27" i="2"/>
  <c r="L27" i="2"/>
  <c r="K27" i="2"/>
  <c r="I27" i="2"/>
  <c r="H27" i="2"/>
  <c r="M26" i="2"/>
  <c r="L26" i="2"/>
  <c r="M25" i="2"/>
  <c r="L25" i="2"/>
  <c r="M24" i="2"/>
  <c r="L24" i="2"/>
  <c r="N19" i="2"/>
  <c r="N18" i="2"/>
  <c r="N15" i="2"/>
  <c r="N14" i="2"/>
  <c r="N16" i="2" s="1"/>
  <c r="N11" i="2"/>
  <c r="N10" i="2"/>
  <c r="N7" i="2"/>
  <c r="N6" i="2"/>
  <c r="N4" i="2"/>
  <c r="N5" i="2" s="1"/>
  <c r="N21" i="2"/>
  <c r="N12" i="2"/>
  <c r="N8" i="2"/>
  <c r="N3" i="2"/>
  <c r="H19" i="2"/>
  <c r="H21" i="2"/>
  <c r="H16" i="2"/>
  <c r="H12" i="2"/>
  <c r="H8" i="2"/>
  <c r="H5" i="2"/>
  <c r="L19" i="2"/>
  <c r="L21" i="2"/>
  <c r="L16" i="2"/>
  <c r="L12" i="2"/>
  <c r="L8" i="2"/>
  <c r="L5" i="2"/>
  <c r="I19" i="2"/>
  <c r="I21" i="2"/>
  <c r="I16" i="2"/>
  <c r="I12" i="2"/>
  <c r="I8" i="2"/>
  <c r="I5" i="2"/>
  <c r="M19" i="2"/>
  <c r="M21" i="2"/>
  <c r="M16" i="2"/>
  <c r="M12" i="2"/>
  <c r="M8" i="2"/>
  <c r="M5" i="2"/>
  <c r="X33" i="2"/>
  <c r="W33" i="2"/>
  <c r="V33" i="2"/>
  <c r="U33" i="2"/>
  <c r="T33" i="2"/>
  <c r="X32" i="2"/>
  <c r="W32" i="2"/>
  <c r="V32" i="2"/>
  <c r="U32" i="2"/>
  <c r="T32" i="2"/>
  <c r="X31" i="2"/>
  <c r="W31" i="2"/>
  <c r="V31" i="2"/>
  <c r="U31" i="2"/>
  <c r="T31" i="2"/>
  <c r="X30" i="2"/>
  <c r="W30" i="2"/>
  <c r="V30" i="2"/>
  <c r="U30" i="2"/>
  <c r="X29" i="2"/>
  <c r="W29" i="2"/>
  <c r="V29" i="2"/>
  <c r="U29" i="2"/>
  <c r="T29" i="2"/>
  <c r="X28" i="2"/>
  <c r="W28" i="2"/>
  <c r="V28" i="2"/>
  <c r="U28" i="2"/>
  <c r="T28" i="2"/>
  <c r="X27" i="2"/>
  <c r="W27" i="2"/>
  <c r="V27" i="2"/>
  <c r="U27" i="2"/>
  <c r="T27" i="2"/>
  <c r="X26" i="2"/>
  <c r="W26" i="2"/>
  <c r="V26" i="2"/>
  <c r="U26" i="2"/>
  <c r="X25" i="2"/>
  <c r="W25" i="2"/>
  <c r="V25" i="2"/>
  <c r="U25" i="2"/>
  <c r="X24" i="2"/>
  <c r="W24" i="2"/>
  <c r="V24" i="2"/>
  <c r="U24" i="2"/>
  <c r="AA30" i="2"/>
  <c r="AA26" i="2"/>
  <c r="Z26" i="2"/>
  <c r="AA25" i="2"/>
  <c r="Y30" i="2"/>
  <c r="Y26" i="2"/>
  <c r="Y25" i="2"/>
  <c r="Y24" i="2"/>
  <c r="Y28" i="2"/>
  <c r="Y27" i="2"/>
  <c r="O33" i="2"/>
  <c r="O32" i="2"/>
  <c r="O31" i="2"/>
  <c r="O29" i="2"/>
  <c r="O30" i="2"/>
  <c r="O28" i="2"/>
  <c r="O27" i="2"/>
  <c r="O26" i="2"/>
  <c r="O25" i="2"/>
  <c r="O24" i="2"/>
  <c r="T19" i="2"/>
  <c r="T14" i="2"/>
  <c r="T16" i="2" s="1"/>
  <c r="T21" i="2"/>
  <c r="T12" i="2"/>
  <c r="T8" i="2"/>
  <c r="T5" i="2"/>
  <c r="T9" i="2" s="1"/>
  <c r="U21" i="2"/>
  <c r="U16" i="2"/>
  <c r="U12" i="2"/>
  <c r="U8" i="2"/>
  <c r="U5" i="2"/>
  <c r="V19" i="2"/>
  <c r="V21" i="2"/>
  <c r="V16" i="2"/>
  <c r="V12" i="2"/>
  <c r="V8" i="2"/>
  <c r="V5" i="2"/>
  <c r="W19" i="2"/>
  <c r="W21" i="2"/>
  <c r="W16" i="2"/>
  <c r="W12" i="2"/>
  <c r="W8" i="2"/>
  <c r="W5" i="2"/>
  <c r="X19" i="2"/>
  <c r="X21" i="2"/>
  <c r="X16" i="2"/>
  <c r="X12" i="2"/>
  <c r="X8" i="2"/>
  <c r="X5" i="2"/>
  <c r="Y19" i="2"/>
  <c r="Y21" i="2"/>
  <c r="Y16" i="2"/>
  <c r="Y12" i="2"/>
  <c r="Y8" i="2"/>
  <c r="Y5" i="2"/>
  <c r="K19" i="2"/>
  <c r="K21" i="2"/>
  <c r="K16" i="2"/>
  <c r="K12" i="2"/>
  <c r="K8" i="2"/>
  <c r="K5" i="2"/>
  <c r="O22" i="2"/>
  <c r="O21" i="2"/>
  <c r="O19" i="2"/>
  <c r="O20" i="2" s="1"/>
  <c r="O17" i="2"/>
  <c r="O16" i="2"/>
  <c r="O13" i="2"/>
  <c r="O12" i="2"/>
  <c r="O9" i="2"/>
  <c r="O8" i="2"/>
  <c r="O5" i="2"/>
  <c r="D9" i="1"/>
  <c r="D8" i="1"/>
  <c r="D7" i="1"/>
  <c r="D6" i="1"/>
  <c r="D5" i="1"/>
  <c r="D4" i="1"/>
  <c r="F3" i="1"/>
  <c r="AB28" i="2" l="1"/>
  <c r="AA28" i="2"/>
  <c r="AB13" i="2"/>
  <c r="AB29" i="2"/>
  <c r="AB16" i="2"/>
  <c r="AC14" i="2"/>
  <c r="AA13" i="2"/>
  <c r="AA29" i="2"/>
  <c r="AB30" i="2"/>
  <c r="AC10" i="2"/>
  <c r="AA16" i="2"/>
  <c r="Z13" i="2"/>
  <c r="Z28" i="2"/>
  <c r="AB3" i="2"/>
  <c r="AA24" i="2"/>
  <c r="AB25" i="2"/>
  <c r="Z25" i="2"/>
  <c r="Z24" i="2"/>
  <c r="Z27" i="2"/>
  <c r="N9" i="2"/>
  <c r="N13" i="2" s="1"/>
  <c r="N17" i="2" s="1"/>
  <c r="N20" i="2" s="1"/>
  <c r="N22" i="2" s="1"/>
  <c r="H9" i="2"/>
  <c r="H13" i="2" s="1"/>
  <c r="H17" i="2" s="1"/>
  <c r="H20" i="2" s="1"/>
  <c r="H22" i="2" s="1"/>
  <c r="L9" i="2"/>
  <c r="L13" i="2" s="1"/>
  <c r="L17" i="2" s="1"/>
  <c r="L20" i="2" s="1"/>
  <c r="L22" i="2" s="1"/>
  <c r="I9" i="2"/>
  <c r="I13" i="2" s="1"/>
  <c r="I17" i="2" s="1"/>
  <c r="I20" i="2" s="1"/>
  <c r="I22" i="2" s="1"/>
  <c r="M9" i="2"/>
  <c r="M13" i="2" s="1"/>
  <c r="M17" i="2" s="1"/>
  <c r="M20" i="2" s="1"/>
  <c r="M22" i="2" s="1"/>
  <c r="T13" i="2"/>
  <c r="T17" i="2" s="1"/>
  <c r="T20" i="2" s="1"/>
  <c r="T22" i="2" s="1"/>
  <c r="U9" i="2"/>
  <c r="U13" i="2" s="1"/>
  <c r="U17" i="2" s="1"/>
  <c r="U20" i="2" s="1"/>
  <c r="U22" i="2" s="1"/>
  <c r="V9" i="2"/>
  <c r="V13" i="2" s="1"/>
  <c r="V17" i="2" s="1"/>
  <c r="V20" i="2" s="1"/>
  <c r="V22" i="2" s="1"/>
  <c r="W9" i="2"/>
  <c r="W13" i="2" s="1"/>
  <c r="W17" i="2" s="1"/>
  <c r="W20" i="2" s="1"/>
  <c r="W22" i="2" s="1"/>
  <c r="X9" i="2"/>
  <c r="X13" i="2" s="1"/>
  <c r="X17" i="2" s="1"/>
  <c r="X20" i="2" s="1"/>
  <c r="X22" i="2" s="1"/>
  <c r="Y9" i="2"/>
  <c r="K9" i="2"/>
  <c r="K13" i="2" s="1"/>
  <c r="K17" i="2" s="1"/>
  <c r="K20" i="2" s="1"/>
  <c r="K22" i="2" s="1"/>
  <c r="AC7" i="2" l="1"/>
  <c r="AC8" i="2" s="1"/>
  <c r="AC5" i="2"/>
  <c r="AC26" i="2" s="1"/>
  <c r="AC25" i="2"/>
  <c r="Z31" i="2"/>
  <c r="Z17" i="2"/>
  <c r="AA17" i="2"/>
  <c r="AA31" i="2"/>
  <c r="AB17" i="2"/>
  <c r="AB31" i="2"/>
  <c r="AC16" i="2"/>
  <c r="AD14" i="2"/>
  <c r="AC12" i="2"/>
  <c r="AD10" i="2"/>
  <c r="AC30" i="2"/>
  <c r="Y13" i="2"/>
  <c r="Y29" i="2"/>
  <c r="AB27" i="2"/>
  <c r="AC3" i="2"/>
  <c r="AB24" i="2"/>
  <c r="AD5" i="2" l="1"/>
  <c r="AD26" i="2" s="1"/>
  <c r="AD7" i="2"/>
  <c r="AD8" i="2" s="1"/>
  <c r="AD9" i="2" s="1"/>
  <c r="AD29" i="2" s="1"/>
  <c r="AD28" i="2"/>
  <c r="AD25" i="2"/>
  <c r="AC9" i="2"/>
  <c r="AC29" i="2" s="1"/>
  <c r="AC28" i="2"/>
  <c r="AB18" i="2"/>
  <c r="AB32" i="2" s="1"/>
  <c r="AB19" i="2"/>
  <c r="AA18" i="2"/>
  <c r="AA32" i="2" s="1"/>
  <c r="AA19" i="2"/>
  <c r="AD16" i="2"/>
  <c r="AE14" i="2"/>
  <c r="AD12" i="2"/>
  <c r="AE10" i="2"/>
  <c r="AD30" i="2"/>
  <c r="Z19" i="2"/>
  <c r="Z18" i="2"/>
  <c r="Z32" i="2" s="1"/>
  <c r="Y17" i="2"/>
  <c r="Y31" i="2"/>
  <c r="AC27" i="2"/>
  <c r="AD3" i="2"/>
  <c r="AC24" i="2"/>
  <c r="AD13" i="2" l="1"/>
  <c r="AD17" i="2" s="1"/>
  <c r="AE5" i="2"/>
  <c r="AE26" i="2" s="1"/>
  <c r="AE7" i="2"/>
  <c r="AE8" i="2" s="1"/>
  <c r="AE25" i="2"/>
  <c r="AC13" i="2"/>
  <c r="AA20" i="2"/>
  <c r="AA33" i="2" s="1"/>
  <c r="AE12" i="2"/>
  <c r="AF10" i="2"/>
  <c r="AE30" i="2"/>
  <c r="AE16" i="2"/>
  <c r="AF14" i="2"/>
  <c r="Z20" i="2"/>
  <c r="AB20" i="2"/>
  <c r="Y20" i="2"/>
  <c r="Y32" i="2"/>
  <c r="AD27" i="2"/>
  <c r="AD24" i="2"/>
  <c r="AE9" i="2" l="1"/>
  <c r="AE29" i="2" s="1"/>
  <c r="AD31" i="2"/>
  <c r="AC17" i="2"/>
  <c r="AC31" i="2"/>
  <c r="AE28" i="2"/>
  <c r="AF5" i="2"/>
  <c r="AF26" i="2" s="1"/>
  <c r="AF7" i="2"/>
  <c r="AF8" i="2" s="1"/>
  <c r="AF9" i="2" s="1"/>
  <c r="AF29" i="2" s="1"/>
  <c r="AF25" i="2"/>
  <c r="AG4" i="2"/>
  <c r="AA22" i="2"/>
  <c r="AF16" i="2"/>
  <c r="AG14" i="2"/>
  <c r="AF12" i="2"/>
  <c r="AG10" i="2"/>
  <c r="AF30" i="2"/>
  <c r="AB22" i="2"/>
  <c r="AB33" i="2"/>
  <c r="AD18" i="2"/>
  <c r="AD32" i="2" s="1"/>
  <c r="AD19" i="2"/>
  <c r="Z33" i="2"/>
  <c r="Z22" i="2"/>
  <c r="Y22" i="2"/>
  <c r="Y33" i="2"/>
  <c r="AE24" i="2"/>
  <c r="AE27" i="2"/>
  <c r="AF28" i="2" l="1"/>
  <c r="AE13" i="2"/>
  <c r="AG5" i="2"/>
  <c r="AG26" i="2" s="1"/>
  <c r="AG7" i="2"/>
  <c r="AG8" i="2" s="1"/>
  <c r="AH4" i="2"/>
  <c r="AG25" i="2"/>
  <c r="AF13" i="2"/>
  <c r="AF31" i="2" s="1"/>
  <c r="AC19" i="2"/>
  <c r="AC18" i="2"/>
  <c r="AH14" i="2"/>
  <c r="AG16" i="2"/>
  <c r="AH10" i="2"/>
  <c r="AG30" i="2"/>
  <c r="AG12" i="2"/>
  <c r="AD20" i="2"/>
  <c r="AF27" i="2"/>
  <c r="AF24" i="2"/>
  <c r="AE31" i="2" l="1"/>
  <c r="AE17" i="2"/>
  <c r="AG9" i="2"/>
  <c r="AG29" i="2" s="1"/>
  <c r="AG28" i="2"/>
  <c r="AH7" i="2"/>
  <c r="AH8" i="2" s="1"/>
  <c r="AH5" i="2"/>
  <c r="AH26" i="2" s="1"/>
  <c r="AI4" i="2"/>
  <c r="AH25" i="2"/>
  <c r="AF17" i="2"/>
  <c r="AF19" i="2" s="1"/>
  <c r="AC32" i="2"/>
  <c r="AC20" i="2"/>
  <c r="AI14" i="2"/>
  <c r="AH16" i="2"/>
  <c r="AH12" i="2"/>
  <c r="AI10" i="2"/>
  <c r="AH30" i="2"/>
  <c r="AD22" i="2"/>
  <c r="AD33" i="2"/>
  <c r="AG24" i="2"/>
  <c r="AG27" i="2"/>
  <c r="AG13" i="2" l="1"/>
  <c r="AG31" i="2" s="1"/>
  <c r="AE19" i="2"/>
  <c r="AE18" i="2"/>
  <c r="AH28" i="2"/>
  <c r="AG17" i="2"/>
  <c r="AG19" i="2" s="1"/>
  <c r="AI7" i="2"/>
  <c r="AI8" i="2" s="1"/>
  <c r="AI5" i="2"/>
  <c r="AI26" i="2" s="1"/>
  <c r="AI25" i="2"/>
  <c r="AJ4" i="2"/>
  <c r="AC22" i="2"/>
  <c r="AC33" i="2"/>
  <c r="AF18" i="2"/>
  <c r="AF32" i="2" s="1"/>
  <c r="AH9" i="2"/>
  <c r="AH29" i="2" s="1"/>
  <c r="AJ10" i="2"/>
  <c r="AI30" i="2"/>
  <c r="AI12" i="2"/>
  <c r="AJ14" i="2"/>
  <c r="AJ16" i="2" s="1"/>
  <c r="AI16" i="2"/>
  <c r="AH24" i="2"/>
  <c r="AH27" i="2"/>
  <c r="AE32" i="2" l="1"/>
  <c r="AE20" i="2"/>
  <c r="AG18" i="2"/>
  <c r="AG32" i="2" s="1"/>
  <c r="AI28" i="2"/>
  <c r="AF20" i="2"/>
  <c r="AH13" i="2"/>
  <c r="AH31" i="2" s="1"/>
  <c r="AJ7" i="2"/>
  <c r="AJ8" i="2" s="1"/>
  <c r="AJ5" i="2"/>
  <c r="AJ26" i="2" s="1"/>
  <c r="AJ25" i="2"/>
  <c r="AI9" i="2"/>
  <c r="AI29" i="2" s="1"/>
  <c r="AJ12" i="2"/>
  <c r="AJ30" i="2"/>
  <c r="AI24" i="2"/>
  <c r="AI27" i="2"/>
  <c r="AE33" i="2" l="1"/>
  <c r="AE22" i="2"/>
  <c r="AG20" i="2"/>
  <c r="AG33" i="2" s="1"/>
  <c r="AJ28" i="2"/>
  <c r="AF33" i="2"/>
  <c r="AF22" i="2"/>
  <c r="AH17" i="2"/>
  <c r="AJ9" i="2"/>
  <c r="AJ29" i="2" s="1"/>
  <c r="AI13" i="2"/>
  <c r="AJ24" i="2"/>
  <c r="AJ27" i="2"/>
  <c r="AG22" i="2" l="1"/>
  <c r="AJ13" i="2"/>
  <c r="AJ17" i="2" s="1"/>
  <c r="AJ19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DO20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EG20" i="2" s="1"/>
  <c r="EH20" i="2" s="1"/>
  <c r="EI20" i="2" s="1"/>
  <c r="EJ20" i="2" s="1"/>
  <c r="EK20" i="2" s="1"/>
  <c r="EL20" i="2" s="1"/>
  <c r="EM20" i="2" s="1"/>
  <c r="EN20" i="2" s="1"/>
  <c r="EO20" i="2" s="1"/>
  <c r="EP20" i="2" s="1"/>
  <c r="EQ20" i="2" s="1"/>
  <c r="ER20" i="2" s="1"/>
  <c r="AJ31" i="2"/>
  <c r="AH18" i="2"/>
  <c r="AH19" i="2"/>
  <c r="AI31" i="2"/>
  <c r="AI17" i="2"/>
  <c r="AJ18" i="2"/>
  <c r="AJ32" i="2" s="1"/>
  <c r="AH32" i="2" l="1"/>
  <c r="AH20" i="2"/>
  <c r="AI18" i="2"/>
  <c r="AI32" i="2" s="1"/>
  <c r="AI19" i="2"/>
  <c r="AJ22" i="2"/>
  <c r="AJ33" i="2"/>
  <c r="AI20" i="2" l="1"/>
  <c r="AI22" i="2" s="1"/>
  <c r="AH33" i="2"/>
  <c r="AH22" i="2"/>
  <c r="AM27" i="2"/>
  <c r="AM29" i="2" s="1"/>
  <c r="AM30" i="2" s="1"/>
  <c r="AM32" i="2" s="1"/>
  <c r="AI33" i="2" l="1"/>
</calcChain>
</file>

<file path=xl/sharedStrings.xml><?xml version="1.0" encoding="utf-8"?>
<sst xmlns="http://schemas.openxmlformats.org/spreadsheetml/2006/main" count="70" uniqueCount="65">
  <si>
    <t>FI</t>
  </si>
  <si>
    <t>Price</t>
  </si>
  <si>
    <t>Shares</t>
  </si>
  <si>
    <t>MC</t>
  </si>
  <si>
    <t>Cash</t>
  </si>
  <si>
    <t>Debt</t>
  </si>
  <si>
    <t>EV</t>
  </si>
  <si>
    <t>Net Cash</t>
  </si>
  <si>
    <t>Last checked</t>
  </si>
  <si>
    <t>Today</t>
  </si>
  <si>
    <t>Earnings</t>
  </si>
  <si>
    <t>Q125</t>
  </si>
  <si>
    <t>Service revenue</t>
  </si>
  <si>
    <t>Product revenue</t>
  </si>
  <si>
    <t>Total revenue</t>
  </si>
  <si>
    <t>Service cost</t>
  </si>
  <si>
    <t>Product cost</t>
  </si>
  <si>
    <t>Total cost of sales</t>
  </si>
  <si>
    <t>Gross profit</t>
  </si>
  <si>
    <t>SG&amp;A</t>
  </si>
  <si>
    <t>Other income</t>
  </si>
  <si>
    <t>Total operating expense</t>
  </si>
  <si>
    <t>Operating profit</t>
  </si>
  <si>
    <t>Interest expense</t>
  </si>
  <si>
    <t>Other expense</t>
  </si>
  <si>
    <t>Total other expense</t>
  </si>
  <si>
    <t>Pretax profit</t>
  </si>
  <si>
    <t>Taxes</t>
  </si>
  <si>
    <t>MI</t>
  </si>
  <si>
    <t>Net profit</t>
  </si>
  <si>
    <t>EPS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</si>
  <si>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</si>
  <si>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</si>
  <si>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</si>
  <si>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</si>
  <si>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</si>
  <si>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</si>
  <si>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</si>
  <si>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</si>
  <si>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</si>
  <si>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</si>
  <si>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</si>
  <si>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</si>
  <si>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Q225</t>
  </si>
  <si>
    <t>Q325</t>
  </si>
  <si>
    <t>Q425</t>
  </si>
  <si>
    <t>Revenue y/y</t>
  </si>
  <si>
    <t>Service revenue y/y</t>
  </si>
  <si>
    <t>Product revenue y/y</t>
  </si>
  <si>
    <t>Service Margin</t>
  </si>
  <si>
    <t>Product Margin</t>
  </si>
  <si>
    <t>Gross Margin</t>
  </si>
  <si>
    <t>SG&amp;A y/y</t>
  </si>
  <si>
    <t>Operating Margin</t>
  </si>
  <si>
    <t>Net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</si>
  <si>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</si>
  <si>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</si>
  <si>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</si>
  <si>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</si>
  <si>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</si>
  <si>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</si>
  <si>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</si>
  <si>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</si>
  <si>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</si>
  <si>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Heavily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</si>
</sst>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</xdr:colOff>
      <xdr:row>0</xdr:row>
      <xdr:rowOff>0</xdr:rowOff>
    </xdr:from>
    <xdr:to>
      <xdr:col>15</xdr:col>
      <xdr:colOff>22860</xdr:colOff>
      <xdr:row>33</xdr:row>
      <xdr:rowOff>99060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BFE8504-C9D0-CE74-B940-98A9115F5146}"/>
            </a:ext>
          </a:extLst>
        </xdr:cNvPr>
        <xdr:cNvCxnSpPr/>
      </xdr:nvCxnSpPr>
      <xdr:spPr>
        <a:xfrm>
          <a:off x="9982200" y="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15240</xdr:colOff>
      <xdr:row>0</xdr:row>
      <xdr:rowOff>0</xdr:rowOff>
    </xdr:from>
    <xdr:to>
      <xdr:col>25</xdr:col>
      <xdr:colOff>15240</xdr:colOff>
      <xdr:row>39</xdr:row>
      <xdr:rowOff>106680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BCDD361-4F02-E2B7-9145-C2393BE375AF}"/>
            </a:ext>
          </a:extLst>
        </xdr:cNvPr>
        <xdr:cNvCxnSpPr/>
      </xdr:nvCxnSpPr>
      <xdr:spPr>
        <a:xfrm>
          <a:off x="16070580" y="0"/>
          <a:ext cx="0" cy="7239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E303-836D-43DA-9554-C3A8968E0BBE}">
  <dimension ref="B2:G9"/>
  <sheetViews>
    <sheetView workbookViewId="0">
      <selection activeCell="D4" sqref="D4"/>
    </sheetView>
  </sheetViews>
  <sheetFormatPr defaultRowHeight="14.4" x14ac:dyDescent="0.3"/>
  <cols>
    <col min="5" max="7" width="13" style="2" customWidth="1"/>
  </cols>
  <sheetData>
    <row r="2" spans="2:7" x14ac:dyDescent="0.3">
      <c r="E2" s="2" t="s">
        <v>8</v>
      </c>
      <c r="F2" s="2" t="s">
        <v>9</v>
      </c>
      <c r="G2" s="2" t="s">
        <v>10</v>
      </c>
    </row>
    <row r="3" spans="2:7" x14ac:dyDescent="0.3">
      <c r="B3" s="1" t="s">
        <v>0</v>
      </c>
      <c r="C3" t="s">
        <v>1</v>
      </c>
      <c r="D3" s="4">
        <v>176.85</v>
      </c>
      <c r="E3" s="3">
        <v>45772</v>
      </c>
      <c r="F3" s="3">
        <f ca="1">TODAY()</f>
        <v>45772</v>
      </c>
      <c r="G3" s="3">
        <v>45867</v>
      </c>
    </row>
    <row r="4" spans="2:7" x14ac:dyDescent="0.3">
      <c r="C4" t="s">
        <v>2</v>
      </c>
      <c r="D4" s="5">
        <f>554.4</f>
        <v>554.4</v>
      </c>
      <c r="E4" s="2" t="s">
        <v>11</v>
      </c>
    </row>
    <row r="5" spans="2:7" x14ac:dyDescent="0.3">
      <c r="C5" t="s">
        <v>3</v>
      </c>
      <c r="D5" s="5">
        <f>D3*D4</f>
        <v>98045.64</v>
      </c>
    </row>
    <row r="6" spans="2:7" x14ac:dyDescent="0.3">
      <c r="C6" t="s">
        <v>4</v>
      </c>
      <c r="D6" s="5">
        <f>1177</f>
        <v>1177</v>
      </c>
      <c r="E6" s="2" t="s">
        <v>11</v>
      </c>
    </row>
    <row r="7" spans="2:7" x14ac:dyDescent="0.3">
      <c r="C7" t="s">
        <v>5</v>
      </c>
      <c r="D7" s="5">
        <f>1281+27016</f>
        <v>28297</v>
      </c>
      <c r="E7" s="2" t="s">
        <v>11</v>
      </c>
    </row>
    <row r="8" spans="2:7" x14ac:dyDescent="0.3">
      <c r="C8" t="s">
        <v>7</v>
      </c>
      <c r="D8" s="5">
        <f>D6-D7</f>
        <v>-27120</v>
      </c>
    </row>
    <row r="9" spans="2:7" x14ac:dyDescent="0.3">
      <c r="C9" t="s">
        <v>6</v>
      </c>
      <c r="D9" s="5">
        <f>D5-D8</f>
        <v>125165.64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78871-E2E8-4854-97D9-3981298C745F}">
  <dimension ref="B2:ER33"/>
  <sheetViews>
    <sheetView tabSelected="1" workbookViewId="0">
      <pane xSplit="2" ySplit="2" topLeftCell="X10" activePane="bottomRight" state="frozen"/>
      <selection pane="topRight" activeCell="C1" sqref="C1"/>
      <selection pane="bottomLeft" activeCell="A3" sqref="A3"/>
      <selection pane="bottomRight" activeCell="AF10" sqref="AF10"/>
    </sheetView>
  </sheetViews>
  <sheetFormatPr defaultRowHeight="14.4" x14ac:dyDescent="0.3"/>
  <cols>
    <col min="2" max="2" width="20.77734375" bestFit="1" customWidth="1"/>
    <col min="38" max="38" width="11.88671875" bestFit="1" customWidth="1"/>
    <col min="39" max="39" width="17.88671875" customWidth="1"/>
  </cols>
  <sheetData>
    <row r="2" spans="2:36" x14ac:dyDescent="0.3">
      <c r="C2" s="6" t="s">
        <v>31</v>
      </c>
      <c r="D2" s="6" t="s">
        <v>32</v>
      </c>
      <c r="E2" s="6" t="s">
        <v>33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40</v>
      </c>
      <c r="M2" s="6" t="s">
        <v>41</v>
      </c>
      <c r="N2" s="6" t="s">
        <v>42</v>
      </c>
      <c r="O2" s="6" t="s">
        <v>11</v>
      </c>
      <c r="P2" s="6" t="s">
        <v>43</v>
      </c>
      <c r="Q2" s="6" t="s">
        <v>44</v>
      </c>
      <c r="R2" s="6" t="s">
        <v>45</v>
      </c>
      <c r="T2">
        <v>2019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v>2025</v>
      </c>
      <c r="AA2">
        <v>2026</v>
      </c>
      <c r="AB2">
        <v>2027</v>
      </c>
      <c r="AC2">
        <v>2028</v>
      </c>
      <c r="AD2">
        <v>2029</v>
      </c>
      <c r="AE2">
        <v>2030</v>
      </c>
      <c r="AF2">
        <v>2031</v>
      </c>
      <c r="AG2">
        <v>2032</v>
      </c>
      <c r="AH2">
        <v>2033</v>
      </c>
      <c r="AI2">
        <v>2034</v>
      </c>
      <c r="AJ2">
        <v>2035</v>
      </c>
    </row>
    <row r="3" spans="2:36" x14ac:dyDescent="0.3">
      <c r="B3" t="s">
        <v>12</v>
      </c>
      <c r="H3" s="5">
        <v>3924</v>
      </c>
      <c r="I3" s="5">
        <v>4008</v>
      </c>
      <c r="K3" s="5">
        <v>4000</v>
      </c>
      <c r="L3" s="5">
        <v>4140</v>
      </c>
      <c r="M3" s="5">
        <v>4237</v>
      </c>
      <c r="N3" s="5">
        <f>Y3-M3-L3-K3</f>
        <v>4260</v>
      </c>
      <c r="O3" s="5">
        <v>4045</v>
      </c>
      <c r="T3" s="5">
        <v>8573</v>
      </c>
      <c r="U3" s="5">
        <v>12215</v>
      </c>
      <c r="V3" s="5">
        <v>13307</v>
      </c>
      <c r="W3" s="5">
        <v>14460</v>
      </c>
      <c r="X3" s="5">
        <v>15630</v>
      </c>
      <c r="Y3" s="5">
        <v>16637</v>
      </c>
      <c r="Z3" s="5">
        <f>Y3*1.02</f>
        <v>16969.740000000002</v>
      </c>
      <c r="AA3" s="5">
        <f t="shared" ref="AA3:AD3" si="0">Z3*1.02</f>
        <v>17309.134800000003</v>
      </c>
      <c r="AB3" s="5">
        <f t="shared" si="0"/>
        <v>17655.317496000003</v>
      </c>
      <c r="AC3" s="5">
        <f t="shared" si="0"/>
        <v>18008.423845920002</v>
      </c>
      <c r="AD3" s="5">
        <f t="shared" si="0"/>
        <v>18368.592322838402</v>
      </c>
      <c r="AE3" s="5">
        <f>AD3*1.01</f>
        <v>18552.278246066788</v>
      </c>
      <c r="AF3" s="5">
        <f t="shared" ref="AF3:AJ3" si="1">AE3*1.01</f>
        <v>18737.801028527454</v>
      </c>
      <c r="AG3" s="5">
        <f t="shared" si="1"/>
        <v>18925.17903881273</v>
      </c>
      <c r="AH3" s="5">
        <f t="shared" si="1"/>
        <v>19114.430829200857</v>
      </c>
      <c r="AI3" s="5">
        <f t="shared" si="1"/>
        <v>19305.575137492866</v>
      </c>
      <c r="AJ3" s="5">
        <f t="shared" si="1"/>
        <v>19498.630888867796</v>
      </c>
    </row>
    <row r="4" spans="2:36" x14ac:dyDescent="0.3">
      <c r="B4" t="s">
        <v>13</v>
      </c>
      <c r="H4" s="5">
        <v>832</v>
      </c>
      <c r="I4" s="5">
        <v>865</v>
      </c>
      <c r="K4" s="5">
        <v>883</v>
      </c>
      <c r="L4" s="5">
        <v>967</v>
      </c>
      <c r="M4" s="5">
        <v>978</v>
      </c>
      <c r="N4" s="5">
        <f>Y4-M4-L4-K4</f>
        <v>991</v>
      </c>
      <c r="O4" s="5">
        <v>1085</v>
      </c>
      <c r="T4" s="5">
        <v>1614</v>
      </c>
      <c r="U4" s="5">
        <v>2637</v>
      </c>
      <c r="V4" s="5">
        <v>2919</v>
      </c>
      <c r="W4" s="5">
        <v>3277</v>
      </c>
      <c r="X4" s="5">
        <v>3463</v>
      </c>
      <c r="Y4" s="5">
        <v>3819</v>
      </c>
      <c r="Z4" s="5">
        <f>Y4*1.25</f>
        <v>4773.75</v>
      </c>
      <c r="AA4" s="5">
        <f>Z4*1.15</f>
        <v>5489.8125</v>
      </c>
      <c r="AB4" s="5">
        <f>AA4*1.09</f>
        <v>5983.8956250000001</v>
      </c>
      <c r="AC4" s="5">
        <f>AB4*1.06</f>
        <v>6342.9293625</v>
      </c>
      <c r="AD4" s="5">
        <f>AC4*1.05</f>
        <v>6660.075830625</v>
      </c>
      <c r="AE4" s="5">
        <f>AD4*1.04</f>
        <v>6926.4788638500004</v>
      </c>
      <c r="AF4" s="5">
        <f>AE4*1.03</f>
        <v>7134.2732297655002</v>
      </c>
      <c r="AG4" s="5">
        <f t="shared" ref="AF4:AJ4" si="2">AF4*1.02</f>
        <v>7276.9586943608101</v>
      </c>
      <c r="AH4" s="5">
        <f t="shared" si="2"/>
        <v>7422.4978682480269</v>
      </c>
      <c r="AI4" s="5">
        <f t="shared" si="2"/>
        <v>7570.9478256129878</v>
      </c>
      <c r="AJ4" s="5">
        <f t="shared" si="2"/>
        <v>7722.3667821252475</v>
      </c>
    </row>
    <row r="5" spans="2:36" s="1" customFormat="1" x14ac:dyDescent="0.3">
      <c r="B5" s="1" t="s">
        <v>14</v>
      </c>
      <c r="H5" s="8">
        <f>H3+H4</f>
        <v>4756</v>
      </c>
      <c r="I5" s="8">
        <f>I3+I4</f>
        <v>4873</v>
      </c>
      <c r="K5" s="8">
        <f>K3+K4</f>
        <v>4883</v>
      </c>
      <c r="L5" s="8">
        <f>L3+L4</f>
        <v>5107</v>
      </c>
      <c r="M5" s="8">
        <f>M3+M4</f>
        <v>5215</v>
      </c>
      <c r="N5" s="8">
        <f>N3+N4</f>
        <v>5251</v>
      </c>
      <c r="O5" s="8">
        <f>O3+O4</f>
        <v>5130</v>
      </c>
      <c r="T5" s="8">
        <f t="shared" ref="T5:Y5" si="3">T3+T4</f>
        <v>10187</v>
      </c>
      <c r="U5" s="8">
        <f t="shared" si="3"/>
        <v>14852</v>
      </c>
      <c r="V5" s="8">
        <f t="shared" si="3"/>
        <v>16226</v>
      </c>
      <c r="W5" s="8">
        <f t="shared" si="3"/>
        <v>17737</v>
      </c>
      <c r="X5" s="8">
        <f t="shared" si="3"/>
        <v>19093</v>
      </c>
      <c r="Y5" s="8">
        <f t="shared" si="3"/>
        <v>20456</v>
      </c>
      <c r="Z5" s="8">
        <f t="shared" ref="Z5:AJ5" si="4">Z3+Z4</f>
        <v>21743.49</v>
      </c>
      <c r="AA5" s="8">
        <f t="shared" si="4"/>
        <v>22798.947300000003</v>
      </c>
      <c r="AB5" s="8">
        <f t="shared" si="4"/>
        <v>23639.213121000004</v>
      </c>
      <c r="AC5" s="8">
        <f t="shared" si="4"/>
        <v>24351.353208420001</v>
      </c>
      <c r="AD5" s="8">
        <f t="shared" si="4"/>
        <v>25028.668153463401</v>
      </c>
      <c r="AE5" s="8">
        <f t="shared" si="4"/>
        <v>25478.757109916787</v>
      </c>
      <c r="AF5" s="8">
        <f t="shared" si="4"/>
        <v>25872.074258292952</v>
      </c>
      <c r="AG5" s="8">
        <f t="shared" si="4"/>
        <v>26202.137733173542</v>
      </c>
      <c r="AH5" s="8">
        <f t="shared" si="4"/>
        <v>26536.928697448886</v>
      </c>
      <c r="AI5" s="8">
        <f t="shared" si="4"/>
        <v>26876.522963105854</v>
      </c>
      <c r="AJ5" s="8">
        <f t="shared" si="4"/>
        <v>27220.997670993042</v>
      </c>
    </row>
    <row r="6" spans="2:36" x14ac:dyDescent="0.3">
      <c r="B6" t="s">
        <v>15</v>
      </c>
      <c r="H6" s="5">
        <v>1351</v>
      </c>
      <c r="I6" s="5">
        <v>1311</v>
      </c>
      <c r="K6" s="5">
        <v>1354</v>
      </c>
      <c r="L6" s="5">
        <v>1343</v>
      </c>
      <c r="M6" s="5">
        <v>1346</v>
      </c>
      <c r="N6" s="5">
        <f t="shared" ref="N6:N7" si="5">Y6-M6-L6-K6</f>
        <v>1320</v>
      </c>
      <c r="O6" s="5">
        <v>1389</v>
      </c>
      <c r="T6" s="5">
        <v>4016</v>
      </c>
      <c r="U6" s="5">
        <v>5841</v>
      </c>
      <c r="V6" s="5">
        <v>6084</v>
      </c>
      <c r="W6" s="5">
        <v>5771</v>
      </c>
      <c r="X6" s="5">
        <v>5332</v>
      </c>
      <c r="Y6" s="5">
        <v>5363</v>
      </c>
      <c r="Z6" s="5">
        <f>Z3*0.32</f>
        <v>5430.3168000000005</v>
      </c>
      <c r="AA6" s="5">
        <f t="shared" ref="AA6:AJ6" si="6">AA3*0.32</f>
        <v>5538.9231360000013</v>
      </c>
      <c r="AB6" s="5">
        <f t="shared" si="6"/>
        <v>5649.7015987200011</v>
      </c>
      <c r="AC6" s="5">
        <f t="shared" si="6"/>
        <v>5762.6956306944012</v>
      </c>
      <c r="AD6" s="5">
        <f t="shared" si="6"/>
        <v>5877.9495433082884</v>
      </c>
      <c r="AE6" s="5">
        <f t="shared" si="6"/>
        <v>5936.7290387413723</v>
      </c>
      <c r="AF6" s="5">
        <f t="shared" si="6"/>
        <v>5996.0963291287853</v>
      </c>
      <c r="AG6" s="5">
        <f t="shared" si="6"/>
        <v>6056.0572924200742</v>
      </c>
      <c r="AH6" s="5">
        <f t="shared" si="6"/>
        <v>6116.6178653442748</v>
      </c>
      <c r="AI6" s="5">
        <f t="shared" si="6"/>
        <v>6177.7840439977172</v>
      </c>
      <c r="AJ6" s="5">
        <f t="shared" si="6"/>
        <v>6239.561884437695</v>
      </c>
    </row>
    <row r="7" spans="2:36" x14ac:dyDescent="0.3">
      <c r="B7" t="s">
        <v>16</v>
      </c>
      <c r="H7" s="5">
        <v>578</v>
      </c>
      <c r="I7" s="5">
        <v>583</v>
      </c>
      <c r="K7" s="5">
        <v>651</v>
      </c>
      <c r="L7" s="5">
        <v>639</v>
      </c>
      <c r="M7" s="5">
        <v>661</v>
      </c>
      <c r="N7" s="5">
        <f t="shared" si="5"/>
        <v>699</v>
      </c>
      <c r="O7" s="5">
        <v>684</v>
      </c>
      <c r="T7" s="5">
        <v>1293</v>
      </c>
      <c r="U7" s="5">
        <v>1971</v>
      </c>
      <c r="V7" s="5">
        <v>2044</v>
      </c>
      <c r="W7" s="5">
        <v>2221</v>
      </c>
      <c r="X7" s="5">
        <v>2338</v>
      </c>
      <c r="Y7" s="5">
        <v>2650</v>
      </c>
      <c r="Z7" s="5">
        <f>Z4*0.65</f>
        <v>3102.9375</v>
      </c>
      <c r="AA7" s="5">
        <f t="shared" ref="AA7:AJ7" si="7">AA4*0.65</f>
        <v>3568.3781250000002</v>
      </c>
      <c r="AB7" s="5">
        <f t="shared" si="7"/>
        <v>3889.5321562500003</v>
      </c>
      <c r="AC7" s="5">
        <f t="shared" si="7"/>
        <v>4122.9040856250003</v>
      </c>
      <c r="AD7" s="5">
        <f t="shared" si="7"/>
        <v>4329.0492899062501</v>
      </c>
      <c r="AE7" s="5">
        <f t="shared" si="7"/>
        <v>4502.2112615025007</v>
      </c>
      <c r="AF7" s="5">
        <f t="shared" si="7"/>
        <v>4637.2775993475752</v>
      </c>
      <c r="AG7" s="5">
        <f t="shared" si="7"/>
        <v>4730.023151334527</v>
      </c>
      <c r="AH7" s="5">
        <f t="shared" si="7"/>
        <v>4824.6236143612177</v>
      </c>
      <c r="AI7" s="5">
        <f t="shared" si="7"/>
        <v>4921.1160866484424</v>
      </c>
      <c r="AJ7" s="5">
        <f t="shared" si="7"/>
        <v>5019.5384083814106</v>
      </c>
    </row>
    <row r="8" spans="2:36" x14ac:dyDescent="0.3">
      <c r="B8" t="s">
        <v>17</v>
      </c>
      <c r="H8" s="5">
        <f>H6+H7</f>
        <v>1929</v>
      </c>
      <c r="I8" s="5">
        <f>I6+I7</f>
        <v>1894</v>
      </c>
      <c r="K8" s="5">
        <f>K6+K7</f>
        <v>2005</v>
      </c>
      <c r="L8" s="5">
        <f>L6+L7</f>
        <v>1982</v>
      </c>
      <c r="M8" s="5">
        <f>M6+M7</f>
        <v>2007</v>
      </c>
      <c r="N8" s="5">
        <f>N6+N7</f>
        <v>2019</v>
      </c>
      <c r="O8" s="5">
        <f>O6+O7</f>
        <v>2073</v>
      </c>
      <c r="T8" s="5">
        <f t="shared" ref="T8:Z8" si="8">T6+T7</f>
        <v>5309</v>
      </c>
      <c r="U8" s="5">
        <f t="shared" si="8"/>
        <v>7812</v>
      </c>
      <c r="V8" s="5">
        <f t="shared" si="8"/>
        <v>8128</v>
      </c>
      <c r="W8" s="5">
        <f t="shared" si="8"/>
        <v>7992</v>
      </c>
      <c r="X8" s="5">
        <f t="shared" si="8"/>
        <v>7670</v>
      </c>
      <c r="Y8" s="5">
        <f t="shared" si="8"/>
        <v>8013</v>
      </c>
      <c r="Z8" s="5">
        <f t="shared" si="8"/>
        <v>8533.2543000000005</v>
      </c>
      <c r="AA8" s="5">
        <f t="shared" ref="AA8:AJ8" si="9">AA6+AA7</f>
        <v>9107.3012610000005</v>
      </c>
      <c r="AB8" s="5">
        <f t="shared" si="9"/>
        <v>9539.2337549700023</v>
      </c>
      <c r="AC8" s="5">
        <f t="shared" si="9"/>
        <v>9885.5997163194006</v>
      </c>
      <c r="AD8" s="5">
        <f t="shared" si="9"/>
        <v>10206.998833214539</v>
      </c>
      <c r="AE8" s="5">
        <f t="shared" si="9"/>
        <v>10438.940300243874</v>
      </c>
      <c r="AF8" s="5">
        <f t="shared" si="9"/>
        <v>10633.373928476361</v>
      </c>
      <c r="AG8" s="5">
        <f t="shared" si="9"/>
        <v>10786.080443754601</v>
      </c>
      <c r="AH8" s="5">
        <f t="shared" si="9"/>
        <v>10941.241479705492</v>
      </c>
      <c r="AI8" s="5">
        <f t="shared" si="9"/>
        <v>11098.90013064616</v>
      </c>
      <c r="AJ8" s="5">
        <f t="shared" si="9"/>
        <v>11259.100292819105</v>
      </c>
    </row>
    <row r="9" spans="2:36" s="1" customFormat="1" x14ac:dyDescent="0.3">
      <c r="B9" s="1" t="s">
        <v>18</v>
      </c>
      <c r="H9" s="8">
        <f>H5-H8</f>
        <v>2827</v>
      </c>
      <c r="I9" s="8">
        <f>I5-I8</f>
        <v>2979</v>
      </c>
      <c r="K9" s="8">
        <f>K5-K8</f>
        <v>2878</v>
      </c>
      <c r="L9" s="8">
        <f>L5-L8</f>
        <v>3125</v>
      </c>
      <c r="M9" s="8">
        <f>M5-M8</f>
        <v>3208</v>
      </c>
      <c r="N9" s="8">
        <f>N5-N8</f>
        <v>3232</v>
      </c>
      <c r="O9" s="8">
        <f>O5-O8</f>
        <v>3057</v>
      </c>
      <c r="T9" s="8">
        <f t="shared" ref="T9:Z9" si="10">T5-T8</f>
        <v>4878</v>
      </c>
      <c r="U9" s="8">
        <f t="shared" si="10"/>
        <v>7040</v>
      </c>
      <c r="V9" s="8">
        <f t="shared" si="10"/>
        <v>8098</v>
      </c>
      <c r="W9" s="8">
        <f t="shared" si="10"/>
        <v>9745</v>
      </c>
      <c r="X9" s="8">
        <f t="shared" si="10"/>
        <v>11423</v>
      </c>
      <c r="Y9" s="8">
        <f t="shared" si="10"/>
        <v>12443</v>
      </c>
      <c r="Z9" s="8">
        <f t="shared" si="10"/>
        <v>13210.235700000001</v>
      </c>
      <c r="AA9" s="8">
        <f t="shared" ref="AA9:AJ9" si="11">AA5-AA8</f>
        <v>13691.646039000003</v>
      </c>
      <c r="AB9" s="8">
        <f t="shared" si="11"/>
        <v>14099.979366030002</v>
      </c>
      <c r="AC9" s="8">
        <f t="shared" si="11"/>
        <v>14465.753492100601</v>
      </c>
      <c r="AD9" s="8">
        <f t="shared" si="11"/>
        <v>14821.669320248862</v>
      </c>
      <c r="AE9" s="8">
        <f t="shared" si="11"/>
        <v>15039.816809672913</v>
      </c>
      <c r="AF9" s="8">
        <f t="shared" si="11"/>
        <v>15238.700329816591</v>
      </c>
      <c r="AG9" s="8">
        <f t="shared" si="11"/>
        <v>15416.057289418941</v>
      </c>
      <c r="AH9" s="8">
        <f t="shared" si="11"/>
        <v>15595.687217743394</v>
      </c>
      <c r="AI9" s="8">
        <f t="shared" si="11"/>
        <v>15777.622832459694</v>
      </c>
      <c r="AJ9" s="8">
        <f t="shared" si="11"/>
        <v>15961.897378173937</v>
      </c>
    </row>
    <row r="10" spans="2:36" x14ac:dyDescent="0.3">
      <c r="B10" t="s">
        <v>19</v>
      </c>
      <c r="H10" s="5">
        <v>1696</v>
      </c>
      <c r="I10" s="5">
        <v>1652</v>
      </c>
      <c r="K10" s="5">
        <v>1697</v>
      </c>
      <c r="L10" s="5">
        <v>1697</v>
      </c>
      <c r="M10" s="5">
        <v>1606</v>
      </c>
      <c r="N10" s="5">
        <f t="shared" ref="N10:N11" si="12">Y10-M10-L10-K10</f>
        <v>1564</v>
      </c>
      <c r="O10" s="5">
        <v>1682</v>
      </c>
      <c r="T10" s="5">
        <v>3284</v>
      </c>
      <c r="U10" s="5">
        <v>5652</v>
      </c>
      <c r="V10" s="5">
        <v>5810</v>
      </c>
      <c r="W10" s="5">
        <v>6059</v>
      </c>
      <c r="X10" s="5">
        <v>6576</v>
      </c>
      <c r="Y10" s="5">
        <v>6564</v>
      </c>
      <c r="Z10" s="5">
        <f>Y10*1.01</f>
        <v>6629.64</v>
      </c>
      <c r="AA10" s="5">
        <f t="shared" ref="AA10:AJ10" si="13">Z10*1.01</f>
        <v>6695.9364000000005</v>
      </c>
      <c r="AB10" s="5">
        <f t="shared" si="13"/>
        <v>6762.8957640000008</v>
      </c>
      <c r="AC10" s="5">
        <f t="shared" si="13"/>
        <v>6830.5247216400012</v>
      </c>
      <c r="AD10" s="5">
        <f t="shared" si="13"/>
        <v>6898.8299688564011</v>
      </c>
      <c r="AE10" s="5">
        <f t="shared" si="13"/>
        <v>6967.8182685449656</v>
      </c>
      <c r="AF10" s="5">
        <f t="shared" si="13"/>
        <v>7037.496451230415</v>
      </c>
      <c r="AG10" s="5">
        <f t="shared" si="13"/>
        <v>7107.8714157427194</v>
      </c>
      <c r="AH10" s="5">
        <f t="shared" si="13"/>
        <v>7178.9501299001467</v>
      </c>
      <c r="AI10" s="5">
        <f t="shared" si="13"/>
        <v>7250.7396311991479</v>
      </c>
      <c r="AJ10" s="5">
        <f t="shared" si="13"/>
        <v>7323.2470275111391</v>
      </c>
    </row>
    <row r="11" spans="2:36" x14ac:dyDescent="0.3">
      <c r="B11" t="s">
        <v>20</v>
      </c>
      <c r="H11" s="5">
        <v>0</v>
      </c>
      <c r="I11" s="5">
        <v>-176</v>
      </c>
      <c r="K11" s="5">
        <v>0</v>
      </c>
      <c r="L11" s="5">
        <v>0</v>
      </c>
      <c r="M11" s="5">
        <v>0</v>
      </c>
      <c r="N11" s="5">
        <f t="shared" si="12"/>
        <v>0</v>
      </c>
      <c r="O11" s="5">
        <v>-20</v>
      </c>
      <c r="T11" s="5">
        <v>-15</v>
      </c>
      <c r="U11" s="5">
        <v>-464</v>
      </c>
      <c r="V11" s="5">
        <v>0</v>
      </c>
      <c r="W11" s="5">
        <v>-54</v>
      </c>
      <c r="X11" s="5">
        <v>-167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</row>
    <row r="12" spans="2:36" x14ac:dyDescent="0.3">
      <c r="B12" t="s">
        <v>21</v>
      </c>
      <c r="H12" s="5">
        <f>SUM(H10:H11)</f>
        <v>1696</v>
      </c>
      <c r="I12" s="5">
        <f>SUM(I10:I11)</f>
        <v>1476</v>
      </c>
      <c r="K12" s="5">
        <f>SUM(K10:K11)</f>
        <v>1697</v>
      </c>
      <c r="L12" s="5">
        <f>SUM(L10:L11)</f>
        <v>1697</v>
      </c>
      <c r="M12" s="5">
        <f>SUM(M10:M11)</f>
        <v>1606</v>
      </c>
      <c r="N12" s="5">
        <f>SUM(N10:N11)</f>
        <v>1564</v>
      </c>
      <c r="O12" s="5">
        <f>SUM(O10:O11)</f>
        <v>1662</v>
      </c>
      <c r="T12" s="5">
        <f t="shared" ref="T12:Z12" si="14">SUM(T10:T11)</f>
        <v>3269</v>
      </c>
      <c r="U12" s="5">
        <f t="shared" si="14"/>
        <v>5188</v>
      </c>
      <c r="V12" s="5">
        <f t="shared" si="14"/>
        <v>5810</v>
      </c>
      <c r="W12" s="5">
        <f t="shared" si="14"/>
        <v>6005</v>
      </c>
      <c r="X12" s="5">
        <f t="shared" si="14"/>
        <v>6409</v>
      </c>
      <c r="Y12" s="5">
        <f t="shared" si="14"/>
        <v>6564</v>
      </c>
      <c r="Z12" s="5">
        <f t="shared" si="14"/>
        <v>6629.64</v>
      </c>
      <c r="AA12" s="5">
        <f t="shared" ref="AA12:AJ12" si="15">SUM(AA10:AA11)</f>
        <v>6695.9364000000005</v>
      </c>
      <c r="AB12" s="5">
        <f t="shared" si="15"/>
        <v>6762.8957640000008</v>
      </c>
      <c r="AC12" s="5">
        <f t="shared" si="15"/>
        <v>6830.5247216400012</v>
      </c>
      <c r="AD12" s="5">
        <f t="shared" si="15"/>
        <v>6898.8299688564011</v>
      </c>
      <c r="AE12" s="5">
        <f t="shared" si="15"/>
        <v>6967.8182685449656</v>
      </c>
      <c r="AF12" s="5">
        <f t="shared" si="15"/>
        <v>7037.496451230415</v>
      </c>
      <c r="AG12" s="5">
        <f t="shared" si="15"/>
        <v>7107.8714157427194</v>
      </c>
      <c r="AH12" s="5">
        <f t="shared" si="15"/>
        <v>7178.9501299001467</v>
      </c>
      <c r="AI12" s="5">
        <f t="shared" si="15"/>
        <v>7250.7396311991479</v>
      </c>
      <c r="AJ12" s="5">
        <f t="shared" si="15"/>
        <v>7323.2470275111391</v>
      </c>
    </row>
    <row r="13" spans="2:36" s="1" customFormat="1" x14ac:dyDescent="0.3">
      <c r="B13" s="1" t="s">
        <v>22</v>
      </c>
      <c r="H13" s="8">
        <f>H9-H12</f>
        <v>1131</v>
      </c>
      <c r="I13" s="8">
        <f>I9-I12</f>
        <v>1503</v>
      </c>
      <c r="K13" s="8">
        <f>K9-K12</f>
        <v>1181</v>
      </c>
      <c r="L13" s="8">
        <f>L9-L12</f>
        <v>1428</v>
      </c>
      <c r="M13" s="8">
        <f>M9-M12</f>
        <v>1602</v>
      </c>
      <c r="N13" s="8">
        <f>N9-N12</f>
        <v>1668</v>
      </c>
      <c r="O13" s="8">
        <f>O9-O12</f>
        <v>1395</v>
      </c>
      <c r="T13" s="8">
        <f t="shared" ref="T13:Z13" si="16">T9-T12</f>
        <v>1609</v>
      </c>
      <c r="U13" s="8">
        <f t="shared" si="16"/>
        <v>1852</v>
      </c>
      <c r="V13" s="8">
        <f t="shared" si="16"/>
        <v>2288</v>
      </c>
      <c r="W13" s="8">
        <f t="shared" si="16"/>
        <v>3740</v>
      </c>
      <c r="X13" s="8">
        <f t="shared" si="16"/>
        <v>5014</v>
      </c>
      <c r="Y13" s="8">
        <f t="shared" si="16"/>
        <v>5879</v>
      </c>
      <c r="Z13" s="8">
        <f t="shared" si="16"/>
        <v>6580.5957000000008</v>
      </c>
      <c r="AA13" s="8">
        <f t="shared" ref="AA13:AJ13" si="17">AA9-AA12</f>
        <v>6995.7096390000024</v>
      </c>
      <c r="AB13" s="8">
        <f t="shared" si="17"/>
        <v>7337.0836020300012</v>
      </c>
      <c r="AC13" s="8">
        <f t="shared" si="17"/>
        <v>7635.2287704605997</v>
      </c>
      <c r="AD13" s="8">
        <f t="shared" si="17"/>
        <v>7922.8393513924611</v>
      </c>
      <c r="AE13" s="8">
        <f t="shared" si="17"/>
        <v>8071.9985411279476</v>
      </c>
      <c r="AF13" s="8">
        <f t="shared" si="17"/>
        <v>8201.2038785861769</v>
      </c>
      <c r="AG13" s="8">
        <f t="shared" si="17"/>
        <v>8308.1858736762224</v>
      </c>
      <c r="AH13" s="8">
        <f t="shared" si="17"/>
        <v>8416.7370878432484</v>
      </c>
      <c r="AI13" s="8">
        <f t="shared" si="17"/>
        <v>8526.8832012605453</v>
      </c>
      <c r="AJ13" s="8">
        <f t="shared" si="17"/>
        <v>8638.6503506627978</v>
      </c>
    </row>
    <row r="14" spans="2:36" x14ac:dyDescent="0.3">
      <c r="B14" t="s">
        <v>23</v>
      </c>
      <c r="H14" s="5">
        <v>232</v>
      </c>
      <c r="I14" s="5">
        <v>258</v>
      </c>
      <c r="K14" s="5">
        <v>261</v>
      </c>
      <c r="L14" s="5">
        <v>285</v>
      </c>
      <c r="M14" s="5">
        <v>326</v>
      </c>
      <c r="N14" s="5">
        <f t="shared" ref="N14:N15" si="18">Y14-M14-L14-K14</f>
        <v>323</v>
      </c>
      <c r="O14" s="5">
        <v>331</v>
      </c>
      <c r="T14" s="5">
        <f>473+47</f>
        <v>520</v>
      </c>
      <c r="U14" s="5">
        <v>709</v>
      </c>
      <c r="V14" s="5">
        <v>693</v>
      </c>
      <c r="W14" s="5">
        <v>733</v>
      </c>
      <c r="X14" s="5">
        <v>976</v>
      </c>
      <c r="Y14" s="5">
        <v>1195</v>
      </c>
      <c r="Z14" s="5">
        <f>Y14*1.03</f>
        <v>1230.8500000000001</v>
      </c>
      <c r="AA14" s="5">
        <f t="shared" ref="AA14:AJ14" si="19">Z14*1.03</f>
        <v>1267.7755000000002</v>
      </c>
      <c r="AB14" s="5">
        <f t="shared" si="19"/>
        <v>1305.8087650000002</v>
      </c>
      <c r="AC14" s="5">
        <f t="shared" si="19"/>
        <v>1344.9830279500002</v>
      </c>
      <c r="AD14" s="5">
        <f t="shared" si="19"/>
        <v>1385.3325187885002</v>
      </c>
      <c r="AE14" s="5">
        <f t="shared" si="19"/>
        <v>1426.8924943521554</v>
      </c>
      <c r="AF14" s="5">
        <f t="shared" si="19"/>
        <v>1469.6992691827202</v>
      </c>
      <c r="AG14" s="5">
        <f t="shared" si="19"/>
        <v>1513.7902472582018</v>
      </c>
      <c r="AH14" s="5">
        <f t="shared" si="19"/>
        <v>1559.2039546759479</v>
      </c>
      <c r="AI14" s="5">
        <f t="shared" si="19"/>
        <v>1605.9800733162265</v>
      </c>
      <c r="AJ14" s="5">
        <f t="shared" si="19"/>
        <v>1654.1594755157132</v>
      </c>
    </row>
    <row r="15" spans="2:36" x14ac:dyDescent="0.3">
      <c r="B15" t="s">
        <v>24</v>
      </c>
      <c r="H15" s="5">
        <v>26</v>
      </c>
      <c r="I15" s="5">
        <v>35</v>
      </c>
      <c r="K15" s="5">
        <v>7</v>
      </c>
      <c r="L15" s="5">
        <v>5</v>
      </c>
      <c r="M15" s="5">
        <v>5</v>
      </c>
      <c r="N15" s="5">
        <f t="shared" si="18"/>
        <v>161</v>
      </c>
      <c r="O15" s="5">
        <v>18</v>
      </c>
      <c r="T15" s="5">
        <v>6</v>
      </c>
      <c r="U15" s="5">
        <v>-28</v>
      </c>
      <c r="V15" s="5">
        <v>-71</v>
      </c>
      <c r="W15" s="5">
        <v>94</v>
      </c>
      <c r="X15" s="5">
        <v>140</v>
      </c>
      <c r="Y15" s="5">
        <v>178</v>
      </c>
      <c r="Z15" s="5">
        <f>Y15*1.02</f>
        <v>181.56</v>
      </c>
      <c r="AA15" s="5">
        <f t="shared" ref="AA15:AJ15" si="20">Z15*1.02</f>
        <v>185.19120000000001</v>
      </c>
      <c r="AB15" s="5">
        <f t="shared" si="20"/>
        <v>188.89502400000001</v>
      </c>
      <c r="AC15" s="5">
        <f t="shared" si="20"/>
        <v>192.67292448000001</v>
      </c>
      <c r="AD15" s="5">
        <f t="shared" si="20"/>
        <v>196.52638296960001</v>
      </c>
      <c r="AE15" s="5">
        <f t="shared" si="20"/>
        <v>200.45691062899201</v>
      </c>
      <c r="AF15" s="5">
        <f t="shared" si="20"/>
        <v>204.46604884157185</v>
      </c>
      <c r="AG15" s="5">
        <f t="shared" si="20"/>
        <v>208.55536981840328</v>
      </c>
      <c r="AH15" s="5">
        <f t="shared" si="20"/>
        <v>212.72647721477134</v>
      </c>
      <c r="AI15" s="5">
        <f t="shared" si="20"/>
        <v>216.98100675906676</v>
      </c>
      <c r="AJ15" s="5">
        <f t="shared" si="20"/>
        <v>221.32062689424811</v>
      </c>
    </row>
    <row r="16" spans="2:36" x14ac:dyDescent="0.3">
      <c r="B16" t="s">
        <v>25</v>
      </c>
      <c r="H16" s="5">
        <f>SUM(H14:H15)</f>
        <v>258</v>
      </c>
      <c r="I16" s="5">
        <f>SUM(I14:I15)</f>
        <v>293</v>
      </c>
      <c r="K16" s="5">
        <f>SUM(K14:K15)</f>
        <v>268</v>
      </c>
      <c r="L16" s="5">
        <f>SUM(L14:L15)</f>
        <v>290</v>
      </c>
      <c r="M16" s="5">
        <f>SUM(M14:M15)</f>
        <v>331</v>
      </c>
      <c r="N16" s="5">
        <f>SUM(N14:N15)</f>
        <v>484</v>
      </c>
      <c r="O16" s="5">
        <f>SUM(O14:O15)</f>
        <v>349</v>
      </c>
      <c r="T16" s="5">
        <f t="shared" ref="T16:Z16" si="21">SUM(T14:T15)</f>
        <v>526</v>
      </c>
      <c r="U16" s="5">
        <f t="shared" si="21"/>
        <v>681</v>
      </c>
      <c r="V16" s="5">
        <f t="shared" si="21"/>
        <v>622</v>
      </c>
      <c r="W16" s="5">
        <f t="shared" si="21"/>
        <v>827</v>
      </c>
      <c r="X16" s="5">
        <f t="shared" si="21"/>
        <v>1116</v>
      </c>
      <c r="Y16" s="5">
        <f t="shared" si="21"/>
        <v>1373</v>
      </c>
      <c r="Z16" s="5">
        <f t="shared" si="21"/>
        <v>1412.41</v>
      </c>
      <c r="AA16" s="5">
        <f t="shared" ref="AA16:AJ16" si="22">SUM(AA14:AA15)</f>
        <v>1452.9667000000002</v>
      </c>
      <c r="AB16" s="5">
        <f t="shared" si="22"/>
        <v>1494.7037890000001</v>
      </c>
      <c r="AC16" s="5">
        <f t="shared" si="22"/>
        <v>1537.6559524300001</v>
      </c>
      <c r="AD16" s="5">
        <f t="shared" si="22"/>
        <v>1581.8589017581003</v>
      </c>
      <c r="AE16" s="5">
        <f t="shared" si="22"/>
        <v>1627.3494049811475</v>
      </c>
      <c r="AF16" s="5">
        <f t="shared" si="22"/>
        <v>1674.165318024292</v>
      </c>
      <c r="AG16" s="5">
        <f t="shared" si="22"/>
        <v>1722.3456170766051</v>
      </c>
      <c r="AH16" s="5">
        <f t="shared" si="22"/>
        <v>1771.9304318907193</v>
      </c>
      <c r="AI16" s="5">
        <f t="shared" si="22"/>
        <v>1822.9610800752932</v>
      </c>
      <c r="AJ16" s="5">
        <f t="shared" si="22"/>
        <v>1875.4801024099613</v>
      </c>
    </row>
    <row r="17" spans="2:148" s="1" customFormat="1" x14ac:dyDescent="0.3">
      <c r="B17" s="1" t="s">
        <v>26</v>
      </c>
      <c r="H17" s="8">
        <f>H13-H16</f>
        <v>873</v>
      </c>
      <c r="I17" s="8">
        <f>I13-I16</f>
        <v>1210</v>
      </c>
      <c r="K17" s="8">
        <f>K13-K16</f>
        <v>913</v>
      </c>
      <c r="L17" s="8">
        <f>L13-L16</f>
        <v>1138</v>
      </c>
      <c r="M17" s="8">
        <f>M13-M16</f>
        <v>1271</v>
      </c>
      <c r="N17" s="8">
        <f>N13-N16</f>
        <v>1184</v>
      </c>
      <c r="O17" s="8">
        <f>O13-O16</f>
        <v>1046</v>
      </c>
      <c r="T17" s="8">
        <f t="shared" ref="T17:Z17" si="23">T13-T16</f>
        <v>1083</v>
      </c>
      <c r="U17" s="8">
        <f t="shared" si="23"/>
        <v>1171</v>
      </c>
      <c r="V17" s="8">
        <f t="shared" si="23"/>
        <v>1666</v>
      </c>
      <c r="W17" s="8">
        <f t="shared" si="23"/>
        <v>2913</v>
      </c>
      <c r="X17" s="8">
        <f t="shared" si="23"/>
        <v>3898</v>
      </c>
      <c r="Y17" s="8">
        <f t="shared" si="23"/>
        <v>4506</v>
      </c>
      <c r="Z17" s="8">
        <f t="shared" si="23"/>
        <v>5168.1857000000009</v>
      </c>
      <c r="AA17" s="8">
        <f t="shared" ref="AA17:AJ17" si="24">AA13-AA16</f>
        <v>5542.7429390000025</v>
      </c>
      <c r="AB17" s="8">
        <f t="shared" si="24"/>
        <v>5842.3798130300011</v>
      </c>
      <c r="AC17" s="8">
        <f t="shared" si="24"/>
        <v>6097.5728180305996</v>
      </c>
      <c r="AD17" s="8">
        <f t="shared" si="24"/>
        <v>6340.9804496343604</v>
      </c>
      <c r="AE17" s="8">
        <f t="shared" si="24"/>
        <v>6444.6491361467997</v>
      </c>
      <c r="AF17" s="8">
        <f t="shared" si="24"/>
        <v>6527.0385605618849</v>
      </c>
      <c r="AG17" s="8">
        <f t="shared" si="24"/>
        <v>6585.8402565996175</v>
      </c>
      <c r="AH17" s="8">
        <f t="shared" si="24"/>
        <v>6644.8066559525287</v>
      </c>
      <c r="AI17" s="8">
        <f t="shared" si="24"/>
        <v>6703.9221211852519</v>
      </c>
      <c r="AJ17" s="8">
        <f t="shared" si="24"/>
        <v>6763.1702482528362</v>
      </c>
    </row>
    <row r="18" spans="2:148" x14ac:dyDescent="0.3">
      <c r="B18" t="s">
        <v>27</v>
      </c>
      <c r="H18" s="5">
        <v>181</v>
      </c>
      <c r="I18" s="5">
        <v>239</v>
      </c>
      <c r="K18" s="5">
        <v>153</v>
      </c>
      <c r="L18" s="5">
        <v>221</v>
      </c>
      <c r="M18" s="5">
        <v>74</v>
      </c>
      <c r="N18" s="5">
        <f t="shared" ref="N18:N19" si="25">Y18-M18-L18-K18</f>
        <v>193</v>
      </c>
      <c r="O18" s="5">
        <v>190</v>
      </c>
      <c r="T18" s="5">
        <v>198</v>
      </c>
      <c r="U18" s="5">
        <v>196</v>
      </c>
      <c r="V18" s="5">
        <v>363</v>
      </c>
      <c r="W18" s="5">
        <v>551</v>
      </c>
      <c r="X18" s="5">
        <v>754</v>
      </c>
      <c r="Y18" s="5">
        <v>641</v>
      </c>
      <c r="Z18" s="5">
        <f>Z17*0.18</f>
        <v>930.27342600000009</v>
      </c>
      <c r="AA18" s="5">
        <f t="shared" ref="AA18:AJ18" si="26">AA17*0.18</f>
        <v>997.69372902000043</v>
      </c>
      <c r="AB18" s="5">
        <f t="shared" si="26"/>
        <v>1051.6283663454001</v>
      </c>
      <c r="AC18" s="5">
        <f t="shared" si="26"/>
        <v>1097.5631072455078</v>
      </c>
      <c r="AD18" s="5">
        <f t="shared" si="26"/>
        <v>1141.3764809341849</v>
      </c>
      <c r="AE18" s="5">
        <f t="shared" si="26"/>
        <v>1160.0368445064239</v>
      </c>
      <c r="AF18" s="5">
        <f t="shared" si="26"/>
        <v>1174.8669409011393</v>
      </c>
      <c r="AG18" s="5">
        <f t="shared" si="26"/>
        <v>1185.451246187931</v>
      </c>
      <c r="AH18" s="5">
        <f t="shared" si="26"/>
        <v>1196.0651980714551</v>
      </c>
      <c r="AI18" s="5">
        <f t="shared" si="26"/>
        <v>1206.7059818133453</v>
      </c>
      <c r="AJ18" s="5">
        <f t="shared" si="26"/>
        <v>1217.3706446855106</v>
      </c>
    </row>
    <row r="19" spans="2:148" x14ac:dyDescent="0.3">
      <c r="B19" t="s">
        <v>28</v>
      </c>
      <c r="H19" s="5">
        <f>-3+12</f>
        <v>9</v>
      </c>
      <c r="I19" s="5">
        <f>2+17</f>
        <v>19</v>
      </c>
      <c r="K19" s="5">
        <f>8+17</f>
        <v>25</v>
      </c>
      <c r="L19" s="5">
        <f>8+15</f>
        <v>23</v>
      </c>
      <c r="M19" s="5">
        <f>626+7</f>
        <v>633</v>
      </c>
      <c r="N19" s="5">
        <f t="shared" si="25"/>
        <v>53</v>
      </c>
      <c r="O19" s="5">
        <f>8-3</f>
        <v>5</v>
      </c>
      <c r="T19" s="5">
        <f>-29+21</f>
        <v>-8</v>
      </c>
      <c r="U19" s="5">
        <v>17</v>
      </c>
      <c r="V19" s="5">
        <f>-100+69</f>
        <v>-31</v>
      </c>
      <c r="W19" s="5">
        <f>-220+52</f>
        <v>-168</v>
      </c>
      <c r="X19" s="5">
        <f>15+61</f>
        <v>76</v>
      </c>
      <c r="Y19" s="5">
        <f>685+49</f>
        <v>734</v>
      </c>
      <c r="Z19" s="5">
        <f>Z17*0.02</f>
        <v>103.36371400000002</v>
      </c>
      <c r="AA19" s="5">
        <f t="shared" ref="AA19:AJ19" si="27">AA17*0.02</f>
        <v>110.85485878000006</v>
      </c>
      <c r="AB19" s="5">
        <f t="shared" si="27"/>
        <v>116.84759626060003</v>
      </c>
      <c r="AC19" s="5">
        <f t="shared" si="27"/>
        <v>121.951456360612</v>
      </c>
      <c r="AD19" s="5">
        <f t="shared" si="27"/>
        <v>126.81960899268721</v>
      </c>
      <c r="AE19" s="5">
        <f t="shared" si="27"/>
        <v>128.89298272293598</v>
      </c>
      <c r="AF19" s="5">
        <f t="shared" si="27"/>
        <v>130.54077121123771</v>
      </c>
      <c r="AG19" s="5">
        <f t="shared" si="27"/>
        <v>131.71680513199234</v>
      </c>
      <c r="AH19" s="5">
        <f t="shared" si="27"/>
        <v>132.89613311905057</v>
      </c>
      <c r="AI19" s="5">
        <f t="shared" si="27"/>
        <v>134.07844242370504</v>
      </c>
      <c r="AJ19" s="5">
        <f t="shared" si="27"/>
        <v>135.26340496505674</v>
      </c>
    </row>
    <row r="20" spans="2:148" s="1" customFormat="1" x14ac:dyDescent="0.3">
      <c r="B20" s="1" t="s">
        <v>29</v>
      </c>
      <c r="H20" s="8">
        <f>H17-H18-H19</f>
        <v>683</v>
      </c>
      <c r="I20" s="8">
        <f>I17-I18-I19</f>
        <v>952</v>
      </c>
      <c r="K20" s="8">
        <f>K17-K18-K19</f>
        <v>735</v>
      </c>
      <c r="L20" s="8">
        <f>L17-L18-L19</f>
        <v>894</v>
      </c>
      <c r="M20" s="8">
        <f>M17-M18-M19</f>
        <v>564</v>
      </c>
      <c r="N20" s="8">
        <f>N17-N18-N19</f>
        <v>938</v>
      </c>
      <c r="O20" s="8">
        <f>O17-O18-O19</f>
        <v>851</v>
      </c>
      <c r="T20" s="8">
        <f t="shared" ref="T20:Z20" si="28">T17-T18-T19</f>
        <v>893</v>
      </c>
      <c r="U20" s="8">
        <f t="shared" si="28"/>
        <v>958</v>
      </c>
      <c r="V20" s="8">
        <f t="shared" si="28"/>
        <v>1334</v>
      </c>
      <c r="W20" s="8">
        <f t="shared" si="28"/>
        <v>2530</v>
      </c>
      <c r="X20" s="8">
        <f t="shared" si="28"/>
        <v>3068</v>
      </c>
      <c r="Y20" s="8">
        <f t="shared" si="28"/>
        <v>3131</v>
      </c>
      <c r="Z20" s="8">
        <f t="shared" si="28"/>
        <v>4134.5485600000011</v>
      </c>
      <c r="AA20" s="8">
        <f t="shared" ref="AA20:AJ20" si="29">AA17-AA18-AA19</f>
        <v>4434.1943512000025</v>
      </c>
      <c r="AB20" s="8">
        <f t="shared" si="29"/>
        <v>4673.9038504240007</v>
      </c>
      <c r="AC20" s="8">
        <f t="shared" si="29"/>
        <v>4878.0582544244799</v>
      </c>
      <c r="AD20" s="8">
        <f t="shared" si="29"/>
        <v>5072.7843597074889</v>
      </c>
      <c r="AE20" s="8">
        <f t="shared" si="29"/>
        <v>5155.7193089174398</v>
      </c>
      <c r="AF20" s="8">
        <f t="shared" si="29"/>
        <v>5221.6308484495084</v>
      </c>
      <c r="AG20" s="8">
        <f t="shared" si="29"/>
        <v>5268.672205279694</v>
      </c>
      <c r="AH20" s="8">
        <f t="shared" si="29"/>
        <v>5315.8453247620228</v>
      </c>
      <c r="AI20" s="8">
        <f t="shared" si="29"/>
        <v>5363.1376969482017</v>
      </c>
      <c r="AJ20" s="8">
        <f t="shared" si="29"/>
        <v>5410.536198602269</v>
      </c>
      <c r="AK20" s="1">
        <f>AJ20*(1+$AM$25)</f>
        <v>5356.4308366162459</v>
      </c>
      <c r="AL20" s="1">
        <f t="shared" ref="AL20:CW20" si="30">AK20*(1+$AM$25)</f>
        <v>5302.8665282500833</v>
      </c>
      <c r="AM20" s="1">
        <f t="shared" si="30"/>
        <v>5249.8378629675826</v>
      </c>
      <c r="AN20" s="1">
        <f t="shared" si="30"/>
        <v>5197.3394843379065</v>
      </c>
      <c r="AO20" s="1">
        <f t="shared" si="30"/>
        <v>5145.3660894945269</v>
      </c>
      <c r="AP20" s="1">
        <f t="shared" si="30"/>
        <v>5093.9124285995813</v>
      </c>
      <c r="AQ20" s="1">
        <f t="shared" si="30"/>
        <v>5042.9733043135857</v>
      </c>
      <c r="AR20" s="1">
        <f t="shared" si="30"/>
        <v>4992.5435712704502</v>
      </c>
      <c r="AS20" s="1">
        <f t="shared" si="30"/>
        <v>4942.6181355577455</v>
      </c>
      <c r="AT20" s="1">
        <f t="shared" si="30"/>
        <v>4893.1919542021678</v>
      </c>
      <c r="AU20" s="1">
        <f t="shared" si="30"/>
        <v>4844.2600346601457</v>
      </c>
      <c r="AV20" s="1">
        <f t="shared" si="30"/>
        <v>4795.8174343135443</v>
      </c>
      <c r="AW20" s="1">
        <f t="shared" si="30"/>
        <v>4747.8592599704089</v>
      </c>
      <c r="AX20" s="1">
        <f t="shared" si="30"/>
        <v>4700.3806673707049</v>
      </c>
      <c r="AY20" s="1">
        <f t="shared" si="30"/>
        <v>4653.3768606969979</v>
      </c>
      <c r="AZ20" s="1">
        <f t="shared" si="30"/>
        <v>4606.8430920900282</v>
      </c>
      <c r="BA20" s="1">
        <f t="shared" si="30"/>
        <v>4560.7746611691282</v>
      </c>
      <c r="BB20" s="1">
        <f t="shared" si="30"/>
        <v>4515.1669145574369</v>
      </c>
      <c r="BC20" s="1">
        <f t="shared" si="30"/>
        <v>4470.0152454118625</v>
      </c>
      <c r="BD20" s="1">
        <f t="shared" si="30"/>
        <v>4425.3150929577441</v>
      </c>
      <c r="BE20" s="1">
        <f t="shared" si="30"/>
        <v>4381.0619420281664</v>
      </c>
      <c r="BF20" s="1">
        <f t="shared" si="30"/>
        <v>4337.2513226078845</v>
      </c>
      <c r="BG20" s="1">
        <f t="shared" si="30"/>
        <v>4293.8788093818057</v>
      </c>
      <c r="BH20" s="1">
        <f t="shared" si="30"/>
        <v>4250.9400212879873</v>
      </c>
      <c r="BI20" s="1">
        <f t="shared" si="30"/>
        <v>4208.4306210751074</v>
      </c>
      <c r="BJ20" s="1">
        <f t="shared" si="30"/>
        <v>4166.3463148643559</v>
      </c>
      <c r="BK20" s="1">
        <f t="shared" si="30"/>
        <v>4124.6828517157119</v>
      </c>
      <c r="BL20" s="1">
        <f t="shared" si="30"/>
        <v>4083.4360231985547</v>
      </c>
      <c r="BM20" s="1">
        <f t="shared" si="30"/>
        <v>4042.6016629665692</v>
      </c>
      <c r="BN20" s="1">
        <f t="shared" si="30"/>
        <v>4002.1756463369034</v>
      </c>
      <c r="BO20" s="1">
        <f t="shared" si="30"/>
        <v>3962.1538898735344</v>
      </c>
      <c r="BP20" s="1">
        <f t="shared" si="30"/>
        <v>3922.5323509747991</v>
      </c>
      <c r="BQ20" s="1">
        <f t="shared" si="30"/>
        <v>3883.3070274650509</v>
      </c>
      <c r="BR20" s="1">
        <f t="shared" si="30"/>
        <v>3844.4739571904001</v>
      </c>
      <c r="BS20" s="1">
        <f t="shared" si="30"/>
        <v>3806.0292176184962</v>
      </c>
      <c r="BT20" s="1">
        <f t="shared" si="30"/>
        <v>3767.968925442311</v>
      </c>
      <c r="BU20" s="1">
        <f t="shared" si="30"/>
        <v>3730.289236187888</v>
      </c>
      <c r="BV20" s="1">
        <f t="shared" si="30"/>
        <v>3692.986343826009</v>
      </c>
      <c r="BW20" s="1">
        <f t="shared" si="30"/>
        <v>3656.0564803877487</v>
      </c>
      <c r="BX20" s="1">
        <f t="shared" si="30"/>
        <v>3619.495915583871</v>
      </c>
      <c r="BY20" s="1">
        <f t="shared" si="30"/>
        <v>3583.3009564280324</v>
      </c>
      <c r="BZ20" s="1">
        <f t="shared" si="30"/>
        <v>3547.4679468637519</v>
      </c>
      <c r="CA20" s="1">
        <f t="shared" si="30"/>
        <v>3511.9932673951143</v>
      </c>
      <c r="CB20" s="1">
        <f t="shared" si="30"/>
        <v>3476.8733347211632</v>
      </c>
      <c r="CC20" s="1">
        <f t="shared" si="30"/>
        <v>3442.1046013739515</v>
      </c>
      <c r="CD20" s="1">
        <f t="shared" si="30"/>
        <v>3407.6835553602118</v>
      </c>
      <c r="CE20" s="1">
        <f t="shared" si="30"/>
        <v>3373.6067198066098</v>
      </c>
      <c r="CF20" s="1">
        <f t="shared" si="30"/>
        <v>3339.8706526085439</v>
      </c>
      <c r="CG20" s="1">
        <f t="shared" si="30"/>
        <v>3306.4719460824585</v>
      </c>
      <c r="CH20" s="1">
        <f t="shared" si="30"/>
        <v>3273.407226621634</v>
      </c>
      <c r="CI20" s="1">
        <f t="shared" si="30"/>
        <v>3240.6731543554174</v>
      </c>
      <c r="CJ20" s="1">
        <f t="shared" si="30"/>
        <v>3208.2664228118633</v>
      </c>
      <c r="CK20" s="1">
        <f t="shared" si="30"/>
        <v>3176.1837585837447</v>
      </c>
      <c r="CL20" s="1">
        <f t="shared" si="30"/>
        <v>3144.4219209979074</v>
      </c>
      <c r="CM20" s="1">
        <f t="shared" si="30"/>
        <v>3112.9777017879283</v>
      </c>
      <c r="CN20" s="1">
        <f t="shared" si="30"/>
        <v>3081.8479247700488</v>
      </c>
      <c r="CO20" s="1">
        <f t="shared" si="30"/>
        <v>3051.0294455223484</v>
      </c>
      <c r="CP20" s="1">
        <f t="shared" si="30"/>
        <v>3020.5191510671248</v>
      </c>
      <c r="CQ20" s="1">
        <f t="shared" si="30"/>
        <v>2990.3139595564535</v>
      </c>
      <c r="CR20" s="1">
        <f t="shared" si="30"/>
        <v>2960.4108199608891</v>
      </c>
      <c r="CS20" s="1">
        <f t="shared" si="30"/>
        <v>2930.80671176128</v>
      </c>
      <c r="CT20" s="1">
        <f t="shared" si="30"/>
        <v>2901.4986446436674</v>
      </c>
      <c r="CU20" s="1">
        <f t="shared" si="30"/>
        <v>2872.4836581972309</v>
      </c>
      <c r="CV20" s="1">
        <f t="shared" si="30"/>
        <v>2843.7588216152585</v>
      </c>
      <c r="CW20" s="1">
        <f t="shared" si="30"/>
        <v>2815.3212333991059</v>
      </c>
      <c r="CX20" s="1">
        <f t="shared" ref="CX20:ER20" si="31">CW20*(1+$AM$25)</f>
        <v>2787.1680210651148</v>
      </c>
      <c r="CY20" s="1">
        <f t="shared" si="31"/>
        <v>2759.2963408544638</v>
      </c>
      <c r="CZ20" s="1">
        <f t="shared" si="31"/>
        <v>2731.7033774459192</v>
      </c>
      <c r="DA20" s="1">
        <f t="shared" si="31"/>
        <v>2704.3863436714601</v>
      </c>
      <c r="DB20" s="1">
        <f t="shared" si="31"/>
        <v>2677.3424802347454</v>
      </c>
      <c r="DC20" s="1">
        <f t="shared" si="31"/>
        <v>2650.5690554323978</v>
      </c>
      <c r="DD20" s="1">
        <f t="shared" si="31"/>
        <v>2624.063364878074</v>
      </c>
      <c r="DE20" s="1">
        <f t="shared" si="31"/>
        <v>2597.8227312292934</v>
      </c>
      <c r="DF20" s="1">
        <f t="shared" si="31"/>
        <v>2571.8445039170006</v>
      </c>
      <c r="DG20" s="1">
        <f t="shared" si="31"/>
        <v>2546.1260588778305</v>
      </c>
      <c r="DH20" s="1">
        <f t="shared" si="31"/>
        <v>2520.6647982890522</v>
      </c>
      <c r="DI20" s="1">
        <f t="shared" si="31"/>
        <v>2495.4581503061618</v>
      </c>
      <c r="DJ20" s="1">
        <f t="shared" si="31"/>
        <v>2470.5035688031003</v>
      </c>
      <c r="DK20" s="1">
        <f t="shared" si="31"/>
        <v>2445.7985331150694</v>
      </c>
      <c r="DL20" s="1">
        <f t="shared" si="31"/>
        <v>2421.3405477839187</v>
      </c>
      <c r="DM20" s="1">
        <f t="shared" si="31"/>
        <v>2397.1271423060793</v>
      </c>
      <c r="DN20" s="1">
        <f t="shared" si="31"/>
        <v>2373.1558708830185</v>
      </c>
      <c r="DO20" s="1">
        <f t="shared" si="31"/>
        <v>2349.4243121741883</v>
      </c>
      <c r="DP20" s="1">
        <f t="shared" si="31"/>
        <v>2325.9300690524465</v>
      </c>
      <c r="DQ20" s="1">
        <f t="shared" si="31"/>
        <v>2302.670768361922</v>
      </c>
      <c r="DR20" s="1">
        <f t="shared" si="31"/>
        <v>2279.6440606783026</v>
      </c>
      <c r="DS20" s="1">
        <f t="shared" si="31"/>
        <v>2256.8476200715195</v>
      </c>
      <c r="DT20" s="1">
        <f t="shared" si="31"/>
        <v>2234.2791438708041</v>
      </c>
      <c r="DU20" s="1">
        <f t="shared" si="31"/>
        <v>2211.9363524320961</v>
      </c>
      <c r="DV20" s="1">
        <f t="shared" si="31"/>
        <v>2189.8169889077753</v>
      </c>
      <c r="DW20" s="1">
        <f t="shared" si="31"/>
        <v>2167.9188190186974</v>
      </c>
      <c r="DX20" s="1">
        <f t="shared" si="31"/>
        <v>2146.2396308285106</v>
      </c>
      <c r="DY20" s="1">
        <f t="shared" si="31"/>
        <v>2124.7772345202256</v>
      </c>
      <c r="DZ20" s="1">
        <f t="shared" si="31"/>
        <v>2103.5294621750236</v>
      </c>
      <c r="EA20" s="1">
        <f t="shared" si="31"/>
        <v>2082.4941675532732</v>
      </c>
      <c r="EB20" s="1">
        <f t="shared" si="31"/>
        <v>2061.6692258777402</v>
      </c>
      <c r="EC20" s="1">
        <f t="shared" si="31"/>
        <v>2041.0525336189628</v>
      </c>
      <c r="ED20" s="1">
        <f t="shared" si="31"/>
        <v>2020.6420082827731</v>
      </c>
      <c r="EE20" s="1">
        <f t="shared" si="31"/>
        <v>2000.4355881999454</v>
      </c>
      <c r="EF20" s="1">
        <f t="shared" si="31"/>
        <v>1980.4312323179458</v>
      </c>
      <c r="EG20" s="1">
        <f t="shared" si="31"/>
        <v>1960.6269199947665</v>
      </c>
      <c r="EH20" s="1">
        <f t="shared" si="31"/>
        <v>1941.0206507948187</v>
      </c>
      <c r="EI20" s="1">
        <f t="shared" si="31"/>
        <v>1921.6104442868705</v>
      </c>
      <c r="EJ20" s="1">
        <f t="shared" si="31"/>
        <v>1902.3943398440017</v>
      </c>
      <c r="EK20" s="1">
        <f t="shared" si="31"/>
        <v>1883.3703964455617</v>
      </c>
      <c r="EL20" s="1">
        <f t="shared" si="31"/>
        <v>1864.536692481106</v>
      </c>
      <c r="EM20" s="1">
        <f t="shared" si="31"/>
        <v>1845.891325556295</v>
      </c>
      <c r="EN20" s="1">
        <f t="shared" si="31"/>
        <v>1827.432412300732</v>
      </c>
      <c r="EO20" s="1">
        <f t="shared" si="31"/>
        <v>1809.1580881777247</v>
      </c>
      <c r="EP20" s="1">
        <f t="shared" si="31"/>
        <v>1791.0665072959475</v>
      </c>
      <c r="EQ20" s="1">
        <f t="shared" si="31"/>
        <v>1773.155842222988</v>
      </c>
      <c r="ER20" s="1">
        <f t="shared" si="31"/>
        <v>1755.4242838007581</v>
      </c>
    </row>
    <row r="21" spans="2:148" x14ac:dyDescent="0.3">
      <c r="B21" t="s">
        <v>2</v>
      </c>
      <c r="H21" s="5">
        <f>554.4</f>
        <v>554.4</v>
      </c>
      <c r="I21" s="5">
        <f>554.4</f>
        <v>554.4</v>
      </c>
      <c r="K21" s="5">
        <f>554.4</f>
        <v>554.4</v>
      </c>
      <c r="L21" s="5">
        <f>554.4</f>
        <v>554.4</v>
      </c>
      <c r="M21" s="5">
        <f>554.4</f>
        <v>554.4</v>
      </c>
      <c r="N21" s="5">
        <f>554.4</f>
        <v>554.4</v>
      </c>
      <c r="O21" s="5">
        <f>554.4</f>
        <v>554.4</v>
      </c>
      <c r="T21" s="5">
        <f t="shared" ref="T21:Z21" si="32">554.4</f>
        <v>554.4</v>
      </c>
      <c r="U21" s="5">
        <f t="shared" si="32"/>
        <v>554.4</v>
      </c>
      <c r="V21" s="5">
        <f t="shared" si="32"/>
        <v>554.4</v>
      </c>
      <c r="W21" s="5">
        <f t="shared" si="32"/>
        <v>554.4</v>
      </c>
      <c r="X21" s="5">
        <f t="shared" si="32"/>
        <v>554.4</v>
      </c>
      <c r="Y21" s="5">
        <f t="shared" si="32"/>
        <v>554.4</v>
      </c>
      <c r="Z21" s="5">
        <f t="shared" si="32"/>
        <v>554.4</v>
      </c>
      <c r="AA21" s="5">
        <f t="shared" ref="AA21:AJ21" si="33">554.4</f>
        <v>554.4</v>
      </c>
      <c r="AB21" s="5">
        <f t="shared" si="33"/>
        <v>554.4</v>
      </c>
      <c r="AC21" s="5">
        <f t="shared" si="33"/>
        <v>554.4</v>
      </c>
      <c r="AD21" s="5">
        <f t="shared" si="33"/>
        <v>554.4</v>
      </c>
      <c r="AE21" s="5">
        <f t="shared" si="33"/>
        <v>554.4</v>
      </c>
      <c r="AF21" s="5">
        <f t="shared" si="33"/>
        <v>554.4</v>
      </c>
      <c r="AG21" s="5">
        <f t="shared" si="33"/>
        <v>554.4</v>
      </c>
      <c r="AH21" s="5">
        <f t="shared" si="33"/>
        <v>554.4</v>
      </c>
      <c r="AI21" s="5">
        <f t="shared" si="33"/>
        <v>554.4</v>
      </c>
      <c r="AJ21" s="5">
        <f t="shared" si="33"/>
        <v>554.4</v>
      </c>
    </row>
    <row r="22" spans="2:148" x14ac:dyDescent="0.3">
      <c r="B22" t="s">
        <v>30</v>
      </c>
      <c r="H22" s="7">
        <f>H20/H21</f>
        <v>1.2319624819624819</v>
      </c>
      <c r="I22" s="7">
        <f>I20/I21</f>
        <v>1.7171717171717173</v>
      </c>
      <c r="K22" s="7">
        <f>K20/K21</f>
        <v>1.3257575757575759</v>
      </c>
      <c r="L22" s="7">
        <f>L20/L21</f>
        <v>1.6125541125541125</v>
      </c>
      <c r="M22" s="7">
        <f>M20/M21</f>
        <v>1.0173160173160174</v>
      </c>
      <c r="N22" s="7">
        <f>N20/N21</f>
        <v>1.691919191919192</v>
      </c>
      <c r="O22" s="7">
        <f>O20/O21</f>
        <v>1.5349927849927851</v>
      </c>
      <c r="T22" s="7">
        <f t="shared" ref="T22:Z22" si="34">T20/T21</f>
        <v>1.6107503607503608</v>
      </c>
      <c r="U22" s="7">
        <f t="shared" si="34"/>
        <v>1.727994227994228</v>
      </c>
      <c r="V22" s="7">
        <f t="shared" si="34"/>
        <v>2.4062049062049065</v>
      </c>
      <c r="W22" s="7">
        <f t="shared" si="34"/>
        <v>4.5634920634920633</v>
      </c>
      <c r="X22" s="7">
        <f t="shared" si="34"/>
        <v>5.5339105339105341</v>
      </c>
      <c r="Y22" s="7">
        <f t="shared" si="34"/>
        <v>5.6475468975468974</v>
      </c>
      <c r="Z22" s="7">
        <f t="shared" si="34"/>
        <v>7.4576994227994247</v>
      </c>
      <c r="AA22" s="7">
        <f t="shared" ref="AA22:AJ22" si="35">AA20/AA21</f>
        <v>7.9981860591630642</v>
      </c>
      <c r="AB22" s="7">
        <f t="shared" si="35"/>
        <v>8.4305625007647915</v>
      </c>
      <c r="AC22" s="7">
        <f t="shared" si="35"/>
        <v>8.7988063752245314</v>
      </c>
      <c r="AD22" s="7">
        <f t="shared" si="35"/>
        <v>9.1500439388663217</v>
      </c>
      <c r="AE22" s="7">
        <f t="shared" si="35"/>
        <v>9.2996380030978347</v>
      </c>
      <c r="AF22" s="7">
        <f t="shared" si="35"/>
        <v>9.4185260614168627</v>
      </c>
      <c r="AG22" s="7">
        <f t="shared" si="35"/>
        <v>9.5033769936502424</v>
      </c>
      <c r="AH22" s="7">
        <f t="shared" si="35"/>
        <v>9.5884655930050915</v>
      </c>
      <c r="AI22" s="7">
        <f t="shared" si="35"/>
        <v>9.6737692946396141</v>
      </c>
      <c r="AJ22" s="7">
        <f t="shared" si="35"/>
        <v>9.7592644274932709</v>
      </c>
    </row>
    <row r="24" spans="2:148" x14ac:dyDescent="0.3">
      <c r="B24" t="s">
        <v>47</v>
      </c>
      <c r="H24" s="9"/>
      <c r="I24" s="9"/>
      <c r="J24" s="9"/>
      <c r="K24" s="9"/>
      <c r="L24" s="9">
        <f t="shared" ref="L24:M26" si="36">L3/H3-1</f>
        <v>5.504587155963292E-2</v>
      </c>
      <c r="M24" s="9">
        <f t="shared" si="36"/>
        <v>5.7135728542914155E-2</v>
      </c>
      <c r="N24" s="9"/>
      <c r="O24" s="9">
        <f>O3/K3-1</f>
        <v>1.1249999999999982E-2</v>
      </c>
      <c r="T24" s="9"/>
      <c r="U24" s="9">
        <f t="shared" ref="U24:X24" si="37">U3/T3-1</f>
        <v>0.42482211594540997</v>
      </c>
      <c r="V24" s="9">
        <f t="shared" si="37"/>
        <v>8.9398280802292174E-2</v>
      </c>
      <c r="W24" s="9">
        <f t="shared" si="37"/>
        <v>8.6646126099045651E-2</v>
      </c>
      <c r="X24" s="9">
        <f t="shared" si="37"/>
        <v>8.0912863070539354E-2</v>
      </c>
      <c r="Y24" s="9">
        <f>Y3/X3-1</f>
        <v>6.4427383237364078E-2</v>
      </c>
      <c r="Z24" s="9">
        <f t="shared" ref="Z24:AJ24" si="38">Z3/Y3-1</f>
        <v>2.0000000000000018E-2</v>
      </c>
      <c r="AA24" s="9">
        <f t="shared" si="38"/>
        <v>2.0000000000000018E-2</v>
      </c>
      <c r="AB24" s="9">
        <f t="shared" si="38"/>
        <v>2.0000000000000018E-2</v>
      </c>
      <c r="AC24" s="9">
        <f t="shared" si="38"/>
        <v>2.0000000000000018E-2</v>
      </c>
      <c r="AD24" s="9">
        <f t="shared" si="38"/>
        <v>2.0000000000000018E-2</v>
      </c>
      <c r="AE24" s="9">
        <f t="shared" si="38"/>
        <v>1.0000000000000009E-2</v>
      </c>
      <c r="AF24" s="9">
        <f t="shared" si="38"/>
        <v>1.0000000000000009E-2</v>
      </c>
      <c r="AG24" s="9">
        <f t="shared" si="38"/>
        <v>1.0000000000000009E-2</v>
      </c>
      <c r="AH24" s="9">
        <f t="shared" si="38"/>
        <v>1.0000000000000009E-2</v>
      </c>
      <c r="AI24" s="9">
        <f t="shared" si="38"/>
        <v>1.0000000000000009E-2</v>
      </c>
      <c r="AJ24" s="9">
        <f t="shared" si="38"/>
        <v>1.0000000000000009E-2</v>
      </c>
    </row>
    <row r="25" spans="2:148" x14ac:dyDescent="0.3">
      <c r="B25" t="s">
        <v>48</v>
      </c>
      <c r="H25" s="9"/>
      <c r="I25" s="9"/>
      <c r="J25" s="9"/>
      <c r="K25" s="9"/>
      <c r="L25" s="9">
        <f t="shared" si="36"/>
        <v>0.16225961538461542</v>
      </c>
      <c r="M25" s="9">
        <f t="shared" si="36"/>
        <v>0.13063583815028901</v>
      </c>
      <c r="N25" s="9"/>
      <c r="O25" s="9">
        <f t="shared" ref="O25:O26" si="39">O4/K4-1</f>
        <v>0.22876557191392988</v>
      </c>
      <c r="T25" s="9"/>
      <c r="U25" s="9">
        <f t="shared" ref="U25:X25" si="40">U4/T4-1</f>
        <v>0.63382899628252787</v>
      </c>
      <c r="V25" s="9">
        <f t="shared" si="40"/>
        <v>0.10693970420932875</v>
      </c>
      <c r="W25" s="9">
        <f t="shared" si="40"/>
        <v>0.12264474134977732</v>
      </c>
      <c r="X25" s="9">
        <f t="shared" si="40"/>
        <v>5.675923100396707E-2</v>
      </c>
      <c r="Y25" s="9">
        <f t="shared" ref="Y25:AJ26" si="41">Y4/X4-1</f>
        <v>0.10280103956107411</v>
      </c>
      <c r="Z25" s="9">
        <f t="shared" si="41"/>
        <v>0.25</v>
      </c>
      <c r="AA25" s="9">
        <f t="shared" si="41"/>
        <v>0.14999999999999991</v>
      </c>
      <c r="AB25" s="9">
        <f t="shared" si="41"/>
        <v>9.000000000000008E-2</v>
      </c>
      <c r="AC25" s="9">
        <f t="shared" si="41"/>
        <v>6.0000000000000053E-2</v>
      </c>
      <c r="AD25" s="9">
        <f t="shared" si="41"/>
        <v>5.0000000000000044E-2</v>
      </c>
      <c r="AE25" s="9">
        <f t="shared" si="41"/>
        <v>4.0000000000000036E-2</v>
      </c>
      <c r="AF25" s="9">
        <f t="shared" si="41"/>
        <v>3.0000000000000027E-2</v>
      </c>
      <c r="AG25" s="9">
        <f t="shared" si="41"/>
        <v>2.0000000000000018E-2</v>
      </c>
      <c r="AH25" s="9">
        <f t="shared" si="41"/>
        <v>2.0000000000000018E-2</v>
      </c>
      <c r="AI25" s="9">
        <f t="shared" si="41"/>
        <v>2.0000000000000018E-2</v>
      </c>
      <c r="AJ25" s="9">
        <f t="shared" si="41"/>
        <v>2.0000000000000018E-2</v>
      </c>
      <c r="AL25" t="s">
        <v>55</v>
      </c>
      <c r="AM25" s="9">
        <v>-0.01</v>
      </c>
    </row>
    <row r="26" spans="2:148" s="1" customFormat="1" x14ac:dyDescent="0.3">
      <c r="B26" s="1" t="s">
        <v>46</v>
      </c>
      <c r="H26" s="10"/>
      <c r="I26" s="10"/>
      <c r="J26" s="10"/>
      <c r="K26" s="10"/>
      <c r="L26" s="10">
        <f t="shared" si="36"/>
        <v>7.3801513877207681E-2</v>
      </c>
      <c r="M26" s="10">
        <f t="shared" si="36"/>
        <v>7.0182639031397542E-2</v>
      </c>
      <c r="N26" s="10"/>
      <c r="O26" s="10">
        <f t="shared" si="39"/>
        <v>5.058365758754868E-2</v>
      </c>
      <c r="T26" s="10"/>
      <c r="U26" s="10">
        <f t="shared" ref="U26:X26" si="42">U5/T5-1</f>
        <v>0.45793658584470398</v>
      </c>
      <c r="V26" s="10">
        <f t="shared" si="42"/>
        <v>9.2512792889846596E-2</v>
      </c>
      <c r="W26" s="10">
        <f t="shared" si="42"/>
        <v>9.3122149636386098E-2</v>
      </c>
      <c r="X26" s="10">
        <f t="shared" si="42"/>
        <v>7.6450358008682384E-2</v>
      </c>
      <c r="Y26" s="10">
        <f t="shared" si="41"/>
        <v>7.1387419473105229E-2</v>
      </c>
      <c r="Z26" s="10">
        <f t="shared" si="41"/>
        <v>6.2939479859210001E-2</v>
      </c>
      <c r="AA26" s="10">
        <f t="shared" si="41"/>
        <v>4.8541301327431841E-2</v>
      </c>
      <c r="AB26" s="10">
        <f t="shared" si="41"/>
        <v>3.6855465734595638E-2</v>
      </c>
      <c r="AC26" s="10">
        <f t="shared" si="41"/>
        <v>3.012537193073328E-2</v>
      </c>
      <c r="AD26" s="10">
        <f t="shared" si="41"/>
        <v>2.7814263102602599E-2</v>
      </c>
      <c r="AE26" s="10">
        <f t="shared" si="41"/>
        <v>1.7982936754511458E-2</v>
      </c>
      <c r="AF26" s="10">
        <f t="shared" si="41"/>
        <v>1.5437061811114816E-2</v>
      </c>
      <c r="AG26" s="10">
        <f t="shared" si="41"/>
        <v>1.2757518843885984E-2</v>
      </c>
      <c r="AH26" s="10">
        <f t="shared" si="41"/>
        <v>1.2777238547657888E-2</v>
      </c>
      <c r="AI26" s="10">
        <f t="shared" si="41"/>
        <v>1.2797044809846891E-2</v>
      </c>
      <c r="AJ26" s="10">
        <f t="shared" si="41"/>
        <v>1.2816937234033432E-2</v>
      </c>
      <c r="AL26" t="s">
        <v>56</v>
      </c>
      <c r="AM26" s="9">
        <v>7.0000000000000007E-2</v>
      </c>
    </row>
    <row r="27" spans="2:148" x14ac:dyDescent="0.3">
      <c r="B27" t="s">
        <v>49</v>
      </c>
      <c r="H27" s="9">
        <f t="shared" ref="H27:N28" si="43">(H3-H6)/H3</f>
        <v>0.65570846075433231</v>
      </c>
      <c r="I27" s="9">
        <f t="shared" si="43"/>
        <v>0.67290419161676651</v>
      </c>
      <c r="J27" s="9"/>
      <c r="K27" s="9">
        <f t="shared" si="43"/>
        <v>0.66149999999999998</v>
      </c>
      <c r="L27" s="9">
        <f t="shared" si="43"/>
        <v>0.67560386473429956</v>
      </c>
      <c r="M27" s="9">
        <f t="shared" si="43"/>
        <v>0.68232239792305882</v>
      </c>
      <c r="N27" s="9">
        <f t="shared" si="43"/>
        <v>0.6901408450704225</v>
      </c>
      <c r="O27" s="9">
        <f>(O3-O6)/O3</f>
        <v>0.6566131025957973</v>
      </c>
      <c r="T27" s="9">
        <f t="shared" ref="T27:X27" si="44">(T3-T6)/T3</f>
        <v>0.53155254869940516</v>
      </c>
      <c r="U27" s="9">
        <f t="shared" si="44"/>
        <v>0.52181743757674992</v>
      </c>
      <c r="V27" s="9">
        <f t="shared" si="44"/>
        <v>0.54279702412264219</v>
      </c>
      <c r="W27" s="9">
        <f t="shared" si="44"/>
        <v>0.60089903181189486</v>
      </c>
      <c r="X27" s="9">
        <f t="shared" si="44"/>
        <v>0.65886116442738318</v>
      </c>
      <c r="Y27" s="9">
        <f t="shared" ref="Y27:Y28" si="45">(Y3-Y6)/Y3</f>
        <v>0.67764621025425253</v>
      </c>
      <c r="Z27" s="9">
        <f t="shared" ref="Z27:AJ27" si="46">(Z3-Z6)/Z3</f>
        <v>0.68</v>
      </c>
      <c r="AA27" s="9">
        <f t="shared" si="46"/>
        <v>0.67999999999999994</v>
      </c>
      <c r="AB27" s="9">
        <f t="shared" si="46"/>
        <v>0.68</v>
      </c>
      <c r="AC27" s="9">
        <f t="shared" si="46"/>
        <v>0.67999999999999994</v>
      </c>
      <c r="AD27" s="9">
        <f t="shared" si="46"/>
        <v>0.68</v>
      </c>
      <c r="AE27" s="9">
        <f t="shared" si="46"/>
        <v>0.67999999999999994</v>
      </c>
      <c r="AF27" s="9">
        <f t="shared" si="46"/>
        <v>0.68</v>
      </c>
      <c r="AG27" s="9">
        <f t="shared" si="46"/>
        <v>0.67999999999999994</v>
      </c>
      <c r="AH27" s="9">
        <f t="shared" si="46"/>
        <v>0.67999999999999994</v>
      </c>
      <c r="AI27" s="9">
        <f t="shared" si="46"/>
        <v>0.68</v>
      </c>
      <c r="AJ27" s="9">
        <f t="shared" si="46"/>
        <v>0.67999999999999994</v>
      </c>
      <c r="AL27" t="s">
        <v>57</v>
      </c>
      <c r="AM27" s="5">
        <f>NPV(AM26,Z20:ER20)</f>
        <v>68637.351189598281</v>
      </c>
    </row>
    <row r="28" spans="2:148" x14ac:dyDescent="0.3">
      <c r="B28" t="s">
        <v>50</v>
      </c>
      <c r="H28" s="9">
        <f t="shared" si="43"/>
        <v>0.30528846153846156</v>
      </c>
      <c r="I28" s="9">
        <f t="shared" si="43"/>
        <v>0.32601156069364162</v>
      </c>
      <c r="J28" s="9"/>
      <c r="K28" s="9">
        <f t="shared" si="43"/>
        <v>0.26274065685164211</v>
      </c>
      <c r="L28" s="9">
        <f t="shared" si="43"/>
        <v>0.3391933815925543</v>
      </c>
      <c r="M28" s="9">
        <f t="shared" si="43"/>
        <v>0.32413087934560325</v>
      </c>
      <c r="N28" s="9">
        <f t="shared" si="43"/>
        <v>0.29465186680121092</v>
      </c>
      <c r="O28" s="9">
        <f t="shared" ref="O28" si="47">(O4-O7)/O4</f>
        <v>0.36958525345622117</v>
      </c>
      <c r="T28" s="9">
        <f t="shared" ref="T28:X28" si="48">(T4-T7)/T4</f>
        <v>0.19888475836431227</v>
      </c>
      <c r="U28" s="9">
        <f t="shared" si="48"/>
        <v>0.25255972696245732</v>
      </c>
      <c r="V28" s="9">
        <f t="shared" si="48"/>
        <v>0.29976019184652281</v>
      </c>
      <c r="W28" s="9">
        <f t="shared" si="48"/>
        <v>0.32224595666768385</v>
      </c>
      <c r="X28" s="9">
        <f t="shared" si="48"/>
        <v>0.32486283569159691</v>
      </c>
      <c r="Y28" s="9">
        <f t="shared" si="45"/>
        <v>0.30610107357947108</v>
      </c>
      <c r="Z28" s="9">
        <f t="shared" ref="Z28:AJ28" si="49">(Z4-Z7)/Z4</f>
        <v>0.35</v>
      </c>
      <c r="AA28" s="9">
        <f t="shared" si="49"/>
        <v>0.35</v>
      </c>
      <c r="AB28" s="9">
        <f t="shared" si="49"/>
        <v>0.35</v>
      </c>
      <c r="AC28" s="9">
        <f t="shared" si="49"/>
        <v>0.34999999999999992</v>
      </c>
      <c r="AD28" s="9">
        <f t="shared" si="49"/>
        <v>0.35</v>
      </c>
      <c r="AE28" s="9">
        <f t="shared" si="49"/>
        <v>0.34999999999999992</v>
      </c>
      <c r="AF28" s="9">
        <f t="shared" si="49"/>
        <v>0.35</v>
      </c>
      <c r="AG28" s="9">
        <f t="shared" si="49"/>
        <v>0.34999999999999992</v>
      </c>
      <c r="AH28" s="9">
        <f t="shared" si="49"/>
        <v>0.35</v>
      </c>
      <c r="AI28" s="9">
        <f t="shared" si="49"/>
        <v>0.35</v>
      </c>
      <c r="AJ28" s="9">
        <f t="shared" si="49"/>
        <v>0.35000000000000003</v>
      </c>
      <c r="AL28" t="s">
        <v>58</v>
      </c>
      <c r="AM28" s="5">
        <f>Main!D8</f>
        <v>-27120</v>
      </c>
    </row>
    <row r="29" spans="2:148" x14ac:dyDescent="0.3">
      <c r="B29" t="s">
        <v>51</v>
      </c>
      <c r="H29" s="9">
        <f t="shared" ref="H29:N29" si="50">H9/H5</f>
        <v>0.59440706476030281</v>
      </c>
      <c r="I29" s="9">
        <f t="shared" si="50"/>
        <v>0.6113277241945414</v>
      </c>
      <c r="J29" s="9"/>
      <c r="K29" s="9">
        <f t="shared" si="50"/>
        <v>0.58939176735613352</v>
      </c>
      <c r="L29" s="9">
        <f t="shared" si="50"/>
        <v>0.61190522811826908</v>
      </c>
      <c r="M29" s="9">
        <f t="shared" si="50"/>
        <v>0.61514860977948227</v>
      </c>
      <c r="N29" s="9">
        <f t="shared" si="50"/>
        <v>0.61550180917920394</v>
      </c>
      <c r="O29" s="9">
        <f>O9/O5</f>
        <v>0.59590643274853805</v>
      </c>
      <c r="T29" s="9">
        <f t="shared" ref="T29:X29" si="51">T9/T5</f>
        <v>0.47884558751349759</v>
      </c>
      <c r="U29" s="9">
        <f t="shared" si="51"/>
        <v>0.47401023431187717</v>
      </c>
      <c r="V29" s="9">
        <f t="shared" si="51"/>
        <v>0.4990755577468261</v>
      </c>
      <c r="W29" s="9">
        <f t="shared" si="51"/>
        <v>0.54941647403732308</v>
      </c>
      <c r="X29" s="9">
        <f t="shared" si="51"/>
        <v>0.59828209291363332</v>
      </c>
      <c r="Y29" s="9">
        <f t="shared" ref="Y29" si="52">Y9/Y5</f>
        <v>0.60828118889323424</v>
      </c>
      <c r="Z29" s="9">
        <f t="shared" ref="Z29:AJ29" si="53">Z9/Z5</f>
        <v>0.60754900432267311</v>
      </c>
      <c r="AA29" s="9">
        <f t="shared" si="53"/>
        <v>0.60053851867976382</v>
      </c>
      <c r="AB29" s="9">
        <f t="shared" si="53"/>
        <v>0.59646568157144875</v>
      </c>
      <c r="AC29" s="9">
        <f t="shared" si="53"/>
        <v>0.59404310587137132</v>
      </c>
      <c r="AD29" s="9">
        <f t="shared" si="53"/>
        <v>0.59218769570037544</v>
      </c>
      <c r="AE29" s="9">
        <f t="shared" si="53"/>
        <v>0.59028848011660462</v>
      </c>
      <c r="AF29" s="9">
        <f t="shared" si="53"/>
        <v>0.58900187815176919</v>
      </c>
      <c r="AG29" s="9">
        <f t="shared" si="53"/>
        <v>0.58835112792729316</v>
      </c>
      <c r="AH29" s="9">
        <f t="shared" si="53"/>
        <v>0.58769752127504782</v>
      </c>
      <c r="AI29" s="9">
        <f t="shared" si="53"/>
        <v>0.58704107127689376</v>
      </c>
      <c r="AJ29" s="9">
        <f t="shared" si="53"/>
        <v>0.58638179140594426</v>
      </c>
      <c r="AL29" t="s">
        <v>59</v>
      </c>
      <c r="AM29" s="5">
        <f>AM27+AM28</f>
        <v>41517.351189598281</v>
      </c>
    </row>
    <row r="30" spans="2:148" x14ac:dyDescent="0.3">
      <c r="B30" t="s">
        <v>52</v>
      </c>
      <c r="H30" s="9"/>
      <c r="I30" s="9"/>
      <c r="J30" s="9"/>
      <c r="K30" s="9"/>
      <c r="L30" s="9">
        <f t="shared" ref="L30:M30" si="54">L10/H10-1</f>
        <v>5.8962264150941301E-4</v>
      </c>
      <c r="M30" s="9">
        <f t="shared" si="54"/>
        <v>-2.7845036319612548E-2</v>
      </c>
      <c r="N30" s="9"/>
      <c r="O30" s="9">
        <f>O10/K10-1</f>
        <v>-8.8391278727165679E-3</v>
      </c>
      <c r="T30" s="9"/>
      <c r="U30" s="9">
        <f t="shared" ref="U30:X30" si="55">U10/T10-1</f>
        <v>0.72107186358099873</v>
      </c>
      <c r="V30" s="9">
        <f t="shared" si="55"/>
        <v>2.7954706298655374E-2</v>
      </c>
      <c r="W30" s="9">
        <f t="shared" si="55"/>
        <v>4.2857142857142927E-2</v>
      </c>
      <c r="X30" s="9">
        <f t="shared" si="55"/>
        <v>8.5327611817131555E-2</v>
      </c>
      <c r="Y30" s="9">
        <f>Y10/X10-1</f>
        <v>-1.8248175182481452E-3</v>
      </c>
      <c r="Z30" s="9">
        <f t="shared" ref="Z30:AJ30" si="56">Z10/Y10-1</f>
        <v>1.0000000000000009E-2</v>
      </c>
      <c r="AA30" s="9">
        <f t="shared" si="56"/>
        <v>1.0000000000000009E-2</v>
      </c>
      <c r="AB30" s="9">
        <f t="shared" si="56"/>
        <v>1.0000000000000009E-2</v>
      </c>
      <c r="AC30" s="9">
        <f t="shared" si="56"/>
        <v>1.0000000000000009E-2</v>
      </c>
      <c r="AD30" s="9">
        <f t="shared" si="56"/>
        <v>1.0000000000000009E-2</v>
      </c>
      <c r="AE30" s="9">
        <f t="shared" si="56"/>
        <v>1.0000000000000009E-2</v>
      </c>
      <c r="AF30" s="9">
        <f t="shared" si="56"/>
        <v>1.0000000000000009E-2</v>
      </c>
      <c r="AG30" s="9">
        <f t="shared" si="56"/>
        <v>1.0000000000000009E-2</v>
      </c>
      <c r="AH30" s="9">
        <f t="shared" si="56"/>
        <v>1.0000000000000009E-2</v>
      </c>
      <c r="AI30" s="9">
        <f t="shared" si="56"/>
        <v>1.0000000000000009E-2</v>
      </c>
      <c r="AJ30" s="9">
        <f t="shared" si="56"/>
        <v>1.0000000000000009E-2</v>
      </c>
      <c r="AL30" t="s">
        <v>60</v>
      </c>
      <c r="AM30" s="4">
        <f>AM29/AJ21</f>
        <v>74.886997095235003</v>
      </c>
    </row>
    <row r="31" spans="2:148" x14ac:dyDescent="0.3">
      <c r="B31" t="s">
        <v>53</v>
      </c>
      <c r="H31" s="9">
        <f t="shared" ref="H31:N31" si="57">H13/H5</f>
        <v>0.23780487804878048</v>
      </c>
      <c r="I31" s="9">
        <f t="shared" si="57"/>
        <v>0.30843422942745741</v>
      </c>
      <c r="J31" s="9"/>
      <c r="K31" s="9">
        <f t="shared" si="57"/>
        <v>0.24185951259471636</v>
      </c>
      <c r="L31" s="9">
        <f t="shared" si="57"/>
        <v>0.27961621304092421</v>
      </c>
      <c r="M31" s="9">
        <f t="shared" si="57"/>
        <v>0.30719079578139979</v>
      </c>
      <c r="N31" s="9">
        <f t="shared" si="57"/>
        <v>0.3176537802323367</v>
      </c>
      <c r="O31" s="9">
        <f>O13/O5</f>
        <v>0.27192982456140352</v>
      </c>
      <c r="T31" s="9">
        <f t="shared" ref="T31:X31" si="58">T13/T5</f>
        <v>0.15794640227741238</v>
      </c>
      <c r="U31" s="9">
        <f t="shared" si="58"/>
        <v>0.12469701050363588</v>
      </c>
      <c r="V31" s="9">
        <f t="shared" si="58"/>
        <v>0.14100825835079503</v>
      </c>
      <c r="W31" s="9">
        <f t="shared" si="58"/>
        <v>0.21085865704459605</v>
      </c>
      <c r="X31" s="9">
        <f t="shared" si="58"/>
        <v>0.26260933326349972</v>
      </c>
      <c r="Y31" s="9">
        <f t="shared" ref="Y31" si="59">Y13/Y5</f>
        <v>0.28739734063355493</v>
      </c>
      <c r="Z31" s="9">
        <f t="shared" ref="Z31:AJ31" si="60">Z13/Z5</f>
        <v>0.30264670942889116</v>
      </c>
      <c r="AA31" s="9">
        <f t="shared" si="60"/>
        <v>0.30684353742069492</v>
      </c>
      <c r="AB31" s="9">
        <f t="shared" si="60"/>
        <v>0.31037765785495075</v>
      </c>
      <c r="AC31" s="9">
        <f t="shared" si="60"/>
        <v>0.31354433181235103</v>
      </c>
      <c r="AD31" s="9">
        <f t="shared" si="60"/>
        <v>0.31655057723461483</v>
      </c>
      <c r="AE31" s="9">
        <f t="shared" si="60"/>
        <v>0.31681288480065545</v>
      </c>
      <c r="AF31" s="9">
        <f t="shared" si="60"/>
        <v>0.31699058207354169</v>
      </c>
      <c r="AG31" s="9">
        <f t="shared" si="60"/>
        <v>0.31708045955187619</v>
      </c>
      <c r="AH31" s="9">
        <f t="shared" si="60"/>
        <v>0.31717073154183012</v>
      </c>
      <c r="AI31" s="9">
        <f t="shared" si="60"/>
        <v>0.31726139623662009</v>
      </c>
      <c r="AJ31" s="9">
        <f t="shared" si="60"/>
        <v>0.31735245177542581</v>
      </c>
      <c r="AL31" t="s">
        <v>61</v>
      </c>
      <c r="AM31" s="4">
        <f>Main!D3</f>
        <v>176.85</v>
      </c>
    </row>
    <row r="32" spans="2:148" x14ac:dyDescent="0.3">
      <c r="B32" t="s">
        <v>27</v>
      </c>
      <c r="H32" s="9">
        <f t="shared" ref="H32:N32" si="61">H18/H17</f>
        <v>0.20733104238258879</v>
      </c>
      <c r="I32" s="9">
        <f t="shared" si="61"/>
        <v>0.1975206611570248</v>
      </c>
      <c r="J32" s="9"/>
      <c r="K32" s="9">
        <f t="shared" si="61"/>
        <v>0.16757940854326397</v>
      </c>
      <c r="L32" s="9">
        <f t="shared" si="61"/>
        <v>0.19420035149384884</v>
      </c>
      <c r="M32" s="9">
        <f t="shared" si="61"/>
        <v>5.8221872541306056E-2</v>
      </c>
      <c r="N32" s="9">
        <f t="shared" si="61"/>
        <v>0.16300675675675674</v>
      </c>
      <c r="O32" s="9">
        <f>O18/O17</f>
        <v>0.18164435946462715</v>
      </c>
      <c r="T32" s="9">
        <f t="shared" ref="T32:X32" si="62">T18/T17</f>
        <v>0.18282548476454294</v>
      </c>
      <c r="U32" s="9">
        <f t="shared" si="62"/>
        <v>0.16737830913748933</v>
      </c>
      <c r="V32" s="9">
        <f t="shared" si="62"/>
        <v>0.21788715486194477</v>
      </c>
      <c r="W32" s="9">
        <f t="shared" si="62"/>
        <v>0.1891520768966701</v>
      </c>
      <c r="X32" s="9">
        <f t="shared" si="62"/>
        <v>0.19343252950230888</v>
      </c>
      <c r="Y32" s="9">
        <f t="shared" ref="Y32" si="63">Y18/Y17</f>
        <v>0.14225477141588994</v>
      </c>
      <c r="Z32" s="9">
        <f t="shared" ref="Z32:AJ32" si="64">Z18/Z17</f>
        <v>0.18</v>
      </c>
      <c r="AA32" s="9">
        <f t="shared" si="64"/>
        <v>0.18</v>
      </c>
      <c r="AB32" s="9">
        <f t="shared" si="64"/>
        <v>0.18</v>
      </c>
      <c r="AC32" s="9">
        <f t="shared" si="64"/>
        <v>0.18</v>
      </c>
      <c r="AD32" s="9">
        <f t="shared" si="64"/>
        <v>0.18</v>
      </c>
      <c r="AE32" s="9">
        <f t="shared" si="64"/>
        <v>0.18</v>
      </c>
      <c r="AF32" s="9">
        <f t="shared" si="64"/>
        <v>0.18</v>
      </c>
      <c r="AG32" s="9">
        <f t="shared" si="64"/>
        <v>0.17999999999999997</v>
      </c>
      <c r="AH32" s="9">
        <f t="shared" si="64"/>
        <v>0.18</v>
      </c>
      <c r="AI32" s="9">
        <f t="shared" si="64"/>
        <v>0.18</v>
      </c>
      <c r="AJ32" s="9">
        <f t="shared" si="64"/>
        <v>0.18</v>
      </c>
      <c r="AL32" s="1" t="s">
        <v>62</v>
      </c>
      <c r="AM32" s="10">
        <f>AM30/AM31-1</f>
        <v>-0.57655076564752616</v>
      </c>
    </row>
    <row r="33" spans="2:39" x14ac:dyDescent="0.3">
      <c r="B33" t="s">
        <v>54</v>
      </c>
      <c r="H33" s="9">
        <f t="shared" ref="H33:N33" si="65">H20/H5</f>
        <v>0.14360807401177461</v>
      </c>
      <c r="I33" s="9">
        <f t="shared" si="65"/>
        <v>0.19536219987687256</v>
      </c>
      <c r="J33" s="9"/>
      <c r="K33" s="9">
        <f t="shared" si="65"/>
        <v>0.15052221994675405</v>
      </c>
      <c r="L33" s="9">
        <f t="shared" si="65"/>
        <v>0.1750538476600744</v>
      </c>
      <c r="M33" s="9">
        <f t="shared" si="65"/>
        <v>0.10814956855225312</v>
      </c>
      <c r="N33" s="9">
        <f t="shared" si="65"/>
        <v>0.17863264140163779</v>
      </c>
      <c r="O33" s="9">
        <f>O20/O5</f>
        <v>0.16588693957115011</v>
      </c>
      <c r="T33" s="9">
        <f t="shared" ref="T33:X33" si="66">T20/T5</f>
        <v>8.766074408559929E-2</v>
      </c>
      <c r="U33" s="9">
        <f t="shared" si="66"/>
        <v>6.4503097225962827E-2</v>
      </c>
      <c r="V33" s="9">
        <f t="shared" si="66"/>
        <v>8.2213731048933814E-2</v>
      </c>
      <c r="W33" s="9">
        <f t="shared" si="66"/>
        <v>0.14263967976546202</v>
      </c>
      <c r="X33" s="9">
        <f t="shared" si="66"/>
        <v>0.1606871628345467</v>
      </c>
      <c r="Y33" s="9">
        <f t="shared" ref="Y33" si="67">Y20/Y5</f>
        <v>0.15306022682831444</v>
      </c>
      <c r="Z33" s="9">
        <f t="shared" ref="Z33:AJ33" si="68">Z20/Z5</f>
        <v>0.19015110085823392</v>
      </c>
      <c r="AA33" s="9">
        <f t="shared" si="68"/>
        <v>0.194491188248854</v>
      </c>
      <c r="AB33" s="9">
        <f t="shared" si="68"/>
        <v>0.19771825003227017</v>
      </c>
      <c r="AC33" s="9">
        <f t="shared" si="68"/>
        <v>0.20031980205263447</v>
      </c>
      <c r="AD33" s="9">
        <f t="shared" si="68"/>
        <v>0.20267895713042686</v>
      </c>
      <c r="AE33" s="9">
        <f t="shared" si="68"/>
        <v>0.20235364255310326</v>
      </c>
      <c r="AF33" s="9">
        <f t="shared" si="68"/>
        <v>0.2018249791771444</v>
      </c>
      <c r="AG33" s="9">
        <f t="shared" si="68"/>
        <v>0.20107795245306365</v>
      </c>
      <c r="AH33" s="9">
        <f t="shared" si="68"/>
        <v>0.20031878539407083</v>
      </c>
      <c r="AI33" s="9">
        <f t="shared" si="68"/>
        <v>0.19954730395409886</v>
      </c>
      <c r="AJ33" s="9">
        <f t="shared" si="68"/>
        <v>0.19876333204230015</v>
      </c>
      <c r="AL33" t="s">
        <v>63</v>
      </c>
      <c r="AM33" s="6" t="s">
        <v>64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2025-04-25T11:00:15Z</dcterms:created>
  <dcterms:modified xsi:type="dcterms:W3CDTF">2025-04-25T11:29:48Z</dcterms:modified>
</cp:coreProperties>
</file>