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AE01740A-5DFF-4A72-ACBB-E2D8749F1639}" xr6:coauthVersionLast="47" xr6:coauthVersionMax="47" xr10:uidLastSave="{00000000-0000-0000-0000-000000000000}"/>
  <bookViews>
    <workbookView xWindow="-108" yWindow="-108" windowWidth="23256" windowHeight="12576" activeTab="1" xr2:uid="{53CD7181-4712-4BC6-B017-0152AAC08E90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6" i="2" l="1"/>
  <c r="AD6" i="2" s="1"/>
  <c r="AC3" i="2"/>
  <c r="V6" i="2"/>
  <c r="T6" i="2"/>
  <c r="V5" i="2"/>
  <c r="U5" i="2"/>
  <c r="U3" i="2"/>
  <c r="T3" i="2"/>
  <c r="D7" i="1"/>
  <c r="D6" i="1"/>
  <c r="AA23" i="2"/>
  <c r="Z23" i="2"/>
  <c r="Y23" i="2"/>
  <c r="X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S18" i="2" l="1"/>
  <c r="T5" i="2"/>
  <c r="AO26" i="2"/>
  <c r="V21" i="2"/>
  <c r="U6" i="2"/>
  <c r="S21" i="2"/>
  <c r="V3" i="2"/>
  <c r="AA19" i="2"/>
  <c r="AB11" i="2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B10" i="2"/>
  <c r="AC10" i="2" s="1"/>
  <c r="AD10" i="2" s="1"/>
  <c r="AE10" i="2" s="1"/>
  <c r="AF10" i="2" s="1"/>
  <c r="AB8" i="2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B7" i="2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A13" i="2"/>
  <c r="AA11" i="2"/>
  <c r="AA10" i="2"/>
  <c r="AA8" i="2"/>
  <c r="AA7" i="2"/>
  <c r="AA6" i="2"/>
  <c r="AA21" i="2" s="1"/>
  <c r="AA4" i="2"/>
  <c r="AA3" i="2"/>
  <c r="AA5" i="2" s="1"/>
  <c r="Z13" i="2"/>
  <c r="Z11" i="2"/>
  <c r="Z10" i="2"/>
  <c r="Z8" i="2"/>
  <c r="Z7" i="2"/>
  <c r="Z6" i="2"/>
  <c r="Z21" i="2" s="1"/>
  <c r="Z4" i="2"/>
  <c r="Z3" i="2"/>
  <c r="Z18" i="2" s="1"/>
  <c r="Y13" i="2"/>
  <c r="Y11" i="2"/>
  <c r="Y10" i="2"/>
  <c r="Y8" i="2"/>
  <c r="Y7" i="2"/>
  <c r="Y6" i="2"/>
  <c r="Y21" i="2" s="1"/>
  <c r="Y4" i="2"/>
  <c r="Y3" i="2"/>
  <c r="Y5" i="2" s="1"/>
  <c r="Y19" i="2" s="1"/>
  <c r="X13" i="2"/>
  <c r="X11" i="2"/>
  <c r="X10" i="2"/>
  <c r="X8" i="2"/>
  <c r="X7" i="2"/>
  <c r="X6" i="2"/>
  <c r="X4" i="2"/>
  <c r="X3" i="2"/>
  <c r="E20" i="2"/>
  <c r="Q22" i="2"/>
  <c r="I22" i="2"/>
  <c r="U21" i="2"/>
  <c r="T21" i="2"/>
  <c r="R21" i="2"/>
  <c r="Q21" i="2"/>
  <c r="P21" i="2"/>
  <c r="O21" i="2"/>
  <c r="N21" i="2"/>
  <c r="M21" i="2"/>
  <c r="L21" i="2"/>
  <c r="K21" i="2"/>
  <c r="J21" i="2"/>
  <c r="I21" i="2"/>
  <c r="H21" i="2"/>
  <c r="R20" i="2"/>
  <c r="J20" i="2"/>
  <c r="L19" i="2"/>
  <c r="U18" i="2"/>
  <c r="T18" i="2"/>
  <c r="R18" i="2"/>
  <c r="Q18" i="2"/>
  <c r="P18" i="2"/>
  <c r="O18" i="2"/>
  <c r="N18" i="2"/>
  <c r="M18" i="2"/>
  <c r="L18" i="2"/>
  <c r="K18" i="2"/>
  <c r="J18" i="2"/>
  <c r="I18" i="2"/>
  <c r="H18" i="2"/>
  <c r="G21" i="2"/>
  <c r="G18" i="2"/>
  <c r="C5" i="2"/>
  <c r="C9" i="2" s="1"/>
  <c r="C12" i="2" s="1"/>
  <c r="C14" i="2" s="1"/>
  <c r="C16" i="2" s="1"/>
  <c r="G5" i="2"/>
  <c r="G9" i="2" s="1"/>
  <c r="G12" i="2" s="1"/>
  <c r="G14" i="2" s="1"/>
  <c r="G16" i="2" s="1"/>
  <c r="D5" i="2"/>
  <c r="D9" i="2" s="1"/>
  <c r="D12" i="2" s="1"/>
  <c r="D14" i="2" s="1"/>
  <c r="D16" i="2" s="1"/>
  <c r="H5" i="2"/>
  <c r="H9" i="2" s="1"/>
  <c r="H12" i="2" s="1"/>
  <c r="H14" i="2" s="1"/>
  <c r="H16" i="2" s="1"/>
  <c r="E5" i="2"/>
  <c r="E9" i="2" s="1"/>
  <c r="E12" i="2" s="1"/>
  <c r="E14" i="2" s="1"/>
  <c r="E16" i="2" s="1"/>
  <c r="I5" i="2"/>
  <c r="I9" i="2" s="1"/>
  <c r="I12" i="2" s="1"/>
  <c r="I14" i="2" s="1"/>
  <c r="I16" i="2" s="1"/>
  <c r="F5" i="2"/>
  <c r="F9" i="2" s="1"/>
  <c r="F12" i="2" s="1"/>
  <c r="F14" i="2" s="1"/>
  <c r="F16" i="2" s="1"/>
  <c r="J5" i="2"/>
  <c r="J9" i="2" s="1"/>
  <c r="J12" i="2" s="1"/>
  <c r="J14" i="2" s="1"/>
  <c r="J16" i="2" s="1"/>
  <c r="K5" i="2"/>
  <c r="K9" i="2" s="1"/>
  <c r="K12" i="2" s="1"/>
  <c r="K14" i="2" s="1"/>
  <c r="K16" i="2" s="1"/>
  <c r="O5" i="2"/>
  <c r="O9" i="2" s="1"/>
  <c r="O12" i="2" s="1"/>
  <c r="O14" i="2" s="1"/>
  <c r="O16" i="2" s="1"/>
  <c r="L5" i="2"/>
  <c r="L9" i="2" s="1"/>
  <c r="L12" i="2" s="1"/>
  <c r="L14" i="2" s="1"/>
  <c r="L16" i="2" s="1"/>
  <c r="P5" i="2"/>
  <c r="P9" i="2" s="1"/>
  <c r="P12" i="2" s="1"/>
  <c r="P14" i="2" s="1"/>
  <c r="P16" i="2" s="1"/>
  <c r="M5" i="2"/>
  <c r="M9" i="2" s="1"/>
  <c r="M12" i="2" s="1"/>
  <c r="M14" i="2" s="1"/>
  <c r="M16" i="2" s="1"/>
  <c r="Q5" i="2"/>
  <c r="Q9" i="2" s="1"/>
  <c r="Q12" i="2" s="1"/>
  <c r="Q14" i="2" s="1"/>
  <c r="Q16" i="2" s="1"/>
  <c r="N5" i="2"/>
  <c r="N9" i="2" s="1"/>
  <c r="N12" i="2" s="1"/>
  <c r="N14" i="2" s="1"/>
  <c r="N16" i="2" s="1"/>
  <c r="R5" i="2"/>
  <c r="R9" i="2" s="1"/>
  <c r="R12" i="2" s="1"/>
  <c r="R14" i="2" s="1"/>
  <c r="R16" i="2" s="1"/>
  <c r="D8" i="1"/>
  <c r="AO23" i="2" s="1"/>
  <c r="D5" i="1"/>
  <c r="F3" i="1"/>
  <c r="D9" i="1" l="1"/>
  <c r="V9" i="2"/>
  <c r="V12" i="2" s="1"/>
  <c r="V4" i="2"/>
  <c r="U9" i="2"/>
  <c r="U12" i="2" s="1"/>
  <c r="U4" i="2"/>
  <c r="T9" i="2"/>
  <c r="T19" i="2"/>
  <c r="T4" i="2"/>
  <c r="O20" i="2"/>
  <c r="F19" i="2"/>
  <c r="M19" i="2"/>
  <c r="H20" i="2"/>
  <c r="P20" i="2"/>
  <c r="O22" i="2"/>
  <c r="C20" i="2"/>
  <c r="N22" i="2"/>
  <c r="F22" i="2"/>
  <c r="N19" i="2"/>
  <c r="I20" i="2"/>
  <c r="Q20" i="2"/>
  <c r="H22" i="2"/>
  <c r="P22" i="2"/>
  <c r="D20" i="2"/>
  <c r="G20" i="2"/>
  <c r="H19" i="2"/>
  <c r="P19" i="2"/>
  <c r="K20" i="2"/>
  <c r="J22" i="2"/>
  <c r="F20" i="2"/>
  <c r="Y18" i="2"/>
  <c r="O19" i="2"/>
  <c r="I19" i="2"/>
  <c r="Q19" i="2"/>
  <c r="L20" i="2"/>
  <c r="K22" i="2"/>
  <c r="C19" i="2"/>
  <c r="C22" i="2"/>
  <c r="G19" i="2"/>
  <c r="G22" i="2"/>
  <c r="J19" i="2"/>
  <c r="R19" i="2"/>
  <c r="M20" i="2"/>
  <c r="L22" i="2"/>
  <c r="D19" i="2"/>
  <c r="D22" i="2"/>
  <c r="AA18" i="2"/>
  <c r="K19" i="2"/>
  <c r="N20" i="2"/>
  <c r="M22" i="2"/>
  <c r="E19" i="2"/>
  <c r="E22" i="2"/>
  <c r="R22" i="2"/>
  <c r="AB6" i="2"/>
  <c r="AD21" i="2" s="1"/>
  <c r="U19" i="2"/>
  <c r="V19" i="2"/>
  <c r="V18" i="2"/>
  <c r="U20" i="2"/>
  <c r="AB3" i="2"/>
  <c r="AA9" i="2"/>
  <c r="Z5" i="2"/>
  <c r="Y9" i="2"/>
  <c r="X5" i="2"/>
  <c r="AE6" i="2" l="1"/>
  <c r="AF6" i="2" s="1"/>
  <c r="AG6" i="2" s="1"/>
  <c r="AH6" i="2" s="1"/>
  <c r="AI6" i="2" s="1"/>
  <c r="AJ6" i="2" s="1"/>
  <c r="AK6" i="2" s="1"/>
  <c r="AL6" i="2" s="1"/>
  <c r="T20" i="2"/>
  <c r="T12" i="2"/>
  <c r="X9" i="2"/>
  <c r="X19" i="2"/>
  <c r="U13" i="2"/>
  <c r="U22" i="2" s="1"/>
  <c r="Y12" i="2"/>
  <c r="Y20" i="2"/>
  <c r="Z9" i="2"/>
  <c r="Z19" i="2"/>
  <c r="V13" i="2"/>
  <c r="V22" i="2" s="1"/>
  <c r="AA12" i="2"/>
  <c r="AA20" i="2"/>
  <c r="V20" i="2"/>
  <c r="AC21" i="2"/>
  <c r="AB21" i="2"/>
  <c r="AB18" i="2"/>
  <c r="AF21" i="2" l="1"/>
  <c r="AE21" i="2"/>
  <c r="AG21" i="2"/>
  <c r="V14" i="2"/>
  <c r="U14" i="2"/>
  <c r="AA14" i="2"/>
  <c r="AA16" i="2" s="1"/>
  <c r="AA22" i="2"/>
  <c r="X12" i="2"/>
  <c r="X20" i="2"/>
  <c r="Y14" i="2"/>
  <c r="Y16" i="2" s="1"/>
  <c r="Y22" i="2"/>
  <c r="AD3" i="2"/>
  <c r="AE3" i="2" s="1"/>
  <c r="AC5" i="2"/>
  <c r="T13" i="2"/>
  <c r="T14" i="2" s="1"/>
  <c r="AC18" i="2"/>
  <c r="Z12" i="2"/>
  <c r="Z20" i="2"/>
  <c r="V16" i="2" l="1"/>
  <c r="V23" i="2"/>
  <c r="U16" i="2"/>
  <c r="U23" i="2"/>
  <c r="T16" i="2"/>
  <c r="T23" i="2"/>
  <c r="Z14" i="2"/>
  <c r="Z16" i="2" s="1"/>
  <c r="Z22" i="2"/>
  <c r="AD5" i="2"/>
  <c r="AD18" i="2"/>
  <c r="AI21" i="2"/>
  <c r="AH21" i="2"/>
  <c r="T22" i="2"/>
  <c r="X14" i="2"/>
  <c r="X16" i="2" s="1"/>
  <c r="X22" i="2"/>
  <c r="AC4" i="2"/>
  <c r="AC9" i="2"/>
  <c r="AC19" i="2"/>
  <c r="AD4" i="2" l="1"/>
  <c r="AD9" i="2"/>
  <c r="AD19" i="2"/>
  <c r="AF3" i="2"/>
  <c r="AG3" i="2" s="1"/>
  <c r="AH3" i="2" s="1"/>
  <c r="AE5" i="2"/>
  <c r="AE18" i="2"/>
  <c r="AC20" i="2"/>
  <c r="AC12" i="2"/>
  <c r="AC13" i="2" s="1"/>
  <c r="AJ21" i="2"/>
  <c r="AD20" i="2" l="1"/>
  <c r="AD12" i="2"/>
  <c r="AD13" i="2" s="1"/>
  <c r="AF5" i="2"/>
  <c r="AF4" i="2" s="1"/>
  <c r="AF18" i="2"/>
  <c r="AL21" i="2"/>
  <c r="AK21" i="2"/>
  <c r="AC22" i="2"/>
  <c r="AE9" i="2"/>
  <c r="AE19" i="2"/>
  <c r="AE4" i="2"/>
  <c r="AC14" i="2" l="1"/>
  <c r="AC23" i="2" s="1"/>
  <c r="AE12" i="2"/>
  <c r="AE13" i="2" s="1"/>
  <c r="AE20" i="2"/>
  <c r="AF19" i="2"/>
  <c r="AF9" i="2"/>
  <c r="AI3" i="2"/>
  <c r="AJ3" i="2" s="1"/>
  <c r="AK3" i="2" s="1"/>
  <c r="AL3" i="2" s="1"/>
  <c r="AG5" i="2"/>
  <c r="AG18" i="2"/>
  <c r="AD22" i="2"/>
  <c r="AC16" i="2" l="1"/>
  <c r="AH5" i="2"/>
  <c r="AH4" i="2" s="1"/>
  <c r="AH18" i="2"/>
  <c r="AG9" i="2"/>
  <c r="AG19" i="2"/>
  <c r="AF12" i="2"/>
  <c r="AF13" i="2" s="1"/>
  <c r="AF20" i="2"/>
  <c r="AG4" i="2"/>
  <c r="AD14" i="2"/>
  <c r="AE22" i="2"/>
  <c r="AD16" i="2" l="1"/>
  <c r="AD23" i="2"/>
  <c r="AG20" i="2"/>
  <c r="AF22" i="2"/>
  <c r="AE14" i="2"/>
  <c r="AI5" i="2"/>
  <c r="AI18" i="2"/>
  <c r="AH9" i="2"/>
  <c r="AH19" i="2"/>
  <c r="AE16" i="2" l="1"/>
  <c r="AE23" i="2"/>
  <c r="AJ5" i="2"/>
  <c r="AJ4" i="2" s="1"/>
  <c r="AJ18" i="2"/>
  <c r="AI4" i="2"/>
  <c r="AI9" i="2"/>
  <c r="AI19" i="2"/>
  <c r="AF14" i="2"/>
  <c r="AF23" i="2" s="1"/>
  <c r="AH20" i="2"/>
  <c r="AJ9" i="2" l="1"/>
  <c r="AJ19" i="2"/>
  <c r="AG10" i="2"/>
  <c r="AF16" i="2"/>
  <c r="AI20" i="2"/>
  <c r="AK5" i="2"/>
  <c r="AK18" i="2"/>
  <c r="AK9" i="2" l="1"/>
  <c r="AK20" i="2" s="1"/>
  <c r="AK19" i="2"/>
  <c r="AJ20" i="2"/>
  <c r="AL5" i="2"/>
  <c r="AL18" i="2"/>
  <c r="AK4" i="2"/>
  <c r="AG12" i="2"/>
  <c r="AG13" i="2" s="1"/>
  <c r="AG22" i="2" l="1"/>
  <c r="AL4" i="2"/>
  <c r="AL9" i="2"/>
  <c r="AL20" i="2" s="1"/>
  <c r="AL19" i="2"/>
  <c r="AG14" i="2" l="1"/>
  <c r="AG23" i="2" s="1"/>
  <c r="AG16" i="2" l="1"/>
  <c r="AH10" i="2"/>
  <c r="AH12" i="2" l="1"/>
  <c r="AH13" i="2" s="1"/>
  <c r="AH22" i="2" l="1"/>
  <c r="AH14" i="2" l="1"/>
  <c r="AH23" i="2" s="1"/>
  <c r="AH16" i="2" l="1"/>
  <c r="AI10" i="2"/>
  <c r="AI12" i="2" l="1"/>
  <c r="AI13" i="2" s="1"/>
  <c r="AI22" i="2" l="1"/>
  <c r="AI14" i="2" l="1"/>
  <c r="AI23" i="2" s="1"/>
  <c r="AI16" i="2" l="1"/>
  <c r="AJ10" i="2"/>
  <c r="AJ12" i="2" l="1"/>
  <c r="AJ13" i="2" s="1"/>
  <c r="AJ22" i="2" l="1"/>
  <c r="AJ14" i="2" l="1"/>
  <c r="AJ16" i="2" l="1"/>
  <c r="AJ23" i="2"/>
  <c r="AK10" i="2"/>
  <c r="AK12" i="2" s="1"/>
  <c r="AK13" i="2" s="1"/>
  <c r="AK22" i="2" l="1"/>
  <c r="AK14" i="2" l="1"/>
  <c r="AK16" i="2" l="1"/>
  <c r="AK23" i="2"/>
  <c r="AL10" i="2"/>
  <c r="AL12" i="2" s="1"/>
  <c r="AL13" i="2" s="1"/>
  <c r="AL22" i="2" l="1"/>
  <c r="AL14" i="2" l="1"/>
  <c r="AL23" i="2" s="1"/>
  <c r="AM14" i="2" l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AL16" i="2"/>
  <c r="AB4" i="2" l="1"/>
  <c r="AB5" i="2" s="1"/>
  <c r="S5" i="2"/>
  <c r="S9" i="2" s="1"/>
  <c r="S20" i="2" l="1"/>
  <c r="S12" i="2"/>
  <c r="AB19" i="2"/>
  <c r="AB9" i="2"/>
  <c r="S19" i="2"/>
  <c r="AB12" i="2" l="1"/>
  <c r="AB20" i="2"/>
  <c r="S14" i="2"/>
  <c r="S22" i="2" l="1"/>
  <c r="AB13" i="2"/>
  <c r="AB22" i="2" s="1"/>
  <c r="S16" i="2"/>
  <c r="S23" i="2"/>
  <c r="AB14" i="2" l="1"/>
  <c r="AB16" i="2" s="1"/>
  <c r="AB23" i="2"/>
  <c r="AO22" i="2"/>
  <c r="AO24" i="2" s="1"/>
  <c r="AO25" i="2" s="1"/>
  <c r="AO27" i="2" s="1"/>
</calcChain>
</file>

<file path=xl/sharedStrings.xml><?xml version="1.0" encoding="utf-8"?>
<sst xmlns="http://schemas.openxmlformats.org/spreadsheetml/2006/main" count="65" uniqueCount="60">
  <si>
    <t>FL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</si>
  <si>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</si>
  <si>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</si>
  <si>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</si>
  <si>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</si>
  <si>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</si>
  <si>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</si>
  <si>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</si>
  <si>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</si>
  <si>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</si>
  <si>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Earnings</t>
  </si>
  <si>
    <t>Q420</t>
  </si>
  <si>
    <t>Revenue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</si>
  <si>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</si>
  <si>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</si>
  <si>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</si>
  <si>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</si>
  <si>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</si>
  <si>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</si>
  <si>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</si>
  <si>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</si>
  <si>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</si>
  <si>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</si>
  <si>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</si>
  <si>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Q121</t>
  </si>
  <si>
    <t>Q221</t>
  </si>
  <si>
    <t>Q321</t>
  </si>
  <si>
    <t>Q421</t>
  </si>
  <si>
    <t>Cost of sales</t>
  </si>
  <si>
    <t>Gross profit</t>
  </si>
  <si>
    <t>SG&amp;A</t>
  </si>
  <si>
    <t>D&amp;A</t>
  </si>
  <si>
    <t>Impairment</t>
  </si>
  <si>
    <t>Operating profit</t>
  </si>
  <si>
    <t>Net interest expense</t>
  </si>
  <si>
    <t>Other income</t>
  </si>
  <si>
    <t>Pretax profit</t>
  </si>
  <si>
    <t>Taxes</t>
  </si>
  <si>
    <t>Net profit</t>
  </si>
  <si>
    <t>EPS</t>
  </si>
  <si>
    <t>Q117</t>
  </si>
  <si>
    <t>Q217</t>
  </si>
  <si>
    <t>Q317</t>
  </si>
  <si>
    <t>Q417</t>
  </si>
  <si>
    <t>Revenue y/y</t>
  </si>
  <si>
    <t>Gross Margin</t>
  </si>
  <si>
    <t>Operating Margin</t>
  </si>
  <si>
    <t>SG&amp;A y/y</t>
  </si>
  <si>
    <t>Maturity</t>
  </si>
  <si>
    <t>Discount rate</t>
  </si>
  <si>
    <t>NPV</t>
  </si>
  <si>
    <t>Value</t>
  </si>
  <si>
    <t>Net cash</t>
  </si>
  <si>
    <t>Per share</t>
  </si>
  <si>
    <t>Current price</t>
  </si>
  <si>
    <t>Variance</t>
  </si>
  <si>
    <t>Consensus</t>
  </si>
  <si>
    <t>Heavily undervalued</t>
  </si>
  <si>
    <t>Net Margin</t>
  </si>
  <si>
    <t>even with very conservative forecasts, this is 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</si>
</sst>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0" fontId="0" fillId="0" borderId="0" xfId="0" applyFont="1"/>
    <xf numFmtId="9" fontId="0" fillId="0" borderId="0" xfId="0" applyNumberFormat="1"/>
    <xf numFmtId="3" fontId="0" fillId="0" borderId="0" xfId="0" applyNumberFormat="1" applyFont="1"/>
    <xf numFmtId="164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</xdr:colOff>
      <xdr:row>0</xdr:row>
      <xdr:rowOff>0</xdr:rowOff>
    </xdr:from>
    <xdr:to>
      <xdr:col>19</xdr:col>
      <xdr:colOff>22860</xdr:colOff>
      <xdr:row>33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C775726-283A-4A0E-AF73-460FF8EB67DF}"/>
            </a:ext>
          </a:extLst>
        </xdr:cNvPr>
        <xdr:cNvCxnSpPr/>
      </xdr:nvCxnSpPr>
      <xdr:spPr>
        <a:xfrm>
          <a:off x="14173200" y="0"/>
          <a:ext cx="0" cy="609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</xdr:colOff>
      <xdr:row>0</xdr:row>
      <xdr:rowOff>0</xdr:rowOff>
    </xdr:from>
    <xdr:to>
      <xdr:col>27</xdr:col>
      <xdr:colOff>30480</xdr:colOff>
      <xdr:row>33</xdr:row>
      <xdr:rowOff>91440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32FEF6A-5DB0-4B14-894B-511EE1A88E07}"/>
            </a:ext>
          </a:extLst>
        </xdr:cNvPr>
        <xdr:cNvCxnSpPr/>
      </xdr:nvCxnSpPr>
      <xdr:spPr>
        <a:xfrm>
          <a:off x="19400520" y="0"/>
          <a:ext cx="0" cy="612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2272-CD68-4EEC-890A-A6CBF884FD58}">
  <dimension ref="B2:G9"/>
  <sheetViews>
    <sheetView workbookViewId="0">
      <selection activeCell="D4" sqref="D4"/>
    </sheetView>
  </sheetViews>
  <sheetFormatPr defaultRowHeight="14.4" x14ac:dyDescent="0.3"/>
  <cols>
    <col min="5" max="7" width="15.77734375" style="3" customWidth="1"/>
  </cols>
  <sheetData>
    <row r="2" spans="2:7" x14ac:dyDescent="0.3">
      <c r="E2" s="3" t="s">
        <v>8</v>
      </c>
      <c r="F2" s="3" t="s">
        <v>9</v>
      </c>
      <c r="G2" s="3" t="s">
        <v>10</v>
      </c>
    </row>
    <row r="3" spans="2:7" x14ac:dyDescent="0.3">
      <c r="B3" s="1" t="s">
        <v>0</v>
      </c>
      <c r="C3" t="s">
        <v>1</v>
      </c>
      <c r="D3" s="12">
        <v>54.44</v>
      </c>
      <c r="E3" s="4">
        <v>44414</v>
      </c>
      <c r="F3" s="4">
        <f ca="1">TODAY()</f>
        <v>44414</v>
      </c>
      <c r="G3" s="4">
        <v>44428</v>
      </c>
    </row>
    <row r="4" spans="2:7" x14ac:dyDescent="0.3">
      <c r="C4" t="s">
        <v>2</v>
      </c>
      <c r="D4" s="5">
        <v>103.5</v>
      </c>
      <c r="E4" s="3" t="s">
        <v>24</v>
      </c>
    </row>
    <row r="5" spans="2:7" x14ac:dyDescent="0.3">
      <c r="C5" t="s">
        <v>3</v>
      </c>
      <c r="D5" s="5">
        <f>D3*D4</f>
        <v>5634.54</v>
      </c>
    </row>
    <row r="6" spans="2:7" x14ac:dyDescent="0.3">
      <c r="C6" t="s">
        <v>4</v>
      </c>
      <c r="D6" s="5">
        <f>1963+342</f>
        <v>2305</v>
      </c>
      <c r="E6" s="3" t="s">
        <v>24</v>
      </c>
    </row>
    <row r="7" spans="2:7" x14ac:dyDescent="0.3">
      <c r="C7" t="s">
        <v>5</v>
      </c>
      <c r="D7" s="5">
        <f>101+8</f>
        <v>109</v>
      </c>
      <c r="E7" s="3" t="s">
        <v>24</v>
      </c>
    </row>
    <row r="8" spans="2:7" x14ac:dyDescent="0.3">
      <c r="C8" t="s">
        <v>6</v>
      </c>
      <c r="D8" s="5">
        <f>D6-D7</f>
        <v>2196</v>
      </c>
    </row>
    <row r="9" spans="2:7" x14ac:dyDescent="0.3">
      <c r="C9" t="s">
        <v>7</v>
      </c>
      <c r="D9" s="5">
        <f>D5-D8</f>
        <v>3438.54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42C-5E09-4A12-983D-902745A54AE8}">
  <dimension ref="B1:EH30"/>
  <sheetViews>
    <sheetView tabSelected="1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O15" sqref="AO15"/>
    </sheetView>
  </sheetViews>
  <sheetFormatPr defaultRowHeight="14.4" x14ac:dyDescent="0.3"/>
  <cols>
    <col min="2" max="2" width="18" bestFit="1" customWidth="1"/>
    <col min="3" max="22" width="10.5546875" customWidth="1"/>
    <col min="40" max="40" width="11.88671875" bestFit="1" customWidth="1"/>
    <col min="41" max="41" width="17.5546875" bestFit="1" customWidth="1"/>
  </cols>
  <sheetData>
    <row r="1" spans="2:138" x14ac:dyDescent="0.3">
      <c r="C1" s="2">
        <v>42855</v>
      </c>
      <c r="D1" s="2">
        <v>42947</v>
      </c>
      <c r="E1" s="2">
        <v>43039</v>
      </c>
      <c r="F1" s="2">
        <v>43131</v>
      </c>
      <c r="G1" s="2">
        <v>43220</v>
      </c>
      <c r="H1" s="2">
        <v>43312</v>
      </c>
      <c r="I1" s="2">
        <v>43404</v>
      </c>
      <c r="J1" s="2">
        <v>43496</v>
      </c>
      <c r="K1" s="2">
        <v>43585</v>
      </c>
      <c r="L1" s="2">
        <v>43677</v>
      </c>
      <c r="M1" s="2">
        <v>43769</v>
      </c>
      <c r="N1" s="2">
        <v>43861</v>
      </c>
      <c r="O1" s="2">
        <v>43951</v>
      </c>
      <c r="P1" s="2">
        <v>44043</v>
      </c>
      <c r="Q1" s="2">
        <v>44135</v>
      </c>
      <c r="R1" s="2">
        <v>44227</v>
      </c>
      <c r="S1" s="2">
        <v>44316</v>
      </c>
      <c r="T1" s="2">
        <v>44408</v>
      </c>
      <c r="U1" s="2">
        <v>44500</v>
      </c>
      <c r="V1" s="2">
        <v>44592</v>
      </c>
    </row>
    <row r="2" spans="2:138" x14ac:dyDescent="0.3">
      <c r="C2" s="6" t="s">
        <v>40</v>
      </c>
      <c r="D2" s="6" t="s">
        <v>41</v>
      </c>
      <c r="E2" s="6" t="s">
        <v>42</v>
      </c>
      <c r="F2" s="6" t="s">
        <v>43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11</v>
      </c>
      <c r="S2" s="6" t="s">
        <v>24</v>
      </c>
      <c r="T2" s="6" t="s">
        <v>25</v>
      </c>
      <c r="U2" s="6" t="s">
        <v>26</v>
      </c>
      <c r="V2" s="6" t="s">
        <v>27</v>
      </c>
      <c r="W2" s="6"/>
      <c r="X2">
        <v>2017</v>
      </c>
      <c r="Y2">
        <v>2018</v>
      </c>
      <c r="Z2">
        <v>2019</v>
      </c>
      <c r="AA2">
        <v>2020</v>
      </c>
      <c r="AB2">
        <v>2021</v>
      </c>
      <c r="AC2">
        <v>2022</v>
      </c>
      <c r="AD2">
        <v>2023</v>
      </c>
      <c r="AE2">
        <v>2024</v>
      </c>
      <c r="AF2">
        <v>2025</v>
      </c>
      <c r="AG2">
        <v>2026</v>
      </c>
      <c r="AH2">
        <v>2027</v>
      </c>
      <c r="AI2">
        <v>2028</v>
      </c>
      <c r="AJ2">
        <v>2029</v>
      </c>
      <c r="AK2">
        <v>2030</v>
      </c>
      <c r="AL2">
        <v>2031</v>
      </c>
    </row>
    <row r="3" spans="2:138" s="1" customFormat="1" x14ac:dyDescent="0.3">
      <c r="B3" s="1" t="s">
        <v>12</v>
      </c>
      <c r="C3" s="8">
        <v>2001</v>
      </c>
      <c r="D3" s="8">
        <v>1701</v>
      </c>
      <c r="E3" s="8">
        <v>1870</v>
      </c>
      <c r="F3" s="8">
        <v>2210</v>
      </c>
      <c r="G3" s="8">
        <v>2025</v>
      </c>
      <c r="H3" s="8">
        <v>1782</v>
      </c>
      <c r="I3" s="8">
        <v>1860</v>
      </c>
      <c r="J3" s="8">
        <v>2272</v>
      </c>
      <c r="K3" s="8">
        <v>2078</v>
      </c>
      <c r="L3" s="8">
        <v>1774</v>
      </c>
      <c r="M3" s="8">
        <v>1932</v>
      </c>
      <c r="N3" s="8">
        <v>2221</v>
      </c>
      <c r="O3" s="8">
        <v>1176</v>
      </c>
      <c r="P3" s="8">
        <v>2077</v>
      </c>
      <c r="Q3" s="8">
        <v>2106</v>
      </c>
      <c r="R3" s="8">
        <v>2189</v>
      </c>
      <c r="S3" s="8">
        <v>2153</v>
      </c>
      <c r="T3" s="8">
        <f>P3*0.88</f>
        <v>1827.76</v>
      </c>
      <c r="U3" s="8">
        <f>Q3*1.01</f>
        <v>2127.06</v>
      </c>
      <c r="V3" s="8">
        <f>R3*1.02</f>
        <v>2232.7800000000002</v>
      </c>
      <c r="X3" s="8">
        <f>SUM(C3:F3)</f>
        <v>7782</v>
      </c>
      <c r="Y3" s="8">
        <f>SUM(G3:J3)</f>
        <v>7939</v>
      </c>
      <c r="Z3" s="8">
        <f>SUM(K3:N3)</f>
        <v>8005</v>
      </c>
      <c r="AA3" s="8">
        <f>SUM(O3:R3)</f>
        <v>7548</v>
      </c>
      <c r="AB3" s="8">
        <f>SUM(S3:V3)</f>
        <v>8340.6</v>
      </c>
      <c r="AC3" s="8">
        <f>AB3*1.04</f>
        <v>8674.2240000000002</v>
      </c>
      <c r="AD3" s="8">
        <f t="shared" ref="AD3" si="0">AC3*1.03</f>
        <v>8934.4507200000007</v>
      </c>
      <c r="AE3" s="8">
        <f>AD3*1.02</f>
        <v>9113.1397344000015</v>
      </c>
      <c r="AF3" s="8">
        <f>AE3*1.02</f>
        <v>9295.4025290880018</v>
      </c>
      <c r="AG3" s="8">
        <f t="shared" ref="AG3:AH3" si="1">AF3*1.01</f>
        <v>9388.3565543788827</v>
      </c>
      <c r="AH3" s="8">
        <f t="shared" si="1"/>
        <v>9482.2401199226715</v>
      </c>
      <c r="AI3" s="8">
        <f>AH3*1.01</f>
        <v>9577.0625211218976</v>
      </c>
      <c r="AJ3" s="8">
        <f t="shared" ref="AJ3:AL3" si="2">AI3*1.01</f>
        <v>9672.833146333116</v>
      </c>
      <c r="AK3" s="8">
        <f t="shared" si="2"/>
        <v>9769.5614777964474</v>
      </c>
      <c r="AL3" s="8">
        <f t="shared" si="2"/>
        <v>9867.2570925744112</v>
      </c>
    </row>
    <row r="4" spans="2:138" x14ac:dyDescent="0.3">
      <c r="B4" t="s">
        <v>28</v>
      </c>
      <c r="C4" s="5">
        <v>1321</v>
      </c>
      <c r="D4" s="5">
        <v>1198</v>
      </c>
      <c r="E4" s="5">
        <v>1290</v>
      </c>
      <c r="F4" s="5">
        <v>1517</v>
      </c>
      <c r="G4" s="5">
        <v>1359</v>
      </c>
      <c r="H4" s="5">
        <v>1243</v>
      </c>
      <c r="I4" s="5">
        <v>1272</v>
      </c>
      <c r="J4" s="5">
        <v>1537</v>
      </c>
      <c r="K4" s="5">
        <v>1389</v>
      </c>
      <c r="L4" s="5">
        <v>1240</v>
      </c>
      <c r="M4" s="5">
        <v>1312</v>
      </c>
      <c r="N4" s="5">
        <v>1521</v>
      </c>
      <c r="O4" s="5">
        <v>905</v>
      </c>
      <c r="P4" s="5">
        <v>1539</v>
      </c>
      <c r="Q4" s="5">
        <v>1456</v>
      </c>
      <c r="R4" s="5">
        <v>1465</v>
      </c>
      <c r="S4" s="5">
        <v>1404</v>
      </c>
      <c r="T4" s="5">
        <f t="shared" ref="T4:V4" si="3">T3-T5</f>
        <v>1279.432</v>
      </c>
      <c r="U4" s="5">
        <f t="shared" si="3"/>
        <v>1467.6713999999999</v>
      </c>
      <c r="V4" s="5">
        <f t="shared" si="3"/>
        <v>1518.2904000000001</v>
      </c>
      <c r="X4" s="11">
        <f>SUM(C4:F4)</f>
        <v>5326</v>
      </c>
      <c r="Y4" s="11">
        <f>SUM(G4:J4)</f>
        <v>5411</v>
      </c>
      <c r="Z4" s="11">
        <f>SUM(K4:N4)</f>
        <v>5462</v>
      </c>
      <c r="AA4" s="11">
        <f>SUM(O4:R4)</f>
        <v>5365</v>
      </c>
      <c r="AB4" s="11">
        <f>SUM(S4:V4)</f>
        <v>5669.3937999999998</v>
      </c>
      <c r="AC4" s="5">
        <f>AC3-AC5</f>
        <v>5898.4723199999999</v>
      </c>
      <c r="AD4" s="5">
        <f t="shared" ref="AD4:AL4" si="4">AD3-AD5</f>
        <v>6075.4264896000004</v>
      </c>
      <c r="AE4" s="5">
        <f t="shared" si="4"/>
        <v>6196.9350193920009</v>
      </c>
      <c r="AF4" s="5">
        <f t="shared" si="4"/>
        <v>6320.8737197798409</v>
      </c>
      <c r="AG4" s="5">
        <f t="shared" si="4"/>
        <v>6384.0824569776396</v>
      </c>
      <c r="AH4" s="5">
        <f t="shared" si="4"/>
        <v>6447.923281547417</v>
      </c>
      <c r="AI4" s="5">
        <f t="shared" si="4"/>
        <v>6512.4025143628896</v>
      </c>
      <c r="AJ4" s="5">
        <f t="shared" si="4"/>
        <v>6577.5265395065189</v>
      </c>
      <c r="AK4" s="5">
        <f t="shared" si="4"/>
        <v>6643.3018049015845</v>
      </c>
      <c r="AL4" s="5">
        <f t="shared" si="4"/>
        <v>6709.7348229505997</v>
      </c>
    </row>
    <row r="5" spans="2:138" s="1" customFormat="1" x14ac:dyDescent="0.3">
      <c r="B5" s="1" t="s">
        <v>29</v>
      </c>
      <c r="C5" s="8">
        <f t="shared" ref="C5:S5" si="5">C3-C4</f>
        <v>680</v>
      </c>
      <c r="D5" s="8">
        <f t="shared" si="5"/>
        <v>503</v>
      </c>
      <c r="E5" s="8">
        <f t="shared" si="5"/>
        <v>580</v>
      </c>
      <c r="F5" s="8">
        <f t="shared" si="5"/>
        <v>693</v>
      </c>
      <c r="G5" s="8">
        <f t="shared" si="5"/>
        <v>666</v>
      </c>
      <c r="H5" s="8">
        <f t="shared" si="5"/>
        <v>539</v>
      </c>
      <c r="I5" s="8">
        <f t="shared" si="5"/>
        <v>588</v>
      </c>
      <c r="J5" s="8">
        <f t="shared" si="5"/>
        <v>735</v>
      </c>
      <c r="K5" s="8">
        <f t="shared" si="5"/>
        <v>689</v>
      </c>
      <c r="L5" s="8">
        <f t="shared" si="5"/>
        <v>534</v>
      </c>
      <c r="M5" s="8">
        <f t="shared" si="5"/>
        <v>620</v>
      </c>
      <c r="N5" s="8">
        <f t="shared" si="5"/>
        <v>700</v>
      </c>
      <c r="O5" s="8">
        <f t="shared" si="5"/>
        <v>271</v>
      </c>
      <c r="P5" s="8">
        <f t="shared" si="5"/>
        <v>538</v>
      </c>
      <c r="Q5" s="8">
        <f t="shared" si="5"/>
        <v>650</v>
      </c>
      <c r="R5" s="8">
        <f t="shared" si="5"/>
        <v>724</v>
      </c>
      <c r="S5" s="8">
        <f t="shared" si="5"/>
        <v>749</v>
      </c>
      <c r="T5" s="8">
        <f>T3*0.3</f>
        <v>548.32799999999997</v>
      </c>
      <c r="U5" s="8">
        <f>U3*0.31</f>
        <v>659.3886</v>
      </c>
      <c r="V5" s="8">
        <f>V3*0.32</f>
        <v>714.48960000000011</v>
      </c>
      <c r="X5" s="8">
        <f>X3-X4</f>
        <v>2456</v>
      </c>
      <c r="Y5" s="8">
        <f>Y3-Y4</f>
        <v>2528</v>
      </c>
      <c r="Z5" s="8">
        <f>Z3-Z4</f>
        <v>2543</v>
      </c>
      <c r="AA5" s="8">
        <f>AA3-AA4</f>
        <v>2183</v>
      </c>
      <c r="AB5" s="8">
        <f>AB3-AB4</f>
        <v>2671.2062000000005</v>
      </c>
      <c r="AC5" s="8">
        <f>AC3*0.32</f>
        <v>2775.7516800000003</v>
      </c>
      <c r="AD5" s="8">
        <f t="shared" ref="AD5:AL5" si="6">AD3*0.32</f>
        <v>2859.0242304000003</v>
      </c>
      <c r="AE5" s="8">
        <f t="shared" si="6"/>
        <v>2916.2047150080007</v>
      </c>
      <c r="AF5" s="8">
        <f t="shared" si="6"/>
        <v>2974.5288093081608</v>
      </c>
      <c r="AG5" s="8">
        <f t="shared" si="6"/>
        <v>3004.2740974012427</v>
      </c>
      <c r="AH5" s="8">
        <f t="shared" si="6"/>
        <v>3034.316838375255</v>
      </c>
      <c r="AI5" s="8">
        <f t="shared" si="6"/>
        <v>3064.6600067590075</v>
      </c>
      <c r="AJ5" s="8">
        <f t="shared" si="6"/>
        <v>3095.3066068265971</v>
      </c>
      <c r="AK5" s="8">
        <f t="shared" si="6"/>
        <v>3126.2596728948633</v>
      </c>
      <c r="AL5" s="8">
        <f t="shared" si="6"/>
        <v>3157.5222696238116</v>
      </c>
    </row>
    <row r="6" spans="2:138" x14ac:dyDescent="0.3">
      <c r="B6" t="s">
        <v>30</v>
      </c>
      <c r="C6" s="5">
        <v>371</v>
      </c>
      <c r="D6" s="5">
        <v>339</v>
      </c>
      <c r="E6" s="5">
        <v>368</v>
      </c>
      <c r="F6" s="5">
        <v>423</v>
      </c>
      <c r="G6" s="5">
        <v>385</v>
      </c>
      <c r="H6" s="5">
        <v>380</v>
      </c>
      <c r="I6" s="5">
        <v>398</v>
      </c>
      <c r="J6" s="5">
        <v>451</v>
      </c>
      <c r="K6" s="5">
        <v>416</v>
      </c>
      <c r="L6" s="5">
        <v>393</v>
      </c>
      <c r="M6" s="5">
        <v>411</v>
      </c>
      <c r="N6" s="5">
        <v>430</v>
      </c>
      <c r="O6" s="5">
        <v>316</v>
      </c>
      <c r="P6" s="5">
        <v>387</v>
      </c>
      <c r="Q6" s="5">
        <v>424</v>
      </c>
      <c r="R6" s="5">
        <v>460</v>
      </c>
      <c r="S6" s="5">
        <v>418</v>
      </c>
      <c r="T6" s="5">
        <f>P6*1.1</f>
        <v>425.70000000000005</v>
      </c>
      <c r="U6" s="5">
        <f>Q6*1.03</f>
        <v>436.72</v>
      </c>
      <c r="V6" s="5">
        <f>R6*1.06</f>
        <v>487.6</v>
      </c>
      <c r="X6" s="11">
        <f>SUM(C6:F6)</f>
        <v>1501</v>
      </c>
      <c r="Y6" s="11">
        <f>SUM(G6:J6)</f>
        <v>1614</v>
      </c>
      <c r="Z6" s="11">
        <f>SUM(K6:N6)</f>
        <v>1650</v>
      </c>
      <c r="AA6" s="11">
        <f>SUM(O6:R6)</f>
        <v>1587</v>
      </c>
      <c r="AB6" s="11">
        <f>SUM(S6:V6)</f>
        <v>1768.02</v>
      </c>
      <c r="AC6" s="5">
        <f>AB6*1.06</f>
        <v>1874.1012000000001</v>
      </c>
      <c r="AD6" s="5">
        <f>AC6*1.03</f>
        <v>1930.3242360000002</v>
      </c>
      <c r="AE6" s="5">
        <f t="shared" ref="AE6:AI6" si="7">AD6*1.02</f>
        <v>1968.9307207200002</v>
      </c>
      <c r="AF6" s="5">
        <f t="shared" si="7"/>
        <v>2008.3093351344003</v>
      </c>
      <c r="AG6" s="5">
        <f t="shared" si="7"/>
        <v>2048.4755218370883</v>
      </c>
      <c r="AH6" s="5">
        <f t="shared" si="7"/>
        <v>2089.4450322738303</v>
      </c>
      <c r="AI6" s="5">
        <f t="shared" si="7"/>
        <v>2131.2339329193069</v>
      </c>
      <c r="AJ6" s="5">
        <f>AI6*1.01</f>
        <v>2152.5462722484999</v>
      </c>
      <c r="AK6" s="5">
        <f t="shared" ref="AK6:AL6" si="8">AJ6*1.01</f>
        <v>2174.0717349709848</v>
      </c>
      <c r="AL6" s="5">
        <f t="shared" si="8"/>
        <v>2195.8124523206948</v>
      </c>
    </row>
    <row r="7" spans="2:138" x14ac:dyDescent="0.3">
      <c r="B7" t="s">
        <v>31</v>
      </c>
      <c r="C7" s="5">
        <v>41</v>
      </c>
      <c r="D7" s="5">
        <v>42</v>
      </c>
      <c r="E7" s="5">
        <v>44</v>
      </c>
      <c r="F7" s="5">
        <v>46</v>
      </c>
      <c r="G7" s="5">
        <v>45</v>
      </c>
      <c r="H7" s="5">
        <v>44</v>
      </c>
      <c r="I7" s="5">
        <v>44</v>
      </c>
      <c r="J7" s="5">
        <v>45</v>
      </c>
      <c r="K7" s="5">
        <v>44</v>
      </c>
      <c r="L7" s="5">
        <v>46</v>
      </c>
      <c r="M7" s="5">
        <v>44</v>
      </c>
      <c r="N7" s="5">
        <v>45</v>
      </c>
      <c r="O7" s="5">
        <v>44</v>
      </c>
      <c r="P7" s="5">
        <v>44</v>
      </c>
      <c r="Q7" s="5">
        <v>44</v>
      </c>
      <c r="R7" s="5">
        <v>44</v>
      </c>
      <c r="S7" s="5">
        <v>45</v>
      </c>
      <c r="T7" s="5">
        <v>45</v>
      </c>
      <c r="U7" s="5">
        <v>45</v>
      </c>
      <c r="V7" s="5">
        <v>45</v>
      </c>
      <c r="X7" s="11">
        <f>SUM(C7:F7)</f>
        <v>173</v>
      </c>
      <c r="Y7" s="11">
        <f>SUM(G7:J7)</f>
        <v>178</v>
      </c>
      <c r="Z7" s="11">
        <f>SUM(K7:N7)</f>
        <v>179</v>
      </c>
      <c r="AA7" s="11">
        <f>SUM(O7:R7)</f>
        <v>176</v>
      </c>
      <c r="AB7" s="11">
        <f>SUM(S7:V7)</f>
        <v>180</v>
      </c>
      <c r="AC7" s="5">
        <f>AB7*1.01</f>
        <v>181.8</v>
      </c>
      <c r="AD7" s="5">
        <f t="shared" ref="AD7:AL7" si="9">AC7*1.01</f>
        <v>183.61800000000002</v>
      </c>
      <c r="AE7" s="5">
        <f t="shared" si="9"/>
        <v>185.45418000000004</v>
      </c>
      <c r="AF7" s="5">
        <f t="shared" si="9"/>
        <v>187.30872180000003</v>
      </c>
      <c r="AG7" s="5">
        <f t="shared" si="9"/>
        <v>189.18180901800002</v>
      </c>
      <c r="AH7" s="5">
        <f t="shared" si="9"/>
        <v>191.07362710818003</v>
      </c>
      <c r="AI7" s="5">
        <f t="shared" si="9"/>
        <v>192.98436337926182</v>
      </c>
      <c r="AJ7" s="5">
        <f t="shared" si="9"/>
        <v>194.91420701305444</v>
      </c>
      <c r="AK7" s="5">
        <f t="shared" si="9"/>
        <v>196.86334908318497</v>
      </c>
      <c r="AL7" s="5">
        <f t="shared" si="9"/>
        <v>198.83198257401682</v>
      </c>
    </row>
    <row r="8" spans="2:138" x14ac:dyDescent="0.3">
      <c r="B8" t="s">
        <v>32</v>
      </c>
      <c r="C8" s="5">
        <v>0</v>
      </c>
      <c r="D8" s="5">
        <v>50</v>
      </c>
      <c r="E8" s="5">
        <v>13</v>
      </c>
      <c r="F8" s="5">
        <v>148</v>
      </c>
      <c r="G8" s="5">
        <v>12</v>
      </c>
      <c r="H8" s="5">
        <v>3</v>
      </c>
      <c r="I8" s="5">
        <v>2</v>
      </c>
      <c r="J8" s="5">
        <v>20</v>
      </c>
      <c r="K8" s="5">
        <v>1</v>
      </c>
      <c r="L8" s="5">
        <v>14</v>
      </c>
      <c r="M8" s="5">
        <v>1</v>
      </c>
      <c r="N8" s="5">
        <v>49</v>
      </c>
      <c r="O8" s="5">
        <v>16</v>
      </c>
      <c r="P8" s="5">
        <v>38</v>
      </c>
      <c r="Q8" s="5">
        <v>4</v>
      </c>
      <c r="R8" s="5">
        <v>59</v>
      </c>
      <c r="S8" s="5">
        <v>4</v>
      </c>
      <c r="T8" s="5">
        <v>15</v>
      </c>
      <c r="U8" s="5">
        <v>15</v>
      </c>
      <c r="V8" s="5">
        <v>15</v>
      </c>
      <c r="X8" s="11">
        <f>SUM(C8:F8)</f>
        <v>211</v>
      </c>
      <c r="Y8" s="11">
        <f>SUM(G8:J8)</f>
        <v>37</v>
      </c>
      <c r="Z8" s="11">
        <f>SUM(K8:N8)</f>
        <v>65</v>
      </c>
      <c r="AA8" s="11">
        <f>SUM(O8:R8)</f>
        <v>117</v>
      </c>
      <c r="AB8" s="11">
        <f>SUM(S8:V8)</f>
        <v>49</v>
      </c>
      <c r="AC8" s="5">
        <f>AB8*0.9</f>
        <v>44.1</v>
      </c>
      <c r="AD8" s="5">
        <f t="shared" ref="AD8:AL8" si="10">AC8*0.9</f>
        <v>39.690000000000005</v>
      </c>
      <c r="AE8" s="5">
        <f t="shared" si="10"/>
        <v>35.721000000000004</v>
      </c>
      <c r="AF8" s="5">
        <f t="shared" si="10"/>
        <v>32.148900000000005</v>
      </c>
      <c r="AG8" s="5">
        <f t="shared" si="10"/>
        <v>28.934010000000004</v>
      </c>
      <c r="AH8" s="5">
        <f t="shared" si="10"/>
        <v>26.040609000000003</v>
      </c>
      <c r="AI8" s="5">
        <f t="shared" si="10"/>
        <v>23.436548100000003</v>
      </c>
      <c r="AJ8" s="5">
        <f t="shared" si="10"/>
        <v>21.092893290000003</v>
      </c>
      <c r="AK8" s="5">
        <f t="shared" si="10"/>
        <v>18.983603961000004</v>
      </c>
      <c r="AL8" s="5">
        <f t="shared" si="10"/>
        <v>17.085243564900004</v>
      </c>
    </row>
    <row r="9" spans="2:138" s="1" customFormat="1" x14ac:dyDescent="0.3">
      <c r="B9" s="1" t="s">
        <v>33</v>
      </c>
      <c r="C9" s="8">
        <f t="shared" ref="C9:R9" si="11">C5-C6-C7-C8</f>
        <v>268</v>
      </c>
      <c r="D9" s="8">
        <f t="shared" si="11"/>
        <v>72</v>
      </c>
      <c r="E9" s="8">
        <f t="shared" si="11"/>
        <v>155</v>
      </c>
      <c r="F9" s="8">
        <f t="shared" si="11"/>
        <v>76</v>
      </c>
      <c r="G9" s="8">
        <f t="shared" si="11"/>
        <v>224</v>
      </c>
      <c r="H9" s="8">
        <f t="shared" si="11"/>
        <v>112</v>
      </c>
      <c r="I9" s="8">
        <f t="shared" si="11"/>
        <v>144</v>
      </c>
      <c r="J9" s="8">
        <f t="shared" si="11"/>
        <v>219</v>
      </c>
      <c r="K9" s="8">
        <f t="shared" si="11"/>
        <v>228</v>
      </c>
      <c r="L9" s="8">
        <f t="shared" si="11"/>
        <v>81</v>
      </c>
      <c r="M9" s="8">
        <f t="shared" si="11"/>
        <v>164</v>
      </c>
      <c r="N9" s="8">
        <f t="shared" si="11"/>
        <v>176</v>
      </c>
      <c r="O9" s="8">
        <f t="shared" si="11"/>
        <v>-105</v>
      </c>
      <c r="P9" s="8">
        <f t="shared" si="11"/>
        <v>69</v>
      </c>
      <c r="Q9" s="8">
        <f t="shared" si="11"/>
        <v>178</v>
      </c>
      <c r="R9" s="8">
        <f t="shared" si="11"/>
        <v>161</v>
      </c>
      <c r="S9" s="8">
        <f t="shared" ref="S9:V9" si="12">S5-S6-S7-S8</f>
        <v>282</v>
      </c>
      <c r="T9" s="8">
        <f t="shared" si="12"/>
        <v>62.627999999999929</v>
      </c>
      <c r="U9" s="8">
        <f t="shared" si="12"/>
        <v>162.66859999999997</v>
      </c>
      <c r="V9" s="8">
        <f t="shared" si="12"/>
        <v>166.88960000000009</v>
      </c>
      <c r="X9" s="8">
        <f>X5-X6-X7-X8</f>
        <v>571</v>
      </c>
      <c r="Y9" s="8">
        <f>Y5-Y6-Y7-Y8</f>
        <v>699</v>
      </c>
      <c r="Z9" s="8">
        <f>Z5-Z6-Z7-Z8</f>
        <v>649</v>
      </c>
      <c r="AA9" s="8">
        <f>AA5-AA6-AA7-AA8</f>
        <v>303</v>
      </c>
      <c r="AB9" s="8">
        <f>AB5-AB6-AB7-AB8</f>
        <v>674.18620000000055</v>
      </c>
      <c r="AC9" s="8">
        <f t="shared" ref="AC9:AL9" si="13">AC5-AC6-AC7-AC8</f>
        <v>675.75048000000027</v>
      </c>
      <c r="AD9" s="8">
        <f t="shared" si="13"/>
        <v>705.39199440000004</v>
      </c>
      <c r="AE9" s="8">
        <f t="shared" si="13"/>
        <v>726.09881428800043</v>
      </c>
      <c r="AF9" s="8">
        <f t="shared" si="13"/>
        <v>746.76185237376046</v>
      </c>
      <c r="AG9" s="8">
        <f t="shared" si="13"/>
        <v>737.68275654615434</v>
      </c>
      <c r="AH9" s="8">
        <f t="shared" si="13"/>
        <v>727.7575699932446</v>
      </c>
      <c r="AI9" s="8">
        <f t="shared" si="13"/>
        <v>717.00516236043882</v>
      </c>
      <c r="AJ9" s="8">
        <f t="shared" si="13"/>
        <v>726.7532342750427</v>
      </c>
      <c r="AK9" s="8">
        <f t="shared" si="13"/>
        <v>736.34098487969356</v>
      </c>
      <c r="AL9" s="8">
        <f t="shared" si="13"/>
        <v>745.79259116419996</v>
      </c>
    </row>
    <row r="10" spans="2:138" x14ac:dyDescent="0.3">
      <c r="B10" t="s">
        <v>34</v>
      </c>
      <c r="C10" s="5">
        <v>0</v>
      </c>
      <c r="D10" s="5">
        <v>-1</v>
      </c>
      <c r="E10" s="5">
        <v>0</v>
      </c>
      <c r="F10" s="5">
        <v>-1</v>
      </c>
      <c r="G10" s="5">
        <v>-2</v>
      </c>
      <c r="H10" s="5">
        <v>-1</v>
      </c>
      <c r="I10" s="5">
        <v>-2</v>
      </c>
      <c r="J10" s="5">
        <v>-4</v>
      </c>
      <c r="K10" s="5">
        <v>-4</v>
      </c>
      <c r="L10" s="5">
        <v>-2</v>
      </c>
      <c r="M10" s="5">
        <v>-4</v>
      </c>
      <c r="N10" s="5">
        <v>2</v>
      </c>
      <c r="O10" s="5">
        <v>1</v>
      </c>
      <c r="P10" s="5">
        <v>2</v>
      </c>
      <c r="Q10" s="5">
        <v>2</v>
      </c>
      <c r="R10" s="5">
        <v>2</v>
      </c>
      <c r="S10" s="5">
        <v>2</v>
      </c>
      <c r="T10" s="5">
        <v>2</v>
      </c>
      <c r="U10" s="5">
        <v>2</v>
      </c>
      <c r="V10" s="5">
        <v>2</v>
      </c>
      <c r="X10" s="11">
        <f>SUM(C10:F10)</f>
        <v>-2</v>
      </c>
      <c r="Y10" s="11">
        <f>SUM(G10:J10)</f>
        <v>-9</v>
      </c>
      <c r="Z10" s="11">
        <f>SUM(K10:N10)</f>
        <v>-8</v>
      </c>
      <c r="AA10" s="11">
        <f>SUM(O10:R10)</f>
        <v>7</v>
      </c>
      <c r="AB10" s="11">
        <f>SUM(S10:V10)</f>
        <v>8</v>
      </c>
      <c r="AC10" s="5">
        <f>AB10*0.8</f>
        <v>6.4</v>
      </c>
      <c r="AD10" s="5">
        <f t="shared" ref="AD10:AF10" si="14">AC10*0.8</f>
        <v>5.120000000000001</v>
      </c>
      <c r="AE10" s="5">
        <f t="shared" si="14"/>
        <v>4.096000000000001</v>
      </c>
      <c r="AF10" s="5">
        <f t="shared" si="14"/>
        <v>3.276800000000001</v>
      </c>
      <c r="AG10" s="5">
        <f>AF10-AF14*0.01</f>
        <v>-2.20381574723945</v>
      </c>
      <c r="AH10" s="5">
        <f t="shared" ref="AH10:AL10" si="15">AG10-AG14*0.01</f>
        <v>-7.6586943385413342</v>
      </c>
      <c r="AI10" s="5">
        <f t="shared" si="15"/>
        <v>-13.081476747859082</v>
      </c>
      <c r="AJ10" s="5">
        <f t="shared" si="15"/>
        <v>-18.465895329842326</v>
      </c>
      <c r="AK10" s="5">
        <f t="shared" si="15"/>
        <v>-23.961328953615581</v>
      </c>
      <c r="AL10" s="5">
        <f t="shared" si="15"/>
        <v>-29.56742316203291</v>
      </c>
    </row>
    <row r="11" spans="2:138" x14ac:dyDescent="0.3">
      <c r="B11" t="s">
        <v>35</v>
      </c>
      <c r="C11" s="5">
        <v>-1</v>
      </c>
      <c r="D11" s="5">
        <v>0</v>
      </c>
      <c r="E11" s="5">
        <v>-1</v>
      </c>
      <c r="F11" s="5">
        <v>-3</v>
      </c>
      <c r="G11" s="5">
        <v>-3</v>
      </c>
      <c r="H11" s="5">
        <v>-2</v>
      </c>
      <c r="I11" s="5">
        <v>0</v>
      </c>
      <c r="J11" s="5">
        <v>0</v>
      </c>
      <c r="K11" s="5">
        <v>-2</v>
      </c>
      <c r="L11" s="5">
        <v>-2</v>
      </c>
      <c r="M11" s="5">
        <v>-4</v>
      </c>
      <c r="N11" s="5">
        <v>4</v>
      </c>
      <c r="O11" s="5">
        <v>-1</v>
      </c>
      <c r="P11" s="5">
        <v>-3</v>
      </c>
      <c r="Q11" s="5">
        <v>-193</v>
      </c>
      <c r="R11" s="5">
        <v>-1</v>
      </c>
      <c r="S11" s="5">
        <v>-4</v>
      </c>
      <c r="T11" s="5">
        <v>-1</v>
      </c>
      <c r="U11" s="5">
        <v>-1</v>
      </c>
      <c r="V11" s="5">
        <v>-1</v>
      </c>
      <c r="X11" s="11">
        <f>SUM(C11:F11)</f>
        <v>-5</v>
      </c>
      <c r="Y11" s="11">
        <f>SUM(G11:J11)</f>
        <v>-5</v>
      </c>
      <c r="Z11" s="11">
        <f>SUM(K11:N11)</f>
        <v>-4</v>
      </c>
      <c r="AA11" s="11">
        <f>SUM(O11:R11)</f>
        <v>-198</v>
      </c>
      <c r="AB11" s="11">
        <f>SUM(S11:V11)</f>
        <v>-7</v>
      </c>
      <c r="AC11" s="5">
        <f>AB11*1.01</f>
        <v>-7.07</v>
      </c>
      <c r="AD11" s="5">
        <f t="shared" ref="AD11:AL11" si="16">AC11*1.01</f>
        <v>-7.1407000000000007</v>
      </c>
      <c r="AE11" s="5">
        <f t="shared" si="16"/>
        <v>-7.2121070000000005</v>
      </c>
      <c r="AF11" s="5">
        <f t="shared" si="16"/>
        <v>-7.2842280700000002</v>
      </c>
      <c r="AG11" s="5">
        <f t="shared" si="16"/>
        <v>-7.3570703506999999</v>
      </c>
      <c r="AH11" s="5">
        <f t="shared" si="16"/>
        <v>-7.4306410542070003</v>
      </c>
      <c r="AI11" s="5">
        <f t="shared" si="16"/>
        <v>-7.5049474647490699</v>
      </c>
      <c r="AJ11" s="5">
        <f t="shared" si="16"/>
        <v>-7.5799969393965609</v>
      </c>
      <c r="AK11" s="5">
        <f t="shared" si="16"/>
        <v>-7.6557969087905269</v>
      </c>
      <c r="AL11" s="5">
        <f t="shared" si="16"/>
        <v>-7.7323548778784321</v>
      </c>
    </row>
    <row r="12" spans="2:138" s="1" customFormat="1" x14ac:dyDescent="0.3">
      <c r="B12" s="1" t="s">
        <v>36</v>
      </c>
      <c r="C12" s="8">
        <f t="shared" ref="C12:R12" si="17">C9-C10-C11</f>
        <v>269</v>
      </c>
      <c r="D12" s="8">
        <f t="shared" si="17"/>
        <v>73</v>
      </c>
      <c r="E12" s="8">
        <f t="shared" si="17"/>
        <v>156</v>
      </c>
      <c r="F12" s="8">
        <f t="shared" si="17"/>
        <v>80</v>
      </c>
      <c r="G12" s="8">
        <f t="shared" si="17"/>
        <v>229</v>
      </c>
      <c r="H12" s="8">
        <f t="shared" si="17"/>
        <v>115</v>
      </c>
      <c r="I12" s="8">
        <f t="shared" si="17"/>
        <v>146</v>
      </c>
      <c r="J12" s="8">
        <f t="shared" si="17"/>
        <v>223</v>
      </c>
      <c r="K12" s="8">
        <f t="shared" si="17"/>
        <v>234</v>
      </c>
      <c r="L12" s="8">
        <f t="shared" si="17"/>
        <v>85</v>
      </c>
      <c r="M12" s="8">
        <f t="shared" si="17"/>
        <v>172</v>
      </c>
      <c r="N12" s="8">
        <f t="shared" si="17"/>
        <v>170</v>
      </c>
      <c r="O12" s="8">
        <f t="shared" si="17"/>
        <v>-105</v>
      </c>
      <c r="P12" s="8">
        <f t="shared" si="17"/>
        <v>70</v>
      </c>
      <c r="Q12" s="8">
        <f t="shared" si="17"/>
        <v>369</v>
      </c>
      <c r="R12" s="8">
        <f t="shared" si="17"/>
        <v>160</v>
      </c>
      <c r="S12" s="8">
        <f t="shared" ref="S12:V12" si="18">S9-S10-S11</f>
        <v>284</v>
      </c>
      <c r="T12" s="8">
        <f t="shared" si="18"/>
        <v>61.627999999999929</v>
      </c>
      <c r="U12" s="8">
        <f t="shared" si="18"/>
        <v>161.66859999999997</v>
      </c>
      <c r="V12" s="8">
        <f t="shared" si="18"/>
        <v>165.88960000000009</v>
      </c>
      <c r="X12" s="8">
        <f>X9-X10-X11</f>
        <v>578</v>
      </c>
      <c r="Y12" s="8">
        <f>Y9-Y10-Y11</f>
        <v>713</v>
      </c>
      <c r="Z12" s="8">
        <f>Z9-Z10-Z11</f>
        <v>661</v>
      </c>
      <c r="AA12" s="8">
        <f>AA9-AA10-AA11</f>
        <v>494</v>
      </c>
      <c r="AB12" s="8">
        <f>AB9-AB10-AB11</f>
        <v>673.18620000000055</v>
      </c>
      <c r="AC12" s="8">
        <f t="shared" ref="AC12:AL12" si="19">AC9-AC10-AC11</f>
        <v>676.42048000000034</v>
      </c>
      <c r="AD12" s="8">
        <f t="shared" si="19"/>
        <v>707.41269440000008</v>
      </c>
      <c r="AE12" s="8">
        <f t="shared" si="19"/>
        <v>729.21492128800037</v>
      </c>
      <c r="AF12" s="8">
        <f t="shared" si="19"/>
        <v>750.76928044376052</v>
      </c>
      <c r="AG12" s="8">
        <f t="shared" si="19"/>
        <v>747.24364264409382</v>
      </c>
      <c r="AH12" s="8">
        <f t="shared" si="19"/>
        <v>742.84690538599284</v>
      </c>
      <c r="AI12" s="8">
        <f t="shared" si="19"/>
        <v>737.59158657304692</v>
      </c>
      <c r="AJ12" s="8">
        <f t="shared" si="19"/>
        <v>752.79912654428153</v>
      </c>
      <c r="AK12" s="8">
        <f t="shared" si="19"/>
        <v>767.95811074209973</v>
      </c>
      <c r="AL12" s="8">
        <f t="shared" si="19"/>
        <v>783.09236920411126</v>
      </c>
    </row>
    <row r="13" spans="2:138" x14ac:dyDescent="0.3">
      <c r="B13" t="s">
        <v>37</v>
      </c>
      <c r="C13" s="5">
        <v>89</v>
      </c>
      <c r="D13" s="5">
        <v>22</v>
      </c>
      <c r="E13" s="5">
        <v>54</v>
      </c>
      <c r="F13" s="5">
        <v>129</v>
      </c>
      <c r="G13" s="5">
        <v>64</v>
      </c>
      <c r="H13" s="5">
        <v>27</v>
      </c>
      <c r="I13" s="5">
        <v>16</v>
      </c>
      <c r="J13" s="5">
        <v>65</v>
      </c>
      <c r="K13" s="5">
        <v>62</v>
      </c>
      <c r="L13" s="5">
        <v>25</v>
      </c>
      <c r="M13" s="5">
        <v>46</v>
      </c>
      <c r="N13" s="5">
        <v>48</v>
      </c>
      <c r="O13" s="5">
        <v>5</v>
      </c>
      <c r="P13" s="5">
        <v>25</v>
      </c>
      <c r="Q13" s="5">
        <v>104</v>
      </c>
      <c r="R13" s="5">
        <v>37</v>
      </c>
      <c r="S13" s="5">
        <v>82</v>
      </c>
      <c r="T13" s="5">
        <f t="shared" ref="T13:V13" si="20">T12*0.25</f>
        <v>15.406999999999982</v>
      </c>
      <c r="U13" s="5">
        <f t="shared" si="20"/>
        <v>40.417149999999992</v>
      </c>
      <c r="V13" s="5">
        <f t="shared" si="20"/>
        <v>41.472400000000022</v>
      </c>
      <c r="X13" s="11">
        <f>SUM(C13:F13)</f>
        <v>294</v>
      </c>
      <c r="Y13" s="11">
        <f>SUM(G13:J13)</f>
        <v>172</v>
      </c>
      <c r="Z13" s="11">
        <f>SUM(K13:N13)</f>
        <v>181</v>
      </c>
      <c r="AA13" s="11">
        <f>SUM(O13:R13)</f>
        <v>171</v>
      </c>
      <c r="AB13" s="11">
        <f>SUM(S13:V13)</f>
        <v>179.29655</v>
      </c>
      <c r="AC13" s="5">
        <f>AC12*0.27</f>
        <v>182.63352960000012</v>
      </c>
      <c r="AD13" s="5">
        <f t="shared" ref="AD13:AL13" si="21">AD12*0.27</f>
        <v>191.00142748800005</v>
      </c>
      <c r="AE13" s="5">
        <f t="shared" si="21"/>
        <v>196.8880287477601</v>
      </c>
      <c r="AF13" s="5">
        <f t="shared" si="21"/>
        <v>202.70770571981535</v>
      </c>
      <c r="AG13" s="5">
        <f t="shared" si="21"/>
        <v>201.75578351390536</v>
      </c>
      <c r="AH13" s="5">
        <f t="shared" si="21"/>
        <v>200.56866445421809</v>
      </c>
      <c r="AI13" s="5">
        <f t="shared" si="21"/>
        <v>199.14972837472268</v>
      </c>
      <c r="AJ13" s="5">
        <f t="shared" si="21"/>
        <v>203.25576416695603</v>
      </c>
      <c r="AK13" s="5">
        <f t="shared" si="21"/>
        <v>207.34868990036694</v>
      </c>
      <c r="AL13" s="5">
        <f t="shared" si="21"/>
        <v>211.43493968511007</v>
      </c>
    </row>
    <row r="14" spans="2:138" s="1" customFormat="1" x14ac:dyDescent="0.3">
      <c r="B14" s="1" t="s">
        <v>38</v>
      </c>
      <c r="C14" s="8">
        <f t="shared" ref="C14:R14" si="22">C12-C13</f>
        <v>180</v>
      </c>
      <c r="D14" s="8">
        <f t="shared" si="22"/>
        <v>51</v>
      </c>
      <c r="E14" s="8">
        <f t="shared" si="22"/>
        <v>102</v>
      </c>
      <c r="F14" s="8">
        <f t="shared" si="22"/>
        <v>-49</v>
      </c>
      <c r="G14" s="8">
        <f t="shared" si="22"/>
        <v>165</v>
      </c>
      <c r="H14" s="8">
        <f t="shared" si="22"/>
        <v>88</v>
      </c>
      <c r="I14" s="8">
        <f t="shared" si="22"/>
        <v>130</v>
      </c>
      <c r="J14" s="8">
        <f t="shared" si="22"/>
        <v>158</v>
      </c>
      <c r="K14" s="8">
        <f t="shared" si="22"/>
        <v>172</v>
      </c>
      <c r="L14" s="8">
        <f t="shared" si="22"/>
        <v>60</v>
      </c>
      <c r="M14" s="8">
        <f t="shared" si="22"/>
        <v>126</v>
      </c>
      <c r="N14" s="8">
        <f t="shared" si="22"/>
        <v>122</v>
      </c>
      <c r="O14" s="8">
        <f t="shared" si="22"/>
        <v>-110</v>
      </c>
      <c r="P14" s="8">
        <f t="shared" si="22"/>
        <v>45</v>
      </c>
      <c r="Q14" s="8">
        <f t="shared" si="22"/>
        <v>265</v>
      </c>
      <c r="R14" s="8">
        <f t="shared" si="22"/>
        <v>123</v>
      </c>
      <c r="S14" s="8">
        <f t="shared" ref="S14:V14" si="23">S12-S13</f>
        <v>202</v>
      </c>
      <c r="T14" s="8">
        <f t="shared" si="23"/>
        <v>46.220999999999947</v>
      </c>
      <c r="U14" s="8">
        <f t="shared" si="23"/>
        <v>121.25144999999998</v>
      </c>
      <c r="V14" s="8">
        <f t="shared" si="23"/>
        <v>124.41720000000007</v>
      </c>
      <c r="X14" s="8">
        <f>X12-X13</f>
        <v>284</v>
      </c>
      <c r="Y14" s="8">
        <f>Y12-Y13</f>
        <v>541</v>
      </c>
      <c r="Z14" s="8">
        <f>Z12-Z13</f>
        <v>480</v>
      </c>
      <c r="AA14" s="8">
        <f>AA12-AA13</f>
        <v>323</v>
      </c>
      <c r="AB14" s="8">
        <f>AB12-AB13</f>
        <v>493.88965000000053</v>
      </c>
      <c r="AC14" s="8">
        <f t="shared" ref="AC14:AL14" si="24">AC12-AC13</f>
        <v>493.78695040000025</v>
      </c>
      <c r="AD14" s="8">
        <f t="shared" si="24"/>
        <v>516.41126691199997</v>
      </c>
      <c r="AE14" s="8">
        <f t="shared" si="24"/>
        <v>532.32689254024024</v>
      </c>
      <c r="AF14" s="8">
        <f t="shared" si="24"/>
        <v>548.06157472394511</v>
      </c>
      <c r="AG14" s="8">
        <f t="shared" si="24"/>
        <v>545.48785913018844</v>
      </c>
      <c r="AH14" s="8">
        <f t="shared" si="24"/>
        <v>542.27824093177469</v>
      </c>
      <c r="AI14" s="8">
        <f t="shared" si="24"/>
        <v>538.44185819832421</v>
      </c>
      <c r="AJ14" s="8">
        <f t="shared" si="24"/>
        <v>549.54336237732548</v>
      </c>
      <c r="AK14" s="8">
        <f t="shared" si="24"/>
        <v>560.6094208417328</v>
      </c>
      <c r="AL14" s="8">
        <f t="shared" si="24"/>
        <v>571.6574295190012</v>
      </c>
      <c r="AM14" s="1">
        <f>AL14*(1+$AO$20)</f>
        <v>565.94085522381113</v>
      </c>
      <c r="AN14" s="1">
        <f t="shared" ref="AN14:CY14" si="25">AM14*(1+$AO$20)</f>
        <v>560.28144667157301</v>
      </c>
      <c r="AO14" s="1">
        <f t="shared" si="25"/>
        <v>554.67863220485731</v>
      </c>
      <c r="AP14" s="1">
        <f t="shared" si="25"/>
        <v>549.13184588280876</v>
      </c>
      <c r="AQ14" s="1">
        <f t="shared" si="25"/>
        <v>543.64052742398064</v>
      </c>
      <c r="AR14" s="1">
        <f t="shared" si="25"/>
        <v>538.20412214974078</v>
      </c>
      <c r="AS14" s="1">
        <f t="shared" si="25"/>
        <v>532.82208092824339</v>
      </c>
      <c r="AT14" s="1">
        <f t="shared" si="25"/>
        <v>527.49386011896092</v>
      </c>
      <c r="AU14" s="1">
        <f t="shared" si="25"/>
        <v>522.21892151777126</v>
      </c>
      <c r="AV14" s="1">
        <f t="shared" si="25"/>
        <v>516.9967323025935</v>
      </c>
      <c r="AW14" s="1">
        <f t="shared" si="25"/>
        <v>511.82676497956754</v>
      </c>
      <c r="AX14" s="1">
        <f t="shared" si="25"/>
        <v>506.70849732977189</v>
      </c>
      <c r="AY14" s="1">
        <f t="shared" si="25"/>
        <v>501.64141235647418</v>
      </c>
      <c r="AZ14" s="1">
        <f t="shared" si="25"/>
        <v>496.62499823290943</v>
      </c>
      <c r="BA14" s="1">
        <f t="shared" si="25"/>
        <v>491.65874825058035</v>
      </c>
      <c r="BB14" s="1">
        <f t="shared" si="25"/>
        <v>486.74216076807454</v>
      </c>
      <c r="BC14" s="1">
        <f t="shared" si="25"/>
        <v>481.8747391603938</v>
      </c>
      <c r="BD14" s="1">
        <f t="shared" si="25"/>
        <v>477.05599176878985</v>
      </c>
      <c r="BE14" s="1">
        <f t="shared" si="25"/>
        <v>472.28543185110198</v>
      </c>
      <c r="BF14" s="1">
        <f t="shared" si="25"/>
        <v>467.56257753259098</v>
      </c>
      <c r="BG14" s="1">
        <f t="shared" si="25"/>
        <v>462.88695175726508</v>
      </c>
      <c r="BH14" s="1">
        <f t="shared" si="25"/>
        <v>458.25808223969244</v>
      </c>
      <c r="BI14" s="1">
        <f t="shared" si="25"/>
        <v>453.67550141729549</v>
      </c>
      <c r="BJ14" s="1">
        <f t="shared" si="25"/>
        <v>449.13874640312252</v>
      </c>
      <c r="BK14" s="1">
        <f t="shared" si="25"/>
        <v>444.6473589390913</v>
      </c>
      <c r="BL14" s="1">
        <f t="shared" si="25"/>
        <v>440.2008853497004</v>
      </c>
      <c r="BM14" s="1">
        <f t="shared" si="25"/>
        <v>435.79887649620338</v>
      </c>
      <c r="BN14" s="1">
        <f t="shared" si="25"/>
        <v>431.44088773124133</v>
      </c>
      <c r="BO14" s="1">
        <f t="shared" si="25"/>
        <v>427.12647885392892</v>
      </c>
      <c r="BP14" s="1">
        <f t="shared" si="25"/>
        <v>422.85521406538965</v>
      </c>
      <c r="BQ14" s="1">
        <f t="shared" si="25"/>
        <v>418.62666192473574</v>
      </c>
      <c r="BR14" s="1">
        <f t="shared" si="25"/>
        <v>414.44039530548838</v>
      </c>
      <c r="BS14" s="1">
        <f t="shared" si="25"/>
        <v>410.29599135243348</v>
      </c>
      <c r="BT14" s="1">
        <f t="shared" si="25"/>
        <v>406.19303143890914</v>
      </c>
      <c r="BU14" s="1">
        <f t="shared" si="25"/>
        <v>402.13110112452006</v>
      </c>
      <c r="BV14" s="1">
        <f t="shared" si="25"/>
        <v>398.10979011327487</v>
      </c>
      <c r="BW14" s="1">
        <f t="shared" si="25"/>
        <v>394.12869221214214</v>
      </c>
      <c r="BX14" s="1">
        <f t="shared" si="25"/>
        <v>390.18740529002071</v>
      </c>
      <c r="BY14" s="1">
        <f t="shared" si="25"/>
        <v>386.28553123712049</v>
      </c>
      <c r="BZ14" s="1">
        <f t="shared" si="25"/>
        <v>382.42267592474929</v>
      </c>
      <c r="CA14" s="1">
        <f t="shared" si="25"/>
        <v>378.59844916550179</v>
      </c>
      <c r="CB14" s="1">
        <f t="shared" si="25"/>
        <v>374.81246467384676</v>
      </c>
      <c r="CC14" s="1">
        <f t="shared" si="25"/>
        <v>371.0643400271083</v>
      </c>
      <c r="CD14" s="1">
        <f t="shared" si="25"/>
        <v>367.35369662683723</v>
      </c>
      <c r="CE14" s="1">
        <f t="shared" si="25"/>
        <v>363.68015966056885</v>
      </c>
      <c r="CF14" s="1">
        <f t="shared" si="25"/>
        <v>360.04335806396318</v>
      </c>
      <c r="CG14" s="1">
        <f t="shared" si="25"/>
        <v>356.44292448332357</v>
      </c>
      <c r="CH14" s="1">
        <f t="shared" si="25"/>
        <v>352.8784952384903</v>
      </c>
      <c r="CI14" s="1">
        <f t="shared" si="25"/>
        <v>349.34971028610539</v>
      </c>
      <c r="CJ14" s="1">
        <f t="shared" si="25"/>
        <v>345.85621318324434</v>
      </c>
      <c r="CK14" s="1">
        <f t="shared" si="25"/>
        <v>342.39765105141191</v>
      </c>
      <c r="CL14" s="1">
        <f t="shared" si="25"/>
        <v>338.97367454089778</v>
      </c>
      <c r="CM14" s="1">
        <f t="shared" si="25"/>
        <v>335.58393779548879</v>
      </c>
      <c r="CN14" s="1">
        <f t="shared" si="25"/>
        <v>332.22809841753389</v>
      </c>
      <c r="CO14" s="1">
        <f t="shared" si="25"/>
        <v>328.90581743335855</v>
      </c>
      <c r="CP14" s="1">
        <f t="shared" si="25"/>
        <v>325.61675925902495</v>
      </c>
      <c r="CQ14" s="1">
        <f t="shared" si="25"/>
        <v>322.36059166643469</v>
      </c>
      <c r="CR14" s="1">
        <f t="shared" si="25"/>
        <v>319.13698574977036</v>
      </c>
      <c r="CS14" s="1">
        <f t="shared" si="25"/>
        <v>315.94561589227266</v>
      </c>
      <c r="CT14" s="1">
        <f t="shared" si="25"/>
        <v>312.7861597333499</v>
      </c>
      <c r="CU14" s="1">
        <f t="shared" si="25"/>
        <v>309.65829813601641</v>
      </c>
      <c r="CV14" s="1">
        <f t="shared" si="25"/>
        <v>306.56171515465627</v>
      </c>
      <c r="CW14" s="1">
        <f t="shared" si="25"/>
        <v>303.49609800310969</v>
      </c>
      <c r="CX14" s="1">
        <f t="shared" si="25"/>
        <v>300.46113702307861</v>
      </c>
      <c r="CY14" s="1">
        <f t="shared" si="25"/>
        <v>297.4565256528478</v>
      </c>
      <c r="CZ14" s="1">
        <f t="shared" ref="CZ14:EH14" si="26">CY14*(1+$AO$20)</f>
        <v>294.48196039631932</v>
      </c>
      <c r="DA14" s="1">
        <f t="shared" si="26"/>
        <v>291.53714079235613</v>
      </c>
      <c r="DB14" s="1">
        <f t="shared" si="26"/>
        <v>288.62176938443258</v>
      </c>
      <c r="DC14" s="1">
        <f t="shared" si="26"/>
        <v>285.73555169058824</v>
      </c>
      <c r="DD14" s="1">
        <f t="shared" si="26"/>
        <v>282.87819617368234</v>
      </c>
      <c r="DE14" s="1">
        <f t="shared" si="26"/>
        <v>280.04941421194553</v>
      </c>
      <c r="DF14" s="1">
        <f t="shared" si="26"/>
        <v>277.24892006982606</v>
      </c>
      <c r="DG14" s="1">
        <f t="shared" si="26"/>
        <v>274.4764308691278</v>
      </c>
      <c r="DH14" s="1">
        <f t="shared" si="26"/>
        <v>271.73166656043651</v>
      </c>
      <c r="DI14" s="1">
        <f t="shared" si="26"/>
        <v>269.01434989483215</v>
      </c>
      <c r="DJ14" s="1">
        <f t="shared" si="26"/>
        <v>266.32420639588383</v>
      </c>
      <c r="DK14" s="1">
        <f t="shared" si="26"/>
        <v>263.66096433192502</v>
      </c>
      <c r="DL14" s="1">
        <f t="shared" si="26"/>
        <v>261.02435468860574</v>
      </c>
      <c r="DM14" s="1">
        <f t="shared" si="26"/>
        <v>258.41411114171967</v>
      </c>
      <c r="DN14" s="1">
        <f t="shared" si="26"/>
        <v>255.82997003030246</v>
      </c>
      <c r="DO14" s="1">
        <f t="shared" si="26"/>
        <v>253.27167032999944</v>
      </c>
      <c r="DP14" s="1">
        <f t="shared" si="26"/>
        <v>250.73895362669944</v>
      </c>
      <c r="DQ14" s="1">
        <f t="shared" si="26"/>
        <v>248.23156409043244</v>
      </c>
      <c r="DR14" s="1">
        <f t="shared" si="26"/>
        <v>245.74924844952812</v>
      </c>
      <c r="DS14" s="1">
        <f t="shared" si="26"/>
        <v>243.29175596503285</v>
      </c>
      <c r="DT14" s="1">
        <f t="shared" si="26"/>
        <v>240.85883840538253</v>
      </c>
      <c r="DU14" s="1">
        <f t="shared" si="26"/>
        <v>238.45025002132871</v>
      </c>
      <c r="DV14" s="1">
        <f t="shared" si="26"/>
        <v>236.06574752111541</v>
      </c>
      <c r="DW14" s="1">
        <f t="shared" si="26"/>
        <v>233.70509004590426</v>
      </c>
      <c r="DX14" s="1">
        <f t="shared" si="26"/>
        <v>231.36803914544521</v>
      </c>
      <c r="DY14" s="1">
        <f t="shared" si="26"/>
        <v>229.05435875399075</v>
      </c>
      <c r="DZ14" s="1">
        <f t="shared" si="26"/>
        <v>226.76381516645085</v>
      </c>
      <c r="EA14" s="1">
        <f t="shared" si="26"/>
        <v>224.49617701478635</v>
      </c>
      <c r="EB14" s="1">
        <f t="shared" si="26"/>
        <v>222.2512152446385</v>
      </c>
      <c r="EC14" s="1">
        <f t="shared" si="26"/>
        <v>220.0287030921921</v>
      </c>
      <c r="ED14" s="1">
        <f t="shared" si="26"/>
        <v>217.82841606127019</v>
      </c>
      <c r="EE14" s="1">
        <f t="shared" si="26"/>
        <v>215.6501319006575</v>
      </c>
      <c r="EF14" s="1">
        <f t="shared" si="26"/>
        <v>213.49363058165093</v>
      </c>
      <c r="EG14" s="1">
        <f t="shared" si="26"/>
        <v>211.35869427583441</v>
      </c>
      <c r="EH14" s="1">
        <f t="shared" si="26"/>
        <v>209.24510733307605</v>
      </c>
    </row>
    <row r="15" spans="2:138" x14ac:dyDescent="0.3">
      <c r="B15" t="s">
        <v>2</v>
      </c>
      <c r="C15" s="5">
        <v>103.3</v>
      </c>
      <c r="D15" s="5">
        <v>103.3</v>
      </c>
      <c r="E15" s="5">
        <v>103.3</v>
      </c>
      <c r="F15" s="5">
        <v>103.3</v>
      </c>
      <c r="G15" s="5">
        <v>103.3</v>
      </c>
      <c r="H15" s="5">
        <v>103.3</v>
      </c>
      <c r="I15" s="5">
        <v>103.3</v>
      </c>
      <c r="J15" s="5">
        <v>103.3</v>
      </c>
      <c r="K15" s="5">
        <v>103.3</v>
      </c>
      <c r="L15" s="5">
        <v>103.3</v>
      </c>
      <c r="M15" s="5">
        <v>103.3</v>
      </c>
      <c r="N15" s="5">
        <v>103.3</v>
      </c>
      <c r="O15" s="5">
        <v>103.3</v>
      </c>
      <c r="P15" s="5">
        <v>103.3</v>
      </c>
      <c r="Q15" s="5">
        <v>103.3</v>
      </c>
      <c r="R15" s="5">
        <v>103.3</v>
      </c>
      <c r="S15" s="5">
        <v>103.5</v>
      </c>
      <c r="T15" s="5">
        <v>103.5</v>
      </c>
      <c r="U15" s="5">
        <v>103.5</v>
      </c>
      <c r="V15" s="5">
        <v>103.5</v>
      </c>
      <c r="X15" s="5">
        <v>103.3</v>
      </c>
      <c r="Y15" s="5">
        <v>103.3</v>
      </c>
      <c r="Z15" s="5">
        <v>103.3</v>
      </c>
      <c r="AA15" s="5">
        <v>103.3</v>
      </c>
      <c r="AB15" s="5">
        <v>103.5</v>
      </c>
      <c r="AC15" s="5">
        <v>103.5</v>
      </c>
      <c r="AD15" s="5">
        <v>103.5</v>
      </c>
      <c r="AE15" s="5">
        <v>103.5</v>
      </c>
      <c r="AF15" s="5">
        <v>103.5</v>
      </c>
      <c r="AG15" s="5">
        <v>103.5</v>
      </c>
      <c r="AH15" s="5">
        <v>103.5</v>
      </c>
      <c r="AI15" s="5">
        <v>103.5</v>
      </c>
      <c r="AJ15" s="5">
        <v>103.5</v>
      </c>
      <c r="AK15" s="5">
        <v>103.5</v>
      </c>
      <c r="AL15" s="5">
        <v>103.5</v>
      </c>
    </row>
    <row r="16" spans="2:138" s="1" customFormat="1" x14ac:dyDescent="0.3">
      <c r="B16" s="1" t="s">
        <v>39</v>
      </c>
      <c r="C16" s="7">
        <f t="shared" ref="C16:R16" si="27">C14/C15</f>
        <v>1.7424975798644724</v>
      </c>
      <c r="D16" s="7">
        <f t="shared" si="27"/>
        <v>0.49370764762826719</v>
      </c>
      <c r="E16" s="7">
        <f t="shared" si="27"/>
        <v>0.98741529525653438</v>
      </c>
      <c r="F16" s="7">
        <f t="shared" si="27"/>
        <v>-0.47434656340755083</v>
      </c>
      <c r="G16" s="7">
        <f t="shared" si="27"/>
        <v>1.5972894482090998</v>
      </c>
      <c r="H16" s="7">
        <f t="shared" si="27"/>
        <v>0.85188770571151984</v>
      </c>
      <c r="I16" s="7">
        <f t="shared" si="27"/>
        <v>1.2584704743465633</v>
      </c>
      <c r="J16" s="7">
        <f t="shared" si="27"/>
        <v>1.5295256534365924</v>
      </c>
      <c r="K16" s="7">
        <f t="shared" si="27"/>
        <v>1.665053242981607</v>
      </c>
      <c r="L16" s="7">
        <f t="shared" si="27"/>
        <v>0.58083252662149087</v>
      </c>
      <c r="M16" s="7">
        <f t="shared" si="27"/>
        <v>1.2197483059051306</v>
      </c>
      <c r="N16" s="7">
        <f t="shared" si="27"/>
        <v>1.1810261374636979</v>
      </c>
      <c r="O16" s="7">
        <f t="shared" si="27"/>
        <v>-1.0648596321393999</v>
      </c>
      <c r="P16" s="7">
        <f t="shared" si="27"/>
        <v>0.4356243949661181</v>
      </c>
      <c r="Q16" s="7">
        <f t="shared" si="27"/>
        <v>2.5653436592449177</v>
      </c>
      <c r="R16" s="7">
        <f t="shared" si="27"/>
        <v>1.1907066795740562</v>
      </c>
      <c r="S16" s="7">
        <f t="shared" ref="S16:V16" si="28">S14/S15</f>
        <v>1.9516908212560387</v>
      </c>
      <c r="T16" s="7">
        <f t="shared" si="28"/>
        <v>0.44657971014492703</v>
      </c>
      <c r="U16" s="7">
        <f t="shared" si="28"/>
        <v>1.1715115942028984</v>
      </c>
      <c r="V16" s="7">
        <f t="shared" si="28"/>
        <v>1.2020985507246382</v>
      </c>
      <c r="X16" s="7">
        <f>X14/X15</f>
        <v>2.749273959341723</v>
      </c>
      <c r="Y16" s="7">
        <f>Y14/Y15</f>
        <v>5.2371732817037753</v>
      </c>
      <c r="Z16" s="7">
        <f>Z14/Z15</f>
        <v>4.646660212971927</v>
      </c>
      <c r="AA16" s="7">
        <f>AA14/AA15</f>
        <v>3.1268151016456924</v>
      </c>
      <c r="AB16" s="7">
        <f>AB14/AB15</f>
        <v>4.7718806763285073</v>
      </c>
      <c r="AC16" s="7">
        <f t="shared" ref="AC16:AL16" si="29">AC14/AC15</f>
        <v>4.770888409661838</v>
      </c>
      <c r="AD16" s="7">
        <f t="shared" si="29"/>
        <v>4.9894808397294685</v>
      </c>
      <c r="AE16" s="7">
        <f t="shared" si="29"/>
        <v>5.1432550003887947</v>
      </c>
      <c r="AF16" s="7">
        <f t="shared" si="29"/>
        <v>5.2952809152071989</v>
      </c>
      <c r="AG16" s="7">
        <f t="shared" si="29"/>
        <v>5.2704140978762171</v>
      </c>
      <c r="AH16" s="7">
        <f t="shared" si="29"/>
        <v>5.2394032940268085</v>
      </c>
      <c r="AI16" s="7">
        <f t="shared" si="29"/>
        <v>5.2023367941867074</v>
      </c>
      <c r="AJ16" s="7">
        <f t="shared" si="29"/>
        <v>5.3095977041287483</v>
      </c>
      <c r="AK16" s="7">
        <f t="shared" si="29"/>
        <v>5.4165161433983844</v>
      </c>
      <c r="AL16" s="7">
        <f t="shared" si="29"/>
        <v>5.5232601885893837</v>
      </c>
    </row>
    <row r="18" spans="2:41" x14ac:dyDescent="0.3">
      <c r="B18" s="1" t="s">
        <v>44</v>
      </c>
      <c r="C18" s="10"/>
      <c r="D18" s="10"/>
      <c r="E18" s="10"/>
      <c r="F18" s="10"/>
      <c r="G18" s="10">
        <f>G3/C3-1</f>
        <v>1.1994002998500841E-2</v>
      </c>
      <c r="H18" s="10">
        <f t="shared" ref="H18:V18" si="30">H3/D3-1</f>
        <v>4.7619047619047672E-2</v>
      </c>
      <c r="I18" s="10">
        <f t="shared" si="30"/>
        <v>-5.3475935828877219E-3</v>
      </c>
      <c r="J18" s="10">
        <f t="shared" si="30"/>
        <v>2.8054298642533837E-2</v>
      </c>
      <c r="K18" s="10">
        <f t="shared" si="30"/>
        <v>2.6172839506172885E-2</v>
      </c>
      <c r="L18" s="10">
        <f t="shared" si="30"/>
        <v>-4.4893378226711356E-3</v>
      </c>
      <c r="M18" s="10">
        <f t="shared" si="30"/>
        <v>3.8709677419354938E-2</v>
      </c>
      <c r="N18" s="10">
        <f t="shared" si="30"/>
        <v>-2.2447183098591506E-2</v>
      </c>
      <c r="O18" s="10">
        <f t="shared" si="30"/>
        <v>-0.43407122232916262</v>
      </c>
      <c r="P18" s="10">
        <f t="shared" si="30"/>
        <v>0.17080045095828633</v>
      </c>
      <c r="Q18" s="10">
        <f t="shared" si="30"/>
        <v>9.0062111801242128E-2</v>
      </c>
      <c r="R18" s="10">
        <f t="shared" si="30"/>
        <v>-1.4407924358397106E-2</v>
      </c>
      <c r="S18" s="10">
        <f t="shared" si="30"/>
        <v>0.83078231292517013</v>
      </c>
      <c r="T18" s="10">
        <f t="shared" si="30"/>
        <v>-0.12</v>
      </c>
      <c r="U18" s="10">
        <f t="shared" si="30"/>
        <v>1.0000000000000009E-2</v>
      </c>
      <c r="V18" s="10">
        <f t="shared" si="30"/>
        <v>2.0000000000000018E-2</v>
      </c>
      <c r="X18" s="10"/>
      <c r="Y18" s="10">
        <f>Y3/X3-1</f>
        <v>2.0174762271909508E-2</v>
      </c>
      <c r="Z18" s="10">
        <f t="shared" ref="Z18:AL18" si="31">Z3/Y3-1</f>
        <v>8.3133895956668535E-3</v>
      </c>
      <c r="AA18" s="10">
        <f t="shared" si="31"/>
        <v>-5.7089319175515296E-2</v>
      </c>
      <c r="AB18" s="10">
        <f t="shared" si="31"/>
        <v>0.10500794912559619</v>
      </c>
      <c r="AC18" s="10">
        <f t="shared" si="31"/>
        <v>4.0000000000000036E-2</v>
      </c>
      <c r="AD18" s="10">
        <f t="shared" si="31"/>
        <v>3.0000000000000027E-2</v>
      </c>
      <c r="AE18" s="10">
        <f t="shared" si="31"/>
        <v>2.0000000000000018E-2</v>
      </c>
      <c r="AF18" s="10">
        <f t="shared" si="31"/>
        <v>2.0000000000000018E-2</v>
      </c>
      <c r="AG18" s="10">
        <f t="shared" si="31"/>
        <v>1.0000000000000009E-2</v>
      </c>
      <c r="AH18" s="10">
        <f t="shared" si="31"/>
        <v>1.0000000000000009E-2</v>
      </c>
      <c r="AI18" s="10">
        <f t="shared" si="31"/>
        <v>1.0000000000000009E-2</v>
      </c>
      <c r="AJ18" s="10">
        <f t="shared" si="31"/>
        <v>1.0000000000000009E-2</v>
      </c>
      <c r="AK18" s="10">
        <f t="shared" si="31"/>
        <v>1.0000000000000009E-2</v>
      </c>
      <c r="AL18" s="10">
        <f t="shared" si="31"/>
        <v>1.0000000000000009E-2</v>
      </c>
    </row>
    <row r="19" spans="2:41" x14ac:dyDescent="0.3">
      <c r="B19" s="1" t="s">
        <v>45</v>
      </c>
      <c r="C19" s="10">
        <f t="shared" ref="C19:F19" si="32">C5/C3</f>
        <v>0.33983008495752126</v>
      </c>
      <c r="D19" s="10">
        <f t="shared" si="32"/>
        <v>0.29570840681951793</v>
      </c>
      <c r="E19" s="10">
        <f t="shared" si="32"/>
        <v>0.31016042780748665</v>
      </c>
      <c r="F19" s="10">
        <f t="shared" si="32"/>
        <v>0.31357466063348416</v>
      </c>
      <c r="G19" s="10">
        <f>G5/G3</f>
        <v>0.3288888888888889</v>
      </c>
      <c r="H19" s="10">
        <f t="shared" ref="H19:V19" si="33">H5/H3</f>
        <v>0.30246913580246915</v>
      </c>
      <c r="I19" s="10">
        <f t="shared" si="33"/>
        <v>0.31612903225806449</v>
      </c>
      <c r="J19" s="10">
        <f t="shared" si="33"/>
        <v>0.32350352112676056</v>
      </c>
      <c r="K19" s="10">
        <f t="shared" si="33"/>
        <v>0.33156881616939365</v>
      </c>
      <c r="L19" s="10">
        <f t="shared" si="33"/>
        <v>0.30101465614430667</v>
      </c>
      <c r="M19" s="10">
        <f t="shared" si="33"/>
        <v>0.32091097308488614</v>
      </c>
      <c r="N19" s="10">
        <f t="shared" si="33"/>
        <v>0.31517334533993696</v>
      </c>
      <c r="O19" s="10">
        <f t="shared" si="33"/>
        <v>0.23044217687074831</v>
      </c>
      <c r="P19" s="10">
        <f t="shared" si="33"/>
        <v>0.2590274434280212</v>
      </c>
      <c r="Q19" s="10">
        <f t="shared" si="33"/>
        <v>0.30864197530864196</v>
      </c>
      <c r="R19" s="10">
        <f t="shared" si="33"/>
        <v>0.33074463225216993</v>
      </c>
      <c r="S19" s="10">
        <f t="shared" si="33"/>
        <v>0.34788666976312121</v>
      </c>
      <c r="T19" s="10">
        <f t="shared" si="33"/>
        <v>0.3</v>
      </c>
      <c r="U19" s="10">
        <f t="shared" si="33"/>
        <v>0.31</v>
      </c>
      <c r="V19" s="10">
        <f t="shared" si="33"/>
        <v>0.32</v>
      </c>
      <c r="X19" s="10">
        <f t="shared" ref="X19:AL19" si="34">X5/X3</f>
        <v>0.31560010280133644</v>
      </c>
      <c r="Y19" s="10">
        <f t="shared" si="34"/>
        <v>0.31842801360372841</v>
      </c>
      <c r="Z19" s="10">
        <f t="shared" si="34"/>
        <v>0.31767645221736412</v>
      </c>
      <c r="AA19" s="10">
        <f t="shared" si="34"/>
        <v>0.28921568627450983</v>
      </c>
      <c r="AB19" s="10">
        <f t="shared" si="34"/>
        <v>0.3202654725079731</v>
      </c>
      <c r="AC19" s="10">
        <f t="shared" si="34"/>
        <v>0.32</v>
      </c>
      <c r="AD19" s="10">
        <f t="shared" si="34"/>
        <v>0.32</v>
      </c>
      <c r="AE19" s="10">
        <f t="shared" si="34"/>
        <v>0.32</v>
      </c>
      <c r="AF19" s="10">
        <f t="shared" si="34"/>
        <v>0.32</v>
      </c>
      <c r="AG19" s="10">
        <f t="shared" si="34"/>
        <v>0.32</v>
      </c>
      <c r="AH19" s="10">
        <f t="shared" si="34"/>
        <v>0.32</v>
      </c>
      <c r="AI19" s="10">
        <f t="shared" si="34"/>
        <v>0.32</v>
      </c>
      <c r="AJ19" s="10">
        <f t="shared" si="34"/>
        <v>0.32</v>
      </c>
      <c r="AK19" s="10">
        <f t="shared" si="34"/>
        <v>0.32</v>
      </c>
      <c r="AL19" s="10">
        <f t="shared" si="34"/>
        <v>0.32</v>
      </c>
    </row>
    <row r="20" spans="2:41" x14ac:dyDescent="0.3">
      <c r="B20" s="9" t="s">
        <v>46</v>
      </c>
      <c r="C20" s="10">
        <f t="shared" ref="C20:F20" si="35">C9/C3</f>
        <v>0.13393303348325838</v>
      </c>
      <c r="D20" s="10">
        <f t="shared" si="35"/>
        <v>4.2328042328042326E-2</v>
      </c>
      <c r="E20" s="10">
        <f t="shared" si="35"/>
        <v>8.2887700534759357E-2</v>
      </c>
      <c r="F20" s="10">
        <f t="shared" si="35"/>
        <v>3.4389140271493215E-2</v>
      </c>
      <c r="G20" s="10">
        <f>G9/G3</f>
        <v>0.11061728395061729</v>
      </c>
      <c r="H20" s="10">
        <f t="shared" ref="H20:V20" si="36">H9/H3</f>
        <v>6.2850729517396189E-2</v>
      </c>
      <c r="I20" s="10">
        <f t="shared" si="36"/>
        <v>7.7419354838709681E-2</v>
      </c>
      <c r="J20" s="10">
        <f t="shared" si="36"/>
        <v>9.6390845070422532E-2</v>
      </c>
      <c r="K20" s="10">
        <f t="shared" si="36"/>
        <v>0.109720885466795</v>
      </c>
      <c r="L20" s="10">
        <f t="shared" si="36"/>
        <v>4.5659526493799327E-2</v>
      </c>
      <c r="M20" s="10">
        <f t="shared" si="36"/>
        <v>8.4886128364389232E-2</v>
      </c>
      <c r="N20" s="10">
        <f t="shared" si="36"/>
        <v>7.9243583971184153E-2</v>
      </c>
      <c r="O20" s="10">
        <f t="shared" si="36"/>
        <v>-8.9285714285714288E-2</v>
      </c>
      <c r="P20" s="10">
        <f t="shared" si="36"/>
        <v>3.3220991815117958E-2</v>
      </c>
      <c r="Q20" s="10">
        <f t="shared" si="36"/>
        <v>8.4520417853751181E-2</v>
      </c>
      <c r="R20" s="10">
        <f t="shared" si="36"/>
        <v>7.3549566011877565E-2</v>
      </c>
      <c r="S20" s="10">
        <f t="shared" si="36"/>
        <v>0.13098002786809104</v>
      </c>
      <c r="T20" s="10">
        <f t="shared" si="36"/>
        <v>3.426489254606728E-2</v>
      </c>
      <c r="U20" s="10">
        <f t="shared" si="36"/>
        <v>7.6475792878433133E-2</v>
      </c>
      <c r="V20" s="10">
        <f t="shared" si="36"/>
        <v>7.4745205528533962E-2</v>
      </c>
      <c r="X20" s="10">
        <f t="shared" ref="X20:AL20" si="37">X9/X3</f>
        <v>7.3374453867900286E-2</v>
      </c>
      <c r="Y20" s="10">
        <f t="shared" si="37"/>
        <v>8.8046353445018266E-2</v>
      </c>
      <c r="Z20" s="10">
        <f t="shared" si="37"/>
        <v>8.1074328544659582E-2</v>
      </c>
      <c r="AA20" s="10">
        <f t="shared" si="37"/>
        <v>4.0143084260731321E-2</v>
      </c>
      <c r="AB20" s="10">
        <f t="shared" si="37"/>
        <v>8.0831858619284047E-2</v>
      </c>
      <c r="AC20" s="10">
        <f t="shared" si="37"/>
        <v>7.7903277572725846E-2</v>
      </c>
      <c r="AD20" s="10">
        <f t="shared" si="37"/>
        <v>7.8951915065238618E-2</v>
      </c>
      <c r="AE20" s="10">
        <f t="shared" si="37"/>
        <v>7.9676032130523003E-2</v>
      </c>
      <c r="AF20" s="10">
        <f t="shared" si="37"/>
        <v>8.0336687952665492E-2</v>
      </c>
      <c r="AG20" s="10">
        <f t="shared" si="37"/>
        <v>7.8574216080671444E-2</v>
      </c>
      <c r="AH20" s="10">
        <f t="shared" si="37"/>
        <v>7.67495402762675E-2</v>
      </c>
      <c r="AI20" s="10">
        <f t="shared" si="37"/>
        <v>7.4866918826008225E-2</v>
      </c>
      <c r="AJ20" s="10">
        <f t="shared" si="37"/>
        <v>7.5133440562918041E-2</v>
      </c>
      <c r="AK20" s="10">
        <f t="shared" si="37"/>
        <v>7.5370935179966472E-2</v>
      </c>
      <c r="AL20" s="10">
        <f t="shared" si="37"/>
        <v>7.5582564046643222E-2</v>
      </c>
      <c r="AN20" t="s">
        <v>48</v>
      </c>
      <c r="AO20" s="10">
        <v>-0.01</v>
      </c>
    </row>
    <row r="21" spans="2:41" x14ac:dyDescent="0.3">
      <c r="B21" s="9" t="s">
        <v>47</v>
      </c>
      <c r="C21" s="10"/>
      <c r="D21" s="10"/>
      <c r="E21" s="10"/>
      <c r="F21" s="10"/>
      <c r="G21" s="10">
        <f>G6/C6-1</f>
        <v>3.7735849056603765E-2</v>
      </c>
      <c r="H21" s="10">
        <f t="shared" ref="H21:V21" si="38">H6/D6-1</f>
        <v>0.12094395280235992</v>
      </c>
      <c r="I21" s="10">
        <f t="shared" si="38"/>
        <v>8.1521739130434812E-2</v>
      </c>
      <c r="J21" s="10">
        <f t="shared" si="38"/>
        <v>6.6193853427896077E-2</v>
      </c>
      <c r="K21" s="10">
        <f t="shared" si="38"/>
        <v>8.0519480519480435E-2</v>
      </c>
      <c r="L21" s="10">
        <f t="shared" si="38"/>
        <v>3.4210526315789469E-2</v>
      </c>
      <c r="M21" s="10">
        <f t="shared" si="38"/>
        <v>3.2663316582914659E-2</v>
      </c>
      <c r="N21" s="10">
        <f t="shared" si="38"/>
        <v>-4.656319290465627E-2</v>
      </c>
      <c r="O21" s="10">
        <f t="shared" si="38"/>
        <v>-0.24038461538461542</v>
      </c>
      <c r="P21" s="10">
        <f t="shared" si="38"/>
        <v>-1.5267175572519109E-2</v>
      </c>
      <c r="Q21" s="10">
        <f t="shared" si="38"/>
        <v>3.1630170316301776E-2</v>
      </c>
      <c r="R21" s="10">
        <f t="shared" si="38"/>
        <v>6.9767441860465018E-2</v>
      </c>
      <c r="S21" s="10">
        <f t="shared" si="38"/>
        <v>0.32278481012658222</v>
      </c>
      <c r="T21" s="10">
        <f t="shared" si="38"/>
        <v>0.10000000000000009</v>
      </c>
      <c r="U21" s="10">
        <f t="shared" si="38"/>
        <v>3.0000000000000027E-2</v>
      </c>
      <c r="V21" s="10">
        <f t="shared" si="38"/>
        <v>6.0000000000000053E-2</v>
      </c>
      <c r="X21" s="10"/>
      <c r="Y21" s="10">
        <f t="shared" ref="Y21:AL21" si="39">Y6/X6-1</f>
        <v>7.5283144570286398E-2</v>
      </c>
      <c r="Z21" s="10">
        <f t="shared" si="39"/>
        <v>2.2304832713754719E-2</v>
      </c>
      <c r="AA21" s="10">
        <f t="shared" si="39"/>
        <v>-3.8181818181818206E-2</v>
      </c>
      <c r="AB21" s="10">
        <f t="shared" si="39"/>
        <v>0.11406427221172022</v>
      </c>
      <c r="AC21" s="10">
        <f t="shared" si="39"/>
        <v>6.0000000000000053E-2</v>
      </c>
      <c r="AD21" s="10">
        <f t="shared" si="39"/>
        <v>3.0000000000000027E-2</v>
      </c>
      <c r="AE21" s="10">
        <f t="shared" si="39"/>
        <v>2.0000000000000018E-2</v>
      </c>
      <c r="AF21" s="10">
        <f t="shared" si="39"/>
        <v>2.0000000000000018E-2</v>
      </c>
      <c r="AG21" s="10">
        <f t="shared" si="39"/>
        <v>2.0000000000000018E-2</v>
      </c>
      <c r="AH21" s="10">
        <f t="shared" si="39"/>
        <v>2.0000000000000018E-2</v>
      </c>
      <c r="AI21" s="10">
        <f t="shared" si="39"/>
        <v>2.0000000000000018E-2</v>
      </c>
      <c r="AJ21" s="10">
        <f t="shared" si="39"/>
        <v>1.0000000000000009E-2</v>
      </c>
      <c r="AK21" s="10">
        <f t="shared" si="39"/>
        <v>1.0000000000000009E-2</v>
      </c>
      <c r="AL21" s="10">
        <f t="shared" si="39"/>
        <v>1.0000000000000009E-2</v>
      </c>
      <c r="AN21" t="s">
        <v>49</v>
      </c>
      <c r="AO21" s="10">
        <v>7.0000000000000007E-2</v>
      </c>
    </row>
    <row r="22" spans="2:41" x14ac:dyDescent="0.3">
      <c r="B22" s="9" t="s">
        <v>37</v>
      </c>
      <c r="C22" s="10">
        <f t="shared" ref="C22:F22" si="40">C13/C12</f>
        <v>0.33085501858736061</v>
      </c>
      <c r="D22" s="10">
        <f t="shared" si="40"/>
        <v>0.30136986301369861</v>
      </c>
      <c r="E22" s="10">
        <f t="shared" si="40"/>
        <v>0.34615384615384615</v>
      </c>
      <c r="F22" s="10">
        <f t="shared" si="40"/>
        <v>1.6125</v>
      </c>
      <c r="G22" s="10">
        <f>G13/G12</f>
        <v>0.27947598253275108</v>
      </c>
      <c r="H22" s="10">
        <f t="shared" ref="H22:V22" si="41">H13/H12</f>
        <v>0.23478260869565218</v>
      </c>
      <c r="I22" s="10">
        <f t="shared" si="41"/>
        <v>0.1095890410958904</v>
      </c>
      <c r="J22" s="10">
        <f t="shared" si="41"/>
        <v>0.2914798206278027</v>
      </c>
      <c r="K22" s="10">
        <f t="shared" si="41"/>
        <v>0.26495726495726496</v>
      </c>
      <c r="L22" s="10">
        <f t="shared" si="41"/>
        <v>0.29411764705882354</v>
      </c>
      <c r="M22" s="10">
        <f t="shared" si="41"/>
        <v>0.26744186046511625</v>
      </c>
      <c r="N22" s="10">
        <f t="shared" si="41"/>
        <v>0.28235294117647058</v>
      </c>
      <c r="O22" s="10">
        <f t="shared" si="41"/>
        <v>-4.7619047619047616E-2</v>
      </c>
      <c r="P22" s="10">
        <f t="shared" si="41"/>
        <v>0.35714285714285715</v>
      </c>
      <c r="Q22" s="10">
        <f t="shared" si="41"/>
        <v>0.28184281842818426</v>
      </c>
      <c r="R22" s="10">
        <f t="shared" si="41"/>
        <v>0.23125000000000001</v>
      </c>
      <c r="S22" s="10">
        <f t="shared" si="41"/>
        <v>0.28873239436619719</v>
      </c>
      <c r="T22" s="10">
        <f t="shared" si="41"/>
        <v>0.25</v>
      </c>
      <c r="U22" s="10">
        <f t="shared" si="41"/>
        <v>0.25</v>
      </c>
      <c r="V22" s="10">
        <f t="shared" si="41"/>
        <v>0.25</v>
      </c>
      <c r="X22" s="10">
        <f t="shared" ref="X22:AL22" si="42">X13/X12</f>
        <v>0.50865051903114189</v>
      </c>
      <c r="Y22" s="10">
        <f t="shared" si="42"/>
        <v>0.24123422159887797</v>
      </c>
      <c r="Z22" s="10">
        <f t="shared" si="42"/>
        <v>0.27382753403933435</v>
      </c>
      <c r="AA22" s="10">
        <f t="shared" si="42"/>
        <v>0.34615384615384615</v>
      </c>
      <c r="AB22" s="10">
        <f t="shared" si="42"/>
        <v>0.26634020424066901</v>
      </c>
      <c r="AC22" s="10">
        <f t="shared" si="42"/>
        <v>0.27</v>
      </c>
      <c r="AD22" s="10">
        <f t="shared" si="42"/>
        <v>0.27</v>
      </c>
      <c r="AE22" s="10">
        <f t="shared" si="42"/>
        <v>0.27</v>
      </c>
      <c r="AF22" s="10">
        <f t="shared" si="42"/>
        <v>0.27</v>
      </c>
      <c r="AG22" s="10">
        <f t="shared" si="42"/>
        <v>0.27</v>
      </c>
      <c r="AH22" s="10">
        <f t="shared" si="42"/>
        <v>0.27</v>
      </c>
      <c r="AI22" s="10">
        <f t="shared" si="42"/>
        <v>0.27</v>
      </c>
      <c r="AJ22" s="10">
        <f t="shared" si="42"/>
        <v>0.27</v>
      </c>
      <c r="AK22" s="10">
        <f t="shared" si="42"/>
        <v>0.27</v>
      </c>
      <c r="AL22" s="10">
        <f t="shared" si="42"/>
        <v>0.27</v>
      </c>
      <c r="AN22" t="s">
        <v>50</v>
      </c>
      <c r="AO22" s="5">
        <f>NPV(AO21,AB14:EH14)</f>
        <v>7340.8538817372491</v>
      </c>
    </row>
    <row r="23" spans="2:41" x14ac:dyDescent="0.3">
      <c r="B23" s="9" t="s">
        <v>58</v>
      </c>
      <c r="C23" s="10">
        <f>C14/C3</f>
        <v>8.9955022488755629E-2</v>
      </c>
      <c r="D23" s="10">
        <f t="shared" ref="D23:V23" si="43">D14/D3</f>
        <v>2.9982363315696647E-2</v>
      </c>
      <c r="E23" s="10">
        <f t="shared" si="43"/>
        <v>5.4545454545454543E-2</v>
      </c>
      <c r="F23" s="10">
        <f t="shared" si="43"/>
        <v>-2.2171945701357467E-2</v>
      </c>
      <c r="G23" s="10">
        <f t="shared" si="43"/>
        <v>8.1481481481481488E-2</v>
      </c>
      <c r="H23" s="10">
        <f t="shared" si="43"/>
        <v>4.9382716049382713E-2</v>
      </c>
      <c r="I23" s="10">
        <f t="shared" si="43"/>
        <v>6.9892473118279563E-2</v>
      </c>
      <c r="J23" s="10">
        <f t="shared" si="43"/>
        <v>6.9542253521126765E-2</v>
      </c>
      <c r="K23" s="10">
        <f t="shared" si="43"/>
        <v>8.2771896053897981E-2</v>
      </c>
      <c r="L23" s="10">
        <f t="shared" si="43"/>
        <v>3.3821871476888386E-2</v>
      </c>
      <c r="M23" s="10">
        <f t="shared" si="43"/>
        <v>6.5217391304347824E-2</v>
      </c>
      <c r="N23" s="10">
        <f t="shared" si="43"/>
        <v>5.4930211616389016E-2</v>
      </c>
      <c r="O23" s="10">
        <f t="shared" si="43"/>
        <v>-9.3537414965986401E-2</v>
      </c>
      <c r="P23" s="10">
        <f t="shared" si="43"/>
        <v>2.1665864227250843E-2</v>
      </c>
      <c r="Q23" s="10">
        <f t="shared" si="43"/>
        <v>0.12583095916429249</v>
      </c>
      <c r="R23" s="10">
        <f t="shared" si="43"/>
        <v>5.6190041114664233E-2</v>
      </c>
      <c r="S23" s="10">
        <f t="shared" si="43"/>
        <v>9.3822573153738972E-2</v>
      </c>
      <c r="T23" s="10">
        <f t="shared" si="43"/>
        <v>2.5288331071913132E-2</v>
      </c>
      <c r="U23" s="10">
        <f t="shared" si="43"/>
        <v>5.7004245296324495E-2</v>
      </c>
      <c r="V23" s="10">
        <f t="shared" si="43"/>
        <v>5.5723000026872353E-2</v>
      </c>
      <c r="X23" s="10">
        <f t="shared" ref="X23:AL23" si="44">X14/X3</f>
        <v>3.6494474428167563E-2</v>
      </c>
      <c r="Y23" s="10">
        <f t="shared" si="44"/>
        <v>6.8144602594785234E-2</v>
      </c>
      <c r="Z23" s="10">
        <f t="shared" si="44"/>
        <v>5.9962523422860715E-2</v>
      </c>
      <c r="AA23" s="10">
        <f t="shared" si="44"/>
        <v>4.2792792792792793E-2</v>
      </c>
      <c r="AB23" s="10">
        <f t="shared" si="44"/>
        <v>5.9215122413255702E-2</v>
      </c>
      <c r="AC23" s="10">
        <f t="shared" si="44"/>
        <v>5.6925778075364461E-2</v>
      </c>
      <c r="AD23" s="10">
        <f t="shared" si="44"/>
        <v>5.7800001712024658E-2</v>
      </c>
      <c r="AE23" s="10">
        <f t="shared" si="44"/>
        <v>5.8413116451054618E-2</v>
      </c>
      <c r="AF23" s="10">
        <f t="shared" si="44"/>
        <v>5.8960499344584812E-2</v>
      </c>
      <c r="AG23" s="10">
        <f t="shared" si="44"/>
        <v>5.8102592926742219E-2</v>
      </c>
      <c r="AH23" s="10">
        <f t="shared" si="44"/>
        <v>5.7188832393351902E-2</v>
      </c>
      <c r="AI23" s="10">
        <f t="shared" si="44"/>
        <v>5.6222026013802072E-2</v>
      </c>
      <c r="AJ23" s="10">
        <f t="shared" si="44"/>
        <v>5.6813071626863783E-2</v>
      </c>
      <c r="AK23" s="10">
        <f t="shared" si="44"/>
        <v>5.7383273764727856E-2</v>
      </c>
      <c r="AL23" s="10">
        <f t="shared" si="44"/>
        <v>5.7934786147327721E-2</v>
      </c>
      <c r="AN23" t="s">
        <v>52</v>
      </c>
      <c r="AO23" s="5">
        <f>Main!D8</f>
        <v>2196</v>
      </c>
    </row>
    <row r="24" spans="2:41" x14ac:dyDescent="0.3">
      <c r="AN24" t="s">
        <v>51</v>
      </c>
      <c r="AO24" s="5">
        <f>AO22+AO23</f>
        <v>9536.85388173725</v>
      </c>
    </row>
    <row r="25" spans="2:41" x14ac:dyDescent="0.3">
      <c r="AN25" t="s">
        <v>53</v>
      </c>
      <c r="AO25" s="12">
        <f>AO24/AL15</f>
        <v>92.143515765577291</v>
      </c>
    </row>
    <row r="26" spans="2:41" x14ac:dyDescent="0.3">
      <c r="AN26" t="s">
        <v>54</v>
      </c>
      <c r="AO26" s="12">
        <f>Main!D3</f>
        <v>54.44</v>
      </c>
    </row>
    <row r="27" spans="2:41" x14ac:dyDescent="0.3">
      <c r="AN27" s="1" t="s">
        <v>55</v>
      </c>
      <c r="AO27" s="13">
        <f>AO25/AO26-1</f>
        <v>0.69257009121192681</v>
      </c>
    </row>
    <row r="28" spans="2:41" x14ac:dyDescent="0.3">
      <c r="AN28" t="s">
        <v>56</v>
      </c>
      <c r="AO28" s="6" t="s">
        <v>57</v>
      </c>
    </row>
    <row r="30" spans="2:41" x14ac:dyDescent="0.3">
      <c r="AN30" t="s">
        <v>59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2021-03-26T13:35:01Z</dcterms:created>
  <dcterms:modified xsi:type="dcterms:W3CDTF">2021-08-06T12:14:03Z</dcterms:modified>
</cp:coreProperties>
</file>