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DCDF078F-6A7B-4258-A045-FFF7589382C3}" xr6:coauthVersionLast="47" xr6:coauthVersionMax="47" xr10:uidLastSave="{00000000-0000-0000-0000-000000000000}"/>
  <bookViews>
    <workbookView xWindow="-108" yWindow="-108" windowWidth="23256" windowHeight="12576" xr2:uid="{9FA048E8-CD64-4FE4-A115-46129781B05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6" i="2" l="1"/>
  <c r="AO35" i="2"/>
  <c r="AO34" i="2"/>
  <c r="AO33" i="2"/>
  <c r="AO32" i="2"/>
  <c r="AO31" i="2"/>
  <c r="AM23" i="2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EF23" i="2" s="1"/>
  <c r="EG23" i="2" s="1"/>
  <c r="EH23" i="2" s="1"/>
  <c r="EI23" i="2" s="1"/>
  <c r="EJ23" i="2" s="1"/>
  <c r="EK23" i="2" s="1"/>
  <c r="EL23" i="2" s="1"/>
  <c r="EM23" i="2" s="1"/>
  <c r="EN23" i="2" s="1"/>
  <c r="EO23" i="2" s="1"/>
  <c r="EP23" i="2" s="1"/>
  <c r="AL23" i="2"/>
  <c r="AK24" i="2"/>
  <c r="AJ24" i="2"/>
  <c r="AI24" i="2"/>
  <c r="AH24" i="2"/>
  <c r="AG24" i="2"/>
  <c r="AF24" i="2"/>
  <c r="AE24" i="2"/>
  <c r="AD24" i="2"/>
  <c r="AC24" i="2"/>
  <c r="AC18" i="2"/>
  <c r="AC19" i="2" s="1"/>
  <c r="AD14" i="2"/>
  <c r="AE14" i="2" s="1"/>
  <c r="AC14" i="2"/>
  <c r="AF12" i="2"/>
  <c r="AF13" i="2" s="1"/>
  <c r="AK10" i="2"/>
  <c r="AJ10" i="2"/>
  <c r="AI10" i="2"/>
  <c r="AH10" i="2"/>
  <c r="AG10" i="2"/>
  <c r="AG12" i="2" s="1"/>
  <c r="AG13" i="2" s="1"/>
  <c r="AF10" i="2"/>
  <c r="AE10" i="2"/>
  <c r="AD10" i="2"/>
  <c r="AC10" i="2"/>
  <c r="AK9" i="2"/>
  <c r="AK12" i="2" s="1"/>
  <c r="AK13" i="2" s="1"/>
  <c r="AJ9" i="2"/>
  <c r="AJ12" i="2" s="1"/>
  <c r="AJ13" i="2" s="1"/>
  <c r="AI9" i="2"/>
  <c r="AI12" i="2" s="1"/>
  <c r="AI13" i="2" s="1"/>
  <c r="AH9" i="2"/>
  <c r="AH12" i="2" s="1"/>
  <c r="AH13" i="2" s="1"/>
  <c r="AG9" i="2"/>
  <c r="AF9" i="2"/>
  <c r="AE9" i="2"/>
  <c r="AE12" i="2" s="1"/>
  <c r="AE13" i="2" s="1"/>
  <c r="AD9" i="2"/>
  <c r="AD12" i="2" s="1"/>
  <c r="AD13" i="2" s="1"/>
  <c r="AC9" i="2"/>
  <c r="AC12" i="2" s="1"/>
  <c r="AC13" i="2" s="1"/>
  <c r="AC20" i="2" s="1"/>
  <c r="AB24" i="2"/>
  <c r="AB19" i="2"/>
  <c r="AB14" i="2"/>
  <c r="AB18" i="2"/>
  <c r="AB12" i="2"/>
  <c r="AB13" i="2" s="1"/>
  <c r="AB10" i="2"/>
  <c r="AB9" i="2"/>
  <c r="AH6" i="2"/>
  <c r="AI6" i="2" s="1"/>
  <c r="AJ6" i="2" s="1"/>
  <c r="AK6" i="2" s="1"/>
  <c r="AG6" i="2"/>
  <c r="AF6" i="2"/>
  <c r="AE6" i="2"/>
  <c r="AD6" i="2"/>
  <c r="AC6" i="2"/>
  <c r="AB6" i="2"/>
  <c r="AF14" i="2" l="1"/>
  <c r="AC23" i="2"/>
  <c r="AC25" i="2" s="1"/>
  <c r="AC22" i="2"/>
  <c r="AC34" i="2" s="1"/>
  <c r="AC21" i="2"/>
  <c r="AD18" i="2"/>
  <c r="AE18" i="2" s="1"/>
  <c r="AF18" i="2" s="1"/>
  <c r="AG18" i="2" s="1"/>
  <c r="AH18" i="2" s="1"/>
  <c r="AI18" i="2" s="1"/>
  <c r="AJ18" i="2" s="1"/>
  <c r="AK18" i="2" s="1"/>
  <c r="AB20" i="2"/>
  <c r="AK29" i="2"/>
  <c r="AK5" i="2"/>
  <c r="AJ5" i="2"/>
  <c r="AI5" i="2"/>
  <c r="AH5" i="2"/>
  <c r="AG5" i="2"/>
  <c r="AF5" i="2"/>
  <c r="AE5" i="2"/>
  <c r="AE4" i="2" s="1"/>
  <c r="AD5" i="2"/>
  <c r="AD4" i="2" s="1"/>
  <c r="AC5" i="2"/>
  <c r="AC28" i="2" s="1"/>
  <c r="AI4" i="2"/>
  <c r="AK4" i="2"/>
  <c r="AJ4" i="2"/>
  <c r="AH4" i="2"/>
  <c r="AG4" i="2"/>
  <c r="AF4" i="2"/>
  <c r="AC4" i="2"/>
  <c r="AB5" i="2"/>
  <c r="AB4" i="2" s="1"/>
  <c r="AI3" i="2"/>
  <c r="AJ3" i="2" s="1"/>
  <c r="AK3" i="2" s="1"/>
  <c r="AH3" i="2"/>
  <c r="AG3" i="2"/>
  <c r="AF3" i="2"/>
  <c r="AE3" i="2"/>
  <c r="AD3" i="2"/>
  <c r="AC3" i="2"/>
  <c r="AB3" i="2"/>
  <c r="AB30" i="2" s="1"/>
  <c r="AA35" i="2"/>
  <c r="AA34" i="2"/>
  <c r="AC33" i="2"/>
  <c r="AA33" i="2"/>
  <c r="AC32" i="2"/>
  <c r="AA32" i="2"/>
  <c r="AC31" i="2"/>
  <c r="AB31" i="2"/>
  <c r="AA31" i="2"/>
  <c r="AC30" i="2"/>
  <c r="AA30" i="2"/>
  <c r="AG29" i="2"/>
  <c r="AF29" i="2"/>
  <c r="AE29" i="2"/>
  <c r="AD29" i="2"/>
  <c r="AC29" i="2"/>
  <c r="AB29" i="2"/>
  <c r="AA29" i="2"/>
  <c r="AB28" i="2"/>
  <c r="AA28" i="2"/>
  <c r="AC27" i="2"/>
  <c r="AB27" i="2"/>
  <c r="AA27" i="2"/>
  <c r="AA22" i="2"/>
  <c r="AA21" i="2"/>
  <c r="AA18" i="2"/>
  <c r="AA17" i="2"/>
  <c r="AA16" i="2"/>
  <c r="AA15" i="2"/>
  <c r="AA14" i="2"/>
  <c r="AA11" i="2"/>
  <c r="AA10" i="2"/>
  <c r="AA9" i="2"/>
  <c r="AA8" i="2"/>
  <c r="AA7" i="2"/>
  <c r="AA6" i="2"/>
  <c r="AA4" i="2"/>
  <c r="AA3" i="2"/>
  <c r="AA24" i="2"/>
  <c r="R5" i="2"/>
  <c r="R28" i="2" s="1"/>
  <c r="Q5" i="2"/>
  <c r="Q4" i="2" s="1"/>
  <c r="P35" i="2"/>
  <c r="O35" i="2"/>
  <c r="P34" i="2"/>
  <c r="O34" i="2"/>
  <c r="P33" i="2"/>
  <c r="O33" i="2"/>
  <c r="P32" i="2"/>
  <c r="O32" i="2"/>
  <c r="R31" i="2"/>
  <c r="Q31" i="2"/>
  <c r="P31" i="2"/>
  <c r="O31" i="2"/>
  <c r="R30" i="2"/>
  <c r="Q30" i="2"/>
  <c r="P30" i="2"/>
  <c r="O30" i="2"/>
  <c r="R29" i="2"/>
  <c r="Q29" i="2"/>
  <c r="P29" i="2"/>
  <c r="O29" i="2"/>
  <c r="P28" i="2"/>
  <c r="O28" i="2"/>
  <c r="R27" i="2"/>
  <c r="Q27" i="2"/>
  <c r="P27" i="2"/>
  <c r="O27" i="2"/>
  <c r="R24" i="2"/>
  <c r="Q24" i="2"/>
  <c r="P24" i="2"/>
  <c r="P20" i="2"/>
  <c r="P22" i="2" s="1"/>
  <c r="R19" i="2"/>
  <c r="Q19" i="2"/>
  <c r="P19" i="2"/>
  <c r="O24" i="2"/>
  <c r="O20" i="2"/>
  <c r="O21" i="2" s="1"/>
  <c r="O19" i="2"/>
  <c r="R14" i="2"/>
  <c r="Q14" i="2"/>
  <c r="P14" i="2"/>
  <c r="O14" i="2"/>
  <c r="P13" i="2"/>
  <c r="R12" i="2"/>
  <c r="Q12" i="2"/>
  <c r="P12" i="2"/>
  <c r="O12" i="2"/>
  <c r="O13" i="2" s="1"/>
  <c r="R10" i="2"/>
  <c r="Q10" i="2"/>
  <c r="P10" i="2"/>
  <c r="O10" i="2"/>
  <c r="R9" i="2"/>
  <c r="Q9" i="2"/>
  <c r="P9" i="2"/>
  <c r="O9" i="2"/>
  <c r="R8" i="2"/>
  <c r="Q8" i="2"/>
  <c r="P8" i="2"/>
  <c r="O8" i="2"/>
  <c r="R6" i="2"/>
  <c r="Q6" i="2"/>
  <c r="P6" i="2"/>
  <c r="O6" i="2"/>
  <c r="P5" i="2"/>
  <c r="O5" i="2"/>
  <c r="O4" i="2" s="1"/>
  <c r="R4" i="2"/>
  <c r="P4" i="2"/>
  <c r="R3" i="2"/>
  <c r="Q3" i="2"/>
  <c r="P3" i="2"/>
  <c r="O3" i="2"/>
  <c r="Y35" i="2"/>
  <c r="Y34" i="2"/>
  <c r="Y33" i="2"/>
  <c r="Y32" i="2"/>
  <c r="Y31" i="2"/>
  <c r="Y30" i="2"/>
  <c r="Y28" i="2"/>
  <c r="Z29" i="2"/>
  <c r="Z27" i="2"/>
  <c r="Z35" i="2"/>
  <c r="Z34" i="2"/>
  <c r="Z33" i="2"/>
  <c r="Z32" i="2"/>
  <c r="Z31" i="2"/>
  <c r="Z30" i="2"/>
  <c r="Z28" i="2"/>
  <c r="M35" i="2"/>
  <c r="L35" i="2"/>
  <c r="K35" i="2"/>
  <c r="J35" i="2"/>
  <c r="I35" i="2"/>
  <c r="H35" i="2"/>
  <c r="G35" i="2"/>
  <c r="M34" i="2"/>
  <c r="L34" i="2"/>
  <c r="K34" i="2"/>
  <c r="J34" i="2"/>
  <c r="I34" i="2"/>
  <c r="H34" i="2"/>
  <c r="G34" i="2"/>
  <c r="M33" i="2"/>
  <c r="L33" i="2"/>
  <c r="K33" i="2"/>
  <c r="J33" i="2"/>
  <c r="I33" i="2"/>
  <c r="H33" i="2"/>
  <c r="G33" i="2"/>
  <c r="M32" i="2"/>
  <c r="L32" i="2"/>
  <c r="K32" i="2"/>
  <c r="J32" i="2"/>
  <c r="I32" i="2"/>
  <c r="H32" i="2"/>
  <c r="G32" i="2"/>
  <c r="M31" i="2"/>
  <c r="L31" i="2"/>
  <c r="K31" i="2"/>
  <c r="J31" i="2"/>
  <c r="I31" i="2"/>
  <c r="H31" i="2"/>
  <c r="G31" i="2"/>
  <c r="M30" i="2"/>
  <c r="L30" i="2"/>
  <c r="K30" i="2"/>
  <c r="J30" i="2"/>
  <c r="I30" i="2"/>
  <c r="H30" i="2"/>
  <c r="G30" i="2"/>
  <c r="M29" i="2"/>
  <c r="L29" i="2"/>
  <c r="K29" i="2"/>
  <c r="M28" i="2"/>
  <c r="L28" i="2"/>
  <c r="K28" i="2"/>
  <c r="J28" i="2"/>
  <c r="I28" i="2"/>
  <c r="H28" i="2"/>
  <c r="G28" i="2"/>
  <c r="M27" i="2"/>
  <c r="L27" i="2"/>
  <c r="K27" i="2"/>
  <c r="N33" i="2"/>
  <c r="N31" i="2"/>
  <c r="N30" i="2"/>
  <c r="N29" i="2"/>
  <c r="N28" i="2"/>
  <c r="N27" i="2"/>
  <c r="Y22" i="2"/>
  <c r="Y21" i="2"/>
  <c r="Y18" i="2"/>
  <c r="Y17" i="2"/>
  <c r="Y16" i="2"/>
  <c r="Y15" i="2"/>
  <c r="Y14" i="2"/>
  <c r="Y11" i="2"/>
  <c r="Y10" i="2"/>
  <c r="Y9" i="2"/>
  <c r="Y8" i="2"/>
  <c r="Y7" i="2"/>
  <c r="Y6" i="2"/>
  <c r="Y4" i="2"/>
  <c r="Y3" i="2"/>
  <c r="Y24" i="2"/>
  <c r="Y5" i="2"/>
  <c r="Z22" i="2"/>
  <c r="Z21" i="2"/>
  <c r="Z18" i="2"/>
  <c r="Z17" i="2"/>
  <c r="Z16" i="2"/>
  <c r="Z15" i="2"/>
  <c r="Z14" i="2"/>
  <c r="Z11" i="2"/>
  <c r="Z10" i="2"/>
  <c r="Z9" i="2"/>
  <c r="Z8" i="2"/>
  <c r="Z7" i="2"/>
  <c r="Z6" i="2"/>
  <c r="Z4" i="2"/>
  <c r="Z3" i="2"/>
  <c r="Z24" i="2"/>
  <c r="G24" i="2"/>
  <c r="G19" i="2"/>
  <c r="G12" i="2"/>
  <c r="G5" i="2"/>
  <c r="K24" i="2"/>
  <c r="K19" i="2"/>
  <c r="K12" i="2"/>
  <c r="K5" i="2"/>
  <c r="H24" i="2"/>
  <c r="H19" i="2"/>
  <c r="H12" i="2"/>
  <c r="H5" i="2"/>
  <c r="L24" i="2"/>
  <c r="L19" i="2"/>
  <c r="L12" i="2"/>
  <c r="L5" i="2"/>
  <c r="I24" i="2"/>
  <c r="I19" i="2"/>
  <c r="I12" i="2"/>
  <c r="I5" i="2"/>
  <c r="M24" i="2"/>
  <c r="M19" i="2"/>
  <c r="M12" i="2"/>
  <c r="M5" i="2"/>
  <c r="J24" i="2"/>
  <c r="J19" i="2"/>
  <c r="J12" i="2"/>
  <c r="J5" i="2"/>
  <c r="N24" i="2"/>
  <c r="N23" i="2"/>
  <c r="N25" i="2" s="1"/>
  <c r="N20" i="2"/>
  <c r="N34" i="2" s="1"/>
  <c r="N19" i="2"/>
  <c r="N12" i="2"/>
  <c r="N5" i="2"/>
  <c r="N13" i="2" s="1"/>
  <c r="N32" i="2" s="1"/>
  <c r="D9" i="1"/>
  <c r="D8" i="1"/>
  <c r="D7" i="1"/>
  <c r="D6" i="1"/>
  <c r="D5" i="1"/>
  <c r="D4" i="1"/>
  <c r="F3" i="1"/>
  <c r="AB21" i="2" l="1"/>
  <c r="AB33" i="2" s="1"/>
  <c r="AB22" i="2"/>
  <c r="AB34" i="2" s="1"/>
  <c r="AG14" i="2"/>
  <c r="AF19" i="2"/>
  <c r="AF20" i="2" s="1"/>
  <c r="AE19" i="2"/>
  <c r="AE20" i="2" s="1"/>
  <c r="AD19" i="2"/>
  <c r="AD20" i="2" s="1"/>
  <c r="AH29" i="2"/>
  <c r="AI29" i="2"/>
  <c r="AJ29" i="2"/>
  <c r="AD30" i="2"/>
  <c r="AD27" i="2"/>
  <c r="AC35" i="2"/>
  <c r="AD28" i="2"/>
  <c r="AD31" i="2"/>
  <c r="AD32" i="2"/>
  <c r="AB32" i="2"/>
  <c r="AA19" i="2"/>
  <c r="AA12" i="2"/>
  <c r="AA5" i="2"/>
  <c r="AA13" i="2" s="1"/>
  <c r="R13" i="2"/>
  <c r="Q13" i="2"/>
  <c r="Q28" i="2"/>
  <c r="P23" i="2"/>
  <c r="P25" i="2" s="1"/>
  <c r="O23" i="2"/>
  <c r="O25" i="2" s="1"/>
  <c r="P21" i="2"/>
  <c r="O22" i="2"/>
  <c r="N35" i="2"/>
  <c r="Y19" i="2"/>
  <c r="Y12" i="2"/>
  <c r="Y13" i="2" s="1"/>
  <c r="Z19" i="2"/>
  <c r="Z12" i="2"/>
  <c r="Z5" i="2"/>
  <c r="G13" i="2"/>
  <c r="G20" i="2" s="1"/>
  <c r="G23" i="2" s="1"/>
  <c r="G25" i="2" s="1"/>
  <c r="K13" i="2"/>
  <c r="K20" i="2" s="1"/>
  <c r="K23" i="2" s="1"/>
  <c r="K25" i="2" s="1"/>
  <c r="H13" i="2"/>
  <c r="H20" i="2" s="1"/>
  <c r="H23" i="2" s="1"/>
  <c r="H25" i="2" s="1"/>
  <c r="L13" i="2"/>
  <c r="L20" i="2" s="1"/>
  <c r="L23" i="2" s="1"/>
  <c r="L25" i="2" s="1"/>
  <c r="I13" i="2"/>
  <c r="I20" i="2" s="1"/>
  <c r="I23" i="2" s="1"/>
  <c r="I25" i="2" s="1"/>
  <c r="M13" i="2"/>
  <c r="M20" i="2" s="1"/>
  <c r="M23" i="2" s="1"/>
  <c r="M25" i="2" s="1"/>
  <c r="J13" i="2"/>
  <c r="J20" i="2" s="1"/>
  <c r="J23" i="2" s="1"/>
  <c r="J25" i="2" s="1"/>
  <c r="AD22" i="2" l="1"/>
  <c r="AD34" i="2" s="1"/>
  <c r="AD21" i="2"/>
  <c r="AD33" i="2" s="1"/>
  <c r="AG19" i="2"/>
  <c r="AG20" i="2" s="1"/>
  <c r="AH14" i="2"/>
  <c r="AF22" i="2"/>
  <c r="AF34" i="2" s="1"/>
  <c r="AF21" i="2"/>
  <c r="AF33" i="2" s="1"/>
  <c r="AF23" i="2"/>
  <c r="AF25" i="2" s="1"/>
  <c r="AE22" i="2"/>
  <c r="AE34" i="2" s="1"/>
  <c r="AE21" i="2"/>
  <c r="AE33" i="2" s="1"/>
  <c r="AB23" i="2"/>
  <c r="AE30" i="2"/>
  <c r="AE32" i="2"/>
  <c r="AE27" i="2"/>
  <c r="AE31" i="2"/>
  <c r="AE28" i="2"/>
  <c r="AA20" i="2"/>
  <c r="AA23" i="2" s="1"/>
  <c r="AA25" i="2" s="1"/>
  <c r="R32" i="2"/>
  <c r="R20" i="2"/>
  <c r="Q20" i="2"/>
  <c r="Q32" i="2"/>
  <c r="Y20" i="2"/>
  <c r="Y23" i="2" s="1"/>
  <c r="Y25" i="2" s="1"/>
  <c r="Z13" i="2"/>
  <c r="Z20" i="2" s="1"/>
  <c r="Z23" i="2" s="1"/>
  <c r="Z25" i="2" s="1"/>
  <c r="AH19" i="2" l="1"/>
  <c r="AH20" i="2" s="1"/>
  <c r="AI14" i="2"/>
  <c r="AB25" i="2"/>
  <c r="AB35" i="2"/>
  <c r="AG21" i="2"/>
  <c r="AG33" i="2" s="1"/>
  <c r="AG22" i="2"/>
  <c r="AG34" i="2" s="1"/>
  <c r="AG23" i="2"/>
  <c r="AG25" i="2" s="1"/>
  <c r="AE23" i="2"/>
  <c r="AD23" i="2"/>
  <c r="AF32" i="2"/>
  <c r="AF35" i="2"/>
  <c r="AF31" i="2"/>
  <c r="AF28" i="2"/>
  <c r="AF30" i="2"/>
  <c r="AF27" i="2"/>
  <c r="R21" i="2"/>
  <c r="R33" i="2" s="1"/>
  <c r="R22" i="2"/>
  <c r="R34" i="2" s="1"/>
  <c r="Q22" i="2"/>
  <c r="Q34" i="2" s="1"/>
  <c r="Q21" i="2"/>
  <c r="AE25" i="2" l="1"/>
  <c r="AE35" i="2"/>
  <c r="AI19" i="2"/>
  <c r="AI20" i="2" s="1"/>
  <c r="AJ14" i="2"/>
  <c r="AD25" i="2"/>
  <c r="AD35" i="2"/>
  <c r="AH21" i="2"/>
  <c r="AH33" i="2" s="1"/>
  <c r="AH23" i="2"/>
  <c r="AH25" i="2" s="1"/>
  <c r="AH22" i="2"/>
  <c r="AH34" i="2" s="1"/>
  <c r="AG31" i="2"/>
  <c r="AG28" i="2"/>
  <c r="AG30" i="2"/>
  <c r="AG35" i="2"/>
  <c r="AG32" i="2"/>
  <c r="AG27" i="2"/>
  <c r="R23" i="2"/>
  <c r="Q23" i="2"/>
  <c r="Q33" i="2"/>
  <c r="AK14" i="2" l="1"/>
  <c r="AK19" i="2" s="1"/>
  <c r="AK20" i="2" s="1"/>
  <c r="AJ19" i="2"/>
  <c r="AJ20" i="2" s="1"/>
  <c r="AI22" i="2"/>
  <c r="AI34" i="2" s="1"/>
  <c r="AI21" i="2"/>
  <c r="AI33" i="2" s="1"/>
  <c r="AH31" i="2"/>
  <c r="AH28" i="2"/>
  <c r="AH32" i="2"/>
  <c r="AH35" i="2"/>
  <c r="AH30" i="2"/>
  <c r="AH27" i="2"/>
  <c r="R25" i="2"/>
  <c r="R35" i="2"/>
  <c r="Q25" i="2"/>
  <c r="Q35" i="2"/>
  <c r="AI23" i="2" l="1"/>
  <c r="AI25" i="2" s="1"/>
  <c r="AJ22" i="2"/>
  <c r="AJ34" i="2" s="1"/>
  <c r="AJ21" i="2"/>
  <c r="AJ33" i="2" s="1"/>
  <c r="AK21" i="2"/>
  <c r="AK33" i="2" s="1"/>
  <c r="AK22" i="2"/>
  <c r="AK34" i="2" s="1"/>
  <c r="AI31" i="2"/>
  <c r="AI27" i="2"/>
  <c r="AI30" i="2"/>
  <c r="AI35" i="2"/>
  <c r="AI32" i="2"/>
  <c r="AI28" i="2"/>
  <c r="AK23" i="2" l="1"/>
  <c r="AK25" i="2" s="1"/>
  <c r="AJ23" i="2"/>
  <c r="AJ25" i="2" s="1"/>
  <c r="AJ30" i="2"/>
  <c r="AJ27" i="2"/>
  <c r="AJ28" i="2"/>
  <c r="AJ35" i="2"/>
  <c r="AJ32" i="2"/>
  <c r="AJ31" i="2"/>
  <c r="AK30" i="2" l="1"/>
  <c r="AK27" i="2"/>
  <c r="AK31" i="2"/>
  <c r="AK35" i="2"/>
  <c r="AK32" i="2"/>
  <c r="AK28" i="2"/>
</calcChain>
</file>

<file path=xl/sharedStrings.xml><?xml version="1.0" encoding="utf-8"?>
<sst xmlns="http://schemas.openxmlformats.org/spreadsheetml/2006/main" count="69" uniqueCount="66">
  <si>
    <t>FOUR</t>
  </si>
  <si>
    <t>Price</t>
  </si>
  <si>
    <t>Shares</t>
  </si>
  <si>
    <t>EV</t>
  </si>
  <si>
    <t>MC</t>
  </si>
  <si>
    <t>Cash</t>
  </si>
  <si>
    <t>Debt</t>
  </si>
  <si>
    <t>Net Cash</t>
  </si>
  <si>
    <t>Last checked</t>
  </si>
  <si>
    <t>Today</t>
  </si>
  <si>
    <t>Earnings</t>
  </si>
  <si>
    <t>Revenue</t>
  </si>
  <si>
    <t>Cost of sales</t>
  </si>
  <si>
    <t>Gross profit</t>
  </si>
  <si>
    <t>G&amp;A</t>
  </si>
  <si>
    <t>D&amp;A</t>
  </si>
  <si>
    <t>Professional expense</t>
  </si>
  <si>
    <t>Other expense</t>
  </si>
  <si>
    <t>S&amp;M</t>
  </si>
  <si>
    <t>Impairment</t>
  </si>
  <si>
    <t>Operating profit</t>
  </si>
  <si>
    <t>Interest income</t>
  </si>
  <si>
    <t>Investment income</t>
  </si>
  <si>
    <t>Finance expense</t>
  </si>
  <si>
    <t>Interest expense</t>
  </si>
  <si>
    <t>Pretax profit</t>
  </si>
  <si>
    <t>Taxes</t>
  </si>
  <si>
    <t>MI</t>
  </si>
  <si>
    <t>Net profit</t>
  </si>
  <si>
    <t>EPS</t>
  </si>
  <si>
    <t>Net finance expense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</si>
  <si>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</si>
  <si>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</si>
  <si>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</si>
  <si>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</si>
  <si>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</si>
  <si>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</si>
  <si>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</si>
  <si>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</si>
  <si>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</si>
  <si>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</si>
  <si>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</si>
  <si>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</si>
  <si>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</si>
  <si>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</si>
  <si>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</si>
  <si>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</si>
  <si>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Total operating expense</t>
  </si>
  <si>
    <t>Other income</t>
  </si>
  <si>
    <t>Revenue y/y</t>
  </si>
  <si>
    <t>Gross Margin</t>
  </si>
  <si>
    <t>G&amp;A y/y</t>
  </si>
  <si>
    <t>Professional Margin</t>
  </si>
  <si>
    <t>S&amp;M Margin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</si>
  <si>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</si>
  <si>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</si>
  <si>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</si>
  <si>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</si>
  <si>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</si>
  <si>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</si>
  <si>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</si>
  <si>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</si>
  <si>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</si>
  <si>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</si>
  <si>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</si>
  <si>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Fairly 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</si>
</sst>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3" fontId="1" fillId="0" borderId="0" xfId="0" applyNumberFormat="1" applyFont="1"/>
    <xf numFmtId="3" fontId="0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0</xdr:row>
      <xdr:rowOff>7620</xdr:rowOff>
    </xdr:from>
    <xdr:to>
      <xdr:col>14</xdr:col>
      <xdr:colOff>15240</xdr:colOff>
      <xdr:row>39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FAFE1CF-FA27-6372-EF9B-8DFF01E4E69A}"/>
            </a:ext>
          </a:extLst>
        </xdr:cNvPr>
        <xdr:cNvCxnSpPr/>
      </xdr:nvCxnSpPr>
      <xdr:spPr>
        <a:xfrm>
          <a:off x="9364980" y="7620"/>
          <a:ext cx="0" cy="7231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15240</xdr:colOff>
      <xdr:row>0</xdr:row>
      <xdr:rowOff>7620</xdr:rowOff>
    </xdr:from>
    <xdr:to>
      <xdr:col>26</xdr:col>
      <xdr:colOff>15240</xdr:colOff>
      <xdr:row>39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E4ABCD4-DDA1-DD02-C985-F9C3390BF18A}"/>
            </a:ext>
          </a:extLst>
        </xdr:cNvPr>
        <xdr:cNvCxnSpPr/>
      </xdr:nvCxnSpPr>
      <xdr:spPr>
        <a:xfrm>
          <a:off x="16680180" y="7620"/>
          <a:ext cx="0" cy="7231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74E81-96ED-46CE-A3C1-5B881134D282}">
  <dimension ref="B2:G9"/>
  <sheetViews>
    <sheetView tabSelected="1" workbookViewId="0">
      <selection activeCell="D4" sqref="D4"/>
    </sheetView>
  </sheetViews>
  <sheetFormatPr defaultRowHeight="14.4" x14ac:dyDescent="0.3"/>
  <cols>
    <col min="5" max="7" width="12.77734375" style="2" customWidth="1"/>
  </cols>
  <sheetData>
    <row r="2" spans="2:7" x14ac:dyDescent="0.3">
      <c r="E2" s="2" t="s">
        <v>8</v>
      </c>
      <c r="F2" s="2" t="s">
        <v>9</v>
      </c>
      <c r="G2" s="2" t="s">
        <v>10</v>
      </c>
    </row>
    <row r="3" spans="2:7" x14ac:dyDescent="0.3">
      <c r="B3" s="1" t="s">
        <v>0</v>
      </c>
      <c r="C3" t="s">
        <v>1</v>
      </c>
      <c r="D3" s="4">
        <v>73.5</v>
      </c>
      <c r="E3" s="3">
        <v>45756</v>
      </c>
      <c r="F3" s="3">
        <f ca="1">TODAY()</f>
        <v>45756</v>
      </c>
      <c r="G3" s="3">
        <v>45778</v>
      </c>
    </row>
    <row r="4" spans="2:7" x14ac:dyDescent="0.3">
      <c r="C4" t="s">
        <v>2</v>
      </c>
      <c r="D4" s="5">
        <f>67.8+19.8+1.5</f>
        <v>89.1</v>
      </c>
    </row>
    <row r="5" spans="2:7" x14ac:dyDescent="0.3">
      <c r="C5" t="s">
        <v>4</v>
      </c>
      <c r="D5" s="5">
        <f>D3*D4</f>
        <v>6548.8499999999995</v>
      </c>
    </row>
    <row r="6" spans="2:7" x14ac:dyDescent="0.3">
      <c r="C6" t="s">
        <v>5</v>
      </c>
      <c r="D6" s="5">
        <f>1211.9</f>
        <v>1211.9000000000001</v>
      </c>
    </row>
    <row r="7" spans="2:7" x14ac:dyDescent="0.3">
      <c r="C7" t="s">
        <v>6</v>
      </c>
      <c r="D7" s="5">
        <f>686.9+2154.1</f>
        <v>2841</v>
      </c>
    </row>
    <row r="8" spans="2:7" x14ac:dyDescent="0.3">
      <c r="C8" t="s">
        <v>7</v>
      </c>
      <c r="D8" s="5">
        <f>D6-D7</f>
        <v>-1629.1</v>
      </c>
    </row>
    <row r="9" spans="2:7" x14ac:dyDescent="0.3">
      <c r="C9" t="s">
        <v>3</v>
      </c>
      <c r="D9" s="5">
        <f>D5-D8</f>
        <v>8177.9499999999989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4867-C015-4EB5-A6A7-44303FBA5A30}">
  <dimension ref="B2:EP37"/>
  <sheetViews>
    <sheetView workbookViewId="0">
      <pane xSplit="2" ySplit="2" topLeftCell="V12" activePane="bottomRight" state="frozen"/>
      <selection pane="topRight" activeCell="C1" sqref="C1"/>
      <selection pane="bottomLeft" activeCell="A3" sqref="A3"/>
      <selection pane="bottomRight" activeCell="W21" sqref="W21"/>
    </sheetView>
  </sheetViews>
  <sheetFormatPr defaultRowHeight="14.4" x14ac:dyDescent="0.3"/>
  <cols>
    <col min="2" max="2" width="20.77734375" bestFit="1" customWidth="1"/>
    <col min="40" max="40" width="12" bestFit="1" customWidth="1"/>
    <col min="41" max="41" width="13" customWidth="1"/>
  </cols>
  <sheetData>
    <row r="2" spans="2:37" x14ac:dyDescent="0.3">
      <c r="C2" s="6" t="s">
        <v>31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41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46</v>
      </c>
      <c r="U2">
        <v>2019</v>
      </c>
      <c r="V2">
        <v>2020</v>
      </c>
      <c r="W2">
        <v>2021</v>
      </c>
      <c r="X2">
        <v>2022</v>
      </c>
      <c r="Y2">
        <v>2023</v>
      </c>
      <c r="Z2">
        <v>2024</v>
      </c>
      <c r="AA2">
        <v>2025</v>
      </c>
      <c r="AB2">
        <v>2026</v>
      </c>
      <c r="AC2">
        <v>2027</v>
      </c>
      <c r="AD2">
        <v>2028</v>
      </c>
      <c r="AE2">
        <v>2029</v>
      </c>
      <c r="AF2">
        <v>2030</v>
      </c>
      <c r="AG2">
        <v>2031</v>
      </c>
      <c r="AH2">
        <v>2032</v>
      </c>
      <c r="AI2">
        <v>2033</v>
      </c>
      <c r="AJ2">
        <v>2034</v>
      </c>
      <c r="AK2">
        <v>2035</v>
      </c>
    </row>
    <row r="3" spans="2:37" s="1" customFormat="1" x14ac:dyDescent="0.3">
      <c r="B3" s="1" t="s">
        <v>11</v>
      </c>
      <c r="G3" s="8">
        <v>547</v>
      </c>
      <c r="H3" s="8">
        <v>637</v>
      </c>
      <c r="I3" s="8">
        <v>675.4</v>
      </c>
      <c r="J3" s="8">
        <v>705.4</v>
      </c>
      <c r="K3" s="8">
        <v>707.4</v>
      </c>
      <c r="L3" s="8">
        <v>827</v>
      </c>
      <c r="M3" s="8">
        <v>909.2</v>
      </c>
      <c r="N3" s="8">
        <v>887</v>
      </c>
      <c r="O3" s="8">
        <f>K3*1.23</f>
        <v>870.10199999999998</v>
      </c>
      <c r="P3" s="8">
        <f>L3*1.15</f>
        <v>951.05</v>
      </c>
      <c r="Q3" s="8">
        <f t="shared" ref="Q3:R3" si="0">M3*1.15</f>
        <v>1045.58</v>
      </c>
      <c r="R3" s="8">
        <f t="shared" si="0"/>
        <v>1020.05</v>
      </c>
      <c r="Y3" s="8">
        <f>SUM(G3:J3)</f>
        <v>2564.8000000000002</v>
      </c>
      <c r="Z3" s="8">
        <f>SUM(K3:N3)</f>
        <v>3330.6000000000004</v>
      </c>
      <c r="AA3" s="8">
        <f>SUM(O3:R3)</f>
        <v>3886.7820000000002</v>
      </c>
      <c r="AB3" s="8">
        <f>AA3*1.12</f>
        <v>4353.1958400000003</v>
      </c>
      <c r="AC3" s="8">
        <f>AB3*1.08</f>
        <v>4701.4515072000004</v>
      </c>
      <c r="AD3" s="8">
        <f>AC3*1.06</f>
        <v>4983.5385976320003</v>
      </c>
      <c r="AE3" s="8">
        <f>AD3*1.05</f>
        <v>5232.7155275136001</v>
      </c>
      <c r="AF3" s="8">
        <f>AE3*1.04</f>
        <v>5442.024148614144</v>
      </c>
      <c r="AG3" s="8">
        <f>AF3*1.03</f>
        <v>5605.2848730725682</v>
      </c>
      <c r="AH3" s="8">
        <f t="shared" ref="AH3:AK3" si="1">AG3*1.03</f>
        <v>5773.443419264745</v>
      </c>
      <c r="AI3" s="8">
        <f t="shared" si="1"/>
        <v>5946.6467218426878</v>
      </c>
      <c r="AJ3" s="8">
        <f t="shared" si="1"/>
        <v>6125.0461234979684</v>
      </c>
      <c r="AK3" s="8">
        <f t="shared" si="1"/>
        <v>6308.7975072029076</v>
      </c>
    </row>
    <row r="4" spans="2:37" x14ac:dyDescent="0.3">
      <c r="B4" t="s">
        <v>12</v>
      </c>
      <c r="G4" s="5">
        <v>401.6</v>
      </c>
      <c r="H4" s="5">
        <v>470.1</v>
      </c>
      <c r="I4" s="5">
        <v>495.1</v>
      </c>
      <c r="J4" s="5">
        <v>510.2</v>
      </c>
      <c r="K4" s="5">
        <v>519.6</v>
      </c>
      <c r="L4" s="5">
        <v>595.20000000000005</v>
      </c>
      <c r="M4" s="5">
        <v>641.9</v>
      </c>
      <c r="N4" s="5">
        <v>600.79999999999995</v>
      </c>
      <c r="O4" s="5">
        <f>O3-O5</f>
        <v>582.9683399999999</v>
      </c>
      <c r="P4" s="5">
        <f t="shared" ref="P4:R4" si="2">P3-P5</f>
        <v>637.20349999999996</v>
      </c>
      <c r="Q4" s="5">
        <f t="shared" si="2"/>
        <v>690.08279999999991</v>
      </c>
      <c r="R4" s="5">
        <f t="shared" si="2"/>
        <v>663.03250000000003</v>
      </c>
      <c r="Y4" s="9">
        <f>SUM(G4:J4)</f>
        <v>1877.0000000000002</v>
      </c>
      <c r="Z4" s="9">
        <f>SUM(K4:N4)</f>
        <v>2357.5</v>
      </c>
      <c r="AA4" s="9">
        <f>SUM(O4:R4)</f>
        <v>2573.2871399999999</v>
      </c>
      <c r="AB4" s="5">
        <f>AB3-AB5</f>
        <v>2786.0453376000005</v>
      </c>
      <c r="AC4" s="5">
        <f t="shared" ref="AC4:AK4" si="3">AC3-AC5</f>
        <v>2914.8999344640001</v>
      </c>
      <c r="AD4" s="5">
        <f t="shared" si="3"/>
        <v>3039.9585445555203</v>
      </c>
      <c r="AE4" s="5">
        <f t="shared" si="3"/>
        <v>3139.6293165081602</v>
      </c>
      <c r="AF4" s="5">
        <f t="shared" si="3"/>
        <v>3265.2144891684861</v>
      </c>
      <c r="AG4" s="5">
        <f t="shared" si="3"/>
        <v>3363.170923843541</v>
      </c>
      <c r="AH4" s="5">
        <f t="shared" si="3"/>
        <v>3464.066051558847</v>
      </c>
      <c r="AI4" s="5">
        <f t="shared" si="3"/>
        <v>3567.9880331056124</v>
      </c>
      <c r="AJ4" s="5">
        <f t="shared" si="3"/>
        <v>3675.0276740987811</v>
      </c>
      <c r="AK4" s="5">
        <f t="shared" si="3"/>
        <v>3785.2785043217445</v>
      </c>
    </row>
    <row r="5" spans="2:37" s="1" customFormat="1" x14ac:dyDescent="0.3">
      <c r="B5" s="1" t="s">
        <v>13</v>
      </c>
      <c r="G5" s="8">
        <f>G3-G4</f>
        <v>145.39999999999998</v>
      </c>
      <c r="H5" s="8">
        <f>H3-H4</f>
        <v>166.89999999999998</v>
      </c>
      <c r="I5" s="8">
        <f>I3-I4</f>
        <v>180.29999999999995</v>
      </c>
      <c r="J5" s="8">
        <f>J3-J4</f>
        <v>195.2</v>
      </c>
      <c r="K5" s="8">
        <f>K3-K4</f>
        <v>187.79999999999995</v>
      </c>
      <c r="L5" s="8">
        <f>L3-L4</f>
        <v>231.79999999999995</v>
      </c>
      <c r="M5" s="8">
        <f>M3-M4</f>
        <v>267.30000000000007</v>
      </c>
      <c r="N5" s="8">
        <f>N3-N4</f>
        <v>286.20000000000005</v>
      </c>
      <c r="O5" s="8">
        <f>O3*0.33</f>
        <v>287.13366000000002</v>
      </c>
      <c r="P5" s="8">
        <f t="shared" ref="P5:R5" si="4">P3*0.33</f>
        <v>313.84649999999999</v>
      </c>
      <c r="Q5" s="8">
        <f>Q3*0.34</f>
        <v>355.49720000000002</v>
      </c>
      <c r="R5" s="8">
        <f>R3*0.35</f>
        <v>357.01749999999998</v>
      </c>
      <c r="Y5" s="8">
        <f>Y3-Y4</f>
        <v>687.8</v>
      </c>
      <c r="Z5" s="8">
        <f>Z3-Z4</f>
        <v>973.10000000000036</v>
      </c>
      <c r="AA5" s="8">
        <f>AA3-AA4</f>
        <v>1313.4948600000002</v>
      </c>
      <c r="AB5" s="8">
        <f>AB3*0.36</f>
        <v>1567.1505024000001</v>
      </c>
      <c r="AC5" s="8">
        <f>AC3*0.38</f>
        <v>1786.5515727360003</v>
      </c>
      <c r="AD5" s="8">
        <f>AD3*0.39</f>
        <v>1943.5800530764802</v>
      </c>
      <c r="AE5" s="8">
        <f>AE3*0.4</f>
        <v>2093.08621100544</v>
      </c>
      <c r="AF5" s="8">
        <f t="shared" ref="AF5:AK5" si="5">AF3*0.4</f>
        <v>2176.8096594456579</v>
      </c>
      <c r="AG5" s="8">
        <f t="shared" si="5"/>
        <v>2242.1139492290272</v>
      </c>
      <c r="AH5" s="8">
        <f t="shared" si="5"/>
        <v>2309.377367705898</v>
      </c>
      <c r="AI5" s="8">
        <f t="shared" si="5"/>
        <v>2378.6586887370754</v>
      </c>
      <c r="AJ5" s="8">
        <f t="shared" si="5"/>
        <v>2450.0184493991874</v>
      </c>
      <c r="AK5" s="8">
        <f t="shared" si="5"/>
        <v>2523.519002881163</v>
      </c>
    </row>
    <row r="6" spans="2:37" x14ac:dyDescent="0.3">
      <c r="B6" t="s">
        <v>14</v>
      </c>
      <c r="G6" s="5">
        <v>85.7</v>
      </c>
      <c r="H6" s="5">
        <v>82.1</v>
      </c>
      <c r="I6" s="5">
        <v>76.3</v>
      </c>
      <c r="J6" s="5">
        <v>85.2</v>
      </c>
      <c r="K6" s="5">
        <v>107.1</v>
      </c>
      <c r="L6" s="5">
        <v>110.1</v>
      </c>
      <c r="M6" s="5">
        <v>118.2</v>
      </c>
      <c r="N6" s="5">
        <v>124.1</v>
      </c>
      <c r="O6" s="5">
        <f>K6*1.3</f>
        <v>139.22999999999999</v>
      </c>
      <c r="P6" s="5">
        <f t="shared" ref="P6:R6" si="6">L6*1.3</f>
        <v>143.13</v>
      </c>
      <c r="Q6" s="5">
        <f t="shared" si="6"/>
        <v>153.66</v>
      </c>
      <c r="R6" s="5">
        <f t="shared" si="6"/>
        <v>161.32999999999998</v>
      </c>
      <c r="Y6" s="9">
        <f>SUM(G6:J6)</f>
        <v>329.3</v>
      </c>
      <c r="Z6" s="9">
        <f>SUM(K6:N6)</f>
        <v>459.5</v>
      </c>
      <c r="AA6" s="9">
        <f>SUM(O6:R6)</f>
        <v>597.34999999999991</v>
      </c>
      <c r="AB6" s="5">
        <f>AA6*1.2</f>
        <v>716.81999999999982</v>
      </c>
      <c r="AC6" s="5">
        <f>AB6*1.1</f>
        <v>788.50199999999984</v>
      </c>
      <c r="AD6" s="5">
        <f>AC6*1.05</f>
        <v>827.92709999999988</v>
      </c>
      <c r="AE6" s="5">
        <f>AD6*1.04</f>
        <v>861.04418399999986</v>
      </c>
      <c r="AF6" s="5">
        <f>AE6*1.03</f>
        <v>886.87550951999992</v>
      </c>
      <c r="AG6" s="5">
        <f>AF6*1.02</f>
        <v>904.61301971039995</v>
      </c>
      <c r="AH6" s="5">
        <f t="shared" ref="AH6:AK6" si="7">AG6*1.02</f>
        <v>922.70528010460794</v>
      </c>
      <c r="AI6" s="5">
        <f t="shared" si="7"/>
        <v>941.15938570670016</v>
      </c>
      <c r="AJ6" s="5">
        <f t="shared" si="7"/>
        <v>959.98257342083423</v>
      </c>
      <c r="AK6" s="5">
        <f t="shared" si="7"/>
        <v>979.18222488925096</v>
      </c>
    </row>
    <row r="7" spans="2:37" x14ac:dyDescent="0.3">
      <c r="B7" t="s">
        <v>17</v>
      </c>
      <c r="G7" s="5">
        <v>7</v>
      </c>
      <c r="H7" s="5">
        <v>5.6</v>
      </c>
      <c r="I7" s="5">
        <v>8.9</v>
      </c>
      <c r="J7" s="5">
        <v>1.6</v>
      </c>
      <c r="K7" s="5">
        <v>2.1</v>
      </c>
      <c r="L7" s="5">
        <v>0.3</v>
      </c>
      <c r="M7" s="5">
        <v>1.5</v>
      </c>
      <c r="N7" s="5">
        <v>0.1</v>
      </c>
      <c r="O7" s="5">
        <v>0</v>
      </c>
      <c r="P7" s="5">
        <v>0</v>
      </c>
      <c r="Q7" s="5">
        <v>0</v>
      </c>
      <c r="R7" s="5">
        <v>0</v>
      </c>
      <c r="Y7" s="9">
        <f>SUM(G7:J7)</f>
        <v>23.1</v>
      </c>
      <c r="Z7" s="9">
        <f>SUM(K7:N7)</f>
        <v>4</v>
      </c>
      <c r="AA7" s="9">
        <f>SUM(O7:R7)</f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</row>
    <row r="8" spans="2:37" x14ac:dyDescent="0.3">
      <c r="B8" t="s">
        <v>15</v>
      </c>
      <c r="G8" s="5">
        <v>35.299999999999997</v>
      </c>
      <c r="H8" s="5">
        <v>35.9</v>
      </c>
      <c r="I8" s="5">
        <v>40</v>
      </c>
      <c r="J8" s="5">
        <v>42.6</v>
      </c>
      <c r="K8" s="5">
        <v>44.8</v>
      </c>
      <c r="L8" s="5">
        <v>46.7</v>
      </c>
      <c r="M8" s="5">
        <v>51.6</v>
      </c>
      <c r="N8" s="5">
        <v>56.4</v>
      </c>
      <c r="O8" s="5">
        <f>K8*1.3</f>
        <v>58.239999999999995</v>
      </c>
      <c r="P8" s="5">
        <f t="shared" ref="P8:R8" si="8">L8*1.3</f>
        <v>60.710000000000008</v>
      </c>
      <c r="Q8" s="5">
        <f t="shared" si="8"/>
        <v>67.08</v>
      </c>
      <c r="R8" s="5">
        <f t="shared" si="8"/>
        <v>73.320000000000007</v>
      </c>
      <c r="Y8" s="9">
        <f>SUM(G8:J8)</f>
        <v>153.79999999999998</v>
      </c>
      <c r="Z8" s="9">
        <f>SUM(K8:N8)</f>
        <v>199.5</v>
      </c>
      <c r="AA8" s="9">
        <f>SUM(O8:R8)</f>
        <v>259.35000000000002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</row>
    <row r="9" spans="2:37" x14ac:dyDescent="0.3">
      <c r="B9" t="s">
        <v>16</v>
      </c>
      <c r="G9" s="5">
        <v>6.1</v>
      </c>
      <c r="H9" s="5">
        <v>5.4</v>
      </c>
      <c r="I9" s="5">
        <v>5.7</v>
      </c>
      <c r="J9" s="5">
        <v>15.9</v>
      </c>
      <c r="K9" s="5">
        <v>8</v>
      </c>
      <c r="L9" s="5">
        <v>11.6</v>
      </c>
      <c r="M9" s="5">
        <v>9.4</v>
      </c>
      <c r="N9" s="5">
        <v>12.4</v>
      </c>
      <c r="O9" s="5">
        <f>O3*0.01</f>
        <v>8.7010199999999998</v>
      </c>
      <c r="P9" s="5">
        <f t="shared" ref="P9:R9" si="9">P3*0.01</f>
        <v>9.5105000000000004</v>
      </c>
      <c r="Q9" s="5">
        <f t="shared" si="9"/>
        <v>10.4558</v>
      </c>
      <c r="R9" s="5">
        <f t="shared" si="9"/>
        <v>10.2005</v>
      </c>
      <c r="Y9" s="9">
        <f>SUM(G9:J9)</f>
        <v>33.1</v>
      </c>
      <c r="Z9" s="9">
        <f>SUM(K9:N9)</f>
        <v>41.4</v>
      </c>
      <c r="AA9" s="9">
        <f>SUM(O9:R9)</f>
        <v>38.867820000000002</v>
      </c>
      <c r="AB9" s="5">
        <f>AB3*0.01</f>
        <v>43.531958400000001</v>
      </c>
      <c r="AC9" s="5">
        <f t="shared" ref="AC9:AK9" si="10">AC3*0.01</f>
        <v>47.014515072000002</v>
      </c>
      <c r="AD9" s="5">
        <f t="shared" si="10"/>
        <v>49.835385976320005</v>
      </c>
      <c r="AE9" s="5">
        <f t="shared" si="10"/>
        <v>52.327155275136001</v>
      </c>
      <c r="AF9" s="5">
        <f t="shared" si="10"/>
        <v>54.420241486141443</v>
      </c>
      <c r="AG9" s="5">
        <f t="shared" si="10"/>
        <v>56.052848730725685</v>
      </c>
      <c r="AH9" s="5">
        <f t="shared" si="10"/>
        <v>57.734434192647448</v>
      </c>
      <c r="AI9" s="5">
        <f t="shared" si="10"/>
        <v>59.466467218426878</v>
      </c>
      <c r="AJ9" s="5">
        <f t="shared" si="10"/>
        <v>61.250461234979689</v>
      </c>
      <c r="AK9" s="5">
        <f t="shared" si="10"/>
        <v>63.087975072029074</v>
      </c>
    </row>
    <row r="10" spans="2:37" x14ac:dyDescent="0.3">
      <c r="B10" t="s">
        <v>18</v>
      </c>
      <c r="G10" s="5">
        <v>2.5</v>
      </c>
      <c r="H10" s="5">
        <v>4</v>
      </c>
      <c r="I10" s="5">
        <v>4.7</v>
      </c>
      <c r="J10" s="5">
        <v>3.9</v>
      </c>
      <c r="K10" s="5">
        <v>4.4000000000000004</v>
      </c>
      <c r="L10" s="5">
        <v>3.9</v>
      </c>
      <c r="M10" s="5">
        <v>6.2</v>
      </c>
      <c r="N10" s="5">
        <v>7.2</v>
      </c>
      <c r="O10" s="5">
        <f>O3*0.008</f>
        <v>6.9608160000000003</v>
      </c>
      <c r="P10" s="5">
        <f t="shared" ref="P10:R10" si="11">P3*0.008</f>
        <v>7.6083999999999996</v>
      </c>
      <c r="Q10" s="5">
        <f t="shared" si="11"/>
        <v>8.3646399999999996</v>
      </c>
      <c r="R10" s="5">
        <f t="shared" si="11"/>
        <v>8.1603999999999992</v>
      </c>
      <c r="Y10" s="9">
        <f>SUM(G10:J10)</f>
        <v>15.1</v>
      </c>
      <c r="Z10" s="9">
        <f>SUM(K10:N10)</f>
        <v>21.7</v>
      </c>
      <c r="AA10" s="9">
        <f>SUM(O10:R10)</f>
        <v>31.094255999999998</v>
      </c>
      <c r="AB10" s="5">
        <f>AB3*0.008</f>
        <v>34.825566720000005</v>
      </c>
      <c r="AC10" s="5">
        <f t="shared" ref="AC10:AK10" si="12">AC3*0.008</f>
        <v>37.611612057600006</v>
      </c>
      <c r="AD10" s="5">
        <f t="shared" si="12"/>
        <v>39.868308781056001</v>
      </c>
      <c r="AE10" s="5">
        <f t="shared" si="12"/>
        <v>41.861724220108805</v>
      </c>
      <c r="AF10" s="5">
        <f t="shared" si="12"/>
        <v>43.536193188913153</v>
      </c>
      <c r="AG10" s="5">
        <f t="shared" si="12"/>
        <v>44.842278984580545</v>
      </c>
      <c r="AH10" s="5">
        <f t="shared" si="12"/>
        <v>46.18754735411796</v>
      </c>
      <c r="AI10" s="5">
        <f t="shared" si="12"/>
        <v>47.573173774741505</v>
      </c>
      <c r="AJ10" s="5">
        <f t="shared" si="12"/>
        <v>49.000368987983748</v>
      </c>
      <c r="AK10" s="5">
        <f t="shared" si="12"/>
        <v>50.47038005762326</v>
      </c>
    </row>
    <row r="11" spans="2:37" x14ac:dyDescent="0.3">
      <c r="B11" t="s">
        <v>19</v>
      </c>
      <c r="G11" s="5">
        <v>0</v>
      </c>
      <c r="H11" s="5">
        <v>0</v>
      </c>
      <c r="I11" s="5">
        <v>0</v>
      </c>
      <c r="J11" s="5">
        <v>18.600000000000001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Y11" s="9">
        <f>SUM(G11:J11)</f>
        <v>18.600000000000001</v>
      </c>
      <c r="Z11" s="9">
        <f>SUM(K11:N11)</f>
        <v>0</v>
      </c>
      <c r="AA11" s="9">
        <f>SUM(O11:R11)</f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</row>
    <row r="12" spans="2:37" x14ac:dyDescent="0.3">
      <c r="B12" t="s">
        <v>47</v>
      </c>
      <c r="G12" s="5">
        <f>SUM(G6:G11)</f>
        <v>136.6</v>
      </c>
      <c r="H12" s="5">
        <f>SUM(H6:H11)</f>
        <v>133</v>
      </c>
      <c r="I12" s="5">
        <f>SUM(I6:I11)</f>
        <v>135.6</v>
      </c>
      <c r="J12" s="5">
        <f>SUM(J6:J11)</f>
        <v>167.8</v>
      </c>
      <c r="K12" s="5">
        <f>SUM(K6:K11)</f>
        <v>166.4</v>
      </c>
      <c r="L12" s="5">
        <f>SUM(L6:L11)</f>
        <v>172.6</v>
      </c>
      <c r="M12" s="5">
        <f>SUM(M6:M11)</f>
        <v>186.9</v>
      </c>
      <c r="N12" s="5">
        <f>SUM(N6:N11)</f>
        <v>200.2</v>
      </c>
      <c r="O12" s="5">
        <f t="shared" ref="O12:R12" si="13">SUM(O6:O11)</f>
        <v>213.13183599999996</v>
      </c>
      <c r="P12" s="5">
        <f t="shared" si="13"/>
        <v>220.9589</v>
      </c>
      <c r="Q12" s="5">
        <f t="shared" si="13"/>
        <v>239.56044000000003</v>
      </c>
      <c r="R12" s="5">
        <f t="shared" si="13"/>
        <v>253.01089999999999</v>
      </c>
      <c r="Y12" s="5">
        <f>SUM(Y6:Y11)</f>
        <v>573.00000000000011</v>
      </c>
      <c r="Z12" s="5">
        <f>SUM(Z6:Z11)</f>
        <v>726.1</v>
      </c>
      <c r="AA12" s="5">
        <f>SUM(AA6:AA11)</f>
        <v>926.66207599999996</v>
      </c>
      <c r="AB12" s="5">
        <f>SUM(AB6:AB11)</f>
        <v>795.17752511999981</v>
      </c>
      <c r="AC12" s="5">
        <f t="shared" ref="AC12:AK12" si="14">SUM(AC6:AC11)</f>
        <v>873.12812712959987</v>
      </c>
      <c r="AD12" s="5">
        <f t="shared" si="14"/>
        <v>917.63079475737595</v>
      </c>
      <c r="AE12" s="5">
        <f t="shared" si="14"/>
        <v>955.23306349524466</v>
      </c>
      <c r="AF12" s="5">
        <f t="shared" si="14"/>
        <v>984.83194419505446</v>
      </c>
      <c r="AG12" s="5">
        <f t="shared" si="14"/>
        <v>1005.5081474257062</v>
      </c>
      <c r="AH12" s="5">
        <f t="shared" si="14"/>
        <v>1026.6272616513734</v>
      </c>
      <c r="AI12" s="5">
        <f t="shared" si="14"/>
        <v>1048.1990266998685</v>
      </c>
      <c r="AJ12" s="5">
        <f t="shared" si="14"/>
        <v>1070.2334036437976</v>
      </c>
      <c r="AK12" s="5">
        <f t="shared" si="14"/>
        <v>1092.7405800189033</v>
      </c>
    </row>
    <row r="13" spans="2:37" s="1" customFormat="1" x14ac:dyDescent="0.3">
      <c r="B13" s="1" t="s">
        <v>20</v>
      </c>
      <c r="G13" s="8">
        <f>G5-G12</f>
        <v>8.7999999999999829</v>
      </c>
      <c r="H13" s="8">
        <f>H5-H12</f>
        <v>33.899999999999977</v>
      </c>
      <c r="I13" s="8">
        <f>I5-I12</f>
        <v>44.69999999999996</v>
      </c>
      <c r="J13" s="8">
        <f>J5-J12</f>
        <v>27.399999999999977</v>
      </c>
      <c r="K13" s="8">
        <f>K5-K12</f>
        <v>21.399999999999949</v>
      </c>
      <c r="L13" s="8">
        <f>L5-L12</f>
        <v>59.19999999999996</v>
      </c>
      <c r="M13" s="8">
        <f>M5-M12</f>
        <v>80.400000000000063</v>
      </c>
      <c r="N13" s="8">
        <f>N5-N12</f>
        <v>86.000000000000057</v>
      </c>
      <c r="O13" s="8">
        <f t="shared" ref="O13:R13" si="15">O5-O12</f>
        <v>74.001824000000056</v>
      </c>
      <c r="P13" s="8">
        <f t="shared" si="15"/>
        <v>92.887599999999992</v>
      </c>
      <c r="Q13" s="8">
        <f t="shared" si="15"/>
        <v>115.93675999999999</v>
      </c>
      <c r="R13" s="8">
        <f t="shared" si="15"/>
        <v>104.00659999999999</v>
      </c>
      <c r="Y13" s="8">
        <f>Y5-Y12</f>
        <v>114.79999999999984</v>
      </c>
      <c r="Z13" s="8">
        <f>Z5-Z12</f>
        <v>247.00000000000034</v>
      </c>
      <c r="AA13" s="8">
        <f>AA5-AA12</f>
        <v>386.83278400000029</v>
      </c>
      <c r="AB13" s="8">
        <f>AB5-AB12</f>
        <v>771.97297728000024</v>
      </c>
      <c r="AC13" s="8">
        <f t="shared" ref="AC13:AK13" si="16">AC5-AC12</f>
        <v>913.42344560640038</v>
      </c>
      <c r="AD13" s="8">
        <f t="shared" si="16"/>
        <v>1025.9492583191043</v>
      </c>
      <c r="AE13" s="8">
        <f t="shared" si="16"/>
        <v>1137.8531475101954</v>
      </c>
      <c r="AF13" s="8">
        <f t="shared" si="16"/>
        <v>1191.9777152506035</v>
      </c>
      <c r="AG13" s="8">
        <f t="shared" si="16"/>
        <v>1236.6058018033209</v>
      </c>
      <c r="AH13" s="8">
        <f t="shared" si="16"/>
        <v>1282.7501060545246</v>
      </c>
      <c r="AI13" s="8">
        <f t="shared" si="16"/>
        <v>1330.459662037207</v>
      </c>
      <c r="AJ13" s="8">
        <f t="shared" si="16"/>
        <v>1379.7850457553898</v>
      </c>
      <c r="AK13" s="8">
        <f t="shared" si="16"/>
        <v>1430.7784228622597</v>
      </c>
    </row>
    <row r="14" spans="2:37" x14ac:dyDescent="0.3">
      <c r="B14" t="s">
        <v>21</v>
      </c>
      <c r="G14" s="5">
        <v>-7.6</v>
      </c>
      <c r="H14" s="5">
        <v>-8.8000000000000007</v>
      </c>
      <c r="I14" s="5">
        <v>-9.6</v>
      </c>
      <c r="J14" s="5">
        <v>-5.9</v>
      </c>
      <c r="K14" s="5">
        <v>-5.4</v>
      </c>
      <c r="L14" s="5">
        <v>-5</v>
      </c>
      <c r="M14" s="5">
        <v>-9.6999999999999993</v>
      </c>
      <c r="N14" s="5">
        <v>-13.6</v>
      </c>
      <c r="O14" s="5">
        <f>K14*1.2</f>
        <v>-6.48</v>
      </c>
      <c r="P14" s="5">
        <f t="shared" ref="P14:R14" si="17">L14*1.2</f>
        <v>-6</v>
      </c>
      <c r="Q14" s="5">
        <f t="shared" si="17"/>
        <v>-11.639999999999999</v>
      </c>
      <c r="R14" s="5">
        <f t="shared" si="17"/>
        <v>-16.32</v>
      </c>
      <c r="Y14" s="9">
        <f>SUM(G14:J14)</f>
        <v>-31.9</v>
      </c>
      <c r="Z14" s="9">
        <f>SUM(K14:N14)</f>
        <v>-33.700000000000003</v>
      </c>
      <c r="AA14" s="9">
        <f>SUM(O14:R14)</f>
        <v>-40.44</v>
      </c>
      <c r="AB14" s="5">
        <f>AA14*1.05</f>
        <v>-42.461999999999996</v>
      </c>
      <c r="AC14" s="5">
        <f t="shared" ref="AC14:AK14" si="18">AB14*1.05</f>
        <v>-44.585099999999997</v>
      </c>
      <c r="AD14" s="5">
        <f t="shared" si="18"/>
        <v>-46.814354999999999</v>
      </c>
      <c r="AE14" s="5">
        <f t="shared" si="18"/>
        <v>-49.155072750000002</v>
      </c>
      <c r="AF14" s="5">
        <f t="shared" si="18"/>
        <v>-51.612826387500007</v>
      </c>
      <c r="AG14" s="5">
        <f t="shared" si="18"/>
        <v>-54.193467706875012</v>
      </c>
      <c r="AH14" s="5">
        <f t="shared" si="18"/>
        <v>-56.903141092218767</v>
      </c>
      <c r="AI14" s="5">
        <f t="shared" si="18"/>
        <v>-59.748298146829711</v>
      </c>
      <c r="AJ14" s="5">
        <f t="shared" si="18"/>
        <v>-62.7357130541712</v>
      </c>
      <c r="AK14" s="5">
        <f t="shared" si="18"/>
        <v>-65.872498706879767</v>
      </c>
    </row>
    <row r="15" spans="2:37" x14ac:dyDescent="0.3">
      <c r="B15" t="s">
        <v>48</v>
      </c>
      <c r="G15" s="5">
        <v>-0.1</v>
      </c>
      <c r="H15" s="5">
        <v>0.4</v>
      </c>
      <c r="I15" s="5">
        <v>0</v>
      </c>
      <c r="J15" s="5">
        <v>3.6</v>
      </c>
      <c r="K15" s="5">
        <v>-1.4</v>
      </c>
      <c r="L15" s="5">
        <v>-0.4</v>
      </c>
      <c r="M15" s="5">
        <v>1.5</v>
      </c>
      <c r="N15" s="5">
        <v>-1.5</v>
      </c>
      <c r="O15" s="5">
        <v>0</v>
      </c>
      <c r="P15" s="5">
        <v>0</v>
      </c>
      <c r="Q15" s="5">
        <v>0</v>
      </c>
      <c r="R15" s="5">
        <v>0</v>
      </c>
      <c r="Y15" s="9">
        <f>SUM(G15:J15)</f>
        <v>3.9000000000000004</v>
      </c>
      <c r="Z15" s="9">
        <f>SUM(K15:N15)</f>
        <v>-1.7999999999999998</v>
      </c>
      <c r="AA15" s="9">
        <f>SUM(O15:R15)</f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</row>
    <row r="16" spans="2:37" x14ac:dyDescent="0.3">
      <c r="B16" t="s">
        <v>22</v>
      </c>
      <c r="G16" s="5">
        <v>-8.9</v>
      </c>
      <c r="H16" s="5">
        <v>0</v>
      </c>
      <c r="I16" s="5">
        <v>-2.6</v>
      </c>
      <c r="J16" s="5">
        <v>-0.7</v>
      </c>
      <c r="K16" s="5">
        <v>-11</v>
      </c>
      <c r="L16" s="5">
        <v>0.2</v>
      </c>
      <c r="M16" s="5">
        <v>-10.8</v>
      </c>
      <c r="N16" s="5">
        <v>-45.1</v>
      </c>
      <c r="O16" s="5">
        <v>0</v>
      </c>
      <c r="P16" s="5">
        <v>0</v>
      </c>
      <c r="Q16" s="5">
        <v>0</v>
      </c>
      <c r="R16" s="5">
        <v>0</v>
      </c>
      <c r="Y16" s="9">
        <f>SUM(G16:J16)</f>
        <v>-12.2</v>
      </c>
      <c r="Z16" s="9">
        <f>SUM(K16:N16)</f>
        <v>-66.7</v>
      </c>
      <c r="AA16" s="9">
        <f>SUM(O16:R16)</f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</row>
    <row r="17" spans="2:146" x14ac:dyDescent="0.3">
      <c r="B17" t="s">
        <v>23</v>
      </c>
      <c r="G17" s="5">
        <v>0.5</v>
      </c>
      <c r="H17" s="5">
        <v>0.8</v>
      </c>
      <c r="I17" s="5">
        <v>1.5</v>
      </c>
      <c r="J17" s="5">
        <v>0.6</v>
      </c>
      <c r="K17" s="5">
        <v>1.2</v>
      </c>
      <c r="L17" s="5">
        <v>3.6</v>
      </c>
      <c r="M17" s="5">
        <v>289.39999999999998</v>
      </c>
      <c r="N17" s="5">
        <v>-5.2</v>
      </c>
      <c r="O17" s="5">
        <v>0</v>
      </c>
      <c r="P17" s="5">
        <v>0</v>
      </c>
      <c r="Q17" s="5">
        <v>0</v>
      </c>
      <c r="R17" s="5">
        <v>0</v>
      </c>
      <c r="Y17" s="9">
        <f>SUM(G17:J17)</f>
        <v>3.4</v>
      </c>
      <c r="Z17" s="9">
        <f>SUM(K17:N17)</f>
        <v>289</v>
      </c>
      <c r="AA17" s="9">
        <f>SUM(O17:R17)</f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</row>
    <row r="18" spans="2:146" x14ac:dyDescent="0.3">
      <c r="B18" t="s">
        <v>24</v>
      </c>
      <c r="G18" s="5">
        <v>8.1</v>
      </c>
      <c r="H18" s="5">
        <v>8</v>
      </c>
      <c r="I18" s="5">
        <v>8</v>
      </c>
      <c r="J18" s="5">
        <v>8</v>
      </c>
      <c r="K18" s="5">
        <v>8.1</v>
      </c>
      <c r="L18" s="5">
        <v>8.1</v>
      </c>
      <c r="M18" s="5">
        <v>18.3</v>
      </c>
      <c r="N18" s="5">
        <v>27.3</v>
      </c>
      <c r="O18" s="5">
        <v>15</v>
      </c>
      <c r="P18" s="5">
        <v>15</v>
      </c>
      <c r="Q18" s="5">
        <v>15</v>
      </c>
      <c r="R18" s="5">
        <v>15</v>
      </c>
      <c r="Y18" s="9">
        <f>SUM(G18:J18)</f>
        <v>32.1</v>
      </c>
      <c r="Z18" s="9">
        <f>SUM(K18:N18)</f>
        <v>61.8</v>
      </c>
      <c r="AA18" s="9">
        <f>SUM(O18:R18)</f>
        <v>60</v>
      </c>
      <c r="AB18" s="5">
        <f>AA18*1.03</f>
        <v>61.800000000000004</v>
      </c>
      <c r="AC18" s="5">
        <f t="shared" ref="AC18:AK18" si="19">AB18*1.03</f>
        <v>63.654000000000003</v>
      </c>
      <c r="AD18" s="5">
        <f t="shared" si="19"/>
        <v>65.56362</v>
      </c>
      <c r="AE18" s="5">
        <f t="shared" si="19"/>
        <v>67.530528599999997</v>
      </c>
      <c r="AF18" s="5">
        <f t="shared" si="19"/>
        <v>69.556444458000001</v>
      </c>
      <c r="AG18" s="5">
        <f t="shared" si="19"/>
        <v>71.643137791740003</v>
      </c>
      <c r="AH18" s="5">
        <f t="shared" si="19"/>
        <v>73.79243192549221</v>
      </c>
      <c r="AI18" s="5">
        <f t="shared" si="19"/>
        <v>76.006204883256984</v>
      </c>
      <c r="AJ18" s="5">
        <f t="shared" si="19"/>
        <v>78.286391029754697</v>
      </c>
      <c r="AK18" s="5">
        <f t="shared" si="19"/>
        <v>80.634982760647333</v>
      </c>
    </row>
    <row r="19" spans="2:146" x14ac:dyDescent="0.3">
      <c r="B19" t="s">
        <v>30</v>
      </c>
      <c r="G19" s="5">
        <f>SUM(G14:G18)</f>
        <v>-8.0000000000000018</v>
      </c>
      <c r="H19" s="5">
        <f>SUM(H14:H18)</f>
        <v>0.39999999999999947</v>
      </c>
      <c r="I19" s="5">
        <f>SUM(I14:I18)</f>
        <v>-2.6999999999999993</v>
      </c>
      <c r="J19" s="5">
        <f>SUM(J14:J18)</f>
        <v>5.6</v>
      </c>
      <c r="K19" s="5">
        <f>SUM(K14:K18)</f>
        <v>-8.5000000000000018</v>
      </c>
      <c r="L19" s="5">
        <f>SUM(L14:L18)</f>
        <v>6.5</v>
      </c>
      <c r="M19" s="5">
        <f>SUM(M14:M18)</f>
        <v>288.7</v>
      </c>
      <c r="N19" s="5">
        <f>SUM(N14:N18)</f>
        <v>-38.100000000000009</v>
      </c>
      <c r="O19" s="5">
        <f>SUM(O14:O18)</f>
        <v>8.52</v>
      </c>
      <c r="P19" s="5">
        <f t="shared" ref="P19:R19" si="20">SUM(P14:P18)</f>
        <v>9</v>
      </c>
      <c r="Q19" s="5">
        <f t="shared" si="20"/>
        <v>3.3600000000000012</v>
      </c>
      <c r="R19" s="5">
        <f t="shared" si="20"/>
        <v>-1.3200000000000003</v>
      </c>
      <c r="Y19" s="5">
        <f>SUM(Y14:Y18)</f>
        <v>-4.7000000000000028</v>
      </c>
      <c r="Z19" s="5">
        <f>SUM(Z14:Z18)</f>
        <v>248.60000000000002</v>
      </c>
      <c r="AA19" s="5">
        <f>SUM(AA14:AA18)</f>
        <v>19.560000000000002</v>
      </c>
      <c r="AB19" s="5">
        <f>SUM(AB14:AB18)</f>
        <v>19.338000000000008</v>
      </c>
      <c r="AC19" s="5">
        <f t="shared" ref="AC19:AK19" si="21">SUM(AC14:AC18)</f>
        <v>19.068900000000006</v>
      </c>
      <c r="AD19" s="5">
        <f t="shared" si="21"/>
        <v>18.749265000000001</v>
      </c>
      <c r="AE19" s="5">
        <f t="shared" si="21"/>
        <v>18.375455849999994</v>
      </c>
      <c r="AF19" s="5">
        <f t="shared" si="21"/>
        <v>17.943618070499994</v>
      </c>
      <c r="AG19" s="5">
        <f t="shared" si="21"/>
        <v>17.449670084864991</v>
      </c>
      <c r="AH19" s="5">
        <f t="shared" si="21"/>
        <v>16.889290833273442</v>
      </c>
      <c r="AI19" s="5">
        <f t="shared" si="21"/>
        <v>16.257906736427273</v>
      </c>
      <c r="AJ19" s="5">
        <f t="shared" si="21"/>
        <v>15.550677975583497</v>
      </c>
      <c r="AK19" s="5">
        <f t="shared" si="21"/>
        <v>14.762484053767565</v>
      </c>
    </row>
    <row r="20" spans="2:146" s="1" customFormat="1" x14ac:dyDescent="0.3">
      <c r="B20" s="1" t="s">
        <v>25</v>
      </c>
      <c r="G20" s="8">
        <f>G13-G19</f>
        <v>16.799999999999983</v>
      </c>
      <c r="H20" s="8">
        <f>H13-H19</f>
        <v>33.499999999999979</v>
      </c>
      <c r="I20" s="8">
        <f>I13-I19</f>
        <v>47.399999999999963</v>
      </c>
      <c r="J20" s="8">
        <f>J13-J19</f>
        <v>21.799999999999976</v>
      </c>
      <c r="K20" s="8">
        <f>K13-K19</f>
        <v>29.899999999999949</v>
      </c>
      <c r="L20" s="8">
        <f>L13-L19</f>
        <v>52.69999999999996</v>
      </c>
      <c r="M20" s="8">
        <f>M13-M19</f>
        <v>-208.29999999999993</v>
      </c>
      <c r="N20" s="8">
        <f>N13-N19</f>
        <v>124.10000000000007</v>
      </c>
      <c r="O20" s="8">
        <f>O13-O19</f>
        <v>65.48182400000006</v>
      </c>
      <c r="P20" s="8">
        <f t="shared" ref="P20:R20" si="22">P13-P19</f>
        <v>83.887599999999992</v>
      </c>
      <c r="Q20" s="8">
        <f t="shared" si="22"/>
        <v>112.57675999999999</v>
      </c>
      <c r="R20" s="8">
        <f t="shared" si="22"/>
        <v>105.32659999999998</v>
      </c>
      <c r="Y20" s="8">
        <f>Y13-Y19</f>
        <v>119.49999999999984</v>
      </c>
      <c r="Z20" s="8">
        <f>Z13-Z19</f>
        <v>-1.5999999999996817</v>
      </c>
      <c r="AA20" s="8">
        <f>AA13-AA19</f>
        <v>367.27278400000029</v>
      </c>
      <c r="AB20" s="8">
        <f>AB13-AB19</f>
        <v>752.63497728000027</v>
      </c>
      <c r="AC20" s="8">
        <f t="shared" ref="AC20:AK20" si="23">AC13-AC19</f>
        <v>894.35454560640039</v>
      </c>
      <c r="AD20" s="8">
        <f t="shared" si="23"/>
        <v>1007.1999933191042</v>
      </c>
      <c r="AE20" s="8">
        <f t="shared" si="23"/>
        <v>1119.4776916601954</v>
      </c>
      <c r="AF20" s="8">
        <f t="shared" si="23"/>
        <v>1174.0340971801036</v>
      </c>
      <c r="AG20" s="8">
        <f t="shared" si="23"/>
        <v>1219.156131718456</v>
      </c>
      <c r="AH20" s="8">
        <f t="shared" si="23"/>
        <v>1265.8608152212512</v>
      </c>
      <c r="AI20" s="8">
        <f t="shared" si="23"/>
        <v>1314.2017553007797</v>
      </c>
      <c r="AJ20" s="8">
        <f t="shared" si="23"/>
        <v>1364.2343677798062</v>
      </c>
      <c r="AK20" s="8">
        <f t="shared" si="23"/>
        <v>1416.0159388084921</v>
      </c>
    </row>
    <row r="21" spans="2:146" x14ac:dyDescent="0.3">
      <c r="B21" t="s">
        <v>26</v>
      </c>
      <c r="G21" s="5">
        <v>-3.6</v>
      </c>
      <c r="H21" s="5">
        <v>-3.3</v>
      </c>
      <c r="I21" s="5">
        <v>0.9</v>
      </c>
      <c r="J21" s="5">
        <v>2.6</v>
      </c>
      <c r="K21" s="5">
        <v>1.4</v>
      </c>
      <c r="L21" s="5">
        <v>-1.8</v>
      </c>
      <c r="M21" s="5">
        <v>-280.5</v>
      </c>
      <c r="N21" s="5">
        <v>15.2</v>
      </c>
      <c r="O21" s="5">
        <f>O20*0.15</f>
        <v>9.8222736000000079</v>
      </c>
      <c r="P21" s="5">
        <f t="shared" ref="P21:R21" si="24">P20*0.15</f>
        <v>12.583139999999998</v>
      </c>
      <c r="Q21" s="5">
        <f t="shared" si="24"/>
        <v>16.886513999999998</v>
      </c>
      <c r="R21" s="5">
        <f t="shared" si="24"/>
        <v>15.798989999999996</v>
      </c>
      <c r="Y21" s="9">
        <f>SUM(G21:J21)</f>
        <v>-3.4</v>
      </c>
      <c r="Z21" s="9">
        <f>SUM(K21:N21)</f>
        <v>-265.7</v>
      </c>
      <c r="AA21" s="9">
        <f>SUM(O21:R21)</f>
        <v>55.090917600000004</v>
      </c>
      <c r="AB21" s="5">
        <f>AB20*0.15</f>
        <v>112.89524659200003</v>
      </c>
      <c r="AC21" s="5">
        <f t="shared" ref="AC21:AK21" si="25">AC20*0.15</f>
        <v>134.15318184096006</v>
      </c>
      <c r="AD21" s="5">
        <f t="shared" si="25"/>
        <v>151.07999899786563</v>
      </c>
      <c r="AE21" s="5">
        <f t="shared" si="25"/>
        <v>167.9216537490293</v>
      </c>
      <c r="AF21" s="5">
        <f t="shared" si="25"/>
        <v>176.10511457701554</v>
      </c>
      <c r="AG21" s="5">
        <f t="shared" si="25"/>
        <v>182.8734197577684</v>
      </c>
      <c r="AH21" s="5">
        <f t="shared" si="25"/>
        <v>189.87912228318768</v>
      </c>
      <c r="AI21" s="5">
        <f t="shared" si="25"/>
        <v>197.13026329511695</v>
      </c>
      <c r="AJ21" s="5">
        <f t="shared" si="25"/>
        <v>204.63515516697092</v>
      </c>
      <c r="AK21" s="5">
        <f t="shared" si="25"/>
        <v>212.40239082127383</v>
      </c>
    </row>
    <row r="22" spans="2:146" x14ac:dyDescent="0.3">
      <c r="B22" t="s">
        <v>27</v>
      </c>
      <c r="G22" s="5">
        <v>5.6</v>
      </c>
      <c r="H22" s="5">
        <v>11.7</v>
      </c>
      <c r="I22" s="5">
        <v>13.9</v>
      </c>
      <c r="J22" s="5">
        <v>5.5</v>
      </c>
      <c r="K22" s="5">
        <v>7.9</v>
      </c>
      <c r="L22" s="5">
        <v>15.3</v>
      </c>
      <c r="M22" s="5">
        <v>18.399999999999999</v>
      </c>
      <c r="N22" s="5">
        <v>23.3</v>
      </c>
      <c r="O22" s="5">
        <f>O20*0.2</f>
        <v>13.096364800000012</v>
      </c>
      <c r="P22" s="5">
        <f t="shared" ref="P22:R22" si="26">P20*0.2</f>
        <v>16.777519999999999</v>
      </c>
      <c r="Q22" s="5">
        <f t="shared" si="26"/>
        <v>22.515352</v>
      </c>
      <c r="R22" s="5">
        <f t="shared" si="26"/>
        <v>21.06532</v>
      </c>
      <c r="Y22" s="9">
        <f>SUM(G22:J22)</f>
        <v>36.699999999999996</v>
      </c>
      <c r="Z22" s="9">
        <f>SUM(K22:N22)</f>
        <v>64.900000000000006</v>
      </c>
      <c r="AA22" s="9">
        <f>SUM(O22:R22)</f>
        <v>73.454556800000006</v>
      </c>
      <c r="AB22" s="5">
        <f>AB20*0.18</f>
        <v>135.47429591040003</v>
      </c>
      <c r="AC22" s="5">
        <f t="shared" ref="AC22:AK22" si="27">AC20*0.18</f>
        <v>160.98381820915208</v>
      </c>
      <c r="AD22" s="5">
        <f t="shared" si="27"/>
        <v>181.29599879743876</v>
      </c>
      <c r="AE22" s="5">
        <f t="shared" si="27"/>
        <v>201.50598449883518</v>
      </c>
      <c r="AF22" s="5">
        <f t="shared" si="27"/>
        <v>211.32613749241864</v>
      </c>
      <c r="AG22" s="5">
        <f t="shared" si="27"/>
        <v>219.44810370932206</v>
      </c>
      <c r="AH22" s="5">
        <f t="shared" si="27"/>
        <v>227.85494673982521</v>
      </c>
      <c r="AI22" s="5">
        <f t="shared" si="27"/>
        <v>236.55631595414033</v>
      </c>
      <c r="AJ22" s="5">
        <f t="shared" si="27"/>
        <v>245.56218620036512</v>
      </c>
      <c r="AK22" s="5">
        <f t="shared" si="27"/>
        <v>254.88286898552857</v>
      </c>
    </row>
    <row r="23" spans="2:146" s="1" customFormat="1" x14ac:dyDescent="0.3">
      <c r="B23" s="1" t="s">
        <v>28</v>
      </c>
      <c r="G23" s="8">
        <f>G20-G21-G22</f>
        <v>14.799999999999985</v>
      </c>
      <c r="H23" s="8">
        <f>H20-H21-H22</f>
        <v>25.099999999999977</v>
      </c>
      <c r="I23" s="8">
        <f>I20-I21-I22</f>
        <v>32.599999999999966</v>
      </c>
      <c r="J23" s="8">
        <f>J20-J21-J22</f>
        <v>13.699999999999974</v>
      </c>
      <c r="K23" s="8">
        <f>K20-K21-K22</f>
        <v>20.599999999999952</v>
      </c>
      <c r="L23" s="8">
        <f>L20-L21-L22</f>
        <v>39.19999999999996</v>
      </c>
      <c r="M23" s="8">
        <f>M20-M21-M22</f>
        <v>53.800000000000075</v>
      </c>
      <c r="N23" s="8">
        <f>N20-N21-N22</f>
        <v>85.600000000000065</v>
      </c>
      <c r="O23" s="8">
        <f>O20-O21-O22</f>
        <v>42.56318560000004</v>
      </c>
      <c r="P23" s="8">
        <f t="shared" ref="P23:R23" si="28">P20-P21-P22</f>
        <v>54.526939999999996</v>
      </c>
      <c r="Q23" s="8">
        <f t="shared" si="28"/>
        <v>73.174893999999995</v>
      </c>
      <c r="R23" s="8">
        <f t="shared" si="28"/>
        <v>68.462289999999982</v>
      </c>
      <c r="Y23" s="8">
        <f>Y20-Y21-Y22</f>
        <v>86.199999999999847</v>
      </c>
      <c r="Z23" s="8">
        <f>Z20-Z21-Z22</f>
        <v>199.2000000000003</v>
      </c>
      <c r="AA23" s="8">
        <f>AA20-AA21-AA22</f>
        <v>238.72730960000027</v>
      </c>
      <c r="AB23" s="8">
        <f>AB20-AB21-AB22</f>
        <v>504.26543477760021</v>
      </c>
      <c r="AC23" s="8">
        <f t="shared" ref="AC23:AK23" si="29">AC20-AC21-AC22</f>
        <v>599.2175455562882</v>
      </c>
      <c r="AD23" s="8">
        <f t="shared" si="29"/>
        <v>674.82399552379991</v>
      </c>
      <c r="AE23" s="8">
        <f t="shared" si="29"/>
        <v>750.05005341233095</v>
      </c>
      <c r="AF23" s="8">
        <f t="shared" si="29"/>
        <v>786.60284511066936</v>
      </c>
      <c r="AG23" s="8">
        <f t="shared" si="29"/>
        <v>816.83460825136547</v>
      </c>
      <c r="AH23" s="8">
        <f t="shared" si="29"/>
        <v>848.12674619823838</v>
      </c>
      <c r="AI23" s="8">
        <f t="shared" si="29"/>
        <v>880.51517605152242</v>
      </c>
      <c r="AJ23" s="8">
        <f t="shared" si="29"/>
        <v>914.03702641247025</v>
      </c>
      <c r="AK23" s="8">
        <f t="shared" si="29"/>
        <v>948.73067900168962</v>
      </c>
      <c r="AL23" s="1">
        <f>AK23*(1+$AO$29)</f>
        <v>939.24337221167275</v>
      </c>
      <c r="AM23" s="1">
        <f t="shared" ref="AM23:CX23" si="30">AL23*(1+$AO$29)</f>
        <v>929.85093848955603</v>
      </c>
      <c r="AN23" s="1">
        <f t="shared" si="30"/>
        <v>920.5524291046604</v>
      </c>
      <c r="AO23" s="1">
        <f t="shared" si="30"/>
        <v>911.34690481361383</v>
      </c>
      <c r="AP23" s="1">
        <f t="shared" si="30"/>
        <v>902.23343576547768</v>
      </c>
      <c r="AQ23" s="1">
        <f t="shared" si="30"/>
        <v>893.21110140782287</v>
      </c>
      <c r="AR23" s="1">
        <f t="shared" si="30"/>
        <v>884.27899039374461</v>
      </c>
      <c r="AS23" s="1">
        <f t="shared" si="30"/>
        <v>875.43620048980711</v>
      </c>
      <c r="AT23" s="1">
        <f t="shared" si="30"/>
        <v>866.68183848490901</v>
      </c>
      <c r="AU23" s="1">
        <f t="shared" si="30"/>
        <v>858.01502010005993</v>
      </c>
      <c r="AV23" s="1">
        <f t="shared" si="30"/>
        <v>849.43486989905932</v>
      </c>
      <c r="AW23" s="1">
        <f t="shared" si="30"/>
        <v>840.9405212000687</v>
      </c>
      <c r="AX23" s="1">
        <f t="shared" si="30"/>
        <v>832.531115988068</v>
      </c>
      <c r="AY23" s="1">
        <f t="shared" si="30"/>
        <v>824.2058048281873</v>
      </c>
      <c r="AZ23" s="1">
        <f t="shared" si="30"/>
        <v>815.96374677990536</v>
      </c>
      <c r="BA23" s="1">
        <f t="shared" si="30"/>
        <v>807.80410931210633</v>
      </c>
      <c r="BB23" s="1">
        <f t="shared" si="30"/>
        <v>799.72606821898523</v>
      </c>
      <c r="BC23" s="1">
        <f t="shared" si="30"/>
        <v>791.72880753679533</v>
      </c>
      <c r="BD23" s="1">
        <f t="shared" si="30"/>
        <v>783.81151946142734</v>
      </c>
      <c r="BE23" s="1">
        <f t="shared" si="30"/>
        <v>775.97340426681308</v>
      </c>
      <c r="BF23" s="1">
        <f t="shared" si="30"/>
        <v>768.21367022414495</v>
      </c>
      <c r="BG23" s="1">
        <f t="shared" si="30"/>
        <v>760.5315335219035</v>
      </c>
      <c r="BH23" s="1">
        <f t="shared" si="30"/>
        <v>752.92621818668442</v>
      </c>
      <c r="BI23" s="1">
        <f t="shared" si="30"/>
        <v>745.39695600481753</v>
      </c>
      <c r="BJ23" s="1">
        <f t="shared" si="30"/>
        <v>737.9429864447693</v>
      </c>
      <c r="BK23" s="1">
        <f t="shared" si="30"/>
        <v>730.56355658032157</v>
      </c>
      <c r="BL23" s="1">
        <f t="shared" si="30"/>
        <v>723.25792101451839</v>
      </c>
      <c r="BM23" s="1">
        <f t="shared" si="30"/>
        <v>716.02534180437317</v>
      </c>
      <c r="BN23" s="1">
        <f t="shared" si="30"/>
        <v>708.86508838632938</v>
      </c>
      <c r="BO23" s="1">
        <f t="shared" si="30"/>
        <v>701.77643750246602</v>
      </c>
      <c r="BP23" s="1">
        <f t="shared" si="30"/>
        <v>694.7586731274414</v>
      </c>
      <c r="BQ23" s="1">
        <f t="shared" si="30"/>
        <v>687.81108639616696</v>
      </c>
      <c r="BR23" s="1">
        <f t="shared" si="30"/>
        <v>680.93297553220532</v>
      </c>
      <c r="BS23" s="1">
        <f t="shared" si="30"/>
        <v>674.12364577688322</v>
      </c>
      <c r="BT23" s="1">
        <f t="shared" si="30"/>
        <v>667.38240931911434</v>
      </c>
      <c r="BU23" s="1">
        <f t="shared" si="30"/>
        <v>660.70858522592323</v>
      </c>
      <c r="BV23" s="1">
        <f t="shared" si="30"/>
        <v>654.10149937366396</v>
      </c>
      <c r="BW23" s="1">
        <f t="shared" si="30"/>
        <v>647.56048437992729</v>
      </c>
      <c r="BX23" s="1">
        <f t="shared" si="30"/>
        <v>641.08487953612803</v>
      </c>
      <c r="BY23" s="1">
        <f t="shared" si="30"/>
        <v>634.67403074076674</v>
      </c>
      <c r="BZ23" s="1">
        <f t="shared" si="30"/>
        <v>628.32729043335905</v>
      </c>
      <c r="CA23" s="1">
        <f t="shared" si="30"/>
        <v>622.0440175290255</v>
      </c>
      <c r="CB23" s="1">
        <f t="shared" si="30"/>
        <v>615.82357735373523</v>
      </c>
      <c r="CC23" s="1">
        <f t="shared" si="30"/>
        <v>609.66534158019783</v>
      </c>
      <c r="CD23" s="1">
        <f t="shared" si="30"/>
        <v>603.56868816439589</v>
      </c>
      <c r="CE23" s="1">
        <f t="shared" si="30"/>
        <v>597.53300128275191</v>
      </c>
      <c r="CF23" s="1">
        <f t="shared" si="30"/>
        <v>591.55767126992441</v>
      </c>
      <c r="CG23" s="1">
        <f t="shared" si="30"/>
        <v>585.64209455722516</v>
      </c>
      <c r="CH23" s="1">
        <f t="shared" si="30"/>
        <v>579.7856736116529</v>
      </c>
      <c r="CI23" s="1">
        <f t="shared" si="30"/>
        <v>573.9878168755364</v>
      </c>
      <c r="CJ23" s="1">
        <f t="shared" si="30"/>
        <v>568.24793870678104</v>
      </c>
      <c r="CK23" s="1">
        <f t="shared" si="30"/>
        <v>562.56545931971323</v>
      </c>
      <c r="CL23" s="1">
        <f t="shared" si="30"/>
        <v>556.93980472651606</v>
      </c>
      <c r="CM23" s="1">
        <f t="shared" si="30"/>
        <v>551.37040667925089</v>
      </c>
      <c r="CN23" s="1">
        <f t="shared" si="30"/>
        <v>545.85670261245832</v>
      </c>
      <c r="CO23" s="1">
        <f t="shared" si="30"/>
        <v>540.39813558633375</v>
      </c>
      <c r="CP23" s="1">
        <f t="shared" si="30"/>
        <v>534.99415423047037</v>
      </c>
      <c r="CQ23" s="1">
        <f t="shared" si="30"/>
        <v>529.64421268816568</v>
      </c>
      <c r="CR23" s="1">
        <f t="shared" si="30"/>
        <v>524.34777056128405</v>
      </c>
      <c r="CS23" s="1">
        <f t="shared" si="30"/>
        <v>519.10429285567125</v>
      </c>
      <c r="CT23" s="1">
        <f t="shared" si="30"/>
        <v>513.91324992711452</v>
      </c>
      <c r="CU23" s="1">
        <f t="shared" si="30"/>
        <v>508.77411742784335</v>
      </c>
      <c r="CV23" s="1">
        <f t="shared" si="30"/>
        <v>503.6863762535649</v>
      </c>
      <c r="CW23" s="1">
        <f t="shared" si="30"/>
        <v>498.64951249102927</v>
      </c>
      <c r="CX23" s="1">
        <f t="shared" si="30"/>
        <v>493.66301736611899</v>
      </c>
      <c r="CY23" s="1">
        <f t="shared" ref="CY23:EP23" si="31">CX23*(1+$AO$29)</f>
        <v>488.72638719245782</v>
      </c>
      <c r="CZ23" s="1">
        <f t="shared" si="31"/>
        <v>483.83912332053325</v>
      </c>
      <c r="DA23" s="1">
        <f t="shared" si="31"/>
        <v>479.00073208732789</v>
      </c>
      <c r="DB23" s="1">
        <f t="shared" si="31"/>
        <v>474.21072476645463</v>
      </c>
      <c r="DC23" s="1">
        <f t="shared" si="31"/>
        <v>469.4686175187901</v>
      </c>
      <c r="DD23" s="1">
        <f t="shared" si="31"/>
        <v>464.77393134360221</v>
      </c>
      <c r="DE23" s="1">
        <f t="shared" si="31"/>
        <v>460.12619203016618</v>
      </c>
      <c r="DF23" s="1">
        <f t="shared" si="31"/>
        <v>455.5249301098645</v>
      </c>
      <c r="DG23" s="1">
        <f t="shared" si="31"/>
        <v>450.96968080876587</v>
      </c>
      <c r="DH23" s="1">
        <f t="shared" si="31"/>
        <v>446.45998400067822</v>
      </c>
      <c r="DI23" s="1">
        <f t="shared" si="31"/>
        <v>441.99538416067145</v>
      </c>
      <c r="DJ23" s="1">
        <f t="shared" si="31"/>
        <v>437.57543031906471</v>
      </c>
      <c r="DK23" s="1">
        <f t="shared" si="31"/>
        <v>433.19967601587405</v>
      </c>
      <c r="DL23" s="1">
        <f t="shared" si="31"/>
        <v>428.8676792557153</v>
      </c>
      <c r="DM23" s="1">
        <f t="shared" si="31"/>
        <v>424.57900246315813</v>
      </c>
      <c r="DN23" s="1">
        <f t="shared" si="31"/>
        <v>420.33321243852657</v>
      </c>
      <c r="DO23" s="1">
        <f t="shared" si="31"/>
        <v>416.1298803141413</v>
      </c>
      <c r="DP23" s="1">
        <f t="shared" si="31"/>
        <v>411.96858151099991</v>
      </c>
      <c r="DQ23" s="1">
        <f t="shared" si="31"/>
        <v>407.84889569588989</v>
      </c>
      <c r="DR23" s="1">
        <f t="shared" si="31"/>
        <v>403.770406738931</v>
      </c>
      <c r="DS23" s="1">
        <f t="shared" si="31"/>
        <v>399.73270267154169</v>
      </c>
      <c r="DT23" s="1">
        <f t="shared" si="31"/>
        <v>395.73537564482626</v>
      </c>
      <c r="DU23" s="1">
        <f t="shared" si="31"/>
        <v>391.77802188837802</v>
      </c>
      <c r="DV23" s="1">
        <f t="shared" si="31"/>
        <v>387.86024166949426</v>
      </c>
      <c r="DW23" s="1">
        <f t="shared" si="31"/>
        <v>383.98163925279931</v>
      </c>
      <c r="DX23" s="1">
        <f t="shared" si="31"/>
        <v>380.1418228602713</v>
      </c>
      <c r="DY23" s="1">
        <f t="shared" si="31"/>
        <v>376.3404046316686</v>
      </c>
      <c r="DZ23" s="1">
        <f t="shared" si="31"/>
        <v>372.57700058535193</v>
      </c>
      <c r="EA23" s="1">
        <f t="shared" si="31"/>
        <v>368.85123057949841</v>
      </c>
      <c r="EB23" s="1">
        <f t="shared" si="31"/>
        <v>365.16271827370343</v>
      </c>
      <c r="EC23" s="1">
        <f t="shared" si="31"/>
        <v>361.51109109096637</v>
      </c>
      <c r="ED23" s="1">
        <f t="shared" si="31"/>
        <v>357.89598018005671</v>
      </c>
      <c r="EE23" s="1">
        <f t="shared" si="31"/>
        <v>354.31702037825613</v>
      </c>
      <c r="EF23" s="1">
        <f t="shared" si="31"/>
        <v>350.77385017447358</v>
      </c>
      <c r="EG23" s="1">
        <f t="shared" si="31"/>
        <v>347.26611167272887</v>
      </c>
      <c r="EH23" s="1">
        <f t="shared" si="31"/>
        <v>343.79345055600157</v>
      </c>
      <c r="EI23" s="1">
        <f t="shared" si="31"/>
        <v>340.35551605044157</v>
      </c>
      <c r="EJ23" s="1">
        <f t="shared" si="31"/>
        <v>336.95196088993714</v>
      </c>
      <c r="EK23" s="1">
        <f t="shared" si="31"/>
        <v>333.58244128103775</v>
      </c>
      <c r="EL23" s="1">
        <f t="shared" si="31"/>
        <v>330.24661686822736</v>
      </c>
      <c r="EM23" s="1">
        <f t="shared" si="31"/>
        <v>326.9441506995451</v>
      </c>
      <c r="EN23" s="1">
        <f t="shared" si="31"/>
        <v>323.67470919254964</v>
      </c>
      <c r="EO23" s="1">
        <f t="shared" si="31"/>
        <v>320.43796210062413</v>
      </c>
      <c r="EP23" s="1">
        <f t="shared" si="31"/>
        <v>317.23358247961789</v>
      </c>
    </row>
    <row r="24" spans="2:146" x14ac:dyDescent="0.3">
      <c r="B24" t="s">
        <v>2</v>
      </c>
      <c r="G24" s="5">
        <f>67.8+19.8+1.5</f>
        <v>89.1</v>
      </c>
      <c r="H24" s="5">
        <f>67.8+19.8+1.5</f>
        <v>89.1</v>
      </c>
      <c r="I24" s="5">
        <f>67.8+19.8+1.5</f>
        <v>89.1</v>
      </c>
      <c r="J24" s="5">
        <f>67.8+19.8+1.5</f>
        <v>89.1</v>
      </c>
      <c r="K24" s="5">
        <f>67.8+19.8+1.5</f>
        <v>89.1</v>
      </c>
      <c r="L24" s="5">
        <f>67.8+19.8+1.5</f>
        <v>89.1</v>
      </c>
      <c r="M24" s="5">
        <f>67.8+19.8+1.5</f>
        <v>89.1</v>
      </c>
      <c r="N24" s="5">
        <f>67.8+19.8+1.5</f>
        <v>89.1</v>
      </c>
      <c r="O24" s="5">
        <f>67.8+19.8+1.5</f>
        <v>89.1</v>
      </c>
      <c r="P24" s="5">
        <f t="shared" ref="P24:R24" si="32">67.8+19.8+1.5</f>
        <v>89.1</v>
      </c>
      <c r="Q24" s="5">
        <f t="shared" si="32"/>
        <v>89.1</v>
      </c>
      <c r="R24" s="5">
        <f t="shared" si="32"/>
        <v>89.1</v>
      </c>
      <c r="Y24" s="5">
        <f>67.8+19.8+1.5</f>
        <v>89.1</v>
      </c>
      <c r="Z24" s="5">
        <f>67.8+19.8+1.5</f>
        <v>89.1</v>
      </c>
      <c r="AA24" s="5">
        <f>67.8+19.8+1.5</f>
        <v>89.1</v>
      </c>
      <c r="AB24" s="5">
        <f>67.8+19.8+1.5</f>
        <v>89.1</v>
      </c>
      <c r="AC24" s="5">
        <f t="shared" ref="AC24:AK24" si="33">67.8+19.8+1.5</f>
        <v>89.1</v>
      </c>
      <c r="AD24" s="5">
        <f t="shared" si="33"/>
        <v>89.1</v>
      </c>
      <c r="AE24" s="5">
        <f t="shared" si="33"/>
        <v>89.1</v>
      </c>
      <c r="AF24" s="5">
        <f t="shared" si="33"/>
        <v>89.1</v>
      </c>
      <c r="AG24" s="5">
        <f t="shared" si="33"/>
        <v>89.1</v>
      </c>
      <c r="AH24" s="5">
        <f t="shared" si="33"/>
        <v>89.1</v>
      </c>
      <c r="AI24" s="5">
        <f t="shared" si="33"/>
        <v>89.1</v>
      </c>
      <c r="AJ24" s="5">
        <f t="shared" si="33"/>
        <v>89.1</v>
      </c>
      <c r="AK24" s="5">
        <f t="shared" si="33"/>
        <v>89.1</v>
      </c>
    </row>
    <row r="25" spans="2:146" x14ac:dyDescent="0.3">
      <c r="B25" t="s">
        <v>29</v>
      </c>
      <c r="G25" s="7">
        <f>G23/G24</f>
        <v>0.1661054994388326</v>
      </c>
      <c r="H25" s="7">
        <f>H23/H24</f>
        <v>0.28170594837261481</v>
      </c>
      <c r="I25" s="7">
        <f>I23/I24</f>
        <v>0.36588103254769888</v>
      </c>
      <c r="J25" s="7">
        <f>J23/J24</f>
        <v>0.15375982042648681</v>
      </c>
      <c r="K25" s="7">
        <f>K23/K24</f>
        <v>0.23120089786756401</v>
      </c>
      <c r="L25" s="7">
        <f>L23/L24</f>
        <v>0.4399551066217729</v>
      </c>
      <c r="M25" s="7">
        <f>M23/M24</f>
        <v>0.6038159371492714</v>
      </c>
      <c r="N25" s="7">
        <f>N23/N24</f>
        <v>0.96071829405162823</v>
      </c>
      <c r="O25" s="7">
        <f>O23/O24</f>
        <v>0.47770129741863121</v>
      </c>
      <c r="P25" s="7">
        <f t="shared" ref="P25:R25" si="34">P23/P24</f>
        <v>0.61197463524130191</v>
      </c>
      <c r="Q25" s="7">
        <f t="shared" si="34"/>
        <v>0.82126704826038155</v>
      </c>
      <c r="R25" s="7">
        <f t="shared" si="34"/>
        <v>0.76837586980920303</v>
      </c>
      <c r="Y25" s="7">
        <f>Y23/Y24</f>
        <v>0.96745230078563249</v>
      </c>
      <c r="Z25" s="7">
        <f>Z23/Z24</f>
        <v>2.2356902356902393</v>
      </c>
      <c r="AA25" s="7">
        <f>AA23/AA24</f>
        <v>2.6793188507295205</v>
      </c>
      <c r="AB25" s="7">
        <f>AB23/AB24</f>
        <v>5.6595447225319893</v>
      </c>
      <c r="AC25" s="7">
        <f t="shared" ref="AC25:AK25" si="35">AC23/AC24</f>
        <v>6.7252249781850528</v>
      </c>
      <c r="AD25" s="7">
        <f t="shared" si="35"/>
        <v>7.5737822168776647</v>
      </c>
      <c r="AE25" s="7">
        <f t="shared" si="35"/>
        <v>8.4180701842012464</v>
      </c>
      <c r="AF25" s="7">
        <f t="shared" si="35"/>
        <v>8.8283147599401737</v>
      </c>
      <c r="AG25" s="7">
        <f t="shared" si="35"/>
        <v>9.1676162542240807</v>
      </c>
      <c r="AH25" s="7">
        <f t="shared" si="35"/>
        <v>9.5188187003169293</v>
      </c>
      <c r="AI25" s="7">
        <f t="shared" si="35"/>
        <v>9.8823252082101281</v>
      </c>
      <c r="AJ25" s="7">
        <f t="shared" si="35"/>
        <v>10.258552484988444</v>
      </c>
      <c r="AK25" s="7">
        <f t="shared" si="35"/>
        <v>10.647931301926933</v>
      </c>
    </row>
    <row r="27" spans="2:146" x14ac:dyDescent="0.3">
      <c r="B27" t="s">
        <v>49</v>
      </c>
      <c r="G27" s="10"/>
      <c r="H27" s="10"/>
      <c r="I27" s="10"/>
      <c r="J27" s="10"/>
      <c r="K27" s="10">
        <f t="shared" ref="G27:M27" si="36">K3/G3-1</f>
        <v>0.29323583180987201</v>
      </c>
      <c r="L27" s="10">
        <f t="shared" si="36"/>
        <v>0.29827315541601251</v>
      </c>
      <c r="M27" s="10">
        <f t="shared" si="36"/>
        <v>0.34616523541604982</v>
      </c>
      <c r="N27" s="10">
        <f>N3/J3-1</f>
        <v>0.25744258576694068</v>
      </c>
      <c r="O27" s="10">
        <f t="shared" ref="O27:R27" si="37">O3/K3-1</f>
        <v>0.22999999999999998</v>
      </c>
      <c r="P27" s="10">
        <f t="shared" si="37"/>
        <v>0.14999999999999991</v>
      </c>
      <c r="Q27" s="10">
        <f t="shared" si="37"/>
        <v>0.14999999999999991</v>
      </c>
      <c r="R27" s="10">
        <f t="shared" si="37"/>
        <v>0.14999999999999991</v>
      </c>
      <c r="Y27" s="10"/>
      <c r="Z27" s="10">
        <f>Z3/Y3-1</f>
        <v>0.29858078602620086</v>
      </c>
      <c r="AA27" s="10">
        <f t="shared" ref="AA27:AK27" si="38">AA3/Z3-1</f>
        <v>0.16699153305710679</v>
      </c>
      <c r="AB27" s="10">
        <f t="shared" si="38"/>
        <v>0.12000000000000011</v>
      </c>
      <c r="AC27" s="10">
        <f t="shared" si="38"/>
        <v>8.0000000000000071E-2</v>
      </c>
      <c r="AD27" s="10">
        <f t="shared" si="38"/>
        <v>6.0000000000000053E-2</v>
      </c>
      <c r="AE27" s="10">
        <f t="shared" si="38"/>
        <v>5.0000000000000044E-2</v>
      </c>
      <c r="AF27" s="10">
        <f t="shared" si="38"/>
        <v>4.0000000000000036E-2</v>
      </c>
      <c r="AG27" s="10">
        <f t="shared" si="38"/>
        <v>3.0000000000000027E-2</v>
      </c>
      <c r="AH27" s="10">
        <f t="shared" si="38"/>
        <v>3.0000000000000027E-2</v>
      </c>
      <c r="AI27" s="10">
        <f t="shared" si="38"/>
        <v>3.0000000000000027E-2</v>
      </c>
      <c r="AJ27" s="10">
        <f t="shared" si="38"/>
        <v>3.0000000000000027E-2</v>
      </c>
      <c r="AK27" s="10">
        <f t="shared" si="38"/>
        <v>3.0000000000000027E-2</v>
      </c>
    </row>
    <row r="28" spans="2:146" x14ac:dyDescent="0.3">
      <c r="B28" t="s">
        <v>50</v>
      </c>
      <c r="G28" s="10">
        <f t="shared" ref="G28:N28" si="39">G5/G3</f>
        <v>0.26581352833638022</v>
      </c>
      <c r="H28" s="10">
        <f t="shared" si="39"/>
        <v>0.26200941915227627</v>
      </c>
      <c r="I28" s="10">
        <f t="shared" si="39"/>
        <v>0.26695291679005029</v>
      </c>
      <c r="J28" s="10">
        <f t="shared" si="39"/>
        <v>0.27672242699177768</v>
      </c>
      <c r="K28" s="10">
        <f t="shared" si="39"/>
        <v>0.26547921967769289</v>
      </c>
      <c r="L28" s="10">
        <f t="shared" si="39"/>
        <v>0.28029020556227324</v>
      </c>
      <c r="M28" s="10">
        <f t="shared" si="39"/>
        <v>0.29399472063352405</v>
      </c>
      <c r="N28" s="10">
        <f>N5/N3</f>
        <v>0.32266065388951526</v>
      </c>
      <c r="O28" s="10">
        <f t="shared" ref="O28:R28" si="40">O5/O3</f>
        <v>0.33</v>
      </c>
      <c r="P28" s="10">
        <f t="shared" si="40"/>
        <v>0.33</v>
      </c>
      <c r="Q28" s="10">
        <f t="shared" si="40"/>
        <v>0.34</v>
      </c>
      <c r="R28" s="10">
        <f t="shared" si="40"/>
        <v>0.35</v>
      </c>
      <c r="Y28" s="10">
        <f>Y5/Y3</f>
        <v>0.26816905801621954</v>
      </c>
      <c r="Z28" s="10">
        <f>Z5/Z3</f>
        <v>0.29216957905482505</v>
      </c>
      <c r="AA28" s="10">
        <f t="shared" ref="AA28:AK28" si="41">AA5/AA3</f>
        <v>0.33793890678715716</v>
      </c>
      <c r="AB28" s="10">
        <f t="shared" si="41"/>
        <v>0.36</v>
      </c>
      <c r="AC28" s="10">
        <f t="shared" si="41"/>
        <v>0.38</v>
      </c>
      <c r="AD28" s="10">
        <f t="shared" si="41"/>
        <v>0.39</v>
      </c>
      <c r="AE28" s="10">
        <f t="shared" si="41"/>
        <v>0.39999999999999997</v>
      </c>
      <c r="AF28" s="10">
        <f t="shared" si="41"/>
        <v>0.40000000000000008</v>
      </c>
      <c r="AG28" s="10">
        <f t="shared" si="41"/>
        <v>0.39999999999999997</v>
      </c>
      <c r="AH28" s="10">
        <f t="shared" si="41"/>
        <v>0.4</v>
      </c>
      <c r="AI28" s="10">
        <f t="shared" si="41"/>
        <v>0.4</v>
      </c>
      <c r="AJ28" s="10">
        <f t="shared" si="41"/>
        <v>0.4</v>
      </c>
      <c r="AK28" s="10">
        <f t="shared" si="41"/>
        <v>0.4</v>
      </c>
    </row>
    <row r="29" spans="2:146" x14ac:dyDescent="0.3">
      <c r="B29" t="s">
        <v>51</v>
      </c>
      <c r="G29" s="10"/>
      <c r="H29" s="10"/>
      <c r="I29" s="10"/>
      <c r="J29" s="10"/>
      <c r="K29" s="10">
        <f t="shared" ref="G29:M29" si="42">K6/G6-1</f>
        <v>0.24970828471411899</v>
      </c>
      <c r="L29" s="10">
        <f t="shared" si="42"/>
        <v>0.34104750304506704</v>
      </c>
      <c r="M29" s="10">
        <f t="shared" si="42"/>
        <v>0.54914809960681521</v>
      </c>
      <c r="N29" s="10">
        <f>N6/J6-1</f>
        <v>0.45657276995305152</v>
      </c>
      <c r="O29" s="10">
        <f t="shared" ref="O29:R29" si="43">O6/K6-1</f>
        <v>0.30000000000000004</v>
      </c>
      <c r="P29" s="10">
        <f t="shared" si="43"/>
        <v>0.30000000000000004</v>
      </c>
      <c r="Q29" s="10">
        <f t="shared" si="43"/>
        <v>0.30000000000000004</v>
      </c>
      <c r="R29" s="10">
        <f t="shared" si="43"/>
        <v>0.29999999999999982</v>
      </c>
      <c r="Y29" s="10"/>
      <c r="Z29" s="10">
        <f>Z6/Y6-1</f>
        <v>0.39538414819313683</v>
      </c>
      <c r="AA29" s="10">
        <f t="shared" ref="AA29:AK29" si="44">AA6/Z6-1</f>
        <v>0.29999999999999982</v>
      </c>
      <c r="AB29" s="10">
        <f t="shared" si="44"/>
        <v>0.19999999999999996</v>
      </c>
      <c r="AC29" s="10">
        <f t="shared" si="44"/>
        <v>0.10000000000000009</v>
      </c>
      <c r="AD29" s="10">
        <f t="shared" si="44"/>
        <v>5.0000000000000044E-2</v>
      </c>
      <c r="AE29" s="10">
        <f t="shared" si="44"/>
        <v>4.0000000000000036E-2</v>
      </c>
      <c r="AF29" s="10">
        <f t="shared" si="44"/>
        <v>3.0000000000000027E-2</v>
      </c>
      <c r="AG29" s="10">
        <f t="shared" si="44"/>
        <v>2.0000000000000018E-2</v>
      </c>
      <c r="AH29" s="10">
        <f t="shared" si="44"/>
        <v>2.0000000000000018E-2</v>
      </c>
      <c r="AI29" s="10">
        <f t="shared" si="44"/>
        <v>2.0000000000000018E-2</v>
      </c>
      <c r="AJ29" s="10">
        <f t="shared" si="44"/>
        <v>2.0000000000000018E-2</v>
      </c>
      <c r="AK29" s="10">
        <f t="shared" si="44"/>
        <v>2.0000000000000018E-2</v>
      </c>
      <c r="AN29" t="s">
        <v>56</v>
      </c>
      <c r="AO29" s="10">
        <v>-0.01</v>
      </c>
    </row>
    <row r="30" spans="2:146" x14ac:dyDescent="0.3">
      <c r="B30" t="s">
        <v>52</v>
      </c>
      <c r="G30" s="10">
        <f t="shared" ref="G30:N30" si="45">G9/G3</f>
        <v>1.1151736745886653E-2</v>
      </c>
      <c r="H30" s="10">
        <f t="shared" si="45"/>
        <v>8.4772370486656205E-3</v>
      </c>
      <c r="I30" s="10">
        <f t="shared" si="45"/>
        <v>8.4394432928634883E-3</v>
      </c>
      <c r="J30" s="10">
        <f t="shared" si="45"/>
        <v>2.2540402608449108E-2</v>
      </c>
      <c r="K30" s="10">
        <f t="shared" si="45"/>
        <v>1.1309018942606729E-2</v>
      </c>
      <c r="L30" s="10">
        <f t="shared" si="45"/>
        <v>1.4026602176541716E-2</v>
      </c>
      <c r="M30" s="10">
        <f t="shared" si="45"/>
        <v>1.0338759348878134E-2</v>
      </c>
      <c r="N30" s="10">
        <f>N9/N3</f>
        <v>1.3979706877113867E-2</v>
      </c>
      <c r="O30" s="10">
        <f t="shared" ref="O30:R30" si="46">O9/O3</f>
        <v>0.01</v>
      </c>
      <c r="P30" s="10">
        <f t="shared" si="46"/>
        <v>0.01</v>
      </c>
      <c r="Q30" s="10">
        <f t="shared" si="46"/>
        <v>0.01</v>
      </c>
      <c r="R30" s="10">
        <f t="shared" si="46"/>
        <v>0.01</v>
      </c>
      <c r="Y30" s="10">
        <f>Y9/Y3</f>
        <v>1.290548970679975E-2</v>
      </c>
      <c r="Z30" s="10">
        <f>Z9/Z3</f>
        <v>1.2430192758061608E-2</v>
      </c>
      <c r="AA30" s="10">
        <f t="shared" ref="AA30:AK30" si="47">AA9/AA3</f>
        <v>0.01</v>
      </c>
      <c r="AB30" s="10">
        <f t="shared" si="47"/>
        <v>0.01</v>
      </c>
      <c r="AC30" s="10">
        <f t="shared" si="47"/>
        <v>0.01</v>
      </c>
      <c r="AD30" s="10">
        <f t="shared" si="47"/>
        <v>0.01</v>
      </c>
      <c r="AE30" s="10">
        <f t="shared" si="47"/>
        <v>0.01</v>
      </c>
      <c r="AF30" s="10">
        <f t="shared" si="47"/>
        <v>0.01</v>
      </c>
      <c r="AG30" s="10">
        <f t="shared" si="47"/>
        <v>0.01</v>
      </c>
      <c r="AH30" s="10">
        <f t="shared" si="47"/>
        <v>0.01</v>
      </c>
      <c r="AI30" s="10">
        <f t="shared" si="47"/>
        <v>0.01</v>
      </c>
      <c r="AJ30" s="10">
        <f t="shared" si="47"/>
        <v>0.01</v>
      </c>
      <c r="AK30" s="10">
        <f t="shared" si="47"/>
        <v>0.01</v>
      </c>
      <c r="AN30" t="s">
        <v>57</v>
      </c>
      <c r="AO30" s="10">
        <v>0.09</v>
      </c>
    </row>
    <row r="31" spans="2:146" x14ac:dyDescent="0.3">
      <c r="B31" t="s">
        <v>53</v>
      </c>
      <c r="G31" s="10">
        <f t="shared" ref="G31:N31" si="48">G10/G3</f>
        <v>4.570383912248629E-3</v>
      </c>
      <c r="H31" s="10">
        <f t="shared" si="48"/>
        <v>6.2794348508634227E-3</v>
      </c>
      <c r="I31" s="10">
        <f t="shared" si="48"/>
        <v>6.9588392063962105E-3</v>
      </c>
      <c r="J31" s="10">
        <f t="shared" si="48"/>
        <v>5.5287779982988372E-3</v>
      </c>
      <c r="K31" s="10">
        <f t="shared" si="48"/>
        <v>6.2199604184337018E-3</v>
      </c>
      <c r="L31" s="10">
        <f t="shared" si="48"/>
        <v>4.7158403869407492E-3</v>
      </c>
      <c r="M31" s="10">
        <f t="shared" si="48"/>
        <v>6.8191816981962167E-3</v>
      </c>
      <c r="N31" s="10">
        <f>N10/N3</f>
        <v>8.1172491544532141E-3</v>
      </c>
      <c r="O31" s="10">
        <f t="shared" ref="O31:R31" si="49">O10/O3</f>
        <v>8.0000000000000002E-3</v>
      </c>
      <c r="P31" s="10">
        <f t="shared" si="49"/>
        <v>8.0000000000000002E-3</v>
      </c>
      <c r="Q31" s="10">
        <f t="shared" si="49"/>
        <v>8.0000000000000002E-3</v>
      </c>
      <c r="R31" s="10">
        <f t="shared" si="49"/>
        <v>8.0000000000000002E-3</v>
      </c>
      <c r="Y31" s="10">
        <f>Y10/Y3</f>
        <v>5.8873986275732992E-3</v>
      </c>
      <c r="Z31" s="10">
        <f>Z10/Z3</f>
        <v>6.5153425809163501E-3</v>
      </c>
      <c r="AA31" s="10">
        <f t="shared" ref="AA31:AK31" si="50">AA10/AA3</f>
        <v>7.9999999999999984E-3</v>
      </c>
      <c r="AB31" s="10">
        <f t="shared" si="50"/>
        <v>8.0000000000000002E-3</v>
      </c>
      <c r="AC31" s="10">
        <f t="shared" si="50"/>
        <v>8.0000000000000002E-3</v>
      </c>
      <c r="AD31" s="10">
        <f t="shared" si="50"/>
        <v>8.0000000000000002E-3</v>
      </c>
      <c r="AE31" s="10">
        <f t="shared" si="50"/>
        <v>8.0000000000000002E-3</v>
      </c>
      <c r="AF31" s="10">
        <f t="shared" si="50"/>
        <v>8.0000000000000002E-3</v>
      </c>
      <c r="AG31" s="10">
        <f t="shared" si="50"/>
        <v>8.0000000000000002E-3</v>
      </c>
      <c r="AH31" s="10">
        <f t="shared" si="50"/>
        <v>8.0000000000000002E-3</v>
      </c>
      <c r="AI31" s="10">
        <f t="shared" si="50"/>
        <v>8.0000000000000002E-3</v>
      </c>
      <c r="AJ31" s="10">
        <f t="shared" si="50"/>
        <v>8.0000000000000002E-3</v>
      </c>
      <c r="AK31" s="10">
        <f t="shared" si="50"/>
        <v>8.0000000000000002E-3</v>
      </c>
      <c r="AN31" t="s">
        <v>58</v>
      </c>
      <c r="AO31" s="5">
        <f>NPV(AO30,AA23:EP23)</f>
        <v>8212.1559229930172</v>
      </c>
    </row>
    <row r="32" spans="2:146" x14ac:dyDescent="0.3">
      <c r="B32" t="s">
        <v>54</v>
      </c>
      <c r="G32" s="10">
        <f t="shared" ref="G32:N32" si="51">G13/G3</f>
        <v>1.6087751371115143E-2</v>
      </c>
      <c r="H32" s="10">
        <f t="shared" si="51"/>
        <v>5.3218210361067469E-2</v>
      </c>
      <c r="I32" s="10">
        <f t="shared" si="51"/>
        <v>6.6183002665087295E-2</v>
      </c>
      <c r="J32" s="10">
        <f t="shared" si="51"/>
        <v>3.8843209526509749E-2</v>
      </c>
      <c r="K32" s="10">
        <f t="shared" si="51"/>
        <v>3.025162567147293E-2</v>
      </c>
      <c r="L32" s="10">
        <f t="shared" si="51"/>
        <v>7.1584038694074925E-2</v>
      </c>
      <c r="M32" s="10">
        <f t="shared" si="51"/>
        <v>8.8429388473383261E-2</v>
      </c>
      <c r="N32" s="10">
        <f>N13/N3</f>
        <v>9.6956031567080103E-2</v>
      </c>
      <c r="O32" s="10">
        <f t="shared" ref="O32:R32" si="52">O13/O3</f>
        <v>8.5049596484090439E-2</v>
      </c>
      <c r="P32" s="10">
        <f t="shared" si="52"/>
        <v>9.7668471689185632E-2</v>
      </c>
      <c r="Q32" s="10">
        <f t="shared" si="52"/>
        <v>0.11088272537730255</v>
      </c>
      <c r="R32" s="10">
        <f t="shared" si="52"/>
        <v>0.10196225675211999</v>
      </c>
      <c r="Y32" s="10">
        <f>Y13/Y3</f>
        <v>4.4759825327510855E-2</v>
      </c>
      <c r="Z32" s="10">
        <f>Z13/Z3</f>
        <v>7.4160811865729995E-2</v>
      </c>
      <c r="AA32" s="10">
        <f t="shared" ref="AA32:AK32" si="53">AA13/AA3</f>
        <v>9.9525207227984552E-2</v>
      </c>
      <c r="AB32" s="10">
        <f t="shared" si="53"/>
        <v>0.17733476867422537</v>
      </c>
      <c r="AC32" s="10">
        <f t="shared" si="53"/>
        <v>0.19428541253856291</v>
      </c>
      <c r="AD32" s="10">
        <f t="shared" si="53"/>
        <v>0.20586762562782171</v>
      </c>
      <c r="AE32" s="10">
        <f t="shared" si="53"/>
        <v>0.21744983871708054</v>
      </c>
      <c r="AF32" s="10">
        <f t="shared" si="53"/>
        <v>0.21903205180633945</v>
      </c>
      <c r="AG32" s="10">
        <f t="shared" si="53"/>
        <v>0.22061426489559816</v>
      </c>
      <c r="AH32" s="10">
        <f t="shared" si="53"/>
        <v>0.2221811166927283</v>
      </c>
      <c r="AI32" s="10">
        <f t="shared" si="53"/>
        <v>0.22373275633648829</v>
      </c>
      <c r="AJ32" s="10">
        <f t="shared" si="53"/>
        <v>0.22526933151768738</v>
      </c>
      <c r="AK32" s="10">
        <f t="shared" si="53"/>
        <v>0.22679098849324378</v>
      </c>
      <c r="AN32" t="s">
        <v>59</v>
      </c>
      <c r="AO32" s="5">
        <f>Main!D8</f>
        <v>-1629.1</v>
      </c>
    </row>
    <row r="33" spans="2:41" x14ac:dyDescent="0.3">
      <c r="B33" t="s">
        <v>26</v>
      </c>
      <c r="G33" s="10">
        <f t="shared" ref="G33:N33" si="54">G21/G20</f>
        <v>-0.2142857142857145</v>
      </c>
      <c r="H33" s="10">
        <f t="shared" si="54"/>
        <v>-9.8507462686567224E-2</v>
      </c>
      <c r="I33" s="10">
        <f t="shared" si="54"/>
        <v>1.8987341772151913E-2</v>
      </c>
      <c r="J33" s="10">
        <f t="shared" si="54"/>
        <v>0.11926605504587169</v>
      </c>
      <c r="K33" s="10">
        <f t="shared" si="54"/>
        <v>4.6822742474916468E-2</v>
      </c>
      <c r="L33" s="10">
        <f t="shared" si="54"/>
        <v>-3.4155597722960181E-2</v>
      </c>
      <c r="M33" s="10">
        <f t="shared" si="54"/>
        <v>1.3466154584733563</v>
      </c>
      <c r="N33" s="10">
        <f>N21/N20</f>
        <v>0.12248186946011275</v>
      </c>
      <c r="O33" s="10">
        <f t="shared" ref="O33:R33" si="55">O21/O20</f>
        <v>0.15</v>
      </c>
      <c r="P33" s="10">
        <f t="shared" si="55"/>
        <v>0.15</v>
      </c>
      <c r="Q33" s="10">
        <f t="shared" si="55"/>
        <v>0.15</v>
      </c>
      <c r="R33" s="10">
        <f t="shared" si="55"/>
        <v>0.15</v>
      </c>
      <c r="Y33" s="10">
        <f>Y21/Y20</f>
        <v>-2.845188284518832E-2</v>
      </c>
      <c r="Z33" s="10">
        <f>Z21/Z20</f>
        <v>166.06250000003303</v>
      </c>
      <c r="AA33" s="10">
        <f t="shared" ref="AA33:AK33" si="56">AA21/AA20</f>
        <v>0.14999999999999988</v>
      </c>
      <c r="AB33" s="10">
        <f t="shared" si="56"/>
        <v>0.15</v>
      </c>
      <c r="AC33" s="10">
        <f t="shared" si="56"/>
        <v>0.15</v>
      </c>
      <c r="AD33" s="10">
        <f t="shared" si="56"/>
        <v>0.15</v>
      </c>
      <c r="AE33" s="10">
        <f t="shared" si="56"/>
        <v>0.15</v>
      </c>
      <c r="AF33" s="10">
        <f t="shared" si="56"/>
        <v>0.15</v>
      </c>
      <c r="AG33" s="10">
        <f t="shared" si="56"/>
        <v>0.15</v>
      </c>
      <c r="AH33" s="10">
        <f t="shared" si="56"/>
        <v>0.15</v>
      </c>
      <c r="AI33" s="10">
        <f t="shared" si="56"/>
        <v>0.15</v>
      </c>
      <c r="AJ33" s="10">
        <f t="shared" si="56"/>
        <v>0.15</v>
      </c>
      <c r="AK33" s="10">
        <f t="shared" si="56"/>
        <v>0.15</v>
      </c>
      <c r="AN33" t="s">
        <v>60</v>
      </c>
      <c r="AO33" s="5">
        <f>AO31+AO32</f>
        <v>6583.0559229930168</v>
      </c>
    </row>
    <row r="34" spans="2:41" x14ac:dyDescent="0.3">
      <c r="B34" t="s">
        <v>27</v>
      </c>
      <c r="G34" s="10">
        <f t="shared" ref="G34:N34" si="57">G22/G20</f>
        <v>0.33333333333333365</v>
      </c>
      <c r="H34" s="10">
        <f t="shared" si="57"/>
        <v>0.3492537313432838</v>
      </c>
      <c r="I34" s="10">
        <f t="shared" si="57"/>
        <v>0.29324894514767957</v>
      </c>
      <c r="J34" s="10">
        <f t="shared" si="57"/>
        <v>0.25229357798165164</v>
      </c>
      <c r="K34" s="10">
        <f t="shared" si="57"/>
        <v>0.26421404682274297</v>
      </c>
      <c r="L34" s="10">
        <f t="shared" si="57"/>
        <v>0.29032258064516153</v>
      </c>
      <c r="M34" s="10">
        <f t="shared" si="57"/>
        <v>-8.8334133461353839E-2</v>
      </c>
      <c r="N34" s="10">
        <f>N22/N20</f>
        <v>0.18775181305398864</v>
      </c>
      <c r="O34" s="10">
        <f t="shared" ref="O34:R34" si="58">O22/O20</f>
        <v>0.2</v>
      </c>
      <c r="P34" s="10">
        <f t="shared" si="58"/>
        <v>0.2</v>
      </c>
      <c r="Q34" s="10">
        <f t="shared" si="58"/>
        <v>0.2</v>
      </c>
      <c r="R34" s="10">
        <f t="shared" si="58"/>
        <v>0.20000000000000004</v>
      </c>
      <c r="Y34" s="10">
        <f>Y22/Y20</f>
        <v>0.30711297071129745</v>
      </c>
      <c r="Z34" s="10">
        <f>Z22/Z20</f>
        <v>-40.562500000008072</v>
      </c>
      <c r="AA34" s="10">
        <f t="shared" ref="AA34:AK34" si="59">AA22/AA20</f>
        <v>0.19999999999999987</v>
      </c>
      <c r="AB34" s="10">
        <f t="shared" si="59"/>
        <v>0.17999999999999997</v>
      </c>
      <c r="AC34" s="10">
        <f t="shared" si="59"/>
        <v>0.18</v>
      </c>
      <c r="AD34" s="10">
        <f t="shared" si="59"/>
        <v>0.18</v>
      </c>
      <c r="AE34" s="10">
        <f t="shared" si="59"/>
        <v>0.18</v>
      </c>
      <c r="AF34" s="10">
        <f t="shared" si="59"/>
        <v>0.18</v>
      </c>
      <c r="AG34" s="10">
        <f t="shared" si="59"/>
        <v>0.18</v>
      </c>
      <c r="AH34" s="10">
        <f t="shared" si="59"/>
        <v>0.18</v>
      </c>
      <c r="AI34" s="10">
        <f t="shared" si="59"/>
        <v>0.18</v>
      </c>
      <c r="AJ34" s="10">
        <f t="shared" si="59"/>
        <v>0.18</v>
      </c>
      <c r="AK34" s="10">
        <f t="shared" si="59"/>
        <v>0.18</v>
      </c>
      <c r="AN34" t="s">
        <v>61</v>
      </c>
      <c r="AO34" s="4">
        <f>AO33/AK24</f>
        <v>73.883904859629823</v>
      </c>
    </row>
    <row r="35" spans="2:41" x14ac:dyDescent="0.3">
      <c r="B35" t="s">
        <v>55</v>
      </c>
      <c r="G35" s="10">
        <f t="shared" ref="G35:N35" si="60">G23/G3</f>
        <v>2.7056672760511855E-2</v>
      </c>
      <c r="H35" s="10">
        <f t="shared" si="60"/>
        <v>3.9403453689167936E-2</v>
      </c>
      <c r="I35" s="10">
        <f t="shared" si="60"/>
        <v>4.8267693218833237E-2</v>
      </c>
      <c r="J35" s="10">
        <f t="shared" si="60"/>
        <v>1.9421604763254854E-2</v>
      </c>
      <c r="K35" s="10">
        <f t="shared" si="60"/>
        <v>2.9120723777212261E-2</v>
      </c>
      <c r="L35" s="10">
        <f t="shared" si="60"/>
        <v>4.740024183796851E-2</v>
      </c>
      <c r="M35" s="10">
        <f t="shared" si="60"/>
        <v>5.9172899252089829E-2</v>
      </c>
      <c r="N35" s="10">
        <f>N23/N3</f>
        <v>9.6505073280721609E-2</v>
      </c>
      <c r="O35" s="10">
        <f t="shared" ref="O35:R35" si="61">O23/O3</f>
        <v>4.891746668781366E-2</v>
      </c>
      <c r="P35" s="10">
        <f t="shared" si="61"/>
        <v>5.7333410441091422E-2</v>
      </c>
      <c r="Q35" s="10">
        <f t="shared" si="61"/>
        <v>6.9984978672124568E-2</v>
      </c>
      <c r="R35" s="10">
        <f t="shared" si="61"/>
        <v>6.7116602127346686E-2</v>
      </c>
      <c r="Y35" s="10">
        <f>Y23/Y3</f>
        <v>3.3608858390517714E-2</v>
      </c>
      <c r="Z35" s="10">
        <f>Z23/Z3</f>
        <v>5.9809043415600879E-2</v>
      </c>
      <c r="AA35" s="10">
        <f t="shared" ref="AA35:AK35" si="62">AA23/AA3</f>
        <v>6.1420298231287543E-2</v>
      </c>
      <c r="AB35" s="10">
        <f t="shared" si="62"/>
        <v>0.11583798508306949</v>
      </c>
      <c r="AC35" s="10">
        <f t="shared" si="62"/>
        <v>0.12745373309468816</v>
      </c>
      <c r="AD35" s="10">
        <f t="shared" si="62"/>
        <v>0.13541060880805703</v>
      </c>
      <c r="AE35" s="10">
        <f t="shared" si="62"/>
        <v>0.14333858767375571</v>
      </c>
      <c r="AF35" s="10">
        <f t="shared" si="62"/>
        <v>0.14454232903596803</v>
      </c>
      <c r="AG35" s="10">
        <f t="shared" si="62"/>
        <v>0.14572579748361889</v>
      </c>
      <c r="AH35" s="10">
        <f t="shared" si="62"/>
        <v>0.14690136970394843</v>
      </c>
      <c r="AI35" s="10">
        <f t="shared" si="62"/>
        <v>0.14806919214105879</v>
      </c>
      <c r="AJ35" s="10">
        <f t="shared" si="62"/>
        <v>0.14922941117224933</v>
      </c>
      <c r="AK35" s="10">
        <f t="shared" si="62"/>
        <v>0.15038217313497551</v>
      </c>
      <c r="AN35" t="s">
        <v>62</v>
      </c>
      <c r="AO35" s="4">
        <f>Main!D3</f>
        <v>73.5</v>
      </c>
    </row>
    <row r="36" spans="2:41" x14ac:dyDescent="0.3">
      <c r="AN36" s="1" t="s">
        <v>63</v>
      </c>
      <c r="AO36" s="11">
        <f>AO34/AO35-1</f>
        <v>5.2231953691133093E-3</v>
      </c>
    </row>
    <row r="37" spans="2:41" x14ac:dyDescent="0.3">
      <c r="AN37" t="s">
        <v>64</v>
      </c>
      <c r="AO37" s="6" t="s">
        <v>65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2025-04-09T08:45:43Z</dcterms:created>
  <dcterms:modified xsi:type="dcterms:W3CDTF">2025-04-09T09:31:28Z</dcterms:modified>
</cp:coreProperties>
</file>