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B736DDCD-AF7C-4A9B-B9AD-50D005C331F2}" xr6:coauthVersionLast="46" xr6:coauthVersionMax="46" xr10:uidLastSave="{00000000-0000-0000-0000-000000000000}"/>
  <bookViews>
    <workbookView xWindow="-108" yWindow="-108" windowWidth="23256" windowHeight="12576" activeTab="1" xr2:uid="{F3620E34-1A27-493D-8C0B-CCEDE26D1F7A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Q3" i="2"/>
  <c r="S3" i="2" l="1"/>
  <c r="T3" i="2" s="1"/>
  <c r="U3" i="2" s="1"/>
  <c r="V3" i="2" s="1"/>
  <c r="P3" i="2"/>
  <c r="O3" i="2"/>
  <c r="P6" i="2"/>
  <c r="N18" i="2"/>
  <c r="O18" i="2" s="1"/>
  <c r="P18" i="2" s="1"/>
  <c r="Q18" i="2" s="1"/>
  <c r="R18" i="2" s="1"/>
  <c r="S18" i="2" s="1"/>
  <c r="T18" i="2" s="1"/>
  <c r="U18" i="2" s="1"/>
  <c r="V18" i="2" s="1"/>
  <c r="N17" i="2"/>
  <c r="N15" i="2"/>
  <c r="N14" i="2"/>
  <c r="N13" i="2"/>
  <c r="N12" i="2"/>
  <c r="N11" i="2"/>
  <c r="N9" i="2"/>
  <c r="N8" i="2"/>
  <c r="N7" i="2"/>
  <c r="N6" i="2"/>
  <c r="N4" i="2"/>
  <c r="N3" i="2"/>
  <c r="G21" i="2"/>
  <c r="G19" i="2"/>
  <c r="G17" i="2"/>
  <c r="G16" i="2"/>
  <c r="G27" i="2" s="1"/>
  <c r="H16" i="2"/>
  <c r="H10" i="2"/>
  <c r="G10" i="2"/>
  <c r="H6" i="2"/>
  <c r="H26" i="2" s="1"/>
  <c r="G6" i="2"/>
  <c r="G26" i="2" s="1"/>
  <c r="H3" i="2"/>
  <c r="H23" i="2" s="1"/>
  <c r="G3" i="2"/>
  <c r="L28" i="2"/>
  <c r="K28" i="2"/>
  <c r="J28" i="2"/>
  <c r="E28" i="2"/>
  <c r="D28" i="2"/>
  <c r="C28" i="2"/>
  <c r="G25" i="2"/>
  <c r="G23" i="2"/>
  <c r="G5" i="2"/>
  <c r="G24" i="2" s="1"/>
  <c r="G4" i="2"/>
  <c r="N5" i="2"/>
  <c r="M18" i="2"/>
  <c r="M15" i="2"/>
  <c r="M14" i="2"/>
  <c r="M13" i="2"/>
  <c r="M11" i="2"/>
  <c r="M9" i="2"/>
  <c r="M8" i="2"/>
  <c r="M7" i="2"/>
  <c r="F12" i="2"/>
  <c r="M12" i="2" s="1"/>
  <c r="Y31" i="2"/>
  <c r="Y28" i="2"/>
  <c r="L26" i="2"/>
  <c r="K26" i="2"/>
  <c r="E26" i="2"/>
  <c r="E23" i="2"/>
  <c r="L23" i="2"/>
  <c r="K23" i="2"/>
  <c r="J5" i="2"/>
  <c r="J10" i="2" s="1"/>
  <c r="J16" i="2" s="1"/>
  <c r="J19" i="2" s="1"/>
  <c r="J21" i="2" s="1"/>
  <c r="D18" i="2"/>
  <c r="D17" i="2"/>
  <c r="D14" i="2"/>
  <c r="D13" i="2"/>
  <c r="D12" i="2"/>
  <c r="D11" i="2"/>
  <c r="D9" i="2"/>
  <c r="D8" i="2"/>
  <c r="D7" i="2"/>
  <c r="D6" i="2"/>
  <c r="F6" i="2" s="1"/>
  <c r="D4" i="2"/>
  <c r="D3" i="2"/>
  <c r="F3" i="2" s="1"/>
  <c r="C5" i="2"/>
  <c r="C10" i="2" s="1"/>
  <c r="C16" i="2" s="1"/>
  <c r="C19" i="2" s="1"/>
  <c r="C21" i="2" s="1"/>
  <c r="E5" i="2"/>
  <c r="E10" i="2" s="1"/>
  <c r="E16" i="2" s="1"/>
  <c r="E19" i="2" s="1"/>
  <c r="E21" i="2" s="1"/>
  <c r="L15" i="2"/>
  <c r="D15" i="2" s="1"/>
  <c r="K5" i="2"/>
  <c r="K10" i="2" s="1"/>
  <c r="K16" i="2" s="1"/>
  <c r="K19" i="2" s="1"/>
  <c r="K21" i="2" s="1"/>
  <c r="L5" i="2"/>
  <c r="L10" i="2" s="1"/>
  <c r="L25" i="2" s="1"/>
  <c r="D8" i="1"/>
  <c r="D7" i="1"/>
  <c r="D6" i="1"/>
  <c r="D5" i="1"/>
  <c r="D9" i="1" s="1"/>
  <c r="F3" i="1"/>
  <c r="O14" i="2" l="1"/>
  <c r="P14" i="2" s="1"/>
  <c r="Q14" i="2" s="1"/>
  <c r="R14" i="2" s="1"/>
  <c r="S14" i="2" s="1"/>
  <c r="T14" i="2" s="1"/>
  <c r="U14" i="2" s="1"/>
  <c r="V14" i="2" s="1"/>
  <c r="O12" i="2"/>
  <c r="P12" i="2" s="1"/>
  <c r="Q12" i="2" s="1"/>
  <c r="R12" i="2" s="1"/>
  <c r="S12" i="2" s="1"/>
  <c r="T12" i="2" s="1"/>
  <c r="U12" i="2" s="1"/>
  <c r="V12" i="2" s="1"/>
  <c r="H17" i="2"/>
  <c r="H19" i="2" s="1"/>
  <c r="G28" i="2"/>
  <c r="H27" i="2"/>
  <c r="H5" i="2"/>
  <c r="H4" i="2"/>
  <c r="J25" i="2"/>
  <c r="L24" i="2"/>
  <c r="E25" i="2"/>
  <c r="K24" i="2"/>
  <c r="F5" i="2"/>
  <c r="F10" i="2" s="1"/>
  <c r="M3" i="2"/>
  <c r="F26" i="2"/>
  <c r="M6" i="2"/>
  <c r="C27" i="2"/>
  <c r="C24" i="2"/>
  <c r="K25" i="2"/>
  <c r="E27" i="2"/>
  <c r="E24" i="2"/>
  <c r="J27" i="2"/>
  <c r="C25" i="2"/>
  <c r="K27" i="2"/>
  <c r="J24" i="2"/>
  <c r="F23" i="2"/>
  <c r="D5" i="2"/>
  <c r="L16" i="2"/>
  <c r="H21" i="2" l="1"/>
  <c r="H28" i="2"/>
  <c r="H25" i="2"/>
  <c r="H24" i="2"/>
  <c r="D10" i="2"/>
  <c r="D24" i="2"/>
  <c r="M26" i="2"/>
  <c r="F4" i="2"/>
  <c r="M4" i="2" s="1"/>
  <c r="M5" i="2" s="1"/>
  <c r="F24" i="2"/>
  <c r="M23" i="2"/>
  <c r="F25" i="2"/>
  <c r="F16" i="2"/>
  <c r="L19" i="2"/>
  <c r="L21" i="2" s="1"/>
  <c r="L27" i="2"/>
  <c r="O5" i="2" l="1"/>
  <c r="O4" i="2" s="1"/>
  <c r="N23" i="2"/>
  <c r="M24" i="2"/>
  <c r="M10" i="2"/>
  <c r="O6" i="2"/>
  <c r="N26" i="2"/>
  <c r="D16" i="2"/>
  <c r="D25" i="2"/>
  <c r="F17" i="2"/>
  <c r="F19" i="2" s="1"/>
  <c r="N24" i="2"/>
  <c r="O23" i="2"/>
  <c r="P5" i="2" l="1"/>
  <c r="F21" i="2"/>
  <c r="F28" i="2"/>
  <c r="N10" i="2"/>
  <c r="N25" i="2" s="1"/>
  <c r="O26" i="2"/>
  <c r="M16" i="2"/>
  <c r="M25" i="2"/>
  <c r="D19" i="2"/>
  <c r="D21" i="2" s="1"/>
  <c r="D27" i="2"/>
  <c r="F27" i="2"/>
  <c r="M17" i="2"/>
  <c r="P23" i="2"/>
  <c r="O10" i="2"/>
  <c r="O25" i="2" s="1"/>
  <c r="O24" i="2"/>
  <c r="R5" i="2" l="1"/>
  <c r="Q5" i="2"/>
  <c r="Q4" i="2" s="1"/>
  <c r="Q6" i="2"/>
  <c r="P26" i="2"/>
  <c r="M27" i="2"/>
  <c r="M19" i="2"/>
  <c r="M28" i="2" s="1"/>
  <c r="Q23" i="2"/>
  <c r="P4" i="2"/>
  <c r="P10" i="2"/>
  <c r="P25" i="2" s="1"/>
  <c r="P24" i="2"/>
  <c r="Q26" i="2" l="1"/>
  <c r="R6" i="2"/>
  <c r="N16" i="2"/>
  <c r="M21" i="2"/>
  <c r="S5" i="2"/>
  <c r="R23" i="2"/>
  <c r="Q10" i="2"/>
  <c r="Q25" i="2" s="1"/>
  <c r="Q24" i="2"/>
  <c r="S6" i="2" l="1"/>
  <c r="R26" i="2"/>
  <c r="O11" i="2"/>
  <c r="T5" i="2"/>
  <c r="S23" i="2"/>
  <c r="R4" i="2"/>
  <c r="R10" i="2"/>
  <c r="R25" i="2" s="1"/>
  <c r="R24" i="2"/>
  <c r="T6" i="2" l="1"/>
  <c r="S26" i="2"/>
  <c r="N27" i="2"/>
  <c r="N19" i="2"/>
  <c r="N28" i="2" s="1"/>
  <c r="S4" i="2"/>
  <c r="S10" i="2"/>
  <c r="S25" i="2" s="1"/>
  <c r="S24" i="2"/>
  <c r="U5" i="2"/>
  <c r="T23" i="2"/>
  <c r="U6" i="2" l="1"/>
  <c r="T26" i="2"/>
  <c r="O13" i="2"/>
  <c r="O16" i="2" s="1"/>
  <c r="O17" i="2" s="1"/>
  <c r="N21" i="2"/>
  <c r="T4" i="2"/>
  <c r="T10" i="2"/>
  <c r="T25" i="2" s="1"/>
  <c r="T24" i="2"/>
  <c r="V5" i="2"/>
  <c r="U23" i="2"/>
  <c r="V6" i="2" l="1"/>
  <c r="V26" i="2" s="1"/>
  <c r="U26" i="2"/>
  <c r="P11" i="2"/>
  <c r="O19" i="2"/>
  <c r="O27" i="2"/>
  <c r="U4" i="2"/>
  <c r="U10" i="2"/>
  <c r="U25" i="2" s="1"/>
  <c r="U24" i="2"/>
  <c r="V23" i="2"/>
  <c r="P13" i="2" l="1"/>
  <c r="O28" i="2"/>
  <c r="O21" i="2"/>
  <c r="V4" i="2"/>
  <c r="V10" i="2"/>
  <c r="V25" i="2" s="1"/>
  <c r="V24" i="2"/>
  <c r="P16" i="2" l="1"/>
  <c r="P17" i="2" l="1"/>
  <c r="P27" i="2" s="1"/>
  <c r="Q11" i="2"/>
  <c r="P19" i="2" l="1"/>
  <c r="Q13" i="2" l="1"/>
  <c r="Q16" i="2" s="1"/>
  <c r="R11" i="2" s="1"/>
  <c r="P28" i="2"/>
  <c r="P21" i="2"/>
  <c r="Q17" i="2" l="1"/>
  <c r="Q27" i="2" s="1"/>
  <c r="Q19" i="2" l="1"/>
  <c r="R13" i="2" s="1"/>
  <c r="R16" i="2" s="1"/>
  <c r="S11" i="2" l="1"/>
  <c r="R17" i="2"/>
  <c r="R27" i="2" s="1"/>
  <c r="Q28" i="2"/>
  <c r="Q21" i="2"/>
  <c r="R19" i="2" l="1"/>
  <c r="R28" i="2" s="1"/>
  <c r="S13" i="2" l="1"/>
  <c r="S16" i="2" s="1"/>
  <c r="R21" i="2"/>
  <c r="T11" i="2" l="1"/>
  <c r="S17" i="2"/>
  <c r="S19" i="2" l="1"/>
  <c r="S27" i="2"/>
  <c r="T13" i="2" l="1"/>
  <c r="S28" i="2"/>
  <c r="S21" i="2"/>
  <c r="T16" i="2" l="1"/>
  <c r="U11" i="2" l="1"/>
  <c r="T17" i="2"/>
  <c r="T19" i="2" l="1"/>
  <c r="T27" i="2"/>
  <c r="U13" i="2" l="1"/>
  <c r="T28" i="2"/>
  <c r="T21" i="2"/>
  <c r="U16" i="2" l="1"/>
  <c r="V11" i="2" l="1"/>
  <c r="U17" i="2"/>
  <c r="U19" i="2" l="1"/>
  <c r="U27" i="2"/>
  <c r="V13" i="2" l="1"/>
  <c r="V16" i="2" s="1"/>
  <c r="U28" i="2"/>
  <c r="U21" i="2"/>
  <c r="V17" i="2" l="1"/>
  <c r="V27" i="2" s="1"/>
  <c r="V19" i="2" l="1"/>
  <c r="V21" i="2" l="1"/>
  <c r="V28" i="2"/>
  <c r="W19" i="2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Y27" i="2" s="1"/>
  <c r="Y29" i="2" s="1"/>
  <c r="Y30" i="2" s="1"/>
  <c r="Y32" i="2" s="1"/>
</calcChain>
</file>

<file path=xl/sharedStrings.xml><?xml version="1.0" encoding="utf-8"?>
<sst xmlns="http://schemas.openxmlformats.org/spreadsheetml/2006/main" count="55" uniqueCount="50">
  <si>
    <t>FRAS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</si>
  <si>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</si>
  <si>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</si>
  <si>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</si>
  <si>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</si>
  <si>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</si>
  <si>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</si>
  <si>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</si>
  <si>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</si>
  <si>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</si>
  <si>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</si>
  <si>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Revenue</t>
  </si>
  <si>
    <t>Cost of sales</t>
  </si>
  <si>
    <t>Gross profit</t>
  </si>
  <si>
    <t>SG&amp;A</t>
  </si>
  <si>
    <t>Other income</t>
  </si>
  <si>
    <t>Exceptional items</t>
  </si>
  <si>
    <t>Gain on disposal</t>
  </si>
  <si>
    <t>Operating profit</t>
  </si>
  <si>
    <t>Investment income</t>
  </si>
  <si>
    <t>Investment costs</t>
  </si>
  <si>
    <t>Finance income</t>
  </si>
  <si>
    <t>Finance costs</t>
  </si>
  <si>
    <t>Share in associates</t>
  </si>
  <si>
    <t>Pretax profit</t>
  </si>
  <si>
    <t>Taxes</t>
  </si>
  <si>
    <t>MI</t>
  </si>
  <si>
    <t>Net profit</t>
  </si>
  <si>
    <t>EPS</t>
  </si>
  <si>
    <t>H121</t>
  </si>
  <si>
    <t>H221</t>
  </si>
  <si>
    <t>H220</t>
  </si>
  <si>
    <t>H120</t>
  </si>
  <si>
    <t>Revenue y/y</t>
  </si>
  <si>
    <t>Gross Margin</t>
  </si>
  <si>
    <t>Operating Margin</t>
  </si>
  <si>
    <t>SG&amp;A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</si>
  <si>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</si>
  <si>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</si>
  <si>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</si>
  <si>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</si>
  <si>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</si>
  <si>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</si>
  <si>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</si>
  <si>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</si>
  <si>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</si>
  <si>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H122</t>
  </si>
  <si>
    <t>H222</t>
  </si>
  <si>
    <t>Net Margin</t>
  </si>
  <si>
    <t>Slightly 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</si>
</sst>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Font="1"/>
    <xf numFmtId="4" fontId="1" fillId="0" borderId="0" xfId="0" applyNumberFormat="1" applyFont="1"/>
    <xf numFmtId="3" fontId="1" fillId="0" borderId="0" xfId="0" applyNumberFormat="1" applyFont="1"/>
    <xf numFmtId="3" fontId="0" fillId="0" borderId="0" xfId="0" applyNumberFormat="1" applyFont="1"/>
    <xf numFmtId="0" fontId="0" fillId="0" borderId="0" xfId="0" applyAlignment="1">
      <alignment horizontal="right"/>
    </xf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0</xdr:rowOff>
    </xdr:from>
    <xdr:to>
      <xdr:col>5</xdr:col>
      <xdr:colOff>22860</xdr:colOff>
      <xdr:row>33</xdr:row>
      <xdr:rowOff>83820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89DCDB8-D8D0-4F57-8E7B-BE5253ADF1EB}"/>
            </a:ext>
          </a:extLst>
        </xdr:cNvPr>
        <xdr:cNvCxnSpPr/>
      </xdr:nvCxnSpPr>
      <xdr:spPr>
        <a:xfrm>
          <a:off x="3947160" y="0"/>
          <a:ext cx="0" cy="6118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</xdr:colOff>
      <xdr:row>0</xdr:row>
      <xdr:rowOff>0</xdr:rowOff>
    </xdr:from>
    <xdr:to>
      <xdr:col>13</xdr:col>
      <xdr:colOff>22860</xdr:colOff>
      <xdr:row>38</xdr:row>
      <xdr:rowOff>83820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53C68E1-9912-470A-8B3D-D098E623FCE8}"/>
            </a:ext>
          </a:extLst>
        </xdr:cNvPr>
        <xdr:cNvCxnSpPr/>
      </xdr:nvCxnSpPr>
      <xdr:spPr>
        <a:xfrm>
          <a:off x="7719060" y="0"/>
          <a:ext cx="0" cy="70332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0C80D-75EB-4B0B-9A5E-C0BD4CD2AADB}">
  <dimension ref="B2:G9"/>
  <sheetViews>
    <sheetView workbookViewId="0">
      <selection activeCell="D4" sqref="D4"/>
    </sheetView>
  </sheetViews>
  <sheetFormatPr defaultRowHeight="14.4" x14ac:dyDescent="0.3"/>
  <cols>
    <col min="5" max="7" width="15.77734375" style="3" customWidth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1" t="s">
        <v>0</v>
      </c>
      <c r="C3" t="s">
        <v>1</v>
      </c>
      <c r="D3" s="5">
        <v>5.1260000000000003</v>
      </c>
      <c r="E3" s="4">
        <v>44314</v>
      </c>
      <c r="F3" s="4">
        <f ca="1">TODAY()</f>
        <v>44314</v>
      </c>
      <c r="G3" s="4">
        <v>44426</v>
      </c>
    </row>
    <row r="4" spans="2:7" x14ac:dyDescent="0.3">
      <c r="C4" t="s">
        <v>2</v>
      </c>
      <c r="D4" s="6">
        <v>501.95</v>
      </c>
      <c r="E4" s="3" t="s">
        <v>29</v>
      </c>
    </row>
    <row r="5" spans="2:7" x14ac:dyDescent="0.3">
      <c r="C5" t="s">
        <v>3</v>
      </c>
      <c r="D5" s="6">
        <f>D3*D4</f>
        <v>2572.9956999999999</v>
      </c>
    </row>
    <row r="6" spans="2:7" x14ac:dyDescent="0.3">
      <c r="C6" t="s">
        <v>4</v>
      </c>
      <c r="D6" s="6">
        <f>371.3+64.9</f>
        <v>436.20000000000005</v>
      </c>
      <c r="E6" s="3" t="s">
        <v>29</v>
      </c>
    </row>
    <row r="7" spans="2:7" x14ac:dyDescent="0.3">
      <c r="C7" t="s">
        <v>5</v>
      </c>
      <c r="D7" s="6">
        <f>88.4+621.4</f>
        <v>709.8</v>
      </c>
      <c r="E7" s="3" t="s">
        <v>29</v>
      </c>
    </row>
    <row r="8" spans="2:7" x14ac:dyDescent="0.3">
      <c r="C8" t="s">
        <v>6</v>
      </c>
      <c r="D8" s="6">
        <f>D6-D7</f>
        <v>-273.59999999999991</v>
      </c>
    </row>
    <row r="9" spans="2:7" x14ac:dyDescent="0.3">
      <c r="C9" t="s">
        <v>7</v>
      </c>
      <c r="D9" s="6">
        <f>D5-D8</f>
        <v>2846.5956999999999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8262-8EE7-4AE9-83B5-E30ED6702219}">
  <dimension ref="B1:ER33"/>
  <sheetViews>
    <sheetView tabSelected="1" workbookViewId="0">
      <pane xSplit="2" ySplit="2" topLeftCell="H7" activePane="bottomRight" state="frozen"/>
      <selection pane="topRight" activeCell="C1" sqref="C1"/>
      <selection pane="bottomLeft" activeCell="A3" sqref="A3"/>
      <selection pane="bottomRight" activeCell="Y33" sqref="Y33"/>
    </sheetView>
  </sheetViews>
  <sheetFormatPr defaultRowHeight="14.4" x14ac:dyDescent="0.3"/>
  <cols>
    <col min="2" max="2" width="16.6640625" bestFit="1" customWidth="1"/>
    <col min="3" max="8" width="10.5546875" customWidth="1"/>
    <col min="24" max="24" width="11.88671875" bestFit="1" customWidth="1"/>
    <col min="25" max="25" width="17.33203125" bestFit="1" customWidth="1"/>
  </cols>
  <sheetData>
    <row r="1" spans="2:22" x14ac:dyDescent="0.3">
      <c r="C1" s="2">
        <v>43769</v>
      </c>
      <c r="D1" s="2">
        <v>43951</v>
      </c>
      <c r="E1" s="2">
        <v>44135</v>
      </c>
      <c r="F1" s="2">
        <v>44316</v>
      </c>
      <c r="G1" s="2">
        <v>44500</v>
      </c>
      <c r="H1" s="2">
        <v>44681</v>
      </c>
    </row>
    <row r="2" spans="2:22" x14ac:dyDescent="0.3">
      <c r="C2" s="11" t="s">
        <v>32</v>
      </c>
      <c r="D2" s="11" t="s">
        <v>31</v>
      </c>
      <c r="E2" s="11" t="s">
        <v>29</v>
      </c>
      <c r="F2" s="11" t="s">
        <v>30</v>
      </c>
      <c r="G2" s="11" t="s">
        <v>46</v>
      </c>
      <c r="H2" s="11" t="s">
        <v>47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>
        <v>2024</v>
      </c>
      <c r="Q2">
        <v>2025</v>
      </c>
      <c r="R2">
        <v>2026</v>
      </c>
      <c r="S2">
        <v>2027</v>
      </c>
      <c r="T2">
        <v>2028</v>
      </c>
      <c r="U2">
        <v>2029</v>
      </c>
      <c r="V2">
        <v>2030</v>
      </c>
    </row>
    <row r="3" spans="2:22" s="1" customFormat="1" x14ac:dyDescent="0.3">
      <c r="B3" s="1" t="s">
        <v>11</v>
      </c>
      <c r="C3" s="9">
        <v>2043.5</v>
      </c>
      <c r="D3" s="9">
        <f>L3-C3</f>
        <v>1913.9</v>
      </c>
      <c r="E3" s="9">
        <v>1893.3</v>
      </c>
      <c r="F3" s="9">
        <f>D3*0.95</f>
        <v>1818.2049999999999</v>
      </c>
      <c r="G3" s="9">
        <f>E3*1.13</f>
        <v>2139.4289999999996</v>
      </c>
      <c r="H3" s="9">
        <f>F3*1.12</f>
        <v>2036.3896000000002</v>
      </c>
      <c r="J3" s="9">
        <v>3359.5</v>
      </c>
      <c r="K3" s="9">
        <v>3701.9</v>
      </c>
      <c r="L3" s="9">
        <v>3957.4</v>
      </c>
      <c r="M3" s="9">
        <f>SUM(E3:F3)</f>
        <v>3711.5050000000001</v>
      </c>
      <c r="N3" s="9">
        <f>SUM(G3:H3)</f>
        <v>4175.8185999999996</v>
      </c>
      <c r="O3" s="9">
        <f>N3*1.09</f>
        <v>4551.6422739999998</v>
      </c>
      <c r="P3" s="9">
        <f>O3*1.07</f>
        <v>4870.2572331800002</v>
      </c>
      <c r="Q3" s="9">
        <f>P3*1.06</f>
        <v>5162.4726671708004</v>
      </c>
      <c r="R3" s="9">
        <f>Q3*1.05</f>
        <v>5420.5963005293406</v>
      </c>
      <c r="S3" s="9">
        <f t="shared" ref="S3:T3" si="0">R3*1.03</f>
        <v>5583.2141895452214</v>
      </c>
      <c r="T3" s="9">
        <f t="shared" si="0"/>
        <v>5750.7106152315782</v>
      </c>
      <c r="U3" s="9">
        <f>T3*1.02</f>
        <v>5865.7248275362099</v>
      </c>
      <c r="V3" s="9">
        <f>U3*1.02</f>
        <v>5983.0393240869344</v>
      </c>
    </row>
    <row r="4" spans="2:22" x14ac:dyDescent="0.3">
      <c r="B4" t="s">
        <v>12</v>
      </c>
      <c r="C4" s="6">
        <v>1148.5999999999999</v>
      </c>
      <c r="D4" s="10">
        <f>L4-C4</f>
        <v>1146.2000000000003</v>
      </c>
      <c r="E4" s="6">
        <v>1059.5</v>
      </c>
      <c r="F4" s="6">
        <f>F3-F5</f>
        <v>1072.7409499999999</v>
      </c>
      <c r="G4" s="6">
        <f>G3-G5</f>
        <v>1198.0802399999998</v>
      </c>
      <c r="H4" s="6">
        <f>H3-H5</f>
        <v>1181.1059680000003</v>
      </c>
      <c r="J4" s="6">
        <v>2024.4</v>
      </c>
      <c r="K4" s="6">
        <v>2118.4</v>
      </c>
      <c r="L4" s="6">
        <v>2294.8000000000002</v>
      </c>
      <c r="M4" s="10">
        <f>SUM(E4:F4)</f>
        <v>2132.2409499999999</v>
      </c>
      <c r="N4" s="10">
        <f>SUM(G4:H4)</f>
        <v>2379.1862080000001</v>
      </c>
      <c r="O4" s="6">
        <f t="shared" ref="N4:V4" si="1">O3-O5</f>
        <v>2594.4360961799998</v>
      </c>
      <c r="P4" s="6">
        <f t="shared" si="1"/>
        <v>2776.0466229126</v>
      </c>
      <c r="Q4" s="6">
        <f t="shared" si="1"/>
        <v>2942.6094202873564</v>
      </c>
      <c r="R4" s="6">
        <f t="shared" si="1"/>
        <v>3089.7398913017241</v>
      </c>
      <c r="S4" s="6">
        <f t="shared" si="1"/>
        <v>3182.4320880407763</v>
      </c>
      <c r="T4" s="6">
        <f t="shared" si="1"/>
        <v>3277.9050506819995</v>
      </c>
      <c r="U4" s="6">
        <f t="shared" si="1"/>
        <v>3343.4631516956397</v>
      </c>
      <c r="V4" s="6">
        <f t="shared" si="1"/>
        <v>3410.3324147295525</v>
      </c>
    </row>
    <row r="5" spans="2:22" s="1" customFormat="1" x14ac:dyDescent="0.3">
      <c r="B5" s="1" t="s">
        <v>13</v>
      </c>
      <c r="C5" s="9">
        <f>C3-C4</f>
        <v>894.90000000000009</v>
      </c>
      <c r="D5" s="9">
        <f>D3-D4</f>
        <v>767.69999999999982</v>
      </c>
      <c r="E5" s="9">
        <f>E3-E4</f>
        <v>833.8</v>
      </c>
      <c r="F5" s="9">
        <f>F3*0.41</f>
        <v>745.46404999999993</v>
      </c>
      <c r="G5" s="9">
        <f>G3*0.44</f>
        <v>941.34875999999986</v>
      </c>
      <c r="H5" s="9">
        <f>H3*0.42</f>
        <v>855.28363200000001</v>
      </c>
      <c r="J5" s="9">
        <f>J3-J4</f>
        <v>1335.1</v>
      </c>
      <c r="K5" s="9">
        <f>K3-K4</f>
        <v>1583.5</v>
      </c>
      <c r="L5" s="9">
        <f>L3-L4</f>
        <v>1662.6</v>
      </c>
      <c r="M5" s="9">
        <f>M3-M4</f>
        <v>1579.2640500000002</v>
      </c>
      <c r="N5" s="9">
        <f>N3*0.43</f>
        <v>1795.6019979999999</v>
      </c>
      <c r="O5" s="9">
        <f t="shared" ref="O5:V5" si="2">O3*0.43</f>
        <v>1957.20617782</v>
      </c>
      <c r="P5" s="9">
        <f t="shared" si="2"/>
        <v>2094.2106102674002</v>
      </c>
      <c r="Q5" s="9">
        <f t="shared" si="2"/>
        <v>2219.8632468834439</v>
      </c>
      <c r="R5" s="9">
        <f t="shared" si="2"/>
        <v>2330.8564092276165</v>
      </c>
      <c r="S5" s="9">
        <f t="shared" si="2"/>
        <v>2400.7821015044451</v>
      </c>
      <c r="T5" s="9">
        <f t="shared" si="2"/>
        <v>2472.8055645495788</v>
      </c>
      <c r="U5" s="9">
        <f t="shared" si="2"/>
        <v>2522.2616758405702</v>
      </c>
      <c r="V5" s="9">
        <f t="shared" si="2"/>
        <v>2572.7069093573818</v>
      </c>
    </row>
    <row r="6" spans="2:22" x14ac:dyDescent="0.3">
      <c r="B6" t="s">
        <v>14</v>
      </c>
      <c r="C6" s="6">
        <v>825.1</v>
      </c>
      <c r="D6" s="10">
        <f>L6-C6</f>
        <v>739.19999999999993</v>
      </c>
      <c r="E6" s="6">
        <v>728.3</v>
      </c>
      <c r="F6" s="6">
        <f>D6*1.01</f>
        <v>746.59199999999998</v>
      </c>
      <c r="G6" s="6">
        <f>E6*1.15</f>
        <v>837.54499999999985</v>
      </c>
      <c r="H6" s="6">
        <f>F6*1.08</f>
        <v>806.31936000000007</v>
      </c>
      <c r="J6" s="6">
        <v>1172.5999999999999</v>
      </c>
      <c r="K6" s="6">
        <v>1413.8</v>
      </c>
      <c r="L6" s="6">
        <v>1564.3</v>
      </c>
      <c r="M6" s="10">
        <f>SUM(E6:F6)</f>
        <v>1474.8919999999998</v>
      </c>
      <c r="N6" s="10">
        <f>SUM(G6:H6)</f>
        <v>1643.86436</v>
      </c>
      <c r="O6" s="6">
        <f>N6*1.06</f>
        <v>1742.4962216000001</v>
      </c>
      <c r="P6" s="6">
        <f>O6*1.05</f>
        <v>1829.6210326800001</v>
      </c>
      <c r="Q6" s="6">
        <f>P6*1.03</f>
        <v>1884.5096636604001</v>
      </c>
      <c r="R6" s="6">
        <f>Q6*1.02</f>
        <v>1922.1998569336081</v>
      </c>
      <c r="S6" s="6">
        <f t="shared" ref="S6:V6" si="3">R6*1.02</f>
        <v>1960.6438540722802</v>
      </c>
      <c r="T6" s="6">
        <f t="shared" si="3"/>
        <v>1999.8567311537258</v>
      </c>
      <c r="U6" s="6">
        <f t="shared" si="3"/>
        <v>2039.8538657768004</v>
      </c>
      <c r="V6" s="6">
        <f t="shared" si="3"/>
        <v>2080.6509430923365</v>
      </c>
    </row>
    <row r="7" spans="2:22" x14ac:dyDescent="0.3">
      <c r="B7" t="s">
        <v>15</v>
      </c>
      <c r="C7" s="10">
        <v>-16.399999999999999</v>
      </c>
      <c r="D7" s="10">
        <f>L7-C7</f>
        <v>-16.100000000000001</v>
      </c>
      <c r="E7" s="10">
        <v>-15.1</v>
      </c>
      <c r="F7" s="6">
        <v>-15</v>
      </c>
      <c r="G7" s="6">
        <v>-15</v>
      </c>
      <c r="H7" s="6">
        <v>-15</v>
      </c>
      <c r="J7" s="10">
        <v>-26.5</v>
      </c>
      <c r="K7" s="10">
        <v>-23.4</v>
      </c>
      <c r="L7" s="10">
        <v>-32.5</v>
      </c>
      <c r="M7" s="10">
        <f>SUM(E7:F7)</f>
        <v>-30.1</v>
      </c>
      <c r="N7" s="10">
        <f>SUM(G7:H7)</f>
        <v>-30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2:22" x14ac:dyDescent="0.3">
      <c r="B8" t="s">
        <v>16</v>
      </c>
      <c r="C8" s="10">
        <v>3.3</v>
      </c>
      <c r="D8" s="10">
        <f>L8-C8</f>
        <v>9.8000000000000007</v>
      </c>
      <c r="E8" s="10">
        <v>-3.7</v>
      </c>
      <c r="F8" s="6">
        <v>0</v>
      </c>
      <c r="G8" s="6">
        <v>0</v>
      </c>
      <c r="H8" s="6">
        <v>0</v>
      </c>
      <c r="J8" s="10">
        <v>4.8</v>
      </c>
      <c r="K8" s="10">
        <v>41</v>
      </c>
      <c r="L8" s="10">
        <v>13.1</v>
      </c>
      <c r="M8" s="10">
        <f>SUM(E8:F8)</f>
        <v>-3.7</v>
      </c>
      <c r="N8" s="10">
        <f>SUM(G8:H8)</f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2:22" x14ac:dyDescent="0.3">
      <c r="B9" t="s">
        <v>17</v>
      </c>
      <c r="C9" s="10">
        <v>-23.3</v>
      </c>
      <c r="D9" s="10">
        <f>L9-C9</f>
        <v>-30.900000000000002</v>
      </c>
      <c r="E9" s="10">
        <v>0</v>
      </c>
      <c r="F9" s="6">
        <v>0</v>
      </c>
      <c r="G9" s="6">
        <v>0</v>
      </c>
      <c r="H9" s="6">
        <v>0</v>
      </c>
      <c r="J9" s="10">
        <v>-16.3</v>
      </c>
      <c r="K9" s="10">
        <v>-8.4</v>
      </c>
      <c r="L9" s="10">
        <v>-54.2</v>
      </c>
      <c r="M9" s="10">
        <f>SUM(E9:F9)</f>
        <v>0</v>
      </c>
      <c r="N9" s="10">
        <f>SUM(G9:H9)</f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</row>
    <row r="10" spans="2:22" s="1" customFormat="1" x14ac:dyDescent="0.3">
      <c r="B10" s="1" t="s">
        <v>18</v>
      </c>
      <c r="C10" s="9">
        <f>C5-SUM(C6:C9)</f>
        <v>106.20000000000005</v>
      </c>
      <c r="D10" s="9">
        <f>D5-SUM(D6:D9)</f>
        <v>65.699999999999932</v>
      </c>
      <c r="E10" s="9">
        <f>E5-SUM(E6:E9)</f>
        <v>124.30000000000007</v>
      </c>
      <c r="F10" s="9">
        <f>F5-SUM(F6:F9)</f>
        <v>13.872049999999945</v>
      </c>
      <c r="G10" s="9">
        <f t="shared" ref="G10:H10" si="4">G5-SUM(G6:G9)</f>
        <v>118.80376000000001</v>
      </c>
      <c r="H10" s="9">
        <f t="shared" si="4"/>
        <v>63.964271999999937</v>
      </c>
      <c r="J10" s="9">
        <f>J5-SUM(J6:J9)</f>
        <v>200.5</v>
      </c>
      <c r="K10" s="9">
        <f>K5-SUM(K6:K9)</f>
        <v>160.50000000000023</v>
      </c>
      <c r="L10" s="9">
        <f>L5-SUM(L6:L9)</f>
        <v>171.90000000000009</v>
      </c>
      <c r="M10" s="9">
        <f t="shared" ref="M10:V10" si="5">M5-SUM(M6:M9)</f>
        <v>138.17205000000035</v>
      </c>
      <c r="N10" s="9">
        <f t="shared" si="5"/>
        <v>181.73763799999983</v>
      </c>
      <c r="O10" s="9">
        <f t="shared" si="5"/>
        <v>214.70995621999987</v>
      </c>
      <c r="P10" s="9">
        <f t="shared" si="5"/>
        <v>264.58957758740007</v>
      </c>
      <c r="Q10" s="9">
        <f t="shared" si="5"/>
        <v>335.35358322304387</v>
      </c>
      <c r="R10" s="9">
        <f t="shared" si="5"/>
        <v>408.65655229400841</v>
      </c>
      <c r="S10" s="9">
        <f t="shared" si="5"/>
        <v>440.13824743216492</v>
      </c>
      <c r="T10" s="9">
        <f t="shared" si="5"/>
        <v>472.94883339585294</v>
      </c>
      <c r="U10" s="9">
        <f t="shared" si="5"/>
        <v>482.40781006376983</v>
      </c>
      <c r="V10" s="9">
        <f t="shared" si="5"/>
        <v>492.0559662650453</v>
      </c>
    </row>
    <row r="11" spans="2:22" x14ac:dyDescent="0.3">
      <c r="B11" t="s">
        <v>19</v>
      </c>
      <c r="C11" s="10">
        <v>-7.2</v>
      </c>
      <c r="D11" s="10">
        <f>L11-C11</f>
        <v>-7.9999999999999991</v>
      </c>
      <c r="E11" s="10">
        <v>-40</v>
      </c>
      <c r="F11" s="6">
        <v>-10</v>
      </c>
      <c r="G11" s="6">
        <v>-5</v>
      </c>
      <c r="H11" s="6">
        <v>-5</v>
      </c>
      <c r="J11" s="10">
        <v>-25.8</v>
      </c>
      <c r="K11" s="10">
        <v>-15</v>
      </c>
      <c r="L11" s="10">
        <v>-15.2</v>
      </c>
      <c r="M11" s="10">
        <f>SUM(E11:F11)</f>
        <v>-50</v>
      </c>
      <c r="N11" s="10">
        <f>SUM(G11:H11)</f>
        <v>-10</v>
      </c>
      <c r="O11" s="6">
        <f t="shared" ref="O11:V11" si="6">(N11*0.8)-N16*0.01</f>
        <v>-8.8473763799999983</v>
      </c>
      <c r="P11" s="6">
        <f t="shared" si="6"/>
        <v>-8.4596758756799968</v>
      </c>
      <c r="Q11" s="6">
        <f t="shared" si="6"/>
        <v>-8.842899527658318</v>
      </c>
      <c r="R11" s="6">
        <f t="shared" si="6"/>
        <v>-10.032878965696797</v>
      </c>
      <c r="S11" s="6">
        <f t="shared" si="6"/>
        <v>-11.885071632027593</v>
      </c>
      <c r="T11" s="6">
        <f t="shared" si="6"/>
        <v>-13.844812191569684</v>
      </c>
      <c r="U11" s="6">
        <f t="shared" si="6"/>
        <v>-15.893036102338925</v>
      </c>
      <c r="V11" s="6">
        <f t="shared" si="6"/>
        <v>-17.771228236603346</v>
      </c>
    </row>
    <row r="12" spans="2:22" x14ac:dyDescent="0.3">
      <c r="B12" t="s">
        <v>20</v>
      </c>
      <c r="C12" s="10">
        <v>4.2</v>
      </c>
      <c r="D12" s="10">
        <f>L12-C12</f>
        <v>45.599999999999994</v>
      </c>
      <c r="E12" s="10">
        <v>37.1</v>
      </c>
      <c r="F12" s="6">
        <f>E12*0.9</f>
        <v>33.39</v>
      </c>
      <c r="G12" s="6">
        <v>35</v>
      </c>
      <c r="H12" s="6">
        <v>33</v>
      </c>
      <c r="J12" s="10">
        <v>119</v>
      </c>
      <c r="K12" s="10">
        <v>8.3000000000000007</v>
      </c>
      <c r="L12" s="10">
        <v>49.8</v>
      </c>
      <c r="M12" s="10">
        <f>SUM(E12:F12)</f>
        <v>70.490000000000009</v>
      </c>
      <c r="N12" s="10">
        <f>SUM(G12:H12)</f>
        <v>68</v>
      </c>
      <c r="O12" s="6">
        <f t="shared" ref="N12:V12" si="7">N12*0.8</f>
        <v>54.400000000000006</v>
      </c>
      <c r="P12" s="6">
        <f t="shared" si="7"/>
        <v>43.52000000000001</v>
      </c>
      <c r="Q12" s="6">
        <f t="shared" si="7"/>
        <v>34.81600000000001</v>
      </c>
      <c r="R12" s="6">
        <f t="shared" si="7"/>
        <v>27.852800000000009</v>
      </c>
      <c r="S12" s="6">
        <f t="shared" si="7"/>
        <v>22.282240000000009</v>
      </c>
      <c r="T12" s="6">
        <f t="shared" si="7"/>
        <v>17.825792000000007</v>
      </c>
      <c r="U12" s="6">
        <f t="shared" si="7"/>
        <v>14.260633600000006</v>
      </c>
      <c r="V12" s="6">
        <f t="shared" si="7"/>
        <v>11.408506880000004</v>
      </c>
    </row>
    <row r="13" spans="2:22" x14ac:dyDescent="0.3">
      <c r="B13" t="s">
        <v>21</v>
      </c>
      <c r="C13" s="10">
        <v>-6.2</v>
      </c>
      <c r="D13" s="10">
        <f>L13-C13</f>
        <v>-24.8</v>
      </c>
      <c r="E13" s="10">
        <v>-2.2000000000000002</v>
      </c>
      <c r="F13" s="6">
        <v>-2</v>
      </c>
      <c r="G13" s="6">
        <v>-2</v>
      </c>
      <c r="H13" s="6">
        <v>-2</v>
      </c>
      <c r="J13" s="10">
        <v>-3.4</v>
      </c>
      <c r="K13" s="10">
        <v>-40</v>
      </c>
      <c r="L13" s="10">
        <v>-31</v>
      </c>
      <c r="M13" s="10">
        <f>SUM(E13:F13)</f>
        <v>-4.2</v>
      </c>
      <c r="N13" s="10">
        <f>SUM(G13:H13)</f>
        <v>-4</v>
      </c>
      <c r="O13" s="6">
        <f t="shared" ref="O13:V13" si="8">N13-N19*0.02</f>
        <v>-5.0201445679999974</v>
      </c>
      <c r="P13" s="6">
        <f t="shared" si="8"/>
        <v>-6.7866292483519954</v>
      </c>
      <c r="Q13" s="6">
        <f t="shared" si="8"/>
        <v>-9.5154516063120447</v>
      </c>
      <c r="R13" s="6">
        <f t="shared" si="8"/>
        <v>-13.472214687310245</v>
      </c>
      <c r="S13" s="6">
        <f t="shared" si="8"/>
        <v>-18.680009530568462</v>
      </c>
      <c r="T13" s="6">
        <f t="shared" si="8"/>
        <v>-24.547261320895117</v>
      </c>
      <c r="U13" s="6">
        <f t="shared" si="8"/>
        <v>-31.076906907111564</v>
      </c>
      <c r="V13" s="6">
        <f t="shared" si="8"/>
        <v>-37.931289936111646</v>
      </c>
    </row>
    <row r="14" spans="2:22" x14ac:dyDescent="0.3">
      <c r="B14" t="s">
        <v>22</v>
      </c>
      <c r="C14" s="10">
        <v>19.600000000000001</v>
      </c>
      <c r="D14" s="10">
        <f>L14-C14</f>
        <v>9.6999999999999993</v>
      </c>
      <c r="E14" s="10">
        <v>23.3</v>
      </c>
      <c r="F14" s="6">
        <v>23</v>
      </c>
      <c r="G14" s="6">
        <v>23</v>
      </c>
      <c r="H14" s="6">
        <v>22</v>
      </c>
      <c r="J14" s="10">
        <v>40.9</v>
      </c>
      <c r="K14" s="10">
        <v>19.399999999999999</v>
      </c>
      <c r="L14" s="10">
        <v>29.3</v>
      </c>
      <c r="M14" s="10">
        <f>SUM(E14:F14)</f>
        <v>46.3</v>
      </c>
      <c r="N14" s="10">
        <f>SUM(G14:H14)</f>
        <v>45</v>
      </c>
      <c r="O14" s="6">
        <f t="shared" ref="N14:V14" si="9">N14*0.8</f>
        <v>36</v>
      </c>
      <c r="P14" s="6">
        <f t="shared" si="9"/>
        <v>28.8</v>
      </c>
      <c r="Q14" s="6">
        <f t="shared" si="9"/>
        <v>23.040000000000003</v>
      </c>
      <c r="R14" s="6">
        <f t="shared" si="9"/>
        <v>18.432000000000002</v>
      </c>
      <c r="S14" s="6">
        <f t="shared" si="9"/>
        <v>14.745600000000003</v>
      </c>
      <c r="T14" s="6">
        <f t="shared" si="9"/>
        <v>11.796480000000003</v>
      </c>
      <c r="U14" s="6">
        <f t="shared" si="9"/>
        <v>9.437184000000002</v>
      </c>
      <c r="V14" s="6">
        <f t="shared" si="9"/>
        <v>7.5497472000000023</v>
      </c>
    </row>
    <row r="15" spans="2:22" x14ac:dyDescent="0.3">
      <c r="B15" t="s">
        <v>23</v>
      </c>
      <c r="C15" s="6">
        <v>5.6</v>
      </c>
      <c r="D15" s="10">
        <f>L15-C15</f>
        <v>-10.099999999999998</v>
      </c>
      <c r="E15" s="6">
        <v>0</v>
      </c>
      <c r="F15" s="6">
        <v>0</v>
      </c>
      <c r="G15" s="6">
        <v>-1</v>
      </c>
      <c r="H15" s="6">
        <v>-1</v>
      </c>
      <c r="J15" s="6">
        <v>8.6999999999999993</v>
      </c>
      <c r="K15" s="6">
        <v>8.6</v>
      </c>
      <c r="L15" s="6">
        <f>15.9-20.4</f>
        <v>-4.4999999999999982</v>
      </c>
      <c r="M15" s="10">
        <f>SUM(E15:F15)</f>
        <v>0</v>
      </c>
      <c r="N15" s="10">
        <f>SUM(G15:H15)</f>
        <v>-2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</row>
    <row r="16" spans="2:22" s="1" customFormat="1" x14ac:dyDescent="0.3">
      <c r="B16" s="1" t="s">
        <v>24</v>
      </c>
      <c r="C16" s="9">
        <f>C10-SUM(C11:C15)</f>
        <v>90.200000000000045</v>
      </c>
      <c r="D16" s="9">
        <f>D10-SUM(D11:D15)</f>
        <v>53.29999999999994</v>
      </c>
      <c r="E16" s="9">
        <f>E10-SUM(E11:E15)</f>
        <v>106.10000000000007</v>
      </c>
      <c r="F16" s="9">
        <f>F10-SUM(F11:F15)</f>
        <v>-30.517950000000056</v>
      </c>
      <c r="G16" s="9">
        <f t="shared" ref="G16:H16" si="10">G10-SUM(G11:G15)</f>
        <v>68.803760000000011</v>
      </c>
      <c r="H16" s="9">
        <f t="shared" si="10"/>
        <v>16.964271999999937</v>
      </c>
      <c r="J16" s="9">
        <f>J10-SUM(J11:J15)</f>
        <v>61.100000000000023</v>
      </c>
      <c r="K16" s="9">
        <f>K10-SUM(K11:K15)</f>
        <v>179.20000000000022</v>
      </c>
      <c r="L16" s="9">
        <f>L10-SUM(L11:L15)</f>
        <v>143.50000000000011</v>
      </c>
      <c r="M16" s="9">
        <f t="shared" ref="M16:V16" si="11">M10-SUM(M11:M15)</f>
        <v>75.582050000000351</v>
      </c>
      <c r="N16" s="9">
        <f t="shared" si="11"/>
        <v>84.737637999999833</v>
      </c>
      <c r="O16" s="9">
        <f t="shared" si="11"/>
        <v>138.17747716799985</v>
      </c>
      <c r="P16" s="9">
        <f t="shared" si="11"/>
        <v>207.51588271143206</v>
      </c>
      <c r="Q16" s="9">
        <f t="shared" si="11"/>
        <v>295.85593435701423</v>
      </c>
      <c r="R16" s="9">
        <f t="shared" si="11"/>
        <v>385.87684594701545</v>
      </c>
      <c r="S16" s="9">
        <f t="shared" si="11"/>
        <v>433.67548859476096</v>
      </c>
      <c r="T16" s="9">
        <f t="shared" si="11"/>
        <v>481.71863490831771</v>
      </c>
      <c r="U16" s="9">
        <f t="shared" si="11"/>
        <v>505.67993547322033</v>
      </c>
      <c r="V16" s="9">
        <f t="shared" si="11"/>
        <v>528.80023035776026</v>
      </c>
    </row>
    <row r="17" spans="2:148" x14ac:dyDescent="0.3">
      <c r="B17" t="s">
        <v>25</v>
      </c>
      <c r="C17" s="6">
        <v>24.8</v>
      </c>
      <c r="D17" s="10">
        <f>L17-C17</f>
        <v>17.7</v>
      </c>
      <c r="E17" s="6">
        <v>21.7</v>
      </c>
      <c r="F17" s="6">
        <f>F16*0.3</f>
        <v>-9.1553850000000168</v>
      </c>
      <c r="G17" s="6">
        <f>G16*0.3</f>
        <v>20.641128000000002</v>
      </c>
      <c r="H17" s="6">
        <f>H16*0.3</f>
        <v>5.089281599999981</v>
      </c>
      <c r="J17" s="6">
        <v>37.9</v>
      </c>
      <c r="K17" s="6">
        <v>63.2</v>
      </c>
      <c r="L17" s="6">
        <v>42.5</v>
      </c>
      <c r="M17" s="10">
        <f>SUM(E17:F17)</f>
        <v>12.544614999999983</v>
      </c>
      <c r="N17" s="10">
        <f>SUM(G17:H17)</f>
        <v>25.730409599999984</v>
      </c>
      <c r="O17" s="6">
        <f t="shared" ref="N17:V17" si="12">O16*0.3</f>
        <v>41.453243150399956</v>
      </c>
      <c r="P17" s="6">
        <f t="shared" si="12"/>
        <v>62.254764813429617</v>
      </c>
      <c r="Q17" s="6">
        <f t="shared" si="12"/>
        <v>88.756780307104265</v>
      </c>
      <c r="R17" s="6">
        <f t="shared" si="12"/>
        <v>115.76305378410463</v>
      </c>
      <c r="S17" s="6">
        <f t="shared" si="12"/>
        <v>130.10264657842828</v>
      </c>
      <c r="T17" s="6">
        <f t="shared" si="12"/>
        <v>144.51559047249532</v>
      </c>
      <c r="U17" s="6">
        <f t="shared" si="12"/>
        <v>151.7039806419661</v>
      </c>
      <c r="V17" s="6">
        <f t="shared" si="12"/>
        <v>158.64006910732806</v>
      </c>
    </row>
    <row r="18" spans="2:148" x14ac:dyDescent="0.3">
      <c r="B18" t="s">
        <v>26</v>
      </c>
      <c r="C18" s="6">
        <v>4.0999999999999996</v>
      </c>
      <c r="D18" s="10">
        <f>L18-C18</f>
        <v>3.1000000000000005</v>
      </c>
      <c r="E18" s="6">
        <v>4</v>
      </c>
      <c r="F18" s="6">
        <v>4</v>
      </c>
      <c r="G18" s="6">
        <v>4</v>
      </c>
      <c r="H18" s="6">
        <v>4</v>
      </c>
      <c r="J18" s="6">
        <v>3.1</v>
      </c>
      <c r="K18" s="6">
        <v>4</v>
      </c>
      <c r="L18" s="6">
        <v>7.2</v>
      </c>
      <c r="M18" s="10">
        <f>SUM(E18:F18)</f>
        <v>8</v>
      </c>
      <c r="N18" s="10">
        <f>SUM(G18:H18)</f>
        <v>8</v>
      </c>
      <c r="O18" s="6">
        <f t="shared" ref="N18:V18" si="13">N18*1.05</f>
        <v>8.4</v>
      </c>
      <c r="P18" s="6">
        <f t="shared" si="13"/>
        <v>8.82</v>
      </c>
      <c r="Q18" s="6">
        <f t="shared" si="13"/>
        <v>9.261000000000001</v>
      </c>
      <c r="R18" s="6">
        <f t="shared" si="13"/>
        <v>9.7240500000000019</v>
      </c>
      <c r="S18" s="6">
        <f t="shared" si="13"/>
        <v>10.210252500000003</v>
      </c>
      <c r="T18" s="6">
        <f t="shared" si="13"/>
        <v>10.720765125000003</v>
      </c>
      <c r="U18" s="6">
        <f t="shared" si="13"/>
        <v>11.256803381250004</v>
      </c>
      <c r="V18" s="6">
        <f t="shared" si="13"/>
        <v>11.819643550312504</v>
      </c>
    </row>
    <row r="19" spans="2:148" s="1" customFormat="1" x14ac:dyDescent="0.3">
      <c r="B19" s="1" t="s">
        <v>27</v>
      </c>
      <c r="C19" s="9">
        <f>C16-C17-C18</f>
        <v>61.300000000000047</v>
      </c>
      <c r="D19" s="9">
        <f>D16-D17-D18</f>
        <v>32.499999999999936</v>
      </c>
      <c r="E19" s="9">
        <f>E16-E17-E18</f>
        <v>80.400000000000063</v>
      </c>
      <c r="F19" s="9">
        <f>F16-F17-F18</f>
        <v>-25.362565000000039</v>
      </c>
      <c r="G19" s="9">
        <f t="shared" ref="G19:H19" si="14">G16-G17-G18</f>
        <v>44.162632000000009</v>
      </c>
      <c r="H19" s="9">
        <f t="shared" si="14"/>
        <v>7.8749903999999553</v>
      </c>
      <c r="J19" s="9">
        <f>J16-J17-J18</f>
        <v>20.100000000000023</v>
      </c>
      <c r="K19" s="9">
        <f>K16-K17-K18</f>
        <v>112.00000000000021</v>
      </c>
      <c r="L19" s="9">
        <f>L16-L17-L18</f>
        <v>93.800000000000111</v>
      </c>
      <c r="M19" s="9">
        <f t="shared" ref="M19:V19" si="15">M16-M17-M18</f>
        <v>55.037435000000372</v>
      </c>
      <c r="N19" s="9">
        <f t="shared" si="15"/>
        <v>51.007228399999846</v>
      </c>
      <c r="O19" s="9">
        <f t="shared" si="15"/>
        <v>88.324234017599892</v>
      </c>
      <c r="P19" s="9">
        <f t="shared" si="15"/>
        <v>136.44111789800246</v>
      </c>
      <c r="Q19" s="9">
        <f t="shared" si="15"/>
        <v>197.83815404990997</v>
      </c>
      <c r="R19" s="9">
        <f t="shared" si="15"/>
        <v>260.38974216291086</v>
      </c>
      <c r="S19" s="9">
        <f t="shared" si="15"/>
        <v>293.36258951633266</v>
      </c>
      <c r="T19" s="9">
        <f t="shared" si="15"/>
        <v>326.48227931082238</v>
      </c>
      <c r="U19" s="9">
        <f t="shared" si="15"/>
        <v>342.71915145000423</v>
      </c>
      <c r="V19" s="9">
        <f t="shared" si="15"/>
        <v>358.34051770011973</v>
      </c>
      <c r="W19" s="1">
        <f>V19*(1+$Y$25)</f>
        <v>354.75711252311851</v>
      </c>
      <c r="X19" s="1">
        <f t="shared" ref="X19:CI19" si="16">W19*(1+$Y$25)</f>
        <v>351.20954139788734</v>
      </c>
      <c r="Y19" s="1">
        <f t="shared" si="16"/>
        <v>347.69744598390844</v>
      </c>
      <c r="Z19" s="1">
        <f t="shared" si="16"/>
        <v>344.22047152406935</v>
      </c>
      <c r="AA19" s="1">
        <f t="shared" si="16"/>
        <v>340.77826680882868</v>
      </c>
      <c r="AB19" s="1">
        <f t="shared" si="16"/>
        <v>337.37048414074036</v>
      </c>
      <c r="AC19" s="1">
        <f t="shared" si="16"/>
        <v>333.99677929933296</v>
      </c>
      <c r="AD19" s="1">
        <f t="shared" si="16"/>
        <v>330.65681150633964</v>
      </c>
      <c r="AE19" s="1">
        <f t="shared" si="16"/>
        <v>327.35024339127625</v>
      </c>
      <c r="AF19" s="1">
        <f t="shared" si="16"/>
        <v>324.07674095736348</v>
      </c>
      <c r="AG19" s="1">
        <f t="shared" si="16"/>
        <v>320.83597354778982</v>
      </c>
      <c r="AH19" s="1">
        <f t="shared" si="16"/>
        <v>317.62761381231189</v>
      </c>
      <c r="AI19" s="1">
        <f t="shared" si="16"/>
        <v>314.45133767418878</v>
      </c>
      <c r="AJ19" s="1">
        <f t="shared" si="16"/>
        <v>311.30682429744689</v>
      </c>
      <c r="AK19" s="1">
        <f t="shared" si="16"/>
        <v>308.19375605447243</v>
      </c>
      <c r="AL19" s="1">
        <f t="shared" si="16"/>
        <v>305.11181849392773</v>
      </c>
      <c r="AM19" s="1">
        <f t="shared" si="16"/>
        <v>302.06070030898843</v>
      </c>
      <c r="AN19" s="1">
        <f t="shared" si="16"/>
        <v>299.04009330589855</v>
      </c>
      <c r="AO19" s="1">
        <f t="shared" si="16"/>
        <v>296.04969237283956</v>
      </c>
      <c r="AP19" s="1">
        <f t="shared" si="16"/>
        <v>293.08919544911117</v>
      </c>
      <c r="AQ19" s="1">
        <f t="shared" si="16"/>
        <v>290.15830349462004</v>
      </c>
      <c r="AR19" s="1">
        <f t="shared" si="16"/>
        <v>287.25672045967383</v>
      </c>
      <c r="AS19" s="1">
        <f t="shared" si="16"/>
        <v>284.38415325507708</v>
      </c>
      <c r="AT19" s="1">
        <f t="shared" si="16"/>
        <v>281.54031172252633</v>
      </c>
      <c r="AU19" s="1">
        <f t="shared" si="16"/>
        <v>278.72490860530104</v>
      </c>
      <c r="AV19" s="1">
        <f t="shared" si="16"/>
        <v>275.93765951924803</v>
      </c>
      <c r="AW19" s="1">
        <f t="shared" si="16"/>
        <v>273.17828292405557</v>
      </c>
      <c r="AX19" s="1">
        <f t="shared" si="16"/>
        <v>270.44650009481501</v>
      </c>
      <c r="AY19" s="1">
        <f t="shared" si="16"/>
        <v>267.74203509386683</v>
      </c>
      <c r="AZ19" s="1">
        <f t="shared" si="16"/>
        <v>265.06461474292814</v>
      </c>
      <c r="BA19" s="1">
        <f t="shared" si="16"/>
        <v>262.41396859549889</v>
      </c>
      <c r="BB19" s="1">
        <f t="shared" si="16"/>
        <v>259.78982890954387</v>
      </c>
      <c r="BC19" s="1">
        <f t="shared" si="16"/>
        <v>257.19193062044843</v>
      </c>
      <c r="BD19" s="1">
        <f t="shared" si="16"/>
        <v>254.62001131424395</v>
      </c>
      <c r="BE19" s="1">
        <f t="shared" si="16"/>
        <v>252.07381120110151</v>
      </c>
      <c r="BF19" s="1">
        <f t="shared" si="16"/>
        <v>249.55307308909047</v>
      </c>
      <c r="BG19" s="1">
        <f t="shared" si="16"/>
        <v>247.05754235819956</v>
      </c>
      <c r="BH19" s="1">
        <f t="shared" si="16"/>
        <v>244.58696693461755</v>
      </c>
      <c r="BI19" s="1">
        <f t="shared" si="16"/>
        <v>242.14109726527138</v>
      </c>
      <c r="BJ19" s="1">
        <f t="shared" si="16"/>
        <v>239.71968629261866</v>
      </c>
      <c r="BK19" s="1">
        <f t="shared" si="16"/>
        <v>237.32248942969247</v>
      </c>
      <c r="BL19" s="1">
        <f t="shared" si="16"/>
        <v>234.94926453539554</v>
      </c>
      <c r="BM19" s="1">
        <f t="shared" si="16"/>
        <v>232.59977189004158</v>
      </c>
      <c r="BN19" s="1">
        <f t="shared" si="16"/>
        <v>230.27377417114116</v>
      </c>
      <c r="BO19" s="1">
        <f t="shared" si="16"/>
        <v>227.97103642942974</v>
      </c>
      <c r="BP19" s="1">
        <f t="shared" si="16"/>
        <v>225.69132606513546</v>
      </c>
      <c r="BQ19" s="1">
        <f t="shared" si="16"/>
        <v>223.43441280448411</v>
      </c>
      <c r="BR19" s="1">
        <f t="shared" si="16"/>
        <v>221.20006867643926</v>
      </c>
      <c r="BS19" s="1">
        <f t="shared" si="16"/>
        <v>218.98806798967487</v>
      </c>
      <c r="BT19" s="1">
        <f t="shared" si="16"/>
        <v>216.79818730977811</v>
      </c>
      <c r="BU19" s="1">
        <f t="shared" si="16"/>
        <v>214.63020543668034</v>
      </c>
      <c r="BV19" s="1">
        <f t="shared" si="16"/>
        <v>212.48390338231354</v>
      </c>
      <c r="BW19" s="1">
        <f t="shared" si="16"/>
        <v>210.35906434849039</v>
      </c>
      <c r="BX19" s="1">
        <f t="shared" si="16"/>
        <v>208.2554737050055</v>
      </c>
      <c r="BY19" s="1">
        <f t="shared" si="16"/>
        <v>206.17291896795544</v>
      </c>
      <c r="BZ19" s="1">
        <f t="shared" si="16"/>
        <v>204.11118977827587</v>
      </c>
      <c r="CA19" s="1">
        <f t="shared" si="16"/>
        <v>202.0700778804931</v>
      </c>
      <c r="CB19" s="1">
        <f t="shared" si="16"/>
        <v>200.04937710168818</v>
      </c>
      <c r="CC19" s="1">
        <f t="shared" si="16"/>
        <v>198.04888333067129</v>
      </c>
      <c r="CD19" s="1">
        <f t="shared" si="16"/>
        <v>196.06839449736458</v>
      </c>
      <c r="CE19" s="1">
        <f t="shared" si="16"/>
        <v>194.10771055239093</v>
      </c>
      <c r="CF19" s="1">
        <f t="shared" si="16"/>
        <v>192.16663344686702</v>
      </c>
      <c r="CG19" s="1">
        <f t="shared" si="16"/>
        <v>190.24496711239834</v>
      </c>
      <c r="CH19" s="1">
        <f t="shared" si="16"/>
        <v>188.34251744127437</v>
      </c>
      <c r="CI19" s="1">
        <f t="shared" si="16"/>
        <v>186.45909226686163</v>
      </c>
      <c r="CJ19" s="1">
        <f t="shared" ref="CJ19:ER19" si="17">CI19*(1+$Y$25)</f>
        <v>184.59450134419302</v>
      </c>
      <c r="CK19" s="1">
        <f t="shared" si="17"/>
        <v>182.74855633075109</v>
      </c>
      <c r="CL19" s="1">
        <f t="shared" si="17"/>
        <v>180.92107076744358</v>
      </c>
      <c r="CM19" s="1">
        <f t="shared" si="17"/>
        <v>179.11186005976916</v>
      </c>
      <c r="CN19" s="1">
        <f t="shared" si="17"/>
        <v>177.32074145917147</v>
      </c>
      <c r="CO19" s="1">
        <f t="shared" si="17"/>
        <v>175.54753404457975</v>
      </c>
      <c r="CP19" s="1">
        <f t="shared" si="17"/>
        <v>173.79205870413395</v>
      </c>
      <c r="CQ19" s="1">
        <f t="shared" si="17"/>
        <v>172.05413811709261</v>
      </c>
      <c r="CR19" s="1">
        <f t="shared" si="17"/>
        <v>170.33359673592167</v>
      </c>
      <c r="CS19" s="1">
        <f t="shared" si="17"/>
        <v>168.63026076856247</v>
      </c>
      <c r="CT19" s="1">
        <f t="shared" si="17"/>
        <v>166.94395816087683</v>
      </c>
      <c r="CU19" s="1">
        <f t="shared" si="17"/>
        <v>165.27451857926806</v>
      </c>
      <c r="CV19" s="1">
        <f t="shared" si="17"/>
        <v>163.62177339347537</v>
      </c>
      <c r="CW19" s="1">
        <f t="shared" si="17"/>
        <v>161.98555565954061</v>
      </c>
      <c r="CX19" s="1">
        <f t="shared" si="17"/>
        <v>160.3657001029452</v>
      </c>
      <c r="CY19" s="1">
        <f t="shared" si="17"/>
        <v>158.76204310191574</v>
      </c>
      <c r="CZ19" s="1">
        <f t="shared" si="17"/>
        <v>157.17442267089658</v>
      </c>
      <c r="DA19" s="1">
        <f t="shared" si="17"/>
        <v>155.6026784441876</v>
      </c>
      <c r="DB19" s="1">
        <f t="shared" si="17"/>
        <v>154.04665165974572</v>
      </c>
      <c r="DC19" s="1">
        <f t="shared" si="17"/>
        <v>152.50618514314826</v>
      </c>
      <c r="DD19" s="1">
        <f t="shared" si="17"/>
        <v>150.98112329171678</v>
      </c>
      <c r="DE19" s="1">
        <f t="shared" si="17"/>
        <v>149.47131205879961</v>
      </c>
      <c r="DF19" s="1">
        <f t="shared" si="17"/>
        <v>147.97659893821162</v>
      </c>
      <c r="DG19" s="1">
        <f t="shared" si="17"/>
        <v>146.49683294882951</v>
      </c>
      <c r="DH19" s="1">
        <f t="shared" si="17"/>
        <v>145.03186461934121</v>
      </c>
      <c r="DI19" s="1">
        <f t="shared" si="17"/>
        <v>143.5815459731478</v>
      </c>
      <c r="DJ19" s="1">
        <f t="shared" si="17"/>
        <v>142.14573051341631</v>
      </c>
      <c r="DK19" s="1">
        <f t="shared" si="17"/>
        <v>140.72427320828214</v>
      </c>
      <c r="DL19" s="1">
        <f t="shared" si="17"/>
        <v>139.31703047619931</v>
      </c>
      <c r="DM19" s="1">
        <f t="shared" si="17"/>
        <v>137.92386017143733</v>
      </c>
      <c r="DN19" s="1">
        <f t="shared" si="17"/>
        <v>136.54462156972295</v>
      </c>
      <c r="DO19" s="1">
        <f t="shared" si="17"/>
        <v>135.17917535402572</v>
      </c>
      <c r="DP19" s="1">
        <f t="shared" si="17"/>
        <v>133.82738360048546</v>
      </c>
      <c r="DQ19" s="1">
        <f t="shared" si="17"/>
        <v>132.48910976448062</v>
      </c>
      <c r="DR19" s="1">
        <f t="shared" si="17"/>
        <v>131.16421866683581</v>
      </c>
      <c r="DS19" s="1">
        <f t="shared" si="17"/>
        <v>129.85257648016744</v>
      </c>
      <c r="DT19" s="1">
        <f t="shared" si="17"/>
        <v>128.55405071536578</v>
      </c>
      <c r="DU19" s="1">
        <f t="shared" si="17"/>
        <v>127.26851020821212</v>
      </c>
      <c r="DV19" s="1">
        <f t="shared" si="17"/>
        <v>125.99582510613</v>
      </c>
      <c r="DW19" s="1">
        <f t="shared" si="17"/>
        <v>124.73586685506869</v>
      </c>
      <c r="DX19" s="1">
        <f t="shared" si="17"/>
        <v>123.488508186518</v>
      </c>
      <c r="DY19" s="1">
        <f t="shared" si="17"/>
        <v>122.25362310465282</v>
      </c>
      <c r="DZ19" s="1">
        <f t="shared" si="17"/>
        <v>121.03108687360628</v>
      </c>
      <c r="EA19" s="1">
        <f t="shared" si="17"/>
        <v>119.82077600487023</v>
      </c>
      <c r="EB19" s="1">
        <f t="shared" si="17"/>
        <v>118.62256824482152</v>
      </c>
      <c r="EC19" s="1">
        <f t="shared" si="17"/>
        <v>117.43634256237331</v>
      </c>
      <c r="ED19" s="1">
        <f t="shared" si="17"/>
        <v>116.26197913674957</v>
      </c>
      <c r="EE19" s="1">
        <f t="shared" si="17"/>
        <v>115.09935934538208</v>
      </c>
      <c r="EF19" s="1">
        <f t="shared" si="17"/>
        <v>113.94836575192826</v>
      </c>
      <c r="EG19" s="1">
        <f t="shared" si="17"/>
        <v>112.80888209440899</v>
      </c>
      <c r="EH19" s="1">
        <f t="shared" si="17"/>
        <v>111.6807932734649</v>
      </c>
      <c r="EI19" s="1">
        <f t="shared" si="17"/>
        <v>110.56398534073026</v>
      </c>
      <c r="EJ19" s="1">
        <f t="shared" si="17"/>
        <v>109.45834548732296</v>
      </c>
      <c r="EK19" s="1">
        <f t="shared" si="17"/>
        <v>108.36376203244973</v>
      </c>
      <c r="EL19" s="1">
        <f t="shared" si="17"/>
        <v>107.28012441212523</v>
      </c>
      <c r="EM19" s="1">
        <f t="shared" si="17"/>
        <v>106.20732316800398</v>
      </c>
      <c r="EN19" s="1">
        <f t="shared" si="17"/>
        <v>105.14524993632394</v>
      </c>
      <c r="EO19" s="1">
        <f t="shared" si="17"/>
        <v>104.0937974369607</v>
      </c>
      <c r="EP19" s="1">
        <f t="shared" si="17"/>
        <v>103.05285946259109</v>
      </c>
      <c r="EQ19" s="1">
        <f t="shared" si="17"/>
        <v>102.02233086796518</v>
      </c>
      <c r="ER19" s="1">
        <f t="shared" si="17"/>
        <v>101.00210755928553</v>
      </c>
    </row>
    <row r="20" spans="2:148" x14ac:dyDescent="0.3">
      <c r="B20" t="s">
        <v>2</v>
      </c>
      <c r="C20" s="6">
        <v>501.95</v>
      </c>
      <c r="D20" s="6">
        <v>501.95</v>
      </c>
      <c r="E20" s="6">
        <v>501.95</v>
      </c>
      <c r="F20" s="6">
        <v>501.95</v>
      </c>
      <c r="G20" s="6">
        <v>501.95</v>
      </c>
      <c r="H20" s="6">
        <v>501.95</v>
      </c>
      <c r="J20" s="6">
        <v>501.95</v>
      </c>
      <c r="K20" s="6">
        <v>501.95</v>
      </c>
      <c r="L20" s="6">
        <v>501.95</v>
      </c>
      <c r="M20" s="6">
        <v>501.95</v>
      </c>
      <c r="N20" s="6">
        <v>501.95</v>
      </c>
      <c r="O20" s="6">
        <v>501.95</v>
      </c>
      <c r="P20" s="6">
        <v>501.95</v>
      </c>
      <c r="Q20" s="6">
        <v>501.95</v>
      </c>
      <c r="R20" s="6">
        <v>501.95</v>
      </c>
      <c r="S20" s="6">
        <v>501.95</v>
      </c>
      <c r="T20" s="6">
        <v>501.95</v>
      </c>
      <c r="U20" s="6">
        <v>501.95</v>
      </c>
      <c r="V20" s="6">
        <v>501.95</v>
      </c>
    </row>
    <row r="21" spans="2:148" s="1" customFormat="1" x14ac:dyDescent="0.3">
      <c r="B21" s="1" t="s">
        <v>28</v>
      </c>
      <c r="C21" s="8">
        <f>C19/C20</f>
        <v>0.12212371750174329</v>
      </c>
      <c r="D21" s="8">
        <f>D19/D20</f>
        <v>6.4747484809243819E-2</v>
      </c>
      <c r="E21" s="8">
        <f>E19/E20</f>
        <v>0.16017531626656054</v>
      </c>
      <c r="F21" s="8">
        <f>F19/F20</f>
        <v>-5.0528070524952763E-2</v>
      </c>
      <c r="G21" s="8">
        <f t="shared" ref="G21:H21" si="18">G19/G20</f>
        <v>8.7982133678653276E-2</v>
      </c>
      <c r="H21" s="8">
        <f t="shared" si="18"/>
        <v>1.5688794501444277E-2</v>
      </c>
      <c r="J21" s="8">
        <f>J19/J20</f>
        <v>4.0043829066640148E-2</v>
      </c>
      <c r="K21" s="8">
        <f>K19/K20</f>
        <v>0.2231297938041642</v>
      </c>
      <c r="L21" s="8">
        <f>L19/L20</f>
        <v>0.18687120231098739</v>
      </c>
      <c r="M21" s="8">
        <f t="shared" ref="M21:V21" si="19">M19/M20</f>
        <v>0.10964724574160847</v>
      </c>
      <c r="N21" s="8">
        <f t="shared" si="19"/>
        <v>0.10161814603048082</v>
      </c>
      <c r="O21" s="8">
        <f t="shared" si="19"/>
        <v>0.17596221539515866</v>
      </c>
      <c r="P21" s="8">
        <f t="shared" si="19"/>
        <v>0.27182212949099005</v>
      </c>
      <c r="Q21" s="8">
        <f t="shared" si="19"/>
        <v>0.39413916535493571</v>
      </c>
      <c r="R21" s="8">
        <f t="shared" si="19"/>
        <v>0.51875633462080062</v>
      </c>
      <c r="S21" s="8">
        <f t="shared" si="19"/>
        <v>0.58444584025566826</v>
      </c>
      <c r="T21" s="8">
        <f t="shared" si="19"/>
        <v>0.65042788985122502</v>
      </c>
      <c r="U21" s="8">
        <f t="shared" si="19"/>
        <v>0.682775478533727</v>
      </c>
      <c r="V21" s="8">
        <f t="shared" si="19"/>
        <v>0.71389683773308044</v>
      </c>
    </row>
    <row r="23" spans="2:148" x14ac:dyDescent="0.3">
      <c r="B23" s="1" t="s">
        <v>33</v>
      </c>
      <c r="E23" s="12">
        <f>E3/C3-1</f>
        <v>-7.3501345730364598E-2</v>
      </c>
      <c r="F23" s="12">
        <f>F3/D3-1</f>
        <v>-5.0000000000000044E-2</v>
      </c>
      <c r="G23" s="12">
        <f t="shared" ref="G23:H23" si="20">G3/E3-1</f>
        <v>0.12999999999999989</v>
      </c>
      <c r="H23" s="12">
        <f t="shared" si="20"/>
        <v>0.12000000000000011</v>
      </c>
      <c r="K23" s="12">
        <f>K3/J3-1</f>
        <v>0.10191992856079768</v>
      </c>
      <c r="L23" s="12">
        <f>L3/K3-1</f>
        <v>6.9018612064075224E-2</v>
      </c>
      <c r="M23" s="12">
        <f t="shared" ref="M23:V23" si="21">M3/L3-1</f>
        <v>-6.2135493000454844E-2</v>
      </c>
      <c r="N23" s="12">
        <f t="shared" si="21"/>
        <v>0.12510116516076342</v>
      </c>
      <c r="O23" s="12">
        <f t="shared" si="21"/>
        <v>9.000000000000008E-2</v>
      </c>
      <c r="P23" s="12">
        <f t="shared" si="21"/>
        <v>7.0000000000000062E-2</v>
      </c>
      <c r="Q23" s="12">
        <f t="shared" si="21"/>
        <v>6.0000000000000053E-2</v>
      </c>
      <c r="R23" s="12">
        <f t="shared" si="21"/>
        <v>5.0000000000000044E-2</v>
      </c>
      <c r="S23" s="12">
        <f t="shared" si="21"/>
        <v>3.0000000000000027E-2</v>
      </c>
      <c r="T23" s="12">
        <f t="shared" si="21"/>
        <v>3.0000000000000027E-2</v>
      </c>
      <c r="U23" s="12">
        <f t="shared" si="21"/>
        <v>2.0000000000000018E-2</v>
      </c>
      <c r="V23" s="12">
        <f t="shared" si="21"/>
        <v>2.0000000000000018E-2</v>
      </c>
    </row>
    <row r="24" spans="2:148" x14ac:dyDescent="0.3">
      <c r="B24" s="1" t="s">
        <v>34</v>
      </c>
      <c r="C24" s="12">
        <f>C5/C3</f>
        <v>0.43792512845608028</v>
      </c>
      <c r="D24" s="12">
        <f t="shared" ref="D24:F24" si="22">D5/D3</f>
        <v>0.40111813574376914</v>
      </c>
      <c r="E24" s="12">
        <f t="shared" si="22"/>
        <v>0.44039507737812283</v>
      </c>
      <c r="F24" s="12">
        <f t="shared" si="22"/>
        <v>0.41</v>
      </c>
      <c r="G24" s="12">
        <f t="shared" ref="G24:H24" si="23">G5/G3</f>
        <v>0.44</v>
      </c>
      <c r="H24" s="12">
        <f t="shared" si="23"/>
        <v>0.42</v>
      </c>
      <c r="J24" s="12">
        <f t="shared" ref="J24:V24" si="24">J5/J3</f>
        <v>0.39741032891799372</v>
      </c>
      <c r="K24" s="12">
        <f t="shared" si="24"/>
        <v>0.42775331586482618</v>
      </c>
      <c r="L24" s="12">
        <f t="shared" si="24"/>
        <v>0.42012432405114464</v>
      </c>
      <c r="M24" s="12">
        <f t="shared" si="24"/>
        <v>0.42550503097799952</v>
      </c>
      <c r="N24" s="12">
        <f t="shared" si="24"/>
        <v>0.43</v>
      </c>
      <c r="O24" s="12">
        <f t="shared" si="24"/>
        <v>0.43</v>
      </c>
      <c r="P24" s="12">
        <f t="shared" si="24"/>
        <v>0.43</v>
      </c>
      <c r="Q24" s="12">
        <f t="shared" si="24"/>
        <v>0.42999999999999994</v>
      </c>
      <c r="R24" s="12">
        <f t="shared" si="24"/>
        <v>0.43</v>
      </c>
      <c r="S24" s="12">
        <f t="shared" si="24"/>
        <v>0.43</v>
      </c>
      <c r="T24" s="12">
        <f t="shared" si="24"/>
        <v>0.43000000000000005</v>
      </c>
      <c r="U24" s="12">
        <f t="shared" si="24"/>
        <v>0.43</v>
      </c>
      <c r="V24" s="12">
        <f t="shared" si="24"/>
        <v>0.43</v>
      </c>
    </row>
    <row r="25" spans="2:148" x14ac:dyDescent="0.3">
      <c r="B25" s="7" t="s">
        <v>35</v>
      </c>
      <c r="C25" s="12">
        <f>C10/C5</f>
        <v>0.11867247737177342</v>
      </c>
      <c r="D25" s="12">
        <f t="shared" ref="D25:F25" si="25">D10/D5</f>
        <v>8.5580304806564991E-2</v>
      </c>
      <c r="E25" s="12">
        <f t="shared" si="25"/>
        <v>0.14907651715039588</v>
      </c>
      <c r="F25" s="12">
        <f t="shared" si="25"/>
        <v>1.8608610301194196E-2</v>
      </c>
      <c r="G25" s="12">
        <f t="shared" ref="G25:H25" si="26">G10/G5</f>
        <v>0.12620589206491337</v>
      </c>
      <c r="H25" s="12">
        <f t="shared" si="26"/>
        <v>7.4787204626406242E-2</v>
      </c>
      <c r="J25" s="12">
        <f t="shared" ref="J25:V25" si="27">J10/J5</f>
        <v>0.15017601677776946</v>
      </c>
      <c r="K25" s="12">
        <f t="shared" si="27"/>
        <v>0.1013577518155985</v>
      </c>
      <c r="L25" s="12">
        <f t="shared" si="27"/>
        <v>0.10339227715626134</v>
      </c>
      <c r="M25" s="12">
        <f t="shared" si="27"/>
        <v>8.7491417283892661E-2</v>
      </c>
      <c r="N25" s="12">
        <f t="shared" si="27"/>
        <v>0.10121265080035841</v>
      </c>
      <c r="O25" s="12">
        <f t="shared" si="27"/>
        <v>0.10970226778006127</v>
      </c>
      <c r="P25" s="12">
        <f t="shared" si="27"/>
        <v>0.1263433468869761</v>
      </c>
      <c r="Q25" s="12">
        <f t="shared" si="27"/>
        <v>0.15106947857885406</v>
      </c>
      <c r="R25" s="12">
        <f t="shared" si="27"/>
        <v>0.17532463633374407</v>
      </c>
      <c r="S25" s="12">
        <f t="shared" si="27"/>
        <v>0.18333119326254274</v>
      </c>
      <c r="T25" s="12">
        <f t="shared" si="27"/>
        <v>0.19126001662892592</v>
      </c>
      <c r="U25" s="12">
        <f t="shared" si="27"/>
        <v>0.19126001662892583</v>
      </c>
      <c r="V25" s="12">
        <f t="shared" si="27"/>
        <v>0.19126001662892586</v>
      </c>
      <c r="X25" t="s">
        <v>37</v>
      </c>
      <c r="Y25" s="12">
        <v>-0.01</v>
      </c>
    </row>
    <row r="26" spans="2:148" x14ac:dyDescent="0.3">
      <c r="B26" s="7" t="s">
        <v>36</v>
      </c>
      <c r="E26" s="12">
        <f t="shared" ref="E26:F26" si="28">E6/C6-1</f>
        <v>-0.117319112834808</v>
      </c>
      <c r="F26" s="12">
        <f t="shared" si="28"/>
        <v>1.0000000000000009E-2</v>
      </c>
      <c r="G26" s="12">
        <f t="shared" ref="G26" si="29">G6/E6-1</f>
        <v>0.14999999999999991</v>
      </c>
      <c r="H26" s="12">
        <f t="shared" ref="H26" si="30">H6/F6-1</f>
        <v>8.0000000000000071E-2</v>
      </c>
      <c r="K26" s="12">
        <f t="shared" ref="K26:V26" si="31">K6/J6-1</f>
        <v>0.2056967422821081</v>
      </c>
      <c r="L26" s="12">
        <f t="shared" si="31"/>
        <v>0.10645070024048664</v>
      </c>
      <c r="M26" s="12">
        <f t="shared" si="31"/>
        <v>-5.7155277120756964E-2</v>
      </c>
      <c r="N26" s="12">
        <f t="shared" si="31"/>
        <v>0.11456592075894378</v>
      </c>
      <c r="O26" s="12">
        <f t="shared" si="31"/>
        <v>6.0000000000000053E-2</v>
      </c>
      <c r="P26" s="12">
        <f t="shared" si="31"/>
        <v>5.0000000000000044E-2</v>
      </c>
      <c r="Q26" s="12">
        <f t="shared" si="31"/>
        <v>3.0000000000000027E-2</v>
      </c>
      <c r="R26" s="12">
        <f t="shared" si="31"/>
        <v>2.0000000000000018E-2</v>
      </c>
      <c r="S26" s="12">
        <f t="shared" si="31"/>
        <v>2.0000000000000018E-2</v>
      </c>
      <c r="T26" s="12">
        <f t="shared" si="31"/>
        <v>2.0000000000000018E-2</v>
      </c>
      <c r="U26" s="12">
        <f t="shared" si="31"/>
        <v>2.0000000000000018E-2</v>
      </c>
      <c r="V26" s="12">
        <f t="shared" si="31"/>
        <v>2.0000000000000018E-2</v>
      </c>
      <c r="X26" t="s">
        <v>38</v>
      </c>
      <c r="Y26" s="12">
        <v>7.0000000000000007E-2</v>
      </c>
    </row>
    <row r="27" spans="2:148" x14ac:dyDescent="0.3">
      <c r="B27" s="7" t="s">
        <v>25</v>
      </c>
      <c r="C27" s="12">
        <f>C17/C16</f>
        <v>0.27494456762749431</v>
      </c>
      <c r="D27" s="12">
        <f t="shared" ref="D27:V27" si="32">D17/D16</f>
        <v>0.33208255159474709</v>
      </c>
      <c r="E27" s="12">
        <f t="shared" si="32"/>
        <v>0.20452403393025434</v>
      </c>
      <c r="F27" s="12">
        <f t="shared" si="32"/>
        <v>0.3</v>
      </c>
      <c r="G27" s="12">
        <f t="shared" ref="G27:H27" si="33">G17/G16</f>
        <v>0.3</v>
      </c>
      <c r="H27" s="12">
        <f t="shared" si="33"/>
        <v>0.3</v>
      </c>
      <c r="J27" s="12">
        <f t="shared" si="32"/>
        <v>0.62029459901800299</v>
      </c>
      <c r="K27" s="12">
        <f t="shared" si="32"/>
        <v>0.35267857142857101</v>
      </c>
      <c r="L27" s="12">
        <f t="shared" si="32"/>
        <v>0.29616724738675937</v>
      </c>
      <c r="M27" s="12">
        <f t="shared" si="32"/>
        <v>0.16597346856826356</v>
      </c>
      <c r="N27" s="12">
        <f t="shared" si="32"/>
        <v>0.30364794449427579</v>
      </c>
      <c r="O27" s="12">
        <f t="shared" si="32"/>
        <v>0.3</v>
      </c>
      <c r="P27" s="12">
        <f t="shared" si="32"/>
        <v>0.3</v>
      </c>
      <c r="Q27" s="12">
        <f t="shared" si="32"/>
        <v>0.3</v>
      </c>
      <c r="R27" s="12">
        <f t="shared" si="32"/>
        <v>0.3</v>
      </c>
      <c r="S27" s="12">
        <f t="shared" si="32"/>
        <v>0.3</v>
      </c>
      <c r="T27" s="12">
        <f t="shared" si="32"/>
        <v>0.3</v>
      </c>
      <c r="U27" s="12">
        <f t="shared" si="32"/>
        <v>0.3</v>
      </c>
      <c r="V27" s="12">
        <f t="shared" si="32"/>
        <v>0.3</v>
      </c>
      <c r="X27" t="s">
        <v>39</v>
      </c>
      <c r="Y27" s="6">
        <f>NPV(Y26,M19:ER19)</f>
        <v>3582.1585462732705</v>
      </c>
    </row>
    <row r="28" spans="2:148" x14ac:dyDescent="0.3">
      <c r="B28" s="7" t="s">
        <v>48</v>
      </c>
      <c r="C28" s="12">
        <f>C19/C3</f>
        <v>2.9997553217518985E-2</v>
      </c>
      <c r="D28" s="12">
        <f t="shared" ref="D28:H28" si="34">D19/D3</f>
        <v>1.6981033491822946E-2</v>
      </c>
      <c r="E28" s="12">
        <f t="shared" si="34"/>
        <v>4.2465536365076884E-2</v>
      </c>
      <c r="F28" s="12">
        <f t="shared" si="34"/>
        <v>-1.3949232897280582E-2</v>
      </c>
      <c r="G28" s="12">
        <f t="shared" si="34"/>
        <v>2.064225174100193E-2</v>
      </c>
      <c r="H28" s="12">
        <f t="shared" si="34"/>
        <v>3.8671334797623965E-3</v>
      </c>
      <c r="J28" s="12">
        <f t="shared" ref="J28:V28" si="35">J19/J3</f>
        <v>5.9830331894627246E-3</v>
      </c>
      <c r="K28" s="12">
        <f t="shared" si="35"/>
        <v>3.0254734055485077E-2</v>
      </c>
      <c r="L28" s="12">
        <f t="shared" si="35"/>
        <v>2.3702430888967532E-2</v>
      </c>
      <c r="M28" s="12">
        <f t="shared" si="35"/>
        <v>1.4828872654085168E-2</v>
      </c>
      <c r="N28" s="12">
        <f t="shared" si="35"/>
        <v>1.2214905216428667E-2</v>
      </c>
      <c r="O28" s="12">
        <f t="shared" si="35"/>
        <v>1.9404915566877411E-2</v>
      </c>
      <c r="P28" s="12">
        <f t="shared" si="35"/>
        <v>2.8015176892189367E-2</v>
      </c>
      <c r="Q28" s="12">
        <f t="shared" si="35"/>
        <v>3.8322363488334281E-2</v>
      </c>
      <c r="R28" s="12">
        <f t="shared" si="35"/>
        <v>4.8037102880633793E-2</v>
      </c>
      <c r="S28" s="12">
        <f t="shared" si="35"/>
        <v>5.2543674585450284E-2</v>
      </c>
      <c r="T28" s="12">
        <f t="shared" si="35"/>
        <v>5.6772510591315002E-2</v>
      </c>
      <c r="U28" s="12">
        <f t="shared" si="35"/>
        <v>5.8427417160984881E-2</v>
      </c>
      <c r="V28" s="12">
        <f t="shared" si="35"/>
        <v>5.9892723127773481E-2</v>
      </c>
      <c r="X28" t="s">
        <v>40</v>
      </c>
      <c r="Y28" s="6">
        <f>Main!D8</f>
        <v>-273.59999999999991</v>
      </c>
    </row>
    <row r="29" spans="2:148" x14ac:dyDescent="0.3">
      <c r="X29" t="s">
        <v>41</v>
      </c>
      <c r="Y29" s="6">
        <f>Y27+Y28</f>
        <v>3308.5585462732706</v>
      </c>
    </row>
    <row r="30" spans="2:148" x14ac:dyDescent="0.3">
      <c r="X30" t="s">
        <v>42</v>
      </c>
      <c r="Y30" s="5">
        <f>Y29/V20</f>
        <v>6.5914105912407024</v>
      </c>
    </row>
    <row r="31" spans="2:148" x14ac:dyDescent="0.3">
      <c r="X31" t="s">
        <v>43</v>
      </c>
      <c r="Y31" s="5">
        <f>Main!D3</f>
        <v>5.1260000000000003</v>
      </c>
    </row>
    <row r="32" spans="2:148" x14ac:dyDescent="0.3">
      <c r="X32" s="1" t="s">
        <v>44</v>
      </c>
      <c r="Y32" s="13">
        <f>Y30/Y31-1</f>
        <v>0.28587799282885329</v>
      </c>
    </row>
    <row r="33" spans="24:25" x14ac:dyDescent="0.3">
      <c r="X33" t="s">
        <v>45</v>
      </c>
      <c r="Y33" s="11" t="s">
        <v>49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2021-01-19T12:31:37Z</dcterms:created>
  <dcterms:modified xsi:type="dcterms:W3CDTF">2021-04-28T18:11:58Z</dcterms:modified>
</cp:coreProperties>
</file>