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1CDB499A-6FCC-4BC6-8E45-2D217E3F2807}" xr6:coauthVersionLast="46" xr6:coauthVersionMax="46" xr10:uidLastSave="{00000000-0000-0000-0000-000000000000}"/>
  <bookViews>
    <workbookView xWindow="-108" yWindow="-108" windowWidth="23256" windowHeight="12576" activeTab="1" xr2:uid="{DF297348-BCAA-4CA3-BD64-2DFDC13BFC70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2" l="1"/>
  <c r="D7" i="1"/>
  <c r="Q5" i="2"/>
  <c r="D6" i="1"/>
  <c r="AA25" i="2" l="1"/>
  <c r="Z25" i="2"/>
  <c r="Y25" i="2"/>
  <c r="X25" i="2"/>
  <c r="W25" i="2"/>
  <c r="V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O28" i="2" l="1"/>
  <c r="S6" i="2"/>
  <c r="S23" i="2" s="1"/>
  <c r="R8" i="2"/>
  <c r="AD11" i="2"/>
  <c r="AE11" i="2" s="1"/>
  <c r="AF11" i="2" s="1"/>
  <c r="AG11" i="2" s="1"/>
  <c r="AH11" i="2" s="1"/>
  <c r="AI11" i="2" s="1"/>
  <c r="AJ11" i="2" s="1"/>
  <c r="AK11" i="2" s="1"/>
  <c r="AL11" i="2" s="1"/>
  <c r="AC11" i="2"/>
  <c r="T3" i="2"/>
  <c r="T5" i="2" s="1"/>
  <c r="T6" i="2"/>
  <c r="R23" i="2"/>
  <c r="R12" i="2"/>
  <c r="S12" i="2" s="1"/>
  <c r="T12" i="2" s="1"/>
  <c r="S8" i="2"/>
  <c r="S22" i="2" s="1"/>
  <c r="Q8" i="2"/>
  <c r="Q13" i="2" s="1"/>
  <c r="S4" i="2"/>
  <c r="R4" i="2"/>
  <c r="S5" i="2"/>
  <c r="R5" i="2"/>
  <c r="Q21" i="2"/>
  <c r="S3" i="2"/>
  <c r="R3" i="2"/>
  <c r="R20" i="2" s="1"/>
  <c r="AA23" i="2"/>
  <c r="Z23" i="2"/>
  <c r="Y23" i="2"/>
  <c r="X23" i="2"/>
  <c r="W23" i="2"/>
  <c r="AA20" i="2"/>
  <c r="Z20" i="2"/>
  <c r="Y20" i="2"/>
  <c r="X20" i="2"/>
  <c r="W20" i="2"/>
  <c r="AA24" i="2"/>
  <c r="Z24" i="2"/>
  <c r="Y24" i="2"/>
  <c r="X24" i="2"/>
  <c r="W24" i="2"/>
  <c r="V24" i="2"/>
  <c r="AA22" i="2"/>
  <c r="Z22" i="2"/>
  <c r="Y22" i="2"/>
  <c r="X22" i="2"/>
  <c r="W22" i="2"/>
  <c r="V22" i="2"/>
  <c r="AA21" i="2"/>
  <c r="Z21" i="2"/>
  <c r="Y21" i="2"/>
  <c r="X21" i="2"/>
  <c r="W21" i="2"/>
  <c r="V21" i="2"/>
  <c r="AB15" i="2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B11" i="2"/>
  <c r="AB10" i="2"/>
  <c r="AB7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S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2" i="2"/>
  <c r="C21" i="2"/>
  <c r="Q23" i="2"/>
  <c r="P23" i="2"/>
  <c r="O23" i="2"/>
  <c r="N23" i="2"/>
  <c r="M23" i="2"/>
  <c r="L23" i="2"/>
  <c r="K23" i="2"/>
  <c r="J23" i="2"/>
  <c r="I23" i="2"/>
  <c r="H23" i="2"/>
  <c r="G23" i="2"/>
  <c r="AA15" i="2"/>
  <c r="AA14" i="2"/>
  <c r="AA12" i="2"/>
  <c r="AA11" i="2"/>
  <c r="AA10" i="2"/>
  <c r="AA9" i="2"/>
  <c r="AA7" i="2"/>
  <c r="AA6" i="2"/>
  <c r="AA4" i="2"/>
  <c r="AA3" i="2"/>
  <c r="Z15" i="2"/>
  <c r="Z14" i="2"/>
  <c r="Z12" i="2"/>
  <c r="Z11" i="2"/>
  <c r="Z10" i="2"/>
  <c r="Z9" i="2"/>
  <c r="Z7" i="2"/>
  <c r="Z6" i="2"/>
  <c r="Z4" i="2"/>
  <c r="Z5" i="2" s="1"/>
  <c r="Z3" i="2"/>
  <c r="T20" i="2"/>
  <c r="S20" i="2"/>
  <c r="Q20" i="2"/>
  <c r="P20" i="2"/>
  <c r="O20" i="2"/>
  <c r="N20" i="2"/>
  <c r="M20" i="2"/>
  <c r="L20" i="2"/>
  <c r="K20" i="2"/>
  <c r="J20" i="2"/>
  <c r="I20" i="2"/>
  <c r="H20" i="2"/>
  <c r="G20" i="2"/>
  <c r="E15" i="2"/>
  <c r="E14" i="2"/>
  <c r="E12" i="2"/>
  <c r="E11" i="2"/>
  <c r="E10" i="2"/>
  <c r="E9" i="2"/>
  <c r="E7" i="2"/>
  <c r="E6" i="2"/>
  <c r="E4" i="2"/>
  <c r="E3" i="2"/>
  <c r="E5" i="2" s="1"/>
  <c r="E8" i="2" s="1"/>
  <c r="Y5" i="2"/>
  <c r="Y8" i="2" s="1"/>
  <c r="Y13" i="2" s="1"/>
  <c r="Y16" i="2" s="1"/>
  <c r="Y18" i="2" s="1"/>
  <c r="X5" i="2"/>
  <c r="X8" i="2" s="1"/>
  <c r="X13" i="2" s="1"/>
  <c r="X16" i="2" s="1"/>
  <c r="X18" i="2" s="1"/>
  <c r="W5" i="2"/>
  <c r="W8" i="2" s="1"/>
  <c r="W13" i="2" s="1"/>
  <c r="W16" i="2" s="1"/>
  <c r="W18" i="2" s="1"/>
  <c r="V5" i="2"/>
  <c r="V8" i="2" s="1"/>
  <c r="V13" i="2" s="1"/>
  <c r="V16" i="2" s="1"/>
  <c r="V18" i="2" s="1"/>
  <c r="F5" i="2"/>
  <c r="F8" i="2" s="1"/>
  <c r="F13" i="2" s="1"/>
  <c r="F16" i="2" s="1"/>
  <c r="F18" i="2" s="1"/>
  <c r="C5" i="2"/>
  <c r="C8" i="2" s="1"/>
  <c r="C13" i="2" s="1"/>
  <c r="C16" i="2" s="1"/>
  <c r="C18" i="2" s="1"/>
  <c r="G5" i="2"/>
  <c r="G8" i="2" s="1"/>
  <c r="G13" i="2" s="1"/>
  <c r="G16" i="2" s="1"/>
  <c r="G18" i="2" s="1"/>
  <c r="D5" i="2"/>
  <c r="D8" i="2" s="1"/>
  <c r="D13" i="2" s="1"/>
  <c r="D16" i="2" s="1"/>
  <c r="D18" i="2" s="1"/>
  <c r="H5" i="2"/>
  <c r="H8" i="2" s="1"/>
  <c r="H13" i="2" s="1"/>
  <c r="H16" i="2" s="1"/>
  <c r="H18" i="2" s="1"/>
  <c r="P7" i="2"/>
  <c r="I5" i="2"/>
  <c r="I8" i="2" s="1"/>
  <c r="I13" i="2" s="1"/>
  <c r="I16" i="2" s="1"/>
  <c r="I18" i="2" s="1"/>
  <c r="M5" i="2"/>
  <c r="M8" i="2" s="1"/>
  <c r="M13" i="2" s="1"/>
  <c r="M16" i="2" s="1"/>
  <c r="M18" i="2" s="1"/>
  <c r="J5" i="2"/>
  <c r="J8" i="2" s="1"/>
  <c r="J13" i="2" s="1"/>
  <c r="J16" i="2" s="1"/>
  <c r="J18" i="2" s="1"/>
  <c r="N5" i="2"/>
  <c r="N8" i="2" s="1"/>
  <c r="N13" i="2" s="1"/>
  <c r="N16" i="2" s="1"/>
  <c r="N18" i="2" s="1"/>
  <c r="K5" i="2"/>
  <c r="K8" i="2" s="1"/>
  <c r="K13" i="2" s="1"/>
  <c r="K16" i="2" s="1"/>
  <c r="K18" i="2" s="1"/>
  <c r="O5" i="2"/>
  <c r="O8" i="2" s="1"/>
  <c r="O13" i="2" s="1"/>
  <c r="O16" i="2" s="1"/>
  <c r="O18" i="2" s="1"/>
  <c r="L5" i="2"/>
  <c r="L8" i="2" s="1"/>
  <c r="L13" i="2" s="1"/>
  <c r="L16" i="2" s="1"/>
  <c r="L18" i="2" s="1"/>
  <c r="P5" i="2"/>
  <c r="D8" i="1"/>
  <c r="AO25" i="2" s="1"/>
  <c r="D5" i="1"/>
  <c r="F3" i="1"/>
  <c r="S13" i="2" l="1"/>
  <c r="S14" i="2" s="1"/>
  <c r="S24" i="2" s="1"/>
  <c r="R13" i="2"/>
  <c r="R14" i="2" s="1"/>
  <c r="R24" i="2" s="1"/>
  <c r="T21" i="2"/>
  <c r="T4" i="2"/>
  <c r="AB4" i="2"/>
  <c r="T8" i="2"/>
  <c r="T22" i="2"/>
  <c r="T13" i="2"/>
  <c r="T23" i="2"/>
  <c r="Q24" i="2"/>
  <c r="Q22" i="2"/>
  <c r="AB12" i="2"/>
  <c r="AC12" i="2" s="1"/>
  <c r="AD12" i="2" s="1"/>
  <c r="AE12" i="2" s="1"/>
  <c r="AF12" i="2" s="1"/>
  <c r="AG12" i="2" s="1"/>
  <c r="AH12" i="2" s="1"/>
  <c r="AI12" i="2" s="1"/>
  <c r="AJ12" i="2" s="1"/>
  <c r="AK12" i="2" s="1"/>
  <c r="AL12" i="2" s="1"/>
  <c r="AB9" i="2"/>
  <c r="AB6" i="2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B3" i="2"/>
  <c r="R21" i="2"/>
  <c r="R22" i="2"/>
  <c r="AA5" i="2"/>
  <c r="AA8" i="2" s="1"/>
  <c r="AA13" i="2" s="1"/>
  <c r="AA16" i="2" s="1"/>
  <c r="AA18" i="2" s="1"/>
  <c r="Z8" i="2"/>
  <c r="Z13" i="2" s="1"/>
  <c r="Z16" i="2" s="1"/>
  <c r="Z18" i="2" s="1"/>
  <c r="E13" i="2"/>
  <c r="E16" i="2" s="1"/>
  <c r="E18" i="2" s="1"/>
  <c r="P8" i="2"/>
  <c r="P13" i="2" s="1"/>
  <c r="D9" i="1"/>
  <c r="S16" i="2" l="1"/>
  <c r="AB20" i="2"/>
  <c r="AC3" i="2"/>
  <c r="AD3" i="2" s="1"/>
  <c r="T14" i="2"/>
  <c r="T24" i="2" s="1"/>
  <c r="R16" i="2"/>
  <c r="AB23" i="2"/>
  <c r="AC23" i="2"/>
  <c r="Q16" i="2"/>
  <c r="P16" i="2"/>
  <c r="P18" i="2" s="1"/>
  <c r="P24" i="2"/>
  <c r="AC20" i="2"/>
  <c r="AB5" i="2"/>
  <c r="AB21" i="2" s="1"/>
  <c r="S18" i="2" l="1"/>
  <c r="S25" i="2"/>
  <c r="R18" i="2"/>
  <c r="R25" i="2"/>
  <c r="Q18" i="2"/>
  <c r="Q25" i="2"/>
  <c r="AE3" i="2"/>
  <c r="AF3" i="2" s="1"/>
  <c r="AG3" i="2" s="1"/>
  <c r="AH3" i="2" s="1"/>
  <c r="AI3" i="2" s="1"/>
  <c r="AJ3" i="2" s="1"/>
  <c r="AK3" i="2" s="1"/>
  <c r="AL3" i="2" s="1"/>
  <c r="AD5" i="2"/>
  <c r="AD8" i="2"/>
  <c r="AD13" i="2" s="1"/>
  <c r="T16" i="2"/>
  <c r="AC21" i="2"/>
  <c r="AC5" i="2"/>
  <c r="AB14" i="2"/>
  <c r="AB8" i="2"/>
  <c r="AB22" i="2" s="1"/>
  <c r="T18" i="2" l="1"/>
  <c r="T25" i="2"/>
  <c r="AC4" i="2"/>
  <c r="AC8" i="2"/>
  <c r="AD14" i="2"/>
  <c r="AD24" i="2" s="1"/>
  <c r="AE5" i="2"/>
  <c r="AE8" i="2" s="1"/>
  <c r="AE13" i="2" s="1"/>
  <c r="AD22" i="2"/>
  <c r="AD20" i="2"/>
  <c r="AD23" i="2"/>
  <c r="AE23" i="2"/>
  <c r="AB13" i="2"/>
  <c r="AB24" i="2" s="1"/>
  <c r="AC13" i="2" l="1"/>
  <c r="AC22" i="2"/>
  <c r="AE14" i="2"/>
  <c r="AE24" i="2" s="1"/>
  <c r="AD16" i="2"/>
  <c r="AD25" i="2" s="1"/>
  <c r="AE21" i="2"/>
  <c r="AF5" i="2"/>
  <c r="AF8" i="2" s="1"/>
  <c r="AF13" i="2" s="1"/>
  <c r="AE20" i="2"/>
  <c r="AE22" i="2"/>
  <c r="AD4" i="2"/>
  <c r="AD21" i="2"/>
  <c r="AF23" i="2"/>
  <c r="AB16" i="2"/>
  <c r="AB18" i="2" l="1"/>
  <c r="AB25" i="2"/>
  <c r="AC14" i="2"/>
  <c r="AC24" i="2" s="1"/>
  <c r="AC16" i="2"/>
  <c r="AD18" i="2"/>
  <c r="AE16" i="2"/>
  <c r="AE25" i="2" s="1"/>
  <c r="AF14" i="2"/>
  <c r="AF24" i="2" s="1"/>
  <c r="AF20" i="2"/>
  <c r="AF21" i="2"/>
  <c r="AG5" i="2"/>
  <c r="AG8" i="2" s="1"/>
  <c r="AG13" i="2" s="1"/>
  <c r="AF4" i="2"/>
  <c r="AF22" i="2"/>
  <c r="AE4" i="2"/>
  <c r="AH23" i="2"/>
  <c r="AG23" i="2"/>
  <c r="AC18" i="2" l="1"/>
  <c r="AC25" i="2"/>
  <c r="AE18" i="2"/>
  <c r="AF16" i="2"/>
  <c r="AF25" i="2" s="1"/>
  <c r="AG14" i="2"/>
  <c r="AG24" i="2" s="1"/>
  <c r="AH8" i="2"/>
  <c r="AH13" i="2" s="1"/>
  <c r="AH20" i="2"/>
  <c r="AG21" i="2"/>
  <c r="AG4" i="2"/>
  <c r="AG22" i="2"/>
  <c r="AH5" i="2"/>
  <c r="AG20" i="2"/>
  <c r="AF18" i="2" l="1"/>
  <c r="AG16" i="2"/>
  <c r="AH14" i="2"/>
  <c r="AH24" i="2" s="1"/>
  <c r="AI23" i="2"/>
  <c r="AI5" i="2"/>
  <c r="AI8" i="2" s="1"/>
  <c r="AI13" i="2" s="1"/>
  <c r="AH21" i="2"/>
  <c r="AH4" i="2"/>
  <c r="AH22" i="2"/>
  <c r="AG18" i="2" l="1"/>
  <c r="AG25" i="2"/>
  <c r="AH16" i="2"/>
  <c r="AJ23" i="2"/>
  <c r="AI14" i="2"/>
  <c r="AI24" i="2" s="1"/>
  <c r="AI22" i="2"/>
  <c r="AI21" i="2"/>
  <c r="AI4" i="2"/>
  <c r="AJ5" i="2"/>
  <c r="AJ8" i="2" s="1"/>
  <c r="AJ13" i="2" s="1"/>
  <c r="AI20" i="2"/>
  <c r="AH18" i="2" l="1"/>
  <c r="AH25" i="2"/>
  <c r="AJ14" i="2"/>
  <c r="AJ24" i="2" s="1"/>
  <c r="AK23" i="2"/>
  <c r="AI16" i="2"/>
  <c r="AJ4" i="2"/>
  <c r="AJ21" i="2"/>
  <c r="AK5" i="2"/>
  <c r="AK8" i="2" s="1"/>
  <c r="AK13" i="2" s="1"/>
  <c r="AJ22" i="2"/>
  <c r="AJ20" i="2"/>
  <c r="AI18" i="2" l="1"/>
  <c r="AI25" i="2"/>
  <c r="AK14" i="2"/>
  <c r="AK24" i="2" s="1"/>
  <c r="AL23" i="2"/>
  <c r="AJ16" i="2"/>
  <c r="AJ25" i="2" s="1"/>
  <c r="AL5" i="2"/>
  <c r="AL8" i="2" s="1"/>
  <c r="AL13" i="2" s="1"/>
  <c r="AK21" i="2"/>
  <c r="AK4" i="2"/>
  <c r="AK20" i="2"/>
  <c r="AK22" i="2"/>
  <c r="AJ18" i="2" l="1"/>
  <c r="AL14" i="2"/>
  <c r="AL24" i="2" s="1"/>
  <c r="AK16" i="2"/>
  <c r="AL20" i="2"/>
  <c r="AL21" i="2"/>
  <c r="AL22" i="2"/>
  <c r="AK18" i="2" l="1"/>
  <c r="AK25" i="2"/>
  <c r="AL16" i="2"/>
  <c r="AL25" i="2" s="1"/>
  <c r="AL4" i="2"/>
  <c r="AL18" i="2" l="1"/>
  <c r="AM16" i="2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DO16" i="2" s="1"/>
  <c r="DP16" i="2" s="1"/>
  <c r="DQ16" i="2" s="1"/>
  <c r="DR16" i="2" s="1"/>
  <c r="DS16" i="2" s="1"/>
  <c r="DT16" i="2" s="1"/>
  <c r="DU16" i="2" s="1"/>
  <c r="DV16" i="2" s="1"/>
  <c r="DW16" i="2" s="1"/>
  <c r="DX16" i="2" s="1"/>
  <c r="DY16" i="2" s="1"/>
  <c r="DZ16" i="2" s="1"/>
  <c r="EA16" i="2" s="1"/>
  <c r="EB16" i="2" s="1"/>
  <c r="EC16" i="2" s="1"/>
  <c r="ED16" i="2" s="1"/>
  <c r="EE16" i="2" s="1"/>
  <c r="EF16" i="2" s="1"/>
  <c r="EG16" i="2" s="1"/>
  <c r="EH16" i="2" s="1"/>
  <c r="EI16" i="2" s="1"/>
  <c r="EJ16" i="2" s="1"/>
  <c r="EK16" i="2" s="1"/>
  <c r="EL16" i="2" s="1"/>
  <c r="EM16" i="2" s="1"/>
  <c r="EN16" i="2" s="1"/>
  <c r="EO16" i="2" s="1"/>
  <c r="EP16" i="2" s="1"/>
  <c r="AO24" i="2" l="1"/>
  <c r="AO26" i="2" s="1"/>
  <c r="AO27" i="2" s="1"/>
  <c r="AO29" i="2" s="1"/>
</calcChain>
</file>

<file path=xl/sharedStrings.xml><?xml version="1.0" encoding="utf-8"?>
<sst xmlns="http://schemas.openxmlformats.org/spreadsheetml/2006/main" count="65" uniqueCount="60">
  <si>
    <t>FTCH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</si>
  <si>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</si>
  <si>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</si>
  <si>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</si>
  <si>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</si>
  <si>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</si>
  <si>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</si>
  <si>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</si>
  <si>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</si>
  <si>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</si>
  <si>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Earnings</t>
  </si>
  <si>
    <t>Q420</t>
  </si>
  <si>
    <t>Revenue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</si>
  <si>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</si>
  <si>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</si>
  <si>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</si>
  <si>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</si>
  <si>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</si>
  <si>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</si>
  <si>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</si>
  <si>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</si>
  <si>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</si>
  <si>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</si>
  <si>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</si>
  <si>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Q121</t>
  </si>
  <si>
    <t>Q221</t>
  </si>
  <si>
    <t>Q321</t>
  </si>
  <si>
    <t>Q421</t>
  </si>
  <si>
    <t>Cost of sales</t>
  </si>
  <si>
    <t>Gross profit</t>
  </si>
  <si>
    <t>SG&amp;A</t>
  </si>
  <si>
    <t>Impairment</t>
  </si>
  <si>
    <t>Operating profit</t>
  </si>
  <si>
    <t>Change in fair value</t>
  </si>
  <si>
    <t>Share of associates</t>
  </si>
  <si>
    <t>Finance income</t>
  </si>
  <si>
    <t>Finance costs</t>
  </si>
  <si>
    <t>Pretax profit</t>
  </si>
  <si>
    <t>Taxes</t>
  </si>
  <si>
    <t>MI</t>
  </si>
  <si>
    <t>Net profit</t>
  </si>
  <si>
    <t>EPS</t>
  </si>
  <si>
    <t>Q317</t>
  </si>
  <si>
    <t>Q417</t>
  </si>
  <si>
    <t>Revenue y/y</t>
  </si>
  <si>
    <t>Gross Margin</t>
  </si>
  <si>
    <t>Operating Margin</t>
  </si>
  <si>
    <t>SG&amp;A y/y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</si>
  <si>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</si>
  <si>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</si>
  <si>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</si>
  <si>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</si>
  <si>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</si>
  <si>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</si>
  <si>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</si>
  <si>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</si>
  <si>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</si>
  <si>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Slightly overvalued</t>
  </si>
  <si>
    <t>Net Margin</t>
  </si>
  <si>
    <t>August?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</si>
</sst>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9" fontId="0" fillId="0" borderId="0" xfId="0" applyNumberFormat="1"/>
    <xf numFmtId="0" fontId="0" fillId="0" borderId="0" xfId="0" applyFont="1"/>
    <xf numFmtId="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</xdr:colOff>
      <xdr:row>0</xdr:row>
      <xdr:rowOff>0</xdr:rowOff>
    </xdr:from>
    <xdr:to>
      <xdr:col>17</xdr:col>
      <xdr:colOff>30480</xdr:colOff>
      <xdr:row>33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71EAE3C-7E85-45E5-8640-CDBC41E1A92D}"/>
            </a:ext>
          </a:extLst>
        </xdr:cNvPr>
        <xdr:cNvCxnSpPr/>
      </xdr:nvCxnSpPr>
      <xdr:spPr>
        <a:xfrm>
          <a:off x="10949940" y="0"/>
          <a:ext cx="0" cy="6126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</xdr:colOff>
      <xdr:row>0</xdr:row>
      <xdr:rowOff>0</xdr:rowOff>
    </xdr:from>
    <xdr:to>
      <xdr:col>27</xdr:col>
      <xdr:colOff>30480</xdr:colOff>
      <xdr:row>32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16590EA-8CE3-49CC-A365-85F4C580A8C0}"/>
            </a:ext>
          </a:extLst>
        </xdr:cNvPr>
        <xdr:cNvCxnSpPr/>
      </xdr:nvCxnSpPr>
      <xdr:spPr>
        <a:xfrm>
          <a:off x="17045940" y="0"/>
          <a:ext cx="0" cy="5852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1465-0F76-4603-BB2A-92B9DC033591}">
  <dimension ref="B2:G9"/>
  <sheetViews>
    <sheetView workbookViewId="0">
      <selection activeCell="G4" sqref="G4"/>
    </sheetView>
  </sheetViews>
  <sheetFormatPr defaultRowHeight="14.4" x14ac:dyDescent="0.3"/>
  <cols>
    <col min="5" max="7" width="15.77734375" style="2" customWidth="1"/>
  </cols>
  <sheetData>
    <row r="2" spans="2:7" x14ac:dyDescent="0.3">
      <c r="E2" s="2" t="s">
        <v>8</v>
      </c>
      <c r="F2" s="2" t="s">
        <v>9</v>
      </c>
      <c r="G2" s="2" t="s">
        <v>10</v>
      </c>
    </row>
    <row r="3" spans="2:7" x14ac:dyDescent="0.3">
      <c r="B3" s="1" t="s">
        <v>0</v>
      </c>
      <c r="C3" t="s">
        <v>1</v>
      </c>
      <c r="D3" s="12">
        <v>37.11</v>
      </c>
      <c r="E3" s="3">
        <v>44330</v>
      </c>
      <c r="F3" s="3">
        <f ca="1">TODAY()</f>
        <v>44330</v>
      </c>
      <c r="G3" s="3" t="s">
        <v>59</v>
      </c>
    </row>
    <row r="4" spans="2:7" x14ac:dyDescent="0.3">
      <c r="C4" t="s">
        <v>2</v>
      </c>
      <c r="D4" s="4">
        <v>355.1</v>
      </c>
      <c r="E4" s="2" t="s">
        <v>24</v>
      </c>
    </row>
    <row r="5" spans="2:7" x14ac:dyDescent="0.3">
      <c r="C5" t="s">
        <v>3</v>
      </c>
      <c r="D5" s="4">
        <f>D3*D4</f>
        <v>13177.761</v>
      </c>
    </row>
    <row r="6" spans="2:7" x14ac:dyDescent="0.3">
      <c r="C6" t="s">
        <v>4</v>
      </c>
      <c r="D6" s="4">
        <f>1247.6+17.3</f>
        <v>1264.8999999999999</v>
      </c>
      <c r="E6" s="2" t="s">
        <v>24</v>
      </c>
    </row>
    <row r="7" spans="2:7" x14ac:dyDescent="0.3">
      <c r="C7" t="s">
        <v>5</v>
      </c>
      <c r="D7" s="4">
        <f>633.1+320.2+2365.8</f>
        <v>3319.1000000000004</v>
      </c>
      <c r="E7" s="2" t="s">
        <v>24</v>
      </c>
    </row>
    <row r="8" spans="2:7" x14ac:dyDescent="0.3">
      <c r="C8" t="s">
        <v>6</v>
      </c>
      <c r="D8" s="4">
        <f>D6-D7</f>
        <v>-2054.2000000000007</v>
      </c>
    </row>
    <row r="9" spans="2:7" x14ac:dyDescent="0.3">
      <c r="C9" t="s">
        <v>7</v>
      </c>
      <c r="D9" s="4">
        <f>D5-D8</f>
        <v>15231.961000000001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8361-3292-41D8-A731-CAE2AFDD4525}">
  <dimension ref="B2:EP30"/>
  <sheetViews>
    <sheetView tabSelected="1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AN30" sqref="AN30"/>
    </sheetView>
  </sheetViews>
  <sheetFormatPr defaultRowHeight="14.4" x14ac:dyDescent="0.3"/>
  <cols>
    <col min="2" max="2" width="17" bestFit="1" customWidth="1"/>
    <col min="3" max="4" width="8.88671875" customWidth="1"/>
    <col min="40" max="40" width="12" bestFit="1" customWidth="1"/>
    <col min="41" max="41" width="16.44140625" bestFit="1" customWidth="1"/>
  </cols>
  <sheetData>
    <row r="2" spans="2:146" x14ac:dyDescent="0.3">
      <c r="C2" s="5" t="s">
        <v>42</v>
      </c>
      <c r="D2" s="5" t="s">
        <v>43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11</v>
      </c>
      <c r="Q2" s="5" t="s">
        <v>24</v>
      </c>
      <c r="R2" s="5" t="s">
        <v>25</v>
      </c>
      <c r="S2" s="5" t="s">
        <v>26</v>
      </c>
      <c r="T2" s="5" t="s">
        <v>27</v>
      </c>
      <c r="V2">
        <v>2015</v>
      </c>
      <c r="W2">
        <v>2016</v>
      </c>
      <c r="X2">
        <v>2017</v>
      </c>
      <c r="Y2">
        <v>2018</v>
      </c>
      <c r="Z2">
        <v>2019</v>
      </c>
      <c r="AA2">
        <v>2020</v>
      </c>
      <c r="AB2">
        <v>2021</v>
      </c>
      <c r="AC2">
        <v>2022</v>
      </c>
      <c r="AD2">
        <v>2023</v>
      </c>
      <c r="AE2">
        <v>2024</v>
      </c>
      <c r="AF2">
        <v>2025</v>
      </c>
      <c r="AG2">
        <v>2026</v>
      </c>
      <c r="AH2">
        <v>2027</v>
      </c>
      <c r="AI2">
        <v>2028</v>
      </c>
      <c r="AJ2">
        <v>2029</v>
      </c>
      <c r="AK2">
        <v>2030</v>
      </c>
      <c r="AL2">
        <v>2031</v>
      </c>
    </row>
    <row r="3" spans="2:146" s="1" customFormat="1" x14ac:dyDescent="0.3">
      <c r="B3" s="1" t="s">
        <v>12</v>
      </c>
      <c r="C3" s="7">
        <v>86.9</v>
      </c>
      <c r="D3" s="7">
        <v>126.5</v>
      </c>
      <c r="E3" s="7">
        <f>Y3-H3-G3-F3</f>
        <v>125.69999999999999</v>
      </c>
      <c r="F3" s="7">
        <v>146.69999999999999</v>
      </c>
      <c r="G3" s="7">
        <v>134.5</v>
      </c>
      <c r="H3" s="7">
        <v>195.5</v>
      </c>
      <c r="I3" s="7">
        <v>174.1</v>
      </c>
      <c r="J3" s="7">
        <v>209.3</v>
      </c>
      <c r="K3" s="7">
        <v>255.5</v>
      </c>
      <c r="L3" s="7">
        <v>382.2</v>
      </c>
      <c r="M3" s="7">
        <v>331.4</v>
      </c>
      <c r="N3" s="7">
        <v>364.5</v>
      </c>
      <c r="O3" s="7">
        <v>437.7</v>
      </c>
      <c r="P3" s="7">
        <v>540.1</v>
      </c>
      <c r="Q3" s="7">
        <v>485.1</v>
      </c>
      <c r="R3" s="7">
        <f t="shared" ref="R3:S3" si="0">N3*1.5</f>
        <v>546.75</v>
      </c>
      <c r="S3" s="7">
        <f t="shared" si="0"/>
        <v>656.55</v>
      </c>
      <c r="T3" s="7">
        <f>P3*1.45</f>
        <v>783.14499999999998</v>
      </c>
      <c r="V3" s="7">
        <v>142.30000000000001</v>
      </c>
      <c r="W3" s="7">
        <v>242.1</v>
      </c>
      <c r="X3" s="7">
        <v>386</v>
      </c>
      <c r="Y3" s="7">
        <v>602.4</v>
      </c>
      <c r="Z3" s="7">
        <f>SUM(I3:L3)</f>
        <v>1021.0999999999999</v>
      </c>
      <c r="AA3" s="7">
        <f>SUM(M3:P3)</f>
        <v>1673.6999999999998</v>
      </c>
      <c r="AB3" s="7">
        <f>SUM(Q3:T3)</f>
        <v>2471.5450000000001</v>
      </c>
      <c r="AC3" s="7">
        <f>AB3*1.4</f>
        <v>3460.163</v>
      </c>
      <c r="AD3" s="7">
        <f>AC3*1.3</f>
        <v>4498.2119000000002</v>
      </c>
      <c r="AE3" s="7">
        <f>AD3*1.25</f>
        <v>5622.7648750000008</v>
      </c>
      <c r="AF3" s="7">
        <f>AE3*1.2</f>
        <v>6747.3178500000004</v>
      </c>
      <c r="AG3" s="7">
        <f>AF3*1.15</f>
        <v>7759.4155274999994</v>
      </c>
      <c r="AH3" s="7">
        <f>AG3*1.1</f>
        <v>8535.3570802499999</v>
      </c>
      <c r="AI3" s="7">
        <f>AH3*1.08</f>
        <v>9218.185646670001</v>
      </c>
      <c r="AJ3" s="7">
        <f>AI3*1.05</f>
        <v>9679.0949290035023</v>
      </c>
      <c r="AK3" s="7">
        <f>AJ3*1.04</f>
        <v>10066.258726163644</v>
      </c>
      <c r="AL3" s="7">
        <f>AK3*1.03</f>
        <v>10368.246487948552</v>
      </c>
      <c r="AM3" s="7"/>
    </row>
    <row r="4" spans="2:146" x14ac:dyDescent="0.3">
      <c r="B4" t="s">
        <v>28</v>
      </c>
      <c r="C4" s="4">
        <v>41.2</v>
      </c>
      <c r="D4" s="4">
        <v>61.8</v>
      </c>
      <c r="E4" s="8">
        <f>Y4-H4-G4-F4</f>
        <v>64.399999999999977</v>
      </c>
      <c r="F4" s="4">
        <v>71</v>
      </c>
      <c r="G4" s="4">
        <v>67.2</v>
      </c>
      <c r="H4" s="4">
        <v>101.3</v>
      </c>
      <c r="I4" s="4">
        <v>90.8</v>
      </c>
      <c r="J4" s="4">
        <v>124</v>
      </c>
      <c r="K4" s="4">
        <v>140.30000000000001</v>
      </c>
      <c r="L4" s="4">
        <v>206.1</v>
      </c>
      <c r="M4" s="4">
        <v>178.1</v>
      </c>
      <c r="N4" s="4">
        <v>205.3</v>
      </c>
      <c r="O4" s="4">
        <v>228.7</v>
      </c>
      <c r="P4" s="4">
        <v>291</v>
      </c>
      <c r="Q4" s="4">
        <v>264.2</v>
      </c>
      <c r="R4" s="4">
        <f t="shared" ref="R4:T4" si="1">R3-R5</f>
        <v>300.71249999999998</v>
      </c>
      <c r="S4" s="4">
        <f t="shared" si="1"/>
        <v>334.84049999999996</v>
      </c>
      <c r="T4" s="4">
        <f t="shared" si="1"/>
        <v>415.06684999999999</v>
      </c>
      <c r="V4" s="4">
        <v>69.7</v>
      </c>
      <c r="W4" s="4">
        <v>125.2</v>
      </c>
      <c r="X4" s="4">
        <v>181.2</v>
      </c>
      <c r="Y4" s="4">
        <v>303.89999999999998</v>
      </c>
      <c r="Z4" s="8">
        <f>SUM(I4:L4)</f>
        <v>561.20000000000005</v>
      </c>
      <c r="AA4" s="8">
        <f>SUM(M4:P4)</f>
        <v>903.09999999999991</v>
      </c>
      <c r="AB4" s="8">
        <f>SUM(Q4:T4)</f>
        <v>1314.8198499999999</v>
      </c>
      <c r="AC4" s="4">
        <f>AC3-AC5</f>
        <v>1799.28476</v>
      </c>
      <c r="AD4" s="4">
        <f t="shared" ref="AD4:AK4" si="2">AD3-AD5</f>
        <v>2294.0880690000004</v>
      </c>
      <c r="AE4" s="4">
        <f t="shared" si="2"/>
        <v>2811.3824375000004</v>
      </c>
      <c r="AF4" s="4">
        <f t="shared" si="2"/>
        <v>3373.6589250000002</v>
      </c>
      <c r="AG4" s="4">
        <f t="shared" si="2"/>
        <v>3879.7077637499997</v>
      </c>
      <c r="AH4" s="4">
        <f t="shared" si="2"/>
        <v>4267.6785401249999</v>
      </c>
      <c r="AI4" s="4">
        <f t="shared" si="2"/>
        <v>4609.0928233350005</v>
      </c>
      <c r="AJ4" s="4">
        <f t="shared" si="2"/>
        <v>4839.5474645017512</v>
      </c>
      <c r="AK4" s="4">
        <f t="shared" si="2"/>
        <v>5033.1293630818218</v>
      </c>
      <c r="AL4" s="4">
        <f>AL3-AL5</f>
        <v>5184.1232439742762</v>
      </c>
    </row>
    <row r="5" spans="2:146" s="1" customFormat="1" x14ac:dyDescent="0.3">
      <c r="B5" s="1" t="s">
        <v>29</v>
      </c>
      <c r="C5" s="7">
        <f t="shared" ref="C5:Q5" si="3">C3-C4</f>
        <v>45.7</v>
      </c>
      <c r="D5" s="7">
        <f t="shared" si="3"/>
        <v>64.7</v>
      </c>
      <c r="E5" s="7">
        <f t="shared" si="3"/>
        <v>61.300000000000011</v>
      </c>
      <c r="F5" s="7">
        <f t="shared" si="3"/>
        <v>75.699999999999989</v>
      </c>
      <c r="G5" s="7">
        <f t="shared" si="3"/>
        <v>67.3</v>
      </c>
      <c r="H5" s="7">
        <f t="shared" si="3"/>
        <v>94.2</v>
      </c>
      <c r="I5" s="7">
        <f t="shared" si="3"/>
        <v>83.3</v>
      </c>
      <c r="J5" s="7">
        <f t="shared" si="3"/>
        <v>85.300000000000011</v>
      </c>
      <c r="K5" s="7">
        <f t="shared" si="3"/>
        <v>115.19999999999999</v>
      </c>
      <c r="L5" s="7">
        <f t="shared" si="3"/>
        <v>176.1</v>
      </c>
      <c r="M5" s="7">
        <f t="shared" si="3"/>
        <v>153.29999999999998</v>
      </c>
      <c r="N5" s="7">
        <f t="shared" si="3"/>
        <v>159.19999999999999</v>
      </c>
      <c r="O5" s="7">
        <f t="shared" si="3"/>
        <v>209</v>
      </c>
      <c r="P5" s="7">
        <f t="shared" si="3"/>
        <v>249.10000000000002</v>
      </c>
      <c r="Q5" s="7">
        <f t="shared" si="3"/>
        <v>220.90000000000003</v>
      </c>
      <c r="R5" s="7">
        <f>R3*0.45</f>
        <v>246.03749999999999</v>
      </c>
      <c r="S5" s="7">
        <f>S3*0.49</f>
        <v>321.70949999999999</v>
      </c>
      <c r="T5" s="7">
        <f t="shared" ref="T5" si="4">T3*0.47</f>
        <v>368.07814999999999</v>
      </c>
      <c r="V5" s="7">
        <f t="shared" ref="V5:AB5" si="5">V3-V4</f>
        <v>72.600000000000009</v>
      </c>
      <c r="W5" s="7">
        <f t="shared" si="5"/>
        <v>116.89999999999999</v>
      </c>
      <c r="X5" s="7">
        <f t="shared" si="5"/>
        <v>204.8</v>
      </c>
      <c r="Y5" s="7">
        <f t="shared" si="5"/>
        <v>298.5</v>
      </c>
      <c r="Z5" s="7">
        <f t="shared" si="5"/>
        <v>459.89999999999986</v>
      </c>
      <c r="AA5" s="7">
        <f t="shared" si="5"/>
        <v>770.59999999999991</v>
      </c>
      <c r="AB5" s="7">
        <f t="shared" si="5"/>
        <v>1156.7251500000002</v>
      </c>
      <c r="AC5" s="7">
        <f>AC3*0.48</f>
        <v>1660.87824</v>
      </c>
      <c r="AD5" s="7">
        <f>AD3*0.49</f>
        <v>2204.1238309999999</v>
      </c>
      <c r="AE5" s="7">
        <f>AE3*0.5</f>
        <v>2811.3824375000004</v>
      </c>
      <c r="AF5" s="7">
        <f t="shared" ref="AF5:AL5" si="6">AF3*0.5</f>
        <v>3373.6589250000002</v>
      </c>
      <c r="AG5" s="7">
        <f t="shared" si="6"/>
        <v>3879.7077637499997</v>
      </c>
      <c r="AH5" s="7">
        <f t="shared" si="6"/>
        <v>4267.6785401249999</v>
      </c>
      <c r="AI5" s="7">
        <f t="shared" si="6"/>
        <v>4609.0928233350005</v>
      </c>
      <c r="AJ5" s="7">
        <f t="shared" si="6"/>
        <v>4839.5474645017512</v>
      </c>
      <c r="AK5" s="7">
        <f t="shared" si="6"/>
        <v>5033.1293630818218</v>
      </c>
      <c r="AL5" s="7">
        <f t="shared" si="6"/>
        <v>5184.1232439742762</v>
      </c>
    </row>
    <row r="6" spans="2:146" x14ac:dyDescent="0.3">
      <c r="B6" t="s">
        <v>30</v>
      </c>
      <c r="C6" s="4">
        <v>74.5</v>
      </c>
      <c r="D6" s="4">
        <v>99</v>
      </c>
      <c r="E6" s="8">
        <f>Y6-H6-G6-F6</f>
        <v>96.300000000000011</v>
      </c>
      <c r="F6" s="4">
        <v>112.5</v>
      </c>
      <c r="G6" s="4">
        <v>144.19999999999999</v>
      </c>
      <c r="H6" s="4">
        <v>118.8</v>
      </c>
      <c r="I6" s="4">
        <v>168.8</v>
      </c>
      <c r="J6" s="4">
        <v>181.1</v>
      </c>
      <c r="K6" s="4">
        <v>227.7</v>
      </c>
      <c r="L6" s="4">
        <v>292</v>
      </c>
      <c r="M6" s="4">
        <v>258.8</v>
      </c>
      <c r="N6" s="4">
        <v>299.5</v>
      </c>
      <c r="O6" s="4">
        <v>356.1</v>
      </c>
      <c r="P6" s="4">
        <v>437.1</v>
      </c>
      <c r="Q6" s="4">
        <v>339.3</v>
      </c>
      <c r="R6" s="4">
        <f>N6*1.32</f>
        <v>395.34000000000003</v>
      </c>
      <c r="S6" s="4">
        <f>O6*1.3</f>
        <v>462.93000000000006</v>
      </c>
      <c r="T6" s="4">
        <f>P6*1.3</f>
        <v>568.23</v>
      </c>
      <c r="V6" s="4">
        <v>130.1</v>
      </c>
      <c r="W6" s="4">
        <v>205.6</v>
      </c>
      <c r="X6" s="4">
        <v>299.3</v>
      </c>
      <c r="Y6" s="4">
        <v>471.8</v>
      </c>
      <c r="Z6" s="8">
        <f>SUM(I6:L6)</f>
        <v>869.59999999999991</v>
      </c>
      <c r="AA6" s="8">
        <f>SUM(M6:P6)</f>
        <v>1351.5</v>
      </c>
      <c r="AB6" s="8">
        <f>SUM(Q6:T6)</f>
        <v>1765.8000000000002</v>
      </c>
      <c r="AC6" s="4">
        <f>AB6*1.2</f>
        <v>2118.96</v>
      </c>
      <c r="AD6" s="4">
        <f>AC6*1.15</f>
        <v>2436.8039999999996</v>
      </c>
      <c r="AE6" s="4">
        <f>AD6*1.1</f>
        <v>2680.4843999999998</v>
      </c>
      <c r="AF6" s="4">
        <f>AE6*1.07</f>
        <v>2868.1183080000001</v>
      </c>
      <c r="AG6" s="4">
        <f>AF6*1.04</f>
        <v>2982.84304032</v>
      </c>
      <c r="AH6" s="4">
        <f>AG6*1.03</f>
        <v>3072.3283315296003</v>
      </c>
      <c r="AI6" s="4">
        <f>AH6*1.03</f>
        <v>3164.4981814754883</v>
      </c>
      <c r="AJ6" s="4">
        <f t="shared" ref="AJ6:AL6" si="7">AI6*1.02</f>
        <v>3227.788145104998</v>
      </c>
      <c r="AK6" s="4">
        <f t="shared" si="7"/>
        <v>3292.343908007098</v>
      </c>
      <c r="AL6" s="4">
        <f t="shared" si="7"/>
        <v>3358.1907861672398</v>
      </c>
    </row>
    <row r="7" spans="2:146" x14ac:dyDescent="0.3">
      <c r="B7" t="s">
        <v>31</v>
      </c>
      <c r="C7" s="4">
        <v>0</v>
      </c>
      <c r="D7" s="4">
        <v>0</v>
      </c>
      <c r="E7" s="8">
        <f>Y7-H7-G7-F7</f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2.2999999999999998</v>
      </c>
      <c r="N7" s="4">
        <v>0</v>
      </c>
      <c r="O7" s="4">
        <v>0</v>
      </c>
      <c r="P7" s="4">
        <f>0.7+36.3</f>
        <v>37</v>
      </c>
      <c r="Q7" s="4">
        <v>0</v>
      </c>
      <c r="R7" s="4">
        <v>0</v>
      </c>
      <c r="S7" s="4">
        <v>0</v>
      </c>
      <c r="T7" s="4">
        <v>0</v>
      </c>
      <c r="V7" s="4">
        <v>0</v>
      </c>
      <c r="W7" s="4">
        <v>0</v>
      </c>
      <c r="X7" s="4">
        <v>0</v>
      </c>
      <c r="Y7" s="4">
        <v>0</v>
      </c>
      <c r="Z7" s="8">
        <f>SUM(I7:L7)</f>
        <v>0</v>
      </c>
      <c r="AA7" s="8">
        <f>SUM(M7:P7)</f>
        <v>39.299999999999997</v>
      </c>
      <c r="AB7" s="8">
        <f>SUM(Q7:T7)</f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</row>
    <row r="8" spans="2:146" s="1" customFormat="1" x14ac:dyDescent="0.3">
      <c r="B8" s="1" t="s">
        <v>32</v>
      </c>
      <c r="C8" s="7">
        <f t="shared" ref="C8:P8" si="8">C5-C6-C7</f>
        <v>-28.799999999999997</v>
      </c>
      <c r="D8" s="7">
        <f t="shared" si="8"/>
        <v>-34.299999999999997</v>
      </c>
      <c r="E8" s="7">
        <f t="shared" si="8"/>
        <v>-35</v>
      </c>
      <c r="F8" s="7">
        <f t="shared" si="8"/>
        <v>-36.800000000000011</v>
      </c>
      <c r="G8" s="7">
        <f t="shared" si="8"/>
        <v>-76.899999999999991</v>
      </c>
      <c r="H8" s="7">
        <f t="shared" si="8"/>
        <v>-24.599999999999994</v>
      </c>
      <c r="I8" s="7">
        <f t="shared" si="8"/>
        <v>-85.500000000000014</v>
      </c>
      <c r="J8" s="7">
        <f t="shared" si="8"/>
        <v>-95.799999999999983</v>
      </c>
      <c r="K8" s="7">
        <f t="shared" si="8"/>
        <v>-112.5</v>
      </c>
      <c r="L8" s="7">
        <f t="shared" si="8"/>
        <v>-115.9</v>
      </c>
      <c r="M8" s="7">
        <f t="shared" si="8"/>
        <v>-107.80000000000003</v>
      </c>
      <c r="N8" s="7">
        <f t="shared" si="8"/>
        <v>-140.30000000000001</v>
      </c>
      <c r="O8" s="7">
        <f t="shared" si="8"/>
        <v>-147.10000000000002</v>
      </c>
      <c r="P8" s="7">
        <f t="shared" si="8"/>
        <v>-225</v>
      </c>
      <c r="Q8" s="7">
        <f t="shared" ref="Q8:T8" si="9">Q5-Q6-Q7</f>
        <v>-118.39999999999998</v>
      </c>
      <c r="R8" s="7">
        <f t="shared" si="9"/>
        <v>-149.30250000000004</v>
      </c>
      <c r="S8" s="7">
        <f t="shared" si="9"/>
        <v>-141.22050000000007</v>
      </c>
      <c r="T8" s="7">
        <f t="shared" si="9"/>
        <v>-200.15185000000002</v>
      </c>
      <c r="V8" s="7">
        <f t="shared" ref="V8:AB8" si="10">V5-V6-V7</f>
        <v>-57.499999999999986</v>
      </c>
      <c r="W8" s="7">
        <f t="shared" si="10"/>
        <v>-88.7</v>
      </c>
      <c r="X8" s="7">
        <f t="shared" si="10"/>
        <v>-94.5</v>
      </c>
      <c r="Y8" s="7">
        <f t="shared" si="10"/>
        <v>-173.3</v>
      </c>
      <c r="Z8" s="7">
        <f t="shared" si="10"/>
        <v>-409.70000000000005</v>
      </c>
      <c r="AA8" s="7">
        <f t="shared" si="10"/>
        <v>-620.20000000000005</v>
      </c>
      <c r="AB8" s="7">
        <f t="shared" si="10"/>
        <v>-609.07484999999997</v>
      </c>
      <c r="AC8" s="7">
        <f t="shared" ref="AC8:AL8" si="11">AC5-AC6-AC7</f>
        <v>-458.08176000000003</v>
      </c>
      <c r="AD8" s="7">
        <f t="shared" si="11"/>
        <v>-232.68016899999975</v>
      </c>
      <c r="AE8" s="7">
        <f t="shared" si="11"/>
        <v>130.89803750000056</v>
      </c>
      <c r="AF8" s="7">
        <f t="shared" si="11"/>
        <v>505.54061700000011</v>
      </c>
      <c r="AG8" s="7">
        <f t="shared" si="11"/>
        <v>896.86472342999969</v>
      </c>
      <c r="AH8" s="7">
        <f t="shared" si="11"/>
        <v>1195.3502085953996</v>
      </c>
      <c r="AI8" s="7">
        <f t="shared" si="11"/>
        <v>1444.5946418595122</v>
      </c>
      <c r="AJ8" s="7">
        <f t="shared" si="11"/>
        <v>1611.7593193967532</v>
      </c>
      <c r="AK8" s="7">
        <f t="shared" si="11"/>
        <v>1740.7854550747238</v>
      </c>
      <c r="AL8" s="7">
        <f t="shared" si="11"/>
        <v>1825.9324578070364</v>
      </c>
    </row>
    <row r="9" spans="2:146" x14ac:dyDescent="0.3">
      <c r="B9" t="s">
        <v>33</v>
      </c>
      <c r="C9" s="4">
        <v>0</v>
      </c>
      <c r="D9" s="4">
        <v>0</v>
      </c>
      <c r="E9" s="8">
        <f>Y9-H9-G9-F9</f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-32.299999999999997</v>
      </c>
      <c r="L9" s="4">
        <v>10.6</v>
      </c>
      <c r="M9" s="4">
        <v>-65.400000000000006</v>
      </c>
      <c r="N9" s="4">
        <v>278.60000000000002</v>
      </c>
      <c r="O9" s="4">
        <v>373.1</v>
      </c>
      <c r="P9" s="4">
        <v>2057.3000000000002</v>
      </c>
      <c r="Q9" s="4">
        <v>-659.9</v>
      </c>
      <c r="R9" s="4">
        <v>0</v>
      </c>
      <c r="S9" s="4">
        <v>0</v>
      </c>
      <c r="T9" s="4">
        <v>0</v>
      </c>
      <c r="V9" s="4">
        <v>0</v>
      </c>
      <c r="W9" s="4">
        <v>0</v>
      </c>
      <c r="X9" s="4">
        <v>0</v>
      </c>
      <c r="Y9" s="4">
        <v>0</v>
      </c>
      <c r="Z9" s="8">
        <f>SUM(I9:L9)</f>
        <v>-21.699999999999996</v>
      </c>
      <c r="AA9" s="8">
        <f>SUM(M9:P9)</f>
        <v>2643.6000000000004</v>
      </c>
      <c r="AB9" s="8">
        <f>SUM(Q9:T9)</f>
        <v>-659.9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</row>
    <row r="10" spans="2:146" x14ac:dyDescent="0.3">
      <c r="B10" t="s">
        <v>34</v>
      </c>
      <c r="C10" s="4">
        <v>0</v>
      </c>
      <c r="D10" s="4">
        <v>0</v>
      </c>
      <c r="E10" s="8">
        <f>Y10-H10-G10-F10</f>
        <v>-0.1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-0.4</v>
      </c>
      <c r="L10" s="4">
        <v>0</v>
      </c>
      <c r="M10" s="4">
        <v>0</v>
      </c>
      <c r="N10" s="4">
        <v>0.5</v>
      </c>
      <c r="O10" s="4">
        <v>-0.4</v>
      </c>
      <c r="P10" s="4">
        <v>-0.1</v>
      </c>
      <c r="Q10" s="4">
        <v>0.1</v>
      </c>
      <c r="R10" s="4">
        <v>0</v>
      </c>
      <c r="S10" s="4">
        <v>0</v>
      </c>
      <c r="T10" s="4">
        <v>0</v>
      </c>
      <c r="V10" s="4">
        <v>-0.1</v>
      </c>
      <c r="W10" s="4">
        <v>-0.1</v>
      </c>
      <c r="X10" s="4">
        <v>-0.1</v>
      </c>
      <c r="Y10" s="4">
        <v>-0.1</v>
      </c>
      <c r="Z10" s="8">
        <f>SUM(I10:L10)</f>
        <v>-0.4</v>
      </c>
      <c r="AA10" s="8">
        <f>SUM(M10:P10)</f>
        <v>0</v>
      </c>
      <c r="AB10" s="8">
        <f>SUM(Q10:T10)</f>
        <v>0.1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</row>
    <row r="11" spans="2:146" x14ac:dyDescent="0.3">
      <c r="B11" t="s">
        <v>35</v>
      </c>
      <c r="C11" s="4">
        <v>-0.8</v>
      </c>
      <c r="D11" s="4">
        <v>0</v>
      </c>
      <c r="E11" s="8">
        <f>Y11-H11-G11-F11</f>
        <v>-3.100000000000005</v>
      </c>
      <c r="F11" s="4">
        <v>-19.399999999999999</v>
      </c>
      <c r="G11" s="4">
        <v>-0.8</v>
      </c>
      <c r="H11" s="4">
        <v>-14.9</v>
      </c>
      <c r="I11" s="4">
        <v>-9.1999999999999993</v>
      </c>
      <c r="J11" s="4">
        <v>-4.3</v>
      </c>
      <c r="K11" s="4">
        <v>-1.7</v>
      </c>
      <c r="L11" s="4">
        <v>-19.3</v>
      </c>
      <c r="M11" s="4">
        <v>-1.2</v>
      </c>
      <c r="N11" s="4">
        <v>-2.4</v>
      </c>
      <c r="O11" s="4">
        <v>-1</v>
      </c>
      <c r="P11" s="4">
        <v>-20.100000000000001</v>
      </c>
      <c r="Q11" s="4">
        <v>-1</v>
      </c>
      <c r="R11" s="4">
        <v>-1</v>
      </c>
      <c r="S11" s="4">
        <v>-1</v>
      </c>
      <c r="T11" s="4">
        <v>-22</v>
      </c>
      <c r="V11" s="4">
        <v>0</v>
      </c>
      <c r="W11" s="4">
        <v>-7.4</v>
      </c>
      <c r="X11" s="4">
        <v>0</v>
      </c>
      <c r="Y11" s="4">
        <v>-38.200000000000003</v>
      </c>
      <c r="Z11" s="8">
        <f>SUM(I11:L11)</f>
        <v>-34.5</v>
      </c>
      <c r="AA11" s="8">
        <f>SUM(M11:P11)</f>
        <v>-24.700000000000003</v>
      </c>
      <c r="AB11" s="8">
        <f>SUM(Q11:T11)</f>
        <v>-25</v>
      </c>
      <c r="AC11" s="4">
        <f>AB11*1.02</f>
        <v>-25.5</v>
      </c>
      <c r="AD11" s="4">
        <f t="shared" ref="AD11:AL11" si="12">AC11*1.02</f>
        <v>-26.01</v>
      </c>
      <c r="AE11" s="4">
        <f t="shared" si="12"/>
        <v>-26.530200000000001</v>
      </c>
      <c r="AF11" s="4">
        <f t="shared" si="12"/>
        <v>-27.060804000000001</v>
      </c>
      <c r="AG11" s="4">
        <f t="shared" si="12"/>
        <v>-27.602020080000003</v>
      </c>
      <c r="AH11" s="4">
        <f t="shared" si="12"/>
        <v>-28.154060481600002</v>
      </c>
      <c r="AI11" s="4">
        <f t="shared" si="12"/>
        <v>-28.717141691232001</v>
      </c>
      <c r="AJ11" s="4">
        <f t="shared" si="12"/>
        <v>-29.291484525056642</v>
      </c>
      <c r="AK11" s="4">
        <f t="shared" si="12"/>
        <v>-29.877314215557774</v>
      </c>
      <c r="AL11" s="4">
        <f t="shared" si="12"/>
        <v>-30.474860499868932</v>
      </c>
    </row>
    <row r="12" spans="2:146" x14ac:dyDescent="0.3">
      <c r="B12" t="s">
        <v>36</v>
      </c>
      <c r="C12" s="4">
        <v>0</v>
      </c>
      <c r="D12" s="4">
        <v>20.2</v>
      </c>
      <c r="E12" s="8">
        <f>Y12-H12-G12-F12</f>
        <v>18.3</v>
      </c>
      <c r="F12" s="4">
        <v>0</v>
      </c>
      <c r="G12" s="4">
        <v>0</v>
      </c>
      <c r="H12" s="4">
        <v>0</v>
      </c>
      <c r="I12" s="4">
        <v>0.8</v>
      </c>
      <c r="J12" s="4">
        <v>3</v>
      </c>
      <c r="K12" s="4">
        <v>12.4</v>
      </c>
      <c r="L12" s="4">
        <v>3.1</v>
      </c>
      <c r="M12" s="4">
        <v>35.6</v>
      </c>
      <c r="N12" s="4">
        <v>23.1</v>
      </c>
      <c r="O12" s="4">
        <v>15.4</v>
      </c>
      <c r="P12" s="4">
        <v>34.6</v>
      </c>
      <c r="Q12" s="4">
        <v>25.7</v>
      </c>
      <c r="R12" s="4">
        <f t="shared" ref="R12:T12" si="13">Q12*0.9</f>
        <v>23.13</v>
      </c>
      <c r="S12" s="4">
        <f t="shared" si="13"/>
        <v>20.817</v>
      </c>
      <c r="T12" s="4">
        <f t="shared" si="13"/>
        <v>18.735300000000002</v>
      </c>
      <c r="V12" s="4">
        <v>4.3</v>
      </c>
      <c r="W12" s="4">
        <v>0</v>
      </c>
      <c r="X12" s="4">
        <v>17.600000000000001</v>
      </c>
      <c r="Y12" s="4">
        <v>18.3</v>
      </c>
      <c r="Z12" s="8">
        <f>SUM(I12:L12)</f>
        <v>19.3</v>
      </c>
      <c r="AA12" s="8">
        <f>SUM(M12:P12)</f>
        <v>108.70000000000002</v>
      </c>
      <c r="AB12" s="8">
        <f>SUM(Q12:T12)</f>
        <v>88.382299999999987</v>
      </c>
      <c r="AC12" s="4">
        <f>AB12*0.8</f>
        <v>70.705839999999995</v>
      </c>
      <c r="AD12" s="4">
        <f t="shared" ref="AD12:AL12" si="14">AC12*0.8</f>
        <v>56.564672000000002</v>
      </c>
      <c r="AE12" s="4">
        <f t="shared" si="14"/>
        <v>45.251737600000006</v>
      </c>
      <c r="AF12" s="4">
        <f t="shared" si="14"/>
        <v>36.201390080000003</v>
      </c>
      <c r="AG12" s="4">
        <f t="shared" si="14"/>
        <v>28.961112064000005</v>
      </c>
      <c r="AH12" s="4">
        <f t="shared" si="14"/>
        <v>23.168889651200004</v>
      </c>
      <c r="AI12" s="4">
        <f t="shared" si="14"/>
        <v>18.535111720960003</v>
      </c>
      <c r="AJ12" s="4">
        <f t="shared" si="14"/>
        <v>14.828089376768004</v>
      </c>
      <c r="AK12" s="4">
        <f t="shared" si="14"/>
        <v>11.862471501414404</v>
      </c>
      <c r="AL12" s="4">
        <f t="shared" si="14"/>
        <v>9.4899772011315235</v>
      </c>
    </row>
    <row r="13" spans="2:146" s="1" customFormat="1" x14ac:dyDescent="0.3">
      <c r="B13" s="1" t="s">
        <v>37</v>
      </c>
      <c r="C13" s="7">
        <f t="shared" ref="C13:P13" si="15">C8-C9-C10-C11-C12</f>
        <v>-27.999999999999996</v>
      </c>
      <c r="D13" s="7">
        <f t="shared" si="15"/>
        <v>-54.5</v>
      </c>
      <c r="E13" s="7">
        <f t="shared" si="15"/>
        <v>-50.099999999999994</v>
      </c>
      <c r="F13" s="7">
        <f t="shared" si="15"/>
        <v>-17.400000000000013</v>
      </c>
      <c r="G13" s="7">
        <f t="shared" si="15"/>
        <v>-76.099999999999994</v>
      </c>
      <c r="H13" s="7">
        <f t="shared" si="15"/>
        <v>-9.699999999999994</v>
      </c>
      <c r="I13" s="7">
        <f t="shared" si="15"/>
        <v>-77.100000000000009</v>
      </c>
      <c r="J13" s="7">
        <f t="shared" si="15"/>
        <v>-94.499999999999986</v>
      </c>
      <c r="K13" s="7">
        <f t="shared" si="15"/>
        <v>-90.5</v>
      </c>
      <c r="L13" s="7">
        <f t="shared" si="15"/>
        <v>-110.3</v>
      </c>
      <c r="M13" s="7">
        <f t="shared" si="15"/>
        <v>-76.800000000000011</v>
      </c>
      <c r="N13" s="7">
        <f t="shared" si="15"/>
        <v>-440.10000000000008</v>
      </c>
      <c r="O13" s="7">
        <f t="shared" si="15"/>
        <v>-534.20000000000005</v>
      </c>
      <c r="P13" s="7">
        <f t="shared" si="15"/>
        <v>-2296.7000000000003</v>
      </c>
      <c r="Q13" s="7">
        <f t="shared" ref="Q13:T13" si="16">Q8-Q9-Q10-Q11-Q12</f>
        <v>516.69999999999993</v>
      </c>
      <c r="R13" s="7">
        <f t="shared" si="16"/>
        <v>-171.43250000000003</v>
      </c>
      <c r="S13" s="7">
        <f t="shared" si="16"/>
        <v>-161.03750000000008</v>
      </c>
      <c r="T13" s="7">
        <f t="shared" si="16"/>
        <v>-196.88715000000002</v>
      </c>
      <c r="V13" s="7">
        <f t="shared" ref="V13:AB13" si="17">V8-V9-V10-V11-V12</f>
        <v>-61.699999999999982</v>
      </c>
      <c r="W13" s="7">
        <f t="shared" si="17"/>
        <v>-81.2</v>
      </c>
      <c r="X13" s="7">
        <f t="shared" si="17"/>
        <v>-112</v>
      </c>
      <c r="Y13" s="7">
        <f t="shared" si="17"/>
        <v>-153.30000000000001</v>
      </c>
      <c r="Z13" s="7">
        <f t="shared" si="17"/>
        <v>-372.40000000000009</v>
      </c>
      <c r="AA13" s="7">
        <f t="shared" si="17"/>
        <v>-3347.8</v>
      </c>
      <c r="AB13" s="7">
        <f t="shared" si="17"/>
        <v>-12.657149999999973</v>
      </c>
      <c r="AC13" s="7">
        <f t="shared" ref="AC13:AL13" si="18">AC8-AC9-AC10-AC11-AC12</f>
        <v>-503.2876</v>
      </c>
      <c r="AD13" s="7">
        <f t="shared" si="18"/>
        <v>-263.23484099999973</v>
      </c>
      <c r="AE13" s="7">
        <f t="shared" si="18"/>
        <v>112.17649990000055</v>
      </c>
      <c r="AF13" s="7">
        <f t="shared" si="18"/>
        <v>496.40003092000006</v>
      </c>
      <c r="AG13" s="7">
        <f t="shared" si="18"/>
        <v>895.50563144599971</v>
      </c>
      <c r="AH13" s="7">
        <f t="shared" si="18"/>
        <v>1200.3353794257996</v>
      </c>
      <c r="AI13" s="7">
        <f t="shared" si="18"/>
        <v>1454.7766718297842</v>
      </c>
      <c r="AJ13" s="7">
        <f t="shared" si="18"/>
        <v>1626.2227145450418</v>
      </c>
      <c r="AK13" s="7">
        <f t="shared" si="18"/>
        <v>1758.8002977888673</v>
      </c>
      <c r="AL13" s="7">
        <f t="shared" si="18"/>
        <v>1846.9173411057739</v>
      </c>
    </row>
    <row r="14" spans="2:146" x14ac:dyDescent="0.3">
      <c r="B14" t="s">
        <v>38</v>
      </c>
      <c r="C14" s="4">
        <v>0.2</v>
      </c>
      <c r="D14" s="4">
        <v>0.4</v>
      </c>
      <c r="E14" s="8">
        <f>Y14-H14-G14-F14</f>
        <v>0.20000000000000018</v>
      </c>
      <c r="F14" s="4">
        <v>0.5</v>
      </c>
      <c r="G14" s="4">
        <v>1.2</v>
      </c>
      <c r="H14" s="4">
        <v>0.3</v>
      </c>
      <c r="I14" s="4">
        <v>0.6</v>
      </c>
      <c r="J14" s="4">
        <v>0.8</v>
      </c>
      <c r="K14" s="4">
        <v>-0.1</v>
      </c>
      <c r="L14" s="4">
        <v>-0.1</v>
      </c>
      <c r="M14" s="4">
        <v>2.5</v>
      </c>
      <c r="N14" s="4">
        <v>-4.0999999999999996</v>
      </c>
      <c r="O14" s="4">
        <v>2.9</v>
      </c>
      <c r="P14" s="4">
        <v>-15.7</v>
      </c>
      <c r="Q14" s="4">
        <v>0.1</v>
      </c>
      <c r="R14" s="4">
        <f t="shared" ref="R14:T14" si="19">R13*0.01</f>
        <v>-1.7143250000000003</v>
      </c>
      <c r="S14" s="4">
        <f t="shared" si="19"/>
        <v>-1.6103750000000008</v>
      </c>
      <c r="T14" s="4">
        <f t="shared" si="19"/>
        <v>-1.9688715000000003</v>
      </c>
      <c r="V14" s="4">
        <v>-0.6</v>
      </c>
      <c r="W14" s="4">
        <v>0.2</v>
      </c>
      <c r="X14" s="4">
        <v>0.2</v>
      </c>
      <c r="Y14" s="4">
        <v>2.2000000000000002</v>
      </c>
      <c r="Z14" s="8">
        <f>SUM(I14:L14)</f>
        <v>1.1999999999999997</v>
      </c>
      <c r="AA14" s="8">
        <f>SUM(M14:P14)</f>
        <v>-14.399999999999999</v>
      </c>
      <c r="AB14" s="8">
        <f>SUM(Q14:T14)</f>
        <v>-5.1935715000000018</v>
      </c>
      <c r="AC14" s="4">
        <f>AC13*0.01</f>
        <v>-5.0328759999999999</v>
      </c>
      <c r="AD14" s="4">
        <f t="shared" ref="AD14:AH14" si="20">AD13*0.01</f>
        <v>-2.6323484099999974</v>
      </c>
      <c r="AE14" s="4">
        <f t="shared" si="20"/>
        <v>1.1217649990000056</v>
      </c>
      <c r="AF14" s="4">
        <f t="shared" si="20"/>
        <v>4.9640003092000011</v>
      </c>
      <c r="AG14" s="4">
        <f t="shared" si="20"/>
        <v>8.9550563144599966</v>
      </c>
      <c r="AH14" s="4">
        <f t="shared" si="20"/>
        <v>12.003353794257997</v>
      </c>
      <c r="AI14" s="4">
        <f>AI13*0.15</f>
        <v>218.21650077446762</v>
      </c>
      <c r="AJ14" s="4">
        <f t="shared" ref="AJ14:AL14" si="21">AJ13*0.15</f>
        <v>243.93340718175625</v>
      </c>
      <c r="AK14" s="4">
        <f t="shared" si="21"/>
        <v>263.82004466833007</v>
      </c>
      <c r="AL14" s="4">
        <f t="shared" si="21"/>
        <v>277.03760116586608</v>
      </c>
    </row>
    <row r="15" spans="2:146" x14ac:dyDescent="0.3">
      <c r="B15" t="s">
        <v>39</v>
      </c>
      <c r="C15" s="4">
        <v>0</v>
      </c>
      <c r="D15" s="4">
        <v>0</v>
      </c>
      <c r="E15" s="8">
        <f>Y15-H15-G15-F15</f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4.8</v>
      </c>
      <c r="L15" s="4">
        <v>6.8</v>
      </c>
      <c r="M15" s="4">
        <v>2.9</v>
      </c>
      <c r="N15" s="4">
        <v>3.7</v>
      </c>
      <c r="O15" s="4">
        <v>7.4</v>
      </c>
      <c r="P15" s="4">
        <v>3.6</v>
      </c>
      <c r="Q15" s="4">
        <v>5.4</v>
      </c>
      <c r="R15" s="4">
        <v>6</v>
      </c>
      <c r="S15" s="4">
        <v>6</v>
      </c>
      <c r="T15" s="4">
        <v>6</v>
      </c>
      <c r="V15" s="4">
        <v>0</v>
      </c>
      <c r="W15" s="4">
        <v>0</v>
      </c>
      <c r="X15" s="4">
        <v>0</v>
      </c>
      <c r="Y15" s="4">
        <v>0</v>
      </c>
      <c r="Z15" s="8">
        <f>SUM(I15:L15)</f>
        <v>11.6</v>
      </c>
      <c r="AA15" s="8">
        <f>SUM(M15:P15)</f>
        <v>17.600000000000001</v>
      </c>
      <c r="AB15" s="8">
        <f>SUM(Q15:T15)</f>
        <v>23.4</v>
      </c>
      <c r="AC15" s="4">
        <f>AB15*1.2</f>
        <v>28.08</v>
      </c>
      <c r="AD15" s="4">
        <f t="shared" ref="AD15" si="22">AC15*1.2</f>
        <v>33.695999999999998</v>
      </c>
      <c r="AE15" s="4">
        <f>AD15*1.05</f>
        <v>35.380800000000001</v>
      </c>
      <c r="AF15" s="4">
        <f t="shared" ref="AF15:AL15" si="23">AE15*1.05</f>
        <v>37.149840000000005</v>
      </c>
      <c r="AG15" s="4">
        <f t="shared" si="23"/>
        <v>39.007332000000005</v>
      </c>
      <c r="AH15" s="4">
        <f t="shared" si="23"/>
        <v>40.957698600000008</v>
      </c>
      <c r="AI15" s="4">
        <f t="shared" si="23"/>
        <v>43.00558353000001</v>
      </c>
      <c r="AJ15" s="4">
        <f t="shared" si="23"/>
        <v>45.15586270650001</v>
      </c>
      <c r="AK15" s="4">
        <f t="shared" si="23"/>
        <v>47.413655841825012</v>
      </c>
      <c r="AL15" s="4">
        <f t="shared" si="23"/>
        <v>49.784338633916263</v>
      </c>
    </row>
    <row r="16" spans="2:146" s="1" customFormat="1" x14ac:dyDescent="0.3">
      <c r="B16" s="1" t="s">
        <v>40</v>
      </c>
      <c r="C16" s="7">
        <f>C13-C14-C15</f>
        <v>-28.199999999999996</v>
      </c>
      <c r="D16" s="7">
        <f>D13-D14-D15</f>
        <v>-54.9</v>
      </c>
      <c r="E16" s="7">
        <f t="shared" ref="E16" si="24">E13-E14-E15</f>
        <v>-50.3</v>
      </c>
      <c r="F16" s="7">
        <f t="shared" ref="F16:P16" si="25">F13-F14-F15</f>
        <v>-17.900000000000013</v>
      </c>
      <c r="G16" s="7">
        <f t="shared" si="25"/>
        <v>-77.3</v>
      </c>
      <c r="H16" s="7">
        <f t="shared" si="25"/>
        <v>-9.9999999999999947</v>
      </c>
      <c r="I16" s="7">
        <f t="shared" si="25"/>
        <v>-77.7</v>
      </c>
      <c r="J16" s="7">
        <f t="shared" si="25"/>
        <v>-95.299999999999983</v>
      </c>
      <c r="K16" s="7">
        <f t="shared" si="25"/>
        <v>-95.2</v>
      </c>
      <c r="L16" s="7">
        <f t="shared" si="25"/>
        <v>-117</v>
      </c>
      <c r="M16" s="7">
        <f t="shared" si="25"/>
        <v>-82.200000000000017</v>
      </c>
      <c r="N16" s="7">
        <f t="shared" si="25"/>
        <v>-439.70000000000005</v>
      </c>
      <c r="O16" s="7">
        <f t="shared" si="25"/>
        <v>-544.5</v>
      </c>
      <c r="P16" s="7">
        <f t="shared" si="25"/>
        <v>-2284.6000000000004</v>
      </c>
      <c r="Q16" s="7">
        <f t="shared" ref="Q16:T16" si="26">Q13-Q14-Q15</f>
        <v>511.19999999999993</v>
      </c>
      <c r="R16" s="7">
        <f t="shared" si="26"/>
        <v>-175.71817500000003</v>
      </c>
      <c r="S16" s="7">
        <f t="shared" si="26"/>
        <v>-165.42712500000007</v>
      </c>
      <c r="T16" s="7">
        <f t="shared" si="26"/>
        <v>-200.91827850000001</v>
      </c>
      <c r="V16" s="7">
        <f t="shared" ref="V16:AB16" si="27">V13-V14-V15</f>
        <v>-61.09999999999998</v>
      </c>
      <c r="W16" s="7">
        <f t="shared" si="27"/>
        <v>-81.400000000000006</v>
      </c>
      <c r="X16" s="7">
        <f t="shared" si="27"/>
        <v>-112.2</v>
      </c>
      <c r="Y16" s="7">
        <f t="shared" si="27"/>
        <v>-155.5</v>
      </c>
      <c r="Z16" s="7">
        <f t="shared" si="27"/>
        <v>-385.2000000000001</v>
      </c>
      <c r="AA16" s="7">
        <f t="shared" si="27"/>
        <v>-3351</v>
      </c>
      <c r="AB16" s="7">
        <f t="shared" si="27"/>
        <v>-30.863578499999971</v>
      </c>
      <c r="AC16" s="7">
        <f t="shared" ref="AC16:AL16" si="28">AC13-AC14-AC15</f>
        <v>-526.33472400000005</v>
      </c>
      <c r="AD16" s="7">
        <f t="shared" si="28"/>
        <v>-294.29849258999968</v>
      </c>
      <c r="AE16" s="7">
        <f t="shared" si="28"/>
        <v>75.673934901000536</v>
      </c>
      <c r="AF16" s="7">
        <f t="shared" si="28"/>
        <v>454.28619061080008</v>
      </c>
      <c r="AG16" s="7">
        <f t="shared" si="28"/>
        <v>847.54324313153973</v>
      </c>
      <c r="AH16" s="7">
        <f t="shared" si="28"/>
        <v>1147.3743270315417</v>
      </c>
      <c r="AI16" s="7">
        <f t="shared" si="28"/>
        <v>1193.5545875253165</v>
      </c>
      <c r="AJ16" s="7">
        <f t="shared" si="28"/>
        <v>1337.1334446567853</v>
      </c>
      <c r="AK16" s="7">
        <f t="shared" si="28"/>
        <v>1447.5665972787124</v>
      </c>
      <c r="AL16" s="7">
        <f t="shared" si="28"/>
        <v>1520.0954013059913</v>
      </c>
      <c r="AM16" s="1">
        <f>AL16*(1+$AO$22)</f>
        <v>1504.8944472929313</v>
      </c>
      <c r="AN16" s="1">
        <f t="shared" ref="AN16:CY16" si="29">AM16*(1+$AO$22)</f>
        <v>1489.8455028200019</v>
      </c>
      <c r="AO16" s="1">
        <f t="shared" si="29"/>
        <v>1474.9470477918019</v>
      </c>
      <c r="AP16" s="1">
        <f t="shared" si="29"/>
        <v>1460.1975773138838</v>
      </c>
      <c r="AQ16" s="1">
        <f t="shared" si="29"/>
        <v>1445.5956015407451</v>
      </c>
      <c r="AR16" s="1">
        <f t="shared" si="29"/>
        <v>1431.1396455253375</v>
      </c>
      <c r="AS16" s="1">
        <f t="shared" si="29"/>
        <v>1416.8282490700842</v>
      </c>
      <c r="AT16" s="1">
        <f t="shared" si="29"/>
        <v>1402.6599665793833</v>
      </c>
      <c r="AU16" s="1">
        <f t="shared" si="29"/>
        <v>1388.6333669135895</v>
      </c>
      <c r="AV16" s="1">
        <f t="shared" si="29"/>
        <v>1374.7470332444536</v>
      </c>
      <c r="AW16" s="1">
        <f t="shared" si="29"/>
        <v>1360.9995629120092</v>
      </c>
      <c r="AX16" s="1">
        <f t="shared" si="29"/>
        <v>1347.3895672828892</v>
      </c>
      <c r="AY16" s="1">
        <f t="shared" si="29"/>
        <v>1333.9156716100604</v>
      </c>
      <c r="AZ16" s="1">
        <f t="shared" si="29"/>
        <v>1320.5765148939597</v>
      </c>
      <c r="BA16" s="1">
        <f t="shared" si="29"/>
        <v>1307.37074974502</v>
      </c>
      <c r="BB16" s="1">
        <f t="shared" si="29"/>
        <v>1294.2970422475698</v>
      </c>
      <c r="BC16" s="1">
        <f t="shared" si="29"/>
        <v>1281.354071825094</v>
      </c>
      <c r="BD16" s="1">
        <f t="shared" si="29"/>
        <v>1268.540531106843</v>
      </c>
      <c r="BE16" s="1">
        <f t="shared" si="29"/>
        <v>1255.8551257957745</v>
      </c>
      <c r="BF16" s="1">
        <f t="shared" si="29"/>
        <v>1243.2965745378167</v>
      </c>
      <c r="BG16" s="1">
        <f t="shared" si="29"/>
        <v>1230.8636087924385</v>
      </c>
      <c r="BH16" s="1">
        <f t="shared" si="29"/>
        <v>1218.5549727045141</v>
      </c>
      <c r="BI16" s="1">
        <f t="shared" si="29"/>
        <v>1206.369422977469</v>
      </c>
      <c r="BJ16" s="1">
        <f t="shared" si="29"/>
        <v>1194.3057287476943</v>
      </c>
      <c r="BK16" s="1">
        <f t="shared" si="29"/>
        <v>1182.3626714602174</v>
      </c>
      <c r="BL16" s="1">
        <f t="shared" si="29"/>
        <v>1170.5390447456152</v>
      </c>
      <c r="BM16" s="1">
        <f t="shared" si="29"/>
        <v>1158.833654298159</v>
      </c>
      <c r="BN16" s="1">
        <f t="shared" si="29"/>
        <v>1147.2453177551774</v>
      </c>
      <c r="BO16" s="1">
        <f t="shared" si="29"/>
        <v>1135.7728645776256</v>
      </c>
      <c r="BP16" s="1">
        <f t="shared" si="29"/>
        <v>1124.4151359318494</v>
      </c>
      <c r="BQ16" s="1">
        <f t="shared" si="29"/>
        <v>1113.1709845725309</v>
      </c>
      <c r="BR16" s="1">
        <f t="shared" si="29"/>
        <v>1102.0392747268056</v>
      </c>
      <c r="BS16" s="1">
        <f t="shared" si="29"/>
        <v>1091.0188819795376</v>
      </c>
      <c r="BT16" s="1">
        <f t="shared" si="29"/>
        <v>1080.1086931597422</v>
      </c>
      <c r="BU16" s="1">
        <f t="shared" si="29"/>
        <v>1069.3076062281448</v>
      </c>
      <c r="BV16" s="1">
        <f t="shared" si="29"/>
        <v>1058.6145301658632</v>
      </c>
      <c r="BW16" s="1">
        <f t="shared" si="29"/>
        <v>1048.0283848642046</v>
      </c>
      <c r="BX16" s="1">
        <f t="shared" si="29"/>
        <v>1037.5481010155625</v>
      </c>
      <c r="BY16" s="1">
        <f t="shared" si="29"/>
        <v>1027.1726200054068</v>
      </c>
      <c r="BZ16" s="1">
        <f t="shared" si="29"/>
        <v>1016.9008938053527</v>
      </c>
      <c r="CA16" s="1">
        <f t="shared" si="29"/>
        <v>1006.7318848672992</v>
      </c>
      <c r="CB16" s="1">
        <f t="shared" si="29"/>
        <v>996.66456601862615</v>
      </c>
      <c r="CC16" s="1">
        <f t="shared" si="29"/>
        <v>986.69792035843989</v>
      </c>
      <c r="CD16" s="1">
        <f t="shared" si="29"/>
        <v>976.83094115485551</v>
      </c>
      <c r="CE16" s="1">
        <f t="shared" si="29"/>
        <v>967.06263174330695</v>
      </c>
      <c r="CF16" s="1">
        <f t="shared" si="29"/>
        <v>957.39200542587389</v>
      </c>
      <c r="CG16" s="1">
        <f t="shared" si="29"/>
        <v>947.8180853716151</v>
      </c>
      <c r="CH16" s="1">
        <f t="shared" si="29"/>
        <v>938.33990451789896</v>
      </c>
      <c r="CI16" s="1">
        <f t="shared" si="29"/>
        <v>928.95650547271998</v>
      </c>
      <c r="CJ16" s="1">
        <f t="shared" si="29"/>
        <v>919.66694041799281</v>
      </c>
      <c r="CK16" s="1">
        <f t="shared" si="29"/>
        <v>910.47027101381286</v>
      </c>
      <c r="CL16" s="1">
        <f t="shared" si="29"/>
        <v>901.36556830367476</v>
      </c>
      <c r="CM16" s="1">
        <f t="shared" si="29"/>
        <v>892.35191262063802</v>
      </c>
      <c r="CN16" s="1">
        <f t="shared" si="29"/>
        <v>883.42839349443159</v>
      </c>
      <c r="CO16" s="1">
        <f t="shared" si="29"/>
        <v>874.59410955948726</v>
      </c>
      <c r="CP16" s="1">
        <f t="shared" si="29"/>
        <v>865.84816846389242</v>
      </c>
      <c r="CQ16" s="1">
        <f t="shared" si="29"/>
        <v>857.18968677925352</v>
      </c>
      <c r="CR16" s="1">
        <f t="shared" si="29"/>
        <v>848.61778991146093</v>
      </c>
      <c r="CS16" s="1">
        <f t="shared" si="29"/>
        <v>840.1316120123463</v>
      </c>
      <c r="CT16" s="1">
        <f t="shared" si="29"/>
        <v>831.73029589222278</v>
      </c>
      <c r="CU16" s="1">
        <f t="shared" si="29"/>
        <v>823.41299293330053</v>
      </c>
      <c r="CV16" s="1">
        <f t="shared" si="29"/>
        <v>815.17886300396754</v>
      </c>
      <c r="CW16" s="1">
        <f t="shared" si="29"/>
        <v>807.0270743739278</v>
      </c>
      <c r="CX16" s="1">
        <f t="shared" si="29"/>
        <v>798.95680363018857</v>
      </c>
      <c r="CY16" s="1">
        <f t="shared" si="29"/>
        <v>790.9672355938867</v>
      </c>
      <c r="CZ16" s="1">
        <f t="shared" ref="CZ16:EP16" si="30">CY16*(1+$AO$22)</f>
        <v>783.05756323794787</v>
      </c>
      <c r="DA16" s="1">
        <f t="shared" si="30"/>
        <v>775.22698760556841</v>
      </c>
      <c r="DB16" s="1">
        <f t="shared" si="30"/>
        <v>767.47471772951269</v>
      </c>
      <c r="DC16" s="1">
        <f t="shared" si="30"/>
        <v>759.79997055221759</v>
      </c>
      <c r="DD16" s="1">
        <f t="shared" si="30"/>
        <v>752.20197084669542</v>
      </c>
      <c r="DE16" s="1">
        <f t="shared" si="30"/>
        <v>744.67995113822849</v>
      </c>
      <c r="DF16" s="1">
        <f t="shared" si="30"/>
        <v>737.23315162684617</v>
      </c>
      <c r="DG16" s="1">
        <f t="shared" si="30"/>
        <v>729.86082011057772</v>
      </c>
      <c r="DH16" s="1">
        <f t="shared" si="30"/>
        <v>722.5622119094719</v>
      </c>
      <c r="DI16" s="1">
        <f t="shared" si="30"/>
        <v>715.33658979037716</v>
      </c>
      <c r="DJ16" s="1">
        <f t="shared" si="30"/>
        <v>708.18322389247339</v>
      </c>
      <c r="DK16" s="1">
        <f t="shared" si="30"/>
        <v>701.1013916535486</v>
      </c>
      <c r="DL16" s="1">
        <f t="shared" si="30"/>
        <v>694.09037773701311</v>
      </c>
      <c r="DM16" s="1">
        <f t="shared" si="30"/>
        <v>687.14947395964293</v>
      </c>
      <c r="DN16" s="1">
        <f t="shared" si="30"/>
        <v>680.27797922004652</v>
      </c>
      <c r="DO16" s="1">
        <f t="shared" si="30"/>
        <v>673.47519942784606</v>
      </c>
      <c r="DP16" s="1">
        <f t="shared" si="30"/>
        <v>666.74044743356762</v>
      </c>
      <c r="DQ16" s="1">
        <f t="shared" si="30"/>
        <v>660.073042959232</v>
      </c>
      <c r="DR16" s="1">
        <f t="shared" si="30"/>
        <v>653.47231252963968</v>
      </c>
      <c r="DS16" s="1">
        <f t="shared" si="30"/>
        <v>646.93758940434327</v>
      </c>
      <c r="DT16" s="1">
        <f t="shared" si="30"/>
        <v>640.46821351029985</v>
      </c>
      <c r="DU16" s="1">
        <f t="shared" si="30"/>
        <v>634.06353137519682</v>
      </c>
      <c r="DV16" s="1">
        <f t="shared" si="30"/>
        <v>627.72289606144489</v>
      </c>
      <c r="DW16" s="1">
        <f t="shared" si="30"/>
        <v>621.44566710083041</v>
      </c>
      <c r="DX16" s="1">
        <f t="shared" si="30"/>
        <v>615.23121042982211</v>
      </c>
      <c r="DY16" s="1">
        <f t="shared" si="30"/>
        <v>609.07889832552394</v>
      </c>
      <c r="DZ16" s="1">
        <f t="shared" si="30"/>
        <v>602.98810934226867</v>
      </c>
      <c r="EA16" s="1">
        <f t="shared" si="30"/>
        <v>596.95822824884601</v>
      </c>
      <c r="EB16" s="1">
        <f t="shared" si="30"/>
        <v>590.98864596635758</v>
      </c>
      <c r="EC16" s="1">
        <f t="shared" si="30"/>
        <v>585.07875950669404</v>
      </c>
      <c r="ED16" s="1">
        <f t="shared" si="30"/>
        <v>579.22797191162715</v>
      </c>
      <c r="EE16" s="1">
        <f t="shared" si="30"/>
        <v>573.43569219251083</v>
      </c>
      <c r="EF16" s="1">
        <f t="shared" si="30"/>
        <v>567.70133527058567</v>
      </c>
      <c r="EG16" s="1">
        <f t="shared" si="30"/>
        <v>562.02432191787977</v>
      </c>
      <c r="EH16" s="1">
        <f t="shared" si="30"/>
        <v>556.40407869870103</v>
      </c>
      <c r="EI16" s="1">
        <f t="shared" si="30"/>
        <v>550.84003791171403</v>
      </c>
      <c r="EJ16" s="1">
        <f t="shared" si="30"/>
        <v>545.33163753259691</v>
      </c>
      <c r="EK16" s="1">
        <f t="shared" si="30"/>
        <v>539.87832115727099</v>
      </c>
      <c r="EL16" s="1">
        <f t="shared" si="30"/>
        <v>534.47953794569833</v>
      </c>
      <c r="EM16" s="1">
        <f t="shared" si="30"/>
        <v>529.13474256624136</v>
      </c>
      <c r="EN16" s="1">
        <f t="shared" si="30"/>
        <v>523.84339514057899</v>
      </c>
      <c r="EO16" s="1">
        <f t="shared" si="30"/>
        <v>518.6049611891732</v>
      </c>
      <c r="EP16" s="1">
        <f t="shared" si="30"/>
        <v>513.41891157728151</v>
      </c>
    </row>
    <row r="17" spans="2:41" x14ac:dyDescent="0.3">
      <c r="B17" t="s">
        <v>2</v>
      </c>
      <c r="C17" s="4">
        <v>349.6</v>
      </c>
      <c r="D17" s="4">
        <v>349.6</v>
      </c>
      <c r="E17" s="4">
        <v>349.6</v>
      </c>
      <c r="F17" s="4">
        <v>349.6</v>
      </c>
      <c r="G17" s="4">
        <v>349.6</v>
      </c>
      <c r="H17" s="4">
        <v>349.6</v>
      </c>
      <c r="I17" s="4">
        <v>349.6</v>
      </c>
      <c r="J17" s="4">
        <v>349.6</v>
      </c>
      <c r="K17" s="4">
        <v>349.6</v>
      </c>
      <c r="L17" s="4">
        <v>349.6</v>
      </c>
      <c r="M17" s="4">
        <v>349.6</v>
      </c>
      <c r="N17" s="4">
        <v>349.6</v>
      </c>
      <c r="O17" s="4">
        <v>349.6</v>
      </c>
      <c r="P17" s="4">
        <v>349.6</v>
      </c>
      <c r="Q17" s="4">
        <v>349.6</v>
      </c>
      <c r="R17" s="4">
        <v>349.6</v>
      </c>
      <c r="S17" s="4">
        <v>349.6</v>
      </c>
      <c r="T17" s="4">
        <v>349.6</v>
      </c>
      <c r="V17" s="4">
        <v>349.6</v>
      </c>
      <c r="W17" s="4">
        <v>349.6</v>
      </c>
      <c r="X17" s="4">
        <v>349.6</v>
      </c>
      <c r="Y17" s="4">
        <v>349.6</v>
      </c>
      <c r="Z17" s="4">
        <v>349.6</v>
      </c>
      <c r="AA17" s="4">
        <v>349.6</v>
      </c>
      <c r="AB17" s="4">
        <v>349.6</v>
      </c>
      <c r="AC17" s="4">
        <v>349.6</v>
      </c>
      <c r="AD17" s="4">
        <v>349.6</v>
      </c>
      <c r="AE17" s="4">
        <v>349.6</v>
      </c>
      <c r="AF17" s="4">
        <v>349.6</v>
      </c>
      <c r="AG17" s="4">
        <v>349.6</v>
      </c>
      <c r="AH17" s="4">
        <v>349.6</v>
      </c>
      <c r="AI17" s="4">
        <v>349.6</v>
      </c>
      <c r="AJ17" s="4">
        <v>349.6</v>
      </c>
      <c r="AK17" s="4">
        <v>349.6</v>
      </c>
      <c r="AL17" s="4">
        <v>349.6</v>
      </c>
    </row>
    <row r="18" spans="2:41" s="1" customFormat="1" x14ac:dyDescent="0.3">
      <c r="B18" s="1" t="s">
        <v>41</v>
      </c>
      <c r="C18" s="6">
        <f>C16/C17</f>
        <v>-8.0663615560640708E-2</v>
      </c>
      <c r="D18" s="6">
        <f>D16/D17</f>
        <v>-0.15703661327231119</v>
      </c>
      <c r="E18" s="6">
        <f t="shared" ref="E18" si="31">E16/E17</f>
        <v>-0.1438787185354691</v>
      </c>
      <c r="F18" s="6">
        <f t="shared" ref="F18:P18" si="32">F16/F17</f>
        <v>-5.1201372997711707E-2</v>
      </c>
      <c r="G18" s="6">
        <f t="shared" si="32"/>
        <v>-0.22110983981693361</v>
      </c>
      <c r="H18" s="6">
        <f t="shared" si="32"/>
        <v>-2.8604118993134996E-2</v>
      </c>
      <c r="I18" s="6">
        <f t="shared" si="32"/>
        <v>-0.22225400457665903</v>
      </c>
      <c r="J18" s="6">
        <f t="shared" si="32"/>
        <v>-0.27259725400457657</v>
      </c>
      <c r="K18" s="6">
        <f t="shared" si="32"/>
        <v>-0.27231121281464532</v>
      </c>
      <c r="L18" s="6">
        <f t="shared" si="32"/>
        <v>-0.33466819221967964</v>
      </c>
      <c r="M18" s="6">
        <f t="shared" si="32"/>
        <v>-0.23512585812356981</v>
      </c>
      <c r="N18" s="6">
        <f t="shared" si="32"/>
        <v>-1.2577231121281465</v>
      </c>
      <c r="O18" s="6">
        <f t="shared" si="32"/>
        <v>-1.5574942791762012</v>
      </c>
      <c r="P18" s="6">
        <f t="shared" si="32"/>
        <v>-6.5348970251716256</v>
      </c>
      <c r="Q18" s="6">
        <f t="shared" ref="Q18:T18" si="33">Q16/Q17</f>
        <v>1.4622425629290614</v>
      </c>
      <c r="R18" s="6">
        <f t="shared" si="33"/>
        <v>-0.5026263586956522</v>
      </c>
      <c r="S18" s="6">
        <f t="shared" si="33"/>
        <v>-0.47318971681922217</v>
      </c>
      <c r="T18" s="6">
        <f t="shared" si="33"/>
        <v>-0.57470903461098399</v>
      </c>
      <c r="V18" s="6">
        <f t="shared" ref="V18:AB18" si="34">V16/V17</f>
        <v>-0.17477116704805484</v>
      </c>
      <c r="W18" s="6">
        <f t="shared" si="34"/>
        <v>-0.23283752860411899</v>
      </c>
      <c r="X18" s="6">
        <f t="shared" si="34"/>
        <v>-0.32093821510297482</v>
      </c>
      <c r="Y18" s="6">
        <f t="shared" si="34"/>
        <v>-0.44479405034324943</v>
      </c>
      <c r="Z18" s="6">
        <f t="shared" si="34"/>
        <v>-1.1018306636155608</v>
      </c>
      <c r="AA18" s="6">
        <f t="shared" si="34"/>
        <v>-9.585240274599542</v>
      </c>
      <c r="AB18" s="6">
        <f t="shared" si="34"/>
        <v>-8.8282547196796249E-2</v>
      </c>
      <c r="AC18" s="6">
        <f t="shared" ref="AC18:AL18" si="35">AC16/AC17</f>
        <v>-1.5055341075514874</v>
      </c>
      <c r="AD18" s="6">
        <f t="shared" si="35"/>
        <v>-0.8418149101544613</v>
      </c>
      <c r="AE18" s="6">
        <f t="shared" si="35"/>
        <v>0.21645862385869716</v>
      </c>
      <c r="AF18" s="6">
        <f t="shared" si="35"/>
        <v>1.2994456253169338</v>
      </c>
      <c r="AG18" s="6">
        <f t="shared" si="35"/>
        <v>2.424322777836212</v>
      </c>
      <c r="AH18" s="6">
        <f t="shared" si="35"/>
        <v>3.2819631780078424</v>
      </c>
      <c r="AI18" s="6">
        <f t="shared" si="35"/>
        <v>3.4140577446376326</v>
      </c>
      <c r="AJ18" s="6">
        <f t="shared" si="35"/>
        <v>3.8247524160663193</v>
      </c>
      <c r="AK18" s="6">
        <f t="shared" si="35"/>
        <v>4.1406367199047835</v>
      </c>
      <c r="AL18" s="6">
        <f t="shared" si="35"/>
        <v>4.3480989739873888</v>
      </c>
    </row>
    <row r="20" spans="2:41" x14ac:dyDescent="0.3">
      <c r="B20" s="1" t="s">
        <v>44</v>
      </c>
      <c r="G20" s="9">
        <f>G3/C3-1</f>
        <v>0.54775604142692735</v>
      </c>
      <c r="H20" s="9">
        <f t="shared" ref="H20:T20" si="36">H3/D3-1</f>
        <v>0.54545454545454541</v>
      </c>
      <c r="I20" s="9">
        <f t="shared" si="36"/>
        <v>0.38504375497215593</v>
      </c>
      <c r="J20" s="9">
        <f t="shared" si="36"/>
        <v>0.4267211997273348</v>
      </c>
      <c r="K20" s="9">
        <f t="shared" si="36"/>
        <v>0.8996282527881041</v>
      </c>
      <c r="L20" s="9">
        <f t="shared" si="36"/>
        <v>0.95498721227621486</v>
      </c>
      <c r="M20" s="9">
        <f t="shared" si="36"/>
        <v>0.90350373348650193</v>
      </c>
      <c r="N20" s="9">
        <f t="shared" si="36"/>
        <v>0.74151935021500237</v>
      </c>
      <c r="O20" s="9">
        <f t="shared" si="36"/>
        <v>0.71311154598825821</v>
      </c>
      <c r="P20" s="9">
        <f t="shared" si="36"/>
        <v>0.41313448456305601</v>
      </c>
      <c r="Q20" s="9">
        <f t="shared" si="36"/>
        <v>0.4637899818949911</v>
      </c>
      <c r="R20" s="9">
        <f t="shared" si="36"/>
        <v>0.5</v>
      </c>
      <c r="S20" s="9">
        <f t="shared" si="36"/>
        <v>0.5</v>
      </c>
      <c r="T20" s="9">
        <f t="shared" si="36"/>
        <v>0.44999999999999996</v>
      </c>
      <c r="V20" s="9"/>
      <c r="W20" s="9">
        <f>W3/V3-1</f>
        <v>0.70133520730850307</v>
      </c>
      <c r="X20" s="9">
        <f t="shared" ref="X20:AK20" si="37">X3/W3-1</f>
        <v>0.59438248657579518</v>
      </c>
      <c r="Y20" s="9">
        <f t="shared" si="37"/>
        <v>0.56062176165803113</v>
      </c>
      <c r="Z20" s="9">
        <f t="shared" si="37"/>
        <v>0.69505312084993354</v>
      </c>
      <c r="AA20" s="9">
        <f t="shared" si="37"/>
        <v>0.63911468024679263</v>
      </c>
      <c r="AB20" s="9">
        <f t="shared" si="37"/>
        <v>0.4766953456413936</v>
      </c>
      <c r="AC20" s="9">
        <f t="shared" si="37"/>
        <v>0.39999999999999991</v>
      </c>
      <c r="AD20" s="9">
        <f t="shared" si="37"/>
        <v>0.30000000000000004</v>
      </c>
      <c r="AE20" s="9">
        <f t="shared" si="37"/>
        <v>0.25</v>
      </c>
      <c r="AF20" s="9">
        <f t="shared" si="37"/>
        <v>0.19999999999999996</v>
      </c>
      <c r="AG20" s="9">
        <f t="shared" si="37"/>
        <v>0.14999999999999991</v>
      </c>
      <c r="AH20" s="9">
        <f t="shared" si="37"/>
        <v>0.10000000000000009</v>
      </c>
      <c r="AI20" s="9">
        <f t="shared" si="37"/>
        <v>8.0000000000000071E-2</v>
      </c>
      <c r="AJ20" s="9">
        <f t="shared" si="37"/>
        <v>5.0000000000000044E-2</v>
      </c>
      <c r="AK20" s="9">
        <f t="shared" si="37"/>
        <v>4.0000000000000036E-2</v>
      </c>
      <c r="AL20" s="9">
        <f t="shared" ref="AL20" si="38">AL3/AK3-1</f>
        <v>3.0000000000000027E-2</v>
      </c>
    </row>
    <row r="21" spans="2:41" x14ac:dyDescent="0.3">
      <c r="B21" s="1" t="s">
        <v>45</v>
      </c>
      <c r="C21" s="9">
        <f>C5/C3</f>
        <v>0.52589182968929804</v>
      </c>
      <c r="D21" s="9">
        <f t="shared" ref="D21:T21" si="39">D5/D3</f>
        <v>0.51146245059288542</v>
      </c>
      <c r="E21" s="9">
        <f t="shared" si="39"/>
        <v>0.48766905330151167</v>
      </c>
      <c r="F21" s="9">
        <f t="shared" si="39"/>
        <v>0.51601908657123374</v>
      </c>
      <c r="G21" s="9">
        <f t="shared" si="39"/>
        <v>0.50037174721189592</v>
      </c>
      <c r="H21" s="9">
        <f t="shared" si="39"/>
        <v>0.48184143222506393</v>
      </c>
      <c r="I21" s="9">
        <f t="shared" si="39"/>
        <v>0.47846065479609418</v>
      </c>
      <c r="J21" s="9">
        <f t="shared" si="39"/>
        <v>0.40754897276636409</v>
      </c>
      <c r="K21" s="9">
        <f t="shared" si="39"/>
        <v>0.45088062622309194</v>
      </c>
      <c r="L21" s="9">
        <f t="shared" si="39"/>
        <v>0.46075353218210363</v>
      </c>
      <c r="M21" s="9">
        <f t="shared" si="39"/>
        <v>0.46258298129149061</v>
      </c>
      <c r="N21" s="9">
        <f t="shared" si="39"/>
        <v>0.43676268861454043</v>
      </c>
      <c r="O21" s="9">
        <f t="shared" si="39"/>
        <v>0.47749600182773588</v>
      </c>
      <c r="P21" s="9">
        <f t="shared" si="39"/>
        <v>0.46121088687280137</v>
      </c>
      <c r="Q21" s="9">
        <f t="shared" si="39"/>
        <v>0.45537002679859828</v>
      </c>
      <c r="R21" s="9">
        <f t="shared" si="39"/>
        <v>0.45</v>
      </c>
      <c r="S21" s="9">
        <f t="shared" si="39"/>
        <v>0.49000000000000005</v>
      </c>
      <c r="T21" s="9">
        <f t="shared" si="39"/>
        <v>0.47000000000000003</v>
      </c>
      <c r="V21" s="9">
        <f t="shared" ref="V21:AK21" si="40">V5/V3</f>
        <v>0.51018973998594519</v>
      </c>
      <c r="W21" s="9">
        <f t="shared" si="40"/>
        <v>0.48285832300702186</v>
      </c>
      <c r="X21" s="9">
        <f t="shared" si="40"/>
        <v>0.53056994818652847</v>
      </c>
      <c r="Y21" s="9">
        <f t="shared" si="40"/>
        <v>0.49551792828685259</v>
      </c>
      <c r="Z21" s="9">
        <f t="shared" si="40"/>
        <v>0.45039663108412487</v>
      </c>
      <c r="AA21" s="9">
        <f t="shared" si="40"/>
        <v>0.46041704009081674</v>
      </c>
      <c r="AB21" s="9">
        <f t="shared" si="40"/>
        <v>0.46801702983356569</v>
      </c>
      <c r="AC21" s="9">
        <f t="shared" si="40"/>
        <v>0.48</v>
      </c>
      <c r="AD21" s="9">
        <f t="shared" si="40"/>
        <v>0.48999999999999994</v>
      </c>
      <c r="AE21" s="9">
        <f t="shared" si="40"/>
        <v>0.5</v>
      </c>
      <c r="AF21" s="9">
        <f t="shared" si="40"/>
        <v>0.5</v>
      </c>
      <c r="AG21" s="9">
        <f t="shared" si="40"/>
        <v>0.5</v>
      </c>
      <c r="AH21" s="9">
        <f t="shared" si="40"/>
        <v>0.5</v>
      </c>
      <c r="AI21" s="9">
        <f t="shared" si="40"/>
        <v>0.5</v>
      </c>
      <c r="AJ21" s="9">
        <f t="shared" si="40"/>
        <v>0.5</v>
      </c>
      <c r="AK21" s="9">
        <f t="shared" si="40"/>
        <v>0.5</v>
      </c>
      <c r="AL21" s="9">
        <f t="shared" ref="AL21" si="41">AL5/AL3</f>
        <v>0.5</v>
      </c>
    </row>
    <row r="22" spans="2:41" x14ac:dyDescent="0.3">
      <c r="B22" s="10" t="s">
        <v>46</v>
      </c>
      <c r="C22" s="9">
        <f>C8/C3</f>
        <v>-0.33141542002301488</v>
      </c>
      <c r="D22" s="9">
        <f t="shared" ref="D22:T22" si="42">D8/D3</f>
        <v>-0.27114624505928853</v>
      </c>
      <c r="E22" s="9">
        <f t="shared" si="42"/>
        <v>-0.27844073190135243</v>
      </c>
      <c r="F22" s="9">
        <f t="shared" si="42"/>
        <v>-0.25085207907293805</v>
      </c>
      <c r="G22" s="9">
        <f t="shared" si="42"/>
        <v>-0.57174721189591071</v>
      </c>
      <c r="H22" s="9">
        <f t="shared" si="42"/>
        <v>-0.12583120204603579</v>
      </c>
      <c r="I22" s="9">
        <f t="shared" si="42"/>
        <v>-0.49109707064905239</v>
      </c>
      <c r="J22" s="9">
        <f t="shared" si="42"/>
        <v>-0.45771619684663151</v>
      </c>
      <c r="K22" s="9">
        <f t="shared" si="42"/>
        <v>-0.44031311154598823</v>
      </c>
      <c r="L22" s="9">
        <f t="shared" si="42"/>
        <v>-0.30324437467294613</v>
      </c>
      <c r="M22" s="9">
        <f t="shared" si="42"/>
        <v>-0.32528666264333145</v>
      </c>
      <c r="N22" s="9">
        <f t="shared" si="42"/>
        <v>-0.38491083676268867</v>
      </c>
      <c r="O22" s="9">
        <f t="shared" si="42"/>
        <v>-0.33607493717157877</v>
      </c>
      <c r="P22" s="9">
        <f t="shared" si="42"/>
        <v>-0.41658952045917419</v>
      </c>
      <c r="Q22" s="9">
        <f t="shared" si="42"/>
        <v>-0.24407338693052974</v>
      </c>
      <c r="R22" s="9">
        <f t="shared" si="42"/>
        <v>-0.27307270233196168</v>
      </c>
      <c r="S22" s="9">
        <f t="shared" si="42"/>
        <v>-0.21509481379940612</v>
      </c>
      <c r="T22" s="9">
        <f t="shared" si="42"/>
        <v>-0.25557444662227308</v>
      </c>
      <c r="V22" s="9">
        <f t="shared" ref="V22:AK22" si="43">V8/V3</f>
        <v>-0.40407589599437793</v>
      </c>
      <c r="W22" s="9">
        <f t="shared" si="43"/>
        <v>-0.36637752994630318</v>
      </c>
      <c r="X22" s="9">
        <f t="shared" si="43"/>
        <v>-0.24481865284974094</v>
      </c>
      <c r="Y22" s="9">
        <f t="shared" si="43"/>
        <v>-0.28768260292164677</v>
      </c>
      <c r="Z22" s="9">
        <f t="shared" si="43"/>
        <v>-0.40123396337283329</v>
      </c>
      <c r="AA22" s="9">
        <f t="shared" si="43"/>
        <v>-0.37055625261396913</v>
      </c>
      <c r="AB22" s="9">
        <f t="shared" si="43"/>
        <v>-0.24643486159467051</v>
      </c>
      <c r="AC22" s="9">
        <f t="shared" si="43"/>
        <v>-0.13238733550991674</v>
      </c>
      <c r="AD22" s="9">
        <f t="shared" si="43"/>
        <v>-5.1727258335695511E-2</v>
      </c>
      <c r="AE22" s="9">
        <f t="shared" si="43"/>
        <v>2.3280012664587995E-2</v>
      </c>
      <c r="AF22" s="9">
        <f t="shared" si="43"/>
        <v>7.4924677959257557E-2</v>
      </c>
      <c r="AG22" s="9">
        <f t="shared" si="43"/>
        <v>0.11558405658924158</v>
      </c>
      <c r="AH22" s="9">
        <f t="shared" si="43"/>
        <v>0.14004688935174436</v>
      </c>
      <c r="AI22" s="9">
        <f t="shared" si="43"/>
        <v>0.15671138521508959</v>
      </c>
      <c r="AJ22" s="9">
        <f t="shared" si="43"/>
        <v>0.16651963135180137</v>
      </c>
      <c r="AK22" s="9">
        <f t="shared" si="43"/>
        <v>0.17293271536426674</v>
      </c>
      <c r="AL22" s="9">
        <f t="shared" ref="AL22" si="44">AL8/AL3</f>
        <v>0.17610812589471075</v>
      </c>
      <c r="AN22" t="s">
        <v>48</v>
      </c>
      <c r="AO22" s="9">
        <v>-0.01</v>
      </c>
    </row>
    <row r="23" spans="2:41" x14ac:dyDescent="0.3">
      <c r="B23" s="10" t="s">
        <v>47</v>
      </c>
      <c r="G23" s="9">
        <f t="shared" ref="G23:T23" si="45">G6/C6-1</f>
        <v>0.93557046979865754</v>
      </c>
      <c r="H23" s="9">
        <f t="shared" si="45"/>
        <v>0.19999999999999996</v>
      </c>
      <c r="I23" s="9">
        <f t="shared" si="45"/>
        <v>0.75285565939771537</v>
      </c>
      <c r="J23" s="9">
        <f t="shared" si="45"/>
        <v>0.60977777777777775</v>
      </c>
      <c r="K23" s="9">
        <f t="shared" si="45"/>
        <v>0.57905686546463242</v>
      </c>
      <c r="L23" s="9">
        <f t="shared" si="45"/>
        <v>1.457912457912458</v>
      </c>
      <c r="M23" s="9">
        <f t="shared" si="45"/>
        <v>0.53317535545023698</v>
      </c>
      <c r="N23" s="9">
        <f t="shared" si="45"/>
        <v>0.65378244064053015</v>
      </c>
      <c r="O23" s="9">
        <f t="shared" si="45"/>
        <v>0.56389986824769456</v>
      </c>
      <c r="P23" s="9">
        <f t="shared" si="45"/>
        <v>0.49691780821917808</v>
      </c>
      <c r="Q23" s="9">
        <f t="shared" si="45"/>
        <v>0.31105100463678514</v>
      </c>
      <c r="R23" s="9">
        <f t="shared" si="45"/>
        <v>0.32000000000000006</v>
      </c>
      <c r="S23" s="9">
        <f t="shared" si="45"/>
        <v>0.30000000000000004</v>
      </c>
      <c r="T23" s="9">
        <f t="shared" si="45"/>
        <v>0.30000000000000004</v>
      </c>
      <c r="V23" s="9"/>
      <c r="W23" s="9">
        <f t="shared" ref="W23:AK23" si="46">W6/V6-1</f>
        <v>0.58032282859338968</v>
      </c>
      <c r="X23" s="9">
        <f t="shared" si="46"/>
        <v>0.4557392996108951</v>
      </c>
      <c r="Y23" s="9">
        <f t="shared" si="46"/>
        <v>0.57634480454393588</v>
      </c>
      <c r="Z23" s="9">
        <f t="shared" si="46"/>
        <v>0.84315387876218706</v>
      </c>
      <c r="AA23" s="9">
        <f t="shared" si="46"/>
        <v>0.55416283348666062</v>
      </c>
      <c r="AB23" s="9">
        <f t="shared" si="46"/>
        <v>0.30654827968923426</v>
      </c>
      <c r="AC23" s="9">
        <f t="shared" si="46"/>
        <v>0.19999999999999996</v>
      </c>
      <c r="AD23" s="9">
        <f t="shared" si="46"/>
        <v>0.14999999999999991</v>
      </c>
      <c r="AE23" s="9">
        <f t="shared" si="46"/>
        <v>0.10000000000000009</v>
      </c>
      <c r="AF23" s="9">
        <f t="shared" si="46"/>
        <v>7.0000000000000062E-2</v>
      </c>
      <c r="AG23" s="9">
        <f t="shared" si="46"/>
        <v>4.0000000000000036E-2</v>
      </c>
      <c r="AH23" s="9">
        <f t="shared" si="46"/>
        <v>3.0000000000000027E-2</v>
      </c>
      <c r="AI23" s="9">
        <f t="shared" si="46"/>
        <v>3.0000000000000027E-2</v>
      </c>
      <c r="AJ23" s="9">
        <f t="shared" si="46"/>
        <v>2.0000000000000018E-2</v>
      </c>
      <c r="AK23" s="9">
        <f t="shared" si="46"/>
        <v>2.0000000000000018E-2</v>
      </c>
      <c r="AL23" s="9">
        <f t="shared" ref="AL23" si="47">AL6/AK6-1</f>
        <v>2.0000000000000018E-2</v>
      </c>
      <c r="AN23" t="s">
        <v>49</v>
      </c>
      <c r="AO23" s="9">
        <v>7.0000000000000007E-2</v>
      </c>
    </row>
    <row r="24" spans="2:41" x14ac:dyDescent="0.3">
      <c r="B24" s="10" t="s">
        <v>38</v>
      </c>
      <c r="C24" s="9">
        <f>C14/C13</f>
        <v>-7.1428571428571444E-3</v>
      </c>
      <c r="D24" s="9">
        <f t="shared" ref="D24:T24" si="48">D14/D13</f>
        <v>-7.3394495412844041E-3</v>
      </c>
      <c r="E24" s="9">
        <f t="shared" si="48"/>
        <v>-3.9920159680638763E-3</v>
      </c>
      <c r="F24" s="9">
        <f t="shared" si="48"/>
        <v>-2.8735632183908025E-2</v>
      </c>
      <c r="G24" s="9">
        <f t="shared" si="48"/>
        <v>-1.5768725361366625E-2</v>
      </c>
      <c r="H24" s="9">
        <f t="shared" si="48"/>
        <v>-3.092783505154641E-2</v>
      </c>
      <c r="I24" s="9">
        <f t="shared" si="48"/>
        <v>-7.7821011673151743E-3</v>
      </c>
      <c r="J24" s="9">
        <f t="shared" si="48"/>
        <v>-8.4656084656084679E-3</v>
      </c>
      <c r="K24" s="9">
        <f t="shared" si="48"/>
        <v>1.1049723756906078E-3</v>
      </c>
      <c r="L24" s="9">
        <f t="shared" si="48"/>
        <v>9.0661831368993664E-4</v>
      </c>
      <c r="M24" s="9">
        <f t="shared" si="48"/>
        <v>-3.2552083333333329E-2</v>
      </c>
      <c r="N24" s="9">
        <f t="shared" si="48"/>
        <v>9.3160645307884555E-3</v>
      </c>
      <c r="O24" s="9">
        <f t="shared" si="48"/>
        <v>-5.4286783976038927E-3</v>
      </c>
      <c r="P24" s="9">
        <f t="shared" si="48"/>
        <v>6.8358949797535581E-3</v>
      </c>
      <c r="Q24" s="9">
        <f t="shared" si="48"/>
        <v>1.9353590090961877E-4</v>
      </c>
      <c r="R24" s="9">
        <f t="shared" si="48"/>
        <v>0.01</v>
      </c>
      <c r="S24" s="9">
        <f t="shared" si="48"/>
        <v>0.01</v>
      </c>
      <c r="T24" s="9">
        <f t="shared" si="48"/>
        <v>0.01</v>
      </c>
      <c r="V24" s="9">
        <f t="shared" ref="V24:AK24" si="49">V14/V13</f>
        <v>9.7244732576985439E-3</v>
      </c>
      <c r="W24" s="9">
        <f t="shared" si="49"/>
        <v>-2.4630541871921183E-3</v>
      </c>
      <c r="X24" s="9">
        <f t="shared" si="49"/>
        <v>-1.7857142857142859E-3</v>
      </c>
      <c r="Y24" s="9">
        <f t="shared" si="49"/>
        <v>-1.4350945857795174E-2</v>
      </c>
      <c r="Z24" s="9">
        <f t="shared" si="49"/>
        <v>-3.2223415682062283E-3</v>
      </c>
      <c r="AA24" s="9">
        <f t="shared" si="49"/>
        <v>4.3013322181731277E-3</v>
      </c>
      <c r="AB24" s="9">
        <f t="shared" si="49"/>
        <v>0.41032708785153155</v>
      </c>
      <c r="AC24" s="9">
        <f t="shared" si="49"/>
        <v>0.01</v>
      </c>
      <c r="AD24" s="9">
        <f t="shared" si="49"/>
        <v>0.01</v>
      </c>
      <c r="AE24" s="9">
        <f t="shared" si="49"/>
        <v>0.01</v>
      </c>
      <c r="AF24" s="9">
        <f t="shared" si="49"/>
        <v>0.01</v>
      </c>
      <c r="AG24" s="9">
        <f t="shared" si="49"/>
        <v>0.01</v>
      </c>
      <c r="AH24" s="9">
        <f t="shared" si="49"/>
        <v>0.01</v>
      </c>
      <c r="AI24" s="9">
        <f t="shared" si="49"/>
        <v>0.15</v>
      </c>
      <c r="AJ24" s="9">
        <f t="shared" si="49"/>
        <v>0.15</v>
      </c>
      <c r="AK24" s="9">
        <f t="shared" si="49"/>
        <v>0.15</v>
      </c>
      <c r="AL24" s="9">
        <f t="shared" ref="AL24" si="50">AL14/AL13</f>
        <v>0.15</v>
      </c>
      <c r="AN24" t="s">
        <v>50</v>
      </c>
      <c r="AO24" s="4">
        <f>NPV(AO23,AB16:EP16)</f>
        <v>12747.170358321708</v>
      </c>
    </row>
    <row r="25" spans="2:41" x14ac:dyDescent="0.3">
      <c r="B25" s="10" t="s">
        <v>58</v>
      </c>
      <c r="C25" s="9">
        <f>C16/C3</f>
        <v>-0.32451093210586873</v>
      </c>
      <c r="D25" s="9">
        <f t="shared" ref="D25:T25" si="51">D16/D3</f>
        <v>-0.43399209486166007</v>
      </c>
      <c r="E25" s="9">
        <f t="shared" si="51"/>
        <v>-0.40015910898965795</v>
      </c>
      <c r="F25" s="9">
        <f t="shared" si="51"/>
        <v>-0.12201772324471721</v>
      </c>
      <c r="G25" s="9">
        <f t="shared" si="51"/>
        <v>-0.5747211895910781</v>
      </c>
      <c r="H25" s="9">
        <f t="shared" si="51"/>
        <v>-5.1150895140664933E-2</v>
      </c>
      <c r="I25" s="9">
        <f t="shared" si="51"/>
        <v>-0.44629523262492821</v>
      </c>
      <c r="J25" s="9">
        <f t="shared" si="51"/>
        <v>-0.45532728141423784</v>
      </c>
      <c r="K25" s="9">
        <f t="shared" si="51"/>
        <v>-0.37260273972602742</v>
      </c>
      <c r="L25" s="9">
        <f t="shared" si="51"/>
        <v>-0.30612244897959184</v>
      </c>
      <c r="M25" s="9">
        <f t="shared" si="51"/>
        <v>-0.24803862401931207</v>
      </c>
      <c r="N25" s="9">
        <f t="shared" si="51"/>
        <v>-1.2063100137174212</v>
      </c>
      <c r="O25" s="9">
        <f t="shared" si="51"/>
        <v>-1.2440027416038382</v>
      </c>
      <c r="P25" s="9">
        <f t="shared" si="51"/>
        <v>-4.2299574152934643</v>
      </c>
      <c r="Q25" s="9">
        <f t="shared" si="51"/>
        <v>1.0538033395176249</v>
      </c>
      <c r="R25" s="9">
        <f t="shared" si="51"/>
        <v>-0.321386694101509</v>
      </c>
      <c r="S25" s="9">
        <f t="shared" si="51"/>
        <v>-0.25196424491660968</v>
      </c>
      <c r="T25" s="9">
        <f t="shared" si="51"/>
        <v>-0.25655310127754122</v>
      </c>
      <c r="V25" s="9">
        <f t="shared" ref="V25:AL25" si="52">V16/V3</f>
        <v>-0.42937456078706937</v>
      </c>
      <c r="W25" s="9">
        <f t="shared" si="52"/>
        <v>-0.33622470053696824</v>
      </c>
      <c r="X25" s="9">
        <f t="shared" si="52"/>
        <v>-0.29067357512953368</v>
      </c>
      <c r="Y25" s="9">
        <f t="shared" si="52"/>
        <v>-0.25813413014608233</v>
      </c>
      <c r="Z25" s="9">
        <f t="shared" si="52"/>
        <v>-0.37724023112329852</v>
      </c>
      <c r="AA25" s="9">
        <f t="shared" si="52"/>
        <v>-2.0021509231044994</v>
      </c>
      <c r="AB25" s="9">
        <f t="shared" si="52"/>
        <v>-1.248756486327377E-2</v>
      </c>
      <c r="AC25" s="9">
        <f t="shared" si="52"/>
        <v>-0.15211269642499503</v>
      </c>
      <c r="AD25" s="9">
        <f t="shared" si="52"/>
        <v>-6.5425662270378965E-2</v>
      </c>
      <c r="AE25" s="9">
        <f t="shared" si="52"/>
        <v>1.3458491788881805E-2</v>
      </c>
      <c r="AF25" s="9">
        <f t="shared" si="52"/>
        <v>6.7328411186498363E-2</v>
      </c>
      <c r="AG25" s="9">
        <f t="shared" si="52"/>
        <v>0.10922771697530279</v>
      </c>
      <c r="AH25" s="9">
        <f t="shared" si="52"/>
        <v>0.13442604875740422</v>
      </c>
      <c r="AI25" s="9">
        <f t="shared" si="52"/>
        <v>0.12947825453661577</v>
      </c>
      <c r="AJ25" s="9">
        <f t="shared" si="52"/>
        <v>0.13814653688849066</v>
      </c>
      <c r="AK25" s="9">
        <f t="shared" si="52"/>
        <v>0.14380383384308215</v>
      </c>
      <c r="AL25" s="9">
        <f t="shared" si="52"/>
        <v>0.14661065427725528</v>
      </c>
      <c r="AN25" t="s">
        <v>51</v>
      </c>
      <c r="AO25" s="4">
        <f>Main!D8</f>
        <v>-2054.2000000000007</v>
      </c>
    </row>
    <row r="26" spans="2:41" x14ac:dyDescent="0.3">
      <c r="AN26" t="s">
        <v>52</v>
      </c>
      <c r="AO26" s="4">
        <f>AO24+AO25</f>
        <v>10692.970358321707</v>
      </c>
    </row>
    <row r="27" spans="2:41" x14ac:dyDescent="0.3">
      <c r="AN27" t="s">
        <v>53</v>
      </c>
      <c r="AO27" s="12">
        <f>AO26/AL17</f>
        <v>30.586299651949961</v>
      </c>
    </row>
    <row r="28" spans="2:41" x14ac:dyDescent="0.3">
      <c r="AN28" t="s">
        <v>54</v>
      </c>
      <c r="AO28" s="12">
        <f>Main!D3</f>
        <v>37.11</v>
      </c>
    </row>
    <row r="29" spans="2:41" x14ac:dyDescent="0.3">
      <c r="AN29" s="1" t="s">
        <v>55</v>
      </c>
      <c r="AO29" s="11">
        <f>AO27/AO28-1</f>
        <v>-0.17579359601320499</v>
      </c>
    </row>
    <row r="30" spans="2:41" x14ac:dyDescent="0.3">
      <c r="AN30" t="s">
        <v>56</v>
      </c>
      <c r="AO30" s="5" t="s">
        <v>57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2021-02-27T12:57:49Z</dcterms:created>
  <dcterms:modified xsi:type="dcterms:W3CDTF">2021-05-14T08:13:48Z</dcterms:modified>
</cp:coreProperties>
</file>