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B257F36E-ED17-44B2-8EF7-5F0F5D45C515}" xr6:coauthVersionLast="47" xr6:coauthVersionMax="47" xr10:uidLastSave="{00000000-0000-0000-0000-000000000000}"/>
  <bookViews>
    <workbookView xWindow="-108" yWindow="-108" windowWidth="23256" windowHeight="12576" activeTab="1" xr2:uid="{2DE35F8B-69C0-412F-9B96-2A7D09BB7F5D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2" l="1"/>
  <c r="Q6" i="2"/>
  <c r="Q23" i="2" s="1"/>
  <c r="P6" i="2"/>
  <c r="P23" i="2" s="1"/>
  <c r="R3" i="2"/>
  <c r="Q3" i="2"/>
  <c r="P3" i="2"/>
  <c r="P20" i="2" s="1"/>
  <c r="W3" i="2"/>
  <c r="P11" i="2"/>
  <c r="X10" i="2"/>
  <c r="O5" i="2"/>
  <c r="O23" i="2"/>
  <c r="D7" i="1"/>
  <c r="D8" i="1" s="1"/>
  <c r="AJ25" i="2" s="1"/>
  <c r="W15" i="2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W12" i="2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W10" i="2"/>
  <c r="W8" i="2"/>
  <c r="W7" i="2"/>
  <c r="X7" i="2" s="1"/>
  <c r="Y7" i="2" s="1"/>
  <c r="Z7" i="2" s="1"/>
  <c r="AA7" i="2" s="1"/>
  <c r="AB7" i="2" s="1"/>
  <c r="AC7" i="2" s="1"/>
  <c r="AD7" i="2" s="1"/>
  <c r="AE7" i="2" s="1"/>
  <c r="AF7" i="2" s="1"/>
  <c r="AG7" i="2" s="1"/>
  <c r="R23" i="2"/>
  <c r="Q5" i="2"/>
  <c r="Q4" i="2" s="1"/>
  <c r="P5" i="2"/>
  <c r="P21" i="2" s="1"/>
  <c r="R5" i="2"/>
  <c r="R4" i="2" s="1"/>
  <c r="N5" i="2"/>
  <c r="AJ28" i="2"/>
  <c r="V6" i="2"/>
  <c r="V15" i="2"/>
  <c r="V12" i="2"/>
  <c r="V10" i="2"/>
  <c r="V8" i="2"/>
  <c r="V7" i="2"/>
  <c r="U15" i="2"/>
  <c r="U14" i="2"/>
  <c r="U12" i="2"/>
  <c r="U11" i="2"/>
  <c r="U10" i="2"/>
  <c r="U8" i="2"/>
  <c r="U7" i="2"/>
  <c r="U6" i="2"/>
  <c r="U4" i="2"/>
  <c r="U3" i="2"/>
  <c r="T15" i="2"/>
  <c r="T12" i="2"/>
  <c r="T11" i="2"/>
  <c r="T10" i="2"/>
  <c r="T8" i="2"/>
  <c r="T7" i="2"/>
  <c r="T6" i="2"/>
  <c r="T4" i="2"/>
  <c r="T3" i="2"/>
  <c r="T5" i="2" s="1"/>
  <c r="T21" i="2" s="1"/>
  <c r="M23" i="2"/>
  <c r="L23" i="2"/>
  <c r="K23" i="2"/>
  <c r="J23" i="2"/>
  <c r="I23" i="2"/>
  <c r="H23" i="2"/>
  <c r="G23" i="2"/>
  <c r="M20" i="2"/>
  <c r="L20" i="2"/>
  <c r="K20" i="2"/>
  <c r="J20" i="2"/>
  <c r="I20" i="2"/>
  <c r="H20" i="2"/>
  <c r="G20" i="2"/>
  <c r="C5" i="2"/>
  <c r="C9" i="2" s="1"/>
  <c r="C13" i="2" s="1"/>
  <c r="C16" i="2" s="1"/>
  <c r="C18" i="2" s="1"/>
  <c r="D5" i="2"/>
  <c r="D9" i="2" s="1"/>
  <c r="D13" i="2" s="1"/>
  <c r="D16" i="2" s="1"/>
  <c r="D18" i="2" s="1"/>
  <c r="E14" i="2"/>
  <c r="T14" i="2" s="1"/>
  <c r="E5" i="2"/>
  <c r="E9" i="2" s="1"/>
  <c r="E13" i="2" s="1"/>
  <c r="F5" i="2"/>
  <c r="F9" i="2" s="1"/>
  <c r="F13" i="2" s="1"/>
  <c r="F16" i="2" s="1"/>
  <c r="F18" i="2" s="1"/>
  <c r="J5" i="2"/>
  <c r="J9" i="2" s="1"/>
  <c r="J13" i="2" s="1"/>
  <c r="J16" i="2" s="1"/>
  <c r="J18" i="2" s="1"/>
  <c r="G5" i="2"/>
  <c r="G9" i="2" s="1"/>
  <c r="G13" i="2" s="1"/>
  <c r="G16" i="2" s="1"/>
  <c r="G18" i="2" s="1"/>
  <c r="K5" i="2"/>
  <c r="K9" i="2" s="1"/>
  <c r="K13" i="2" s="1"/>
  <c r="K16" i="2" s="1"/>
  <c r="K18" i="2" s="1"/>
  <c r="H5" i="2"/>
  <c r="H9" i="2" s="1"/>
  <c r="H13" i="2" s="1"/>
  <c r="H16" i="2" s="1"/>
  <c r="H18" i="2" s="1"/>
  <c r="L5" i="2"/>
  <c r="L9" i="2" s="1"/>
  <c r="L13" i="2" s="1"/>
  <c r="L16" i="2" s="1"/>
  <c r="L18" i="2" s="1"/>
  <c r="I5" i="2"/>
  <c r="I9" i="2" s="1"/>
  <c r="I13" i="2" s="1"/>
  <c r="I16" i="2" s="1"/>
  <c r="I18" i="2" s="1"/>
  <c r="M5" i="2"/>
  <c r="M9" i="2" s="1"/>
  <c r="M13" i="2" s="1"/>
  <c r="M16" i="2" s="1"/>
  <c r="M18" i="2" s="1"/>
  <c r="D5" i="1"/>
  <c r="F3" i="1"/>
  <c r="R9" i="2" l="1"/>
  <c r="R22" i="2" s="1"/>
  <c r="Q9" i="2"/>
  <c r="P9" i="2"/>
  <c r="P13" i="2" s="1"/>
  <c r="W6" i="2"/>
  <c r="X6" i="2" s="1"/>
  <c r="Y6" i="2" s="1"/>
  <c r="O9" i="2"/>
  <c r="O13" i="2" s="1"/>
  <c r="Y10" i="2"/>
  <c r="Z10" i="2" s="1"/>
  <c r="AA10" i="2" s="1"/>
  <c r="AB10" i="2" s="1"/>
  <c r="AC10" i="2" s="1"/>
  <c r="AD10" i="2" s="1"/>
  <c r="AE10" i="2" s="1"/>
  <c r="AF10" i="2" s="1"/>
  <c r="AG10" i="2" s="1"/>
  <c r="D9" i="1"/>
  <c r="Q21" i="2"/>
  <c r="P4" i="2"/>
  <c r="W4" i="2" s="1"/>
  <c r="W5" i="2" s="1"/>
  <c r="R21" i="2"/>
  <c r="R20" i="2"/>
  <c r="Q22" i="2"/>
  <c r="O21" i="2"/>
  <c r="Q20" i="2"/>
  <c r="O20" i="2"/>
  <c r="V4" i="2"/>
  <c r="N20" i="2"/>
  <c r="J21" i="2"/>
  <c r="D22" i="2"/>
  <c r="H24" i="2"/>
  <c r="K24" i="2"/>
  <c r="E16" i="2"/>
  <c r="E18" i="2" s="1"/>
  <c r="J24" i="2"/>
  <c r="F22" i="2"/>
  <c r="N23" i="2"/>
  <c r="G22" i="2"/>
  <c r="F21" i="2"/>
  <c r="K22" i="2"/>
  <c r="U20" i="2"/>
  <c r="G21" i="2"/>
  <c r="L22" i="2"/>
  <c r="H21" i="2"/>
  <c r="F24" i="2"/>
  <c r="U23" i="2"/>
  <c r="I24" i="2"/>
  <c r="E22" i="2"/>
  <c r="M22" i="2"/>
  <c r="I21" i="2"/>
  <c r="C24" i="2"/>
  <c r="U5" i="2"/>
  <c r="U21" i="2" s="1"/>
  <c r="C21" i="2"/>
  <c r="D24" i="2"/>
  <c r="L24" i="2"/>
  <c r="V3" i="2"/>
  <c r="C22" i="2"/>
  <c r="K21" i="2"/>
  <c r="H22" i="2"/>
  <c r="E24" i="2"/>
  <c r="M24" i="2"/>
  <c r="V11" i="2"/>
  <c r="D21" i="2"/>
  <c r="L21" i="2"/>
  <c r="I22" i="2"/>
  <c r="E21" i="2"/>
  <c r="M21" i="2"/>
  <c r="J22" i="2"/>
  <c r="G24" i="2"/>
  <c r="V23" i="2"/>
  <c r="T9" i="2"/>
  <c r="P22" i="2" l="1"/>
  <c r="P14" i="2"/>
  <c r="P24" i="2" s="1"/>
  <c r="W23" i="2"/>
  <c r="X23" i="2"/>
  <c r="O22" i="2"/>
  <c r="V5" i="2"/>
  <c r="V21" i="2" s="1"/>
  <c r="U9" i="2"/>
  <c r="N9" i="2"/>
  <c r="N22" i="2" s="1"/>
  <c r="N21" i="2"/>
  <c r="V20" i="2"/>
  <c r="T13" i="2"/>
  <c r="T22" i="2"/>
  <c r="U13" i="2"/>
  <c r="U22" i="2"/>
  <c r="Z6" i="2"/>
  <c r="Y23" i="2"/>
  <c r="P16" i="2" l="1"/>
  <c r="P18" i="2" s="1"/>
  <c r="Q11" i="2"/>
  <c r="Q13" i="2" s="1"/>
  <c r="O24" i="2"/>
  <c r="O16" i="2"/>
  <c r="O18" i="2" s="1"/>
  <c r="V9" i="2"/>
  <c r="V13" i="2" s="1"/>
  <c r="N13" i="2"/>
  <c r="U16" i="2"/>
  <c r="U18" i="2" s="1"/>
  <c r="U24" i="2"/>
  <c r="T16" i="2"/>
  <c r="T18" i="2" s="1"/>
  <c r="T24" i="2"/>
  <c r="AA6" i="2"/>
  <c r="Z23" i="2"/>
  <c r="X3" i="2"/>
  <c r="X5" i="2" s="1"/>
  <c r="W20" i="2"/>
  <c r="Q14" i="2" l="1"/>
  <c r="V22" i="2"/>
  <c r="N16" i="2"/>
  <c r="N18" i="2" s="1"/>
  <c r="X4" i="2"/>
  <c r="Y3" i="2"/>
  <c r="Y5" i="2" s="1"/>
  <c r="V14" i="2"/>
  <c r="V16" i="2" s="1"/>
  <c r="V18" i="2" s="1"/>
  <c r="N24" i="2"/>
  <c r="X20" i="2"/>
  <c r="AB6" i="2"/>
  <c r="AA23" i="2"/>
  <c r="W9" i="2"/>
  <c r="W21" i="2"/>
  <c r="Q24" i="2" l="1"/>
  <c r="Q16" i="2"/>
  <c r="AC6" i="2"/>
  <c r="AB23" i="2"/>
  <c r="Z3" i="2"/>
  <c r="Z5" i="2" s="1"/>
  <c r="Y20" i="2"/>
  <c r="V24" i="2"/>
  <c r="W22" i="2"/>
  <c r="X9" i="2"/>
  <c r="X22" i="2" s="1"/>
  <c r="X21" i="2"/>
  <c r="Q18" i="2" l="1"/>
  <c r="R11" i="2"/>
  <c r="Y9" i="2"/>
  <c r="Y22" i="2" s="1"/>
  <c r="Y21" i="2"/>
  <c r="AD6" i="2"/>
  <c r="AC23" i="2"/>
  <c r="Y4" i="2"/>
  <c r="AA3" i="2"/>
  <c r="AA5" i="2" s="1"/>
  <c r="Z20" i="2"/>
  <c r="Z4" i="2"/>
  <c r="R13" i="2" l="1"/>
  <c r="R14" i="2" s="1"/>
  <c r="W11" i="2"/>
  <c r="W13" i="2" s="1"/>
  <c r="AA20" i="2"/>
  <c r="AA4" i="2"/>
  <c r="AB3" i="2"/>
  <c r="AB5" i="2" s="1"/>
  <c r="AD23" i="2"/>
  <c r="AE6" i="2"/>
  <c r="Z9" i="2"/>
  <c r="Z22" i="2" s="1"/>
  <c r="Z21" i="2"/>
  <c r="R16" i="2" l="1"/>
  <c r="R18" i="2" s="1"/>
  <c r="R24" i="2"/>
  <c r="W14" i="2"/>
  <c r="W24" i="2" s="1"/>
  <c r="AE23" i="2"/>
  <c r="AF6" i="2"/>
  <c r="AB20" i="2"/>
  <c r="AC3" i="2"/>
  <c r="AC5" i="2" s="1"/>
  <c r="AA9" i="2"/>
  <c r="AA22" i="2" s="1"/>
  <c r="AA21" i="2"/>
  <c r="W16" i="2" l="1"/>
  <c r="AF23" i="2"/>
  <c r="AG6" i="2"/>
  <c r="AB4" i="2"/>
  <c r="AB9" i="2"/>
  <c r="AB22" i="2" s="1"/>
  <c r="AB21" i="2"/>
  <c r="AD3" i="2"/>
  <c r="AD5" i="2" s="1"/>
  <c r="AC20" i="2"/>
  <c r="W18" i="2" l="1"/>
  <c r="X11" i="2"/>
  <c r="X13" i="2" s="1"/>
  <c r="X14" i="2" s="1"/>
  <c r="X24" i="2" s="1"/>
  <c r="AG23" i="2"/>
  <c r="AE3" i="2"/>
  <c r="AE5" i="2" s="1"/>
  <c r="AD20" i="2"/>
  <c r="AC4" i="2"/>
  <c r="AC9" i="2"/>
  <c r="AC22" i="2" s="1"/>
  <c r="AC21" i="2"/>
  <c r="X16" i="2" l="1"/>
  <c r="Y11" i="2" s="1"/>
  <c r="Y13" i="2" s="1"/>
  <c r="Y14" i="2" s="1"/>
  <c r="AF3" i="2"/>
  <c r="AE20" i="2"/>
  <c r="AD4" i="2"/>
  <c r="AD9" i="2"/>
  <c r="AD22" i="2" s="1"/>
  <c r="AD21" i="2"/>
  <c r="X18" i="2" l="1"/>
  <c r="AG3" i="2"/>
  <c r="AF5" i="2"/>
  <c r="AF4" i="2" s="1"/>
  <c r="AF20" i="2"/>
  <c r="Y16" i="2"/>
  <c r="Z11" i="2" s="1"/>
  <c r="Y24" i="2"/>
  <c r="AE4" i="2"/>
  <c r="AE21" i="2"/>
  <c r="AE9" i="2"/>
  <c r="AE22" i="2" s="1"/>
  <c r="AG20" i="2" l="1"/>
  <c r="AG5" i="2"/>
  <c r="Z13" i="2"/>
  <c r="Y18" i="2"/>
  <c r="AF9" i="2"/>
  <c r="AF22" i="2" s="1"/>
  <c r="AF21" i="2"/>
  <c r="AG21" i="2" l="1"/>
  <c r="AG9" i="2"/>
  <c r="AG22" i="2" s="1"/>
  <c r="AG4" i="2"/>
  <c r="Z14" i="2"/>
  <c r="Z24" i="2" s="1"/>
  <c r="Z16" i="2" l="1"/>
  <c r="AA11" i="2" s="1"/>
  <c r="Z18" i="2" l="1"/>
  <c r="AA13" i="2"/>
  <c r="AA14" i="2" l="1"/>
  <c r="AA24" i="2" s="1"/>
  <c r="AA16" i="2" l="1"/>
  <c r="AB11" i="2" l="1"/>
  <c r="AB13" i="2" s="1"/>
  <c r="AB14" i="2" s="1"/>
  <c r="AB24" i="2" s="1"/>
  <c r="AA18" i="2"/>
  <c r="AB16" i="2" l="1"/>
  <c r="AB18" i="2" l="1"/>
  <c r="AC11" i="2"/>
  <c r="AC13" i="2" s="1"/>
  <c r="AC14" i="2" s="1"/>
  <c r="AC24" i="2" s="1"/>
  <c r="AC16" i="2" l="1"/>
  <c r="AD11" i="2" s="1"/>
  <c r="AD13" i="2" l="1"/>
  <c r="AC18" i="2"/>
  <c r="AD14" i="2" l="1"/>
  <c r="AD24" i="2" s="1"/>
  <c r="AD16" i="2" l="1"/>
  <c r="AD18" i="2" l="1"/>
  <c r="AE11" i="2"/>
  <c r="AE13" i="2" s="1"/>
  <c r="AE14" i="2" s="1"/>
  <c r="AE24" i="2" s="1"/>
  <c r="AE16" i="2" l="1"/>
  <c r="AF11" i="2" s="1"/>
  <c r="AE18" i="2" l="1"/>
  <c r="AF13" i="2"/>
  <c r="AF14" i="2" l="1"/>
  <c r="AF24" i="2" s="1"/>
  <c r="AF16" i="2" l="1"/>
  <c r="AG11" i="2" s="1"/>
  <c r="AF18" i="2" l="1"/>
  <c r="AG13" i="2"/>
  <c r="AG14" i="2" l="1"/>
  <c r="AG24" i="2" s="1"/>
  <c r="AG16" i="2" l="1"/>
  <c r="AG18" i="2" s="1"/>
  <c r="AH16" i="2" l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EF16" i="2" s="1"/>
  <c r="EG16" i="2" s="1"/>
  <c r="EH16" i="2" s="1"/>
  <c r="EI16" i="2" s="1"/>
  <c r="EJ16" i="2" s="1"/>
  <c r="EK16" i="2" s="1"/>
  <c r="EL16" i="2" s="1"/>
  <c r="EM16" i="2" s="1"/>
  <c r="EN16" i="2" s="1"/>
  <c r="EO16" i="2" s="1"/>
  <c r="EP16" i="2" s="1"/>
  <c r="AJ24" i="2" s="1"/>
  <c r="AJ26" i="2" s="1"/>
  <c r="AJ27" i="2" s="1"/>
  <c r="AJ2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</author>
  </authors>
  <commentList>
    <comment ref="Z3" authorId="0" shapeId="0" xr:uid="{EF33BE66-1FEB-49A8-8040-994CF69119B2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2.9 billion in Q421 forecast</t>
        </r>
      </text>
    </comment>
    <comment ref="E14" authorId="0" shapeId="0" xr:uid="{388A2050-EA75-4B52-81DD-1381355186CA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EC fine</t>
        </r>
      </text>
    </comment>
    <comment ref="Z22" authorId="0" shapeId="0" xr:uid="{FF0E278F-A768-499A-9660-C3B3C56F1ECB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plan to get 10% op margin in Q421 forecast, optimistic?</t>
        </r>
      </text>
    </comment>
  </commentList>
</comments>
</file>

<file path=xl/sharedStrings.xml><?xml version="1.0" encoding="utf-8"?>
<sst xmlns="http://schemas.openxmlformats.org/spreadsheetml/2006/main" count="62" uniqueCount="57">
  <si>
    <t>GES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</si>
  <si>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</si>
  <si>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</si>
  <si>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</si>
  <si>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</si>
  <si>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</si>
  <si>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</si>
  <si>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</si>
  <si>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</si>
  <si>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</si>
  <si>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</si>
  <si>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Revenue</t>
  </si>
  <si>
    <t>Q119</t>
  </si>
  <si>
    <t>Q219</t>
  </si>
  <si>
    <t>Q319</t>
  </si>
  <si>
    <t>Q419</t>
  </si>
  <si>
    <t>Q120</t>
  </si>
  <si>
    <t>Q220</t>
  </si>
  <si>
    <t>Q320</t>
  </si>
  <si>
    <t>Q420</t>
  </si>
  <si>
    <t>Cost of sales</t>
  </si>
  <si>
    <t>Gross profit</t>
  </si>
  <si>
    <t>SG&amp;A</t>
  </si>
  <si>
    <t>Impairment</t>
  </si>
  <si>
    <t>Gains on derivatives</t>
  </si>
  <si>
    <t>Operating profit</t>
  </si>
  <si>
    <t>Interest expense</t>
  </si>
  <si>
    <t>Interest income</t>
  </si>
  <si>
    <t>Other expense</t>
  </si>
  <si>
    <t>Pretax profit</t>
  </si>
  <si>
    <t>Taxes</t>
  </si>
  <si>
    <t>MI</t>
  </si>
  <si>
    <t>Net profit</t>
  </si>
  <si>
    <t>EPS</t>
  </si>
  <si>
    <t>Revenue y/y</t>
  </si>
  <si>
    <t>Gross Margin</t>
  </si>
  <si>
    <t>Operating Margin</t>
  </si>
  <si>
    <t>SG&amp;A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</si>
  <si>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</si>
  <si>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</si>
  <si>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</si>
  <si>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</si>
  <si>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</si>
  <si>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</si>
  <si>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</si>
  <si>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</si>
  <si>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</si>
  <si>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Q121</t>
  </si>
  <si>
    <t>Q221</t>
  </si>
  <si>
    <t>Q321</t>
  </si>
  <si>
    <t>Q421</t>
  </si>
  <si>
    <t>Q122</t>
  </si>
  <si>
    <t>Q222</t>
  </si>
  <si>
    <t>Q322</t>
  </si>
  <si>
    <t>Q422</t>
  </si>
  <si>
    <t>if they improve margins as they plan to, could be decent</t>
  </si>
  <si>
    <t>Undervalued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</si>
</sst>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14" fontId="0" fillId="0" borderId="0" xfId="0" applyNumberFormat="1"/>
    <xf numFmtId="0" fontId="0" fillId="0" borderId="0" xfId="0" applyFont="1"/>
    <xf numFmtId="9" fontId="0" fillId="0" borderId="0" xfId="0" applyNumberFormat="1"/>
    <xf numFmtId="3" fontId="0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</xdr:colOff>
      <xdr:row>0</xdr:row>
      <xdr:rowOff>0</xdr:rowOff>
    </xdr:from>
    <xdr:to>
      <xdr:col>15</xdr:col>
      <xdr:colOff>22860</xdr:colOff>
      <xdr:row>29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A9E3517-8D8D-485F-9345-00A239127A0E}"/>
            </a:ext>
          </a:extLst>
        </xdr:cNvPr>
        <xdr:cNvCxnSpPr/>
      </xdr:nvCxnSpPr>
      <xdr:spPr>
        <a:xfrm>
          <a:off x="11239500" y="0"/>
          <a:ext cx="0" cy="5341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0</xdr:row>
      <xdr:rowOff>0</xdr:rowOff>
    </xdr:from>
    <xdr:to>
      <xdr:col>22</xdr:col>
      <xdr:colOff>38100</xdr:colOff>
      <xdr:row>33</xdr:row>
      <xdr:rowOff>99060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28A68C4-3826-4974-B05B-20744691DFDA}"/>
            </a:ext>
          </a:extLst>
        </xdr:cNvPr>
        <xdr:cNvCxnSpPr/>
      </xdr:nvCxnSpPr>
      <xdr:spPr>
        <a:xfrm>
          <a:off x="12969240" y="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7D66-328A-414E-8A21-3F5B00073C3B}">
  <dimension ref="B2:G9"/>
  <sheetViews>
    <sheetView workbookViewId="0">
      <selection activeCell="D7" sqref="D7"/>
    </sheetView>
  </sheetViews>
  <sheetFormatPr defaultRowHeight="14.4" x14ac:dyDescent="0.3"/>
  <cols>
    <col min="5" max="7" width="15.77734375" style="2" customWidth="1"/>
  </cols>
  <sheetData>
    <row r="2" spans="2:7" x14ac:dyDescent="0.3">
      <c r="E2" s="2" t="s">
        <v>8</v>
      </c>
      <c r="F2" s="2" t="s">
        <v>9</v>
      </c>
      <c r="G2" s="2" t="s">
        <v>10</v>
      </c>
    </row>
    <row r="3" spans="2:7" x14ac:dyDescent="0.3">
      <c r="B3" s="1" t="s">
        <v>0</v>
      </c>
      <c r="C3" t="s">
        <v>1</v>
      </c>
      <c r="D3" s="4">
        <v>23.12</v>
      </c>
      <c r="E3" s="3">
        <v>44420</v>
      </c>
      <c r="F3" s="3">
        <f ca="1">TODAY()</f>
        <v>44420</v>
      </c>
      <c r="G3" s="3">
        <v>44440</v>
      </c>
    </row>
    <row r="4" spans="2:7" x14ac:dyDescent="0.3">
      <c r="C4" t="s">
        <v>2</v>
      </c>
      <c r="D4" s="5">
        <v>64.900000000000006</v>
      </c>
      <c r="E4" s="2" t="s">
        <v>51</v>
      </c>
    </row>
    <row r="5" spans="2:7" x14ac:dyDescent="0.3">
      <c r="C5" t="s">
        <v>3</v>
      </c>
      <c r="D5" s="5">
        <f>D3*D4</f>
        <v>1500.4880000000003</v>
      </c>
    </row>
    <row r="6" spans="2:7" x14ac:dyDescent="0.3">
      <c r="C6" t="s">
        <v>4</v>
      </c>
      <c r="D6" s="5">
        <v>395.1</v>
      </c>
      <c r="E6" s="2" t="s">
        <v>51</v>
      </c>
    </row>
    <row r="7" spans="2:7" x14ac:dyDescent="0.3">
      <c r="C7" t="s">
        <v>5</v>
      </c>
      <c r="D7" s="5">
        <f>17.9+261.6+86.7</f>
        <v>366.2</v>
      </c>
      <c r="E7" s="2" t="s">
        <v>51</v>
      </c>
    </row>
    <row r="8" spans="2:7" x14ac:dyDescent="0.3">
      <c r="C8" t="s">
        <v>6</v>
      </c>
      <c r="D8" s="5">
        <f>D6-D7</f>
        <v>28.900000000000034</v>
      </c>
    </row>
    <row r="9" spans="2:7" x14ac:dyDescent="0.3">
      <c r="C9" t="s">
        <v>7</v>
      </c>
      <c r="D9" s="5">
        <f>D5-D8</f>
        <v>1471.5880000000002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033D9-3214-487E-9B55-924BE8EE1E5E}">
  <dimension ref="B1:EP1048576"/>
  <sheetViews>
    <sheetView tabSelected="1" workbookViewId="0">
      <pane xSplit="2" ySplit="2" topLeftCell="T5" activePane="bottomRight" state="frozen"/>
      <selection pane="topRight" activeCell="C1" sqref="C1"/>
      <selection pane="bottomLeft" activeCell="A3" sqref="A3"/>
      <selection pane="bottomRight" activeCell="AJ23" sqref="AJ23"/>
    </sheetView>
  </sheetViews>
  <sheetFormatPr defaultRowHeight="14.4" x14ac:dyDescent="0.3"/>
  <cols>
    <col min="2" max="2" width="17.44140625" bestFit="1" customWidth="1"/>
    <col min="3" max="18" width="10.5546875" customWidth="1"/>
    <col min="34" max="34" width="11.88671875" bestFit="1" customWidth="1"/>
    <col min="35" max="35" width="16.21875" bestFit="1" customWidth="1"/>
    <col min="36" max="36" width="17.33203125" bestFit="1" customWidth="1"/>
  </cols>
  <sheetData>
    <row r="1" spans="2:146" x14ac:dyDescent="0.3">
      <c r="C1" s="9">
        <v>43220</v>
      </c>
      <c r="D1" s="9">
        <v>43312</v>
      </c>
      <c r="E1" s="9">
        <v>43404</v>
      </c>
      <c r="F1" s="9">
        <v>43496</v>
      </c>
      <c r="G1" s="9">
        <v>43585</v>
      </c>
      <c r="H1" s="9">
        <v>43677</v>
      </c>
      <c r="I1" s="9">
        <v>43769</v>
      </c>
      <c r="J1" s="9">
        <v>43861</v>
      </c>
      <c r="K1" s="9">
        <v>43951</v>
      </c>
      <c r="L1" s="9">
        <v>44043</v>
      </c>
      <c r="M1" s="9">
        <v>44135</v>
      </c>
      <c r="N1" s="9">
        <v>44227</v>
      </c>
      <c r="O1" s="9">
        <v>44316</v>
      </c>
      <c r="P1" s="9">
        <v>44408</v>
      </c>
      <c r="Q1" s="9">
        <v>44500</v>
      </c>
      <c r="R1" s="9">
        <v>44592</v>
      </c>
    </row>
    <row r="2" spans="2:146" x14ac:dyDescent="0.3"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47</v>
      </c>
      <c r="L2" s="6" t="s">
        <v>48</v>
      </c>
      <c r="M2" s="6" t="s">
        <v>49</v>
      </c>
      <c r="N2" s="6" t="s">
        <v>50</v>
      </c>
      <c r="O2" s="6" t="s">
        <v>51</v>
      </c>
      <c r="P2" s="6" t="s">
        <v>52</v>
      </c>
      <c r="Q2" s="6" t="s">
        <v>53</v>
      </c>
      <c r="R2" s="6" t="s">
        <v>54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2031</v>
      </c>
      <c r="AG2">
        <v>2032</v>
      </c>
    </row>
    <row r="3" spans="2:146" s="1" customFormat="1" x14ac:dyDescent="0.3">
      <c r="B3" s="1" t="s">
        <v>11</v>
      </c>
      <c r="C3" s="8">
        <v>536.70000000000005</v>
      </c>
      <c r="D3" s="8">
        <v>645.9</v>
      </c>
      <c r="E3" s="8">
        <v>605.4</v>
      </c>
      <c r="F3" s="8">
        <v>837.1</v>
      </c>
      <c r="G3" s="8">
        <v>536.70000000000005</v>
      </c>
      <c r="H3" s="8">
        <v>683.2</v>
      </c>
      <c r="I3" s="8">
        <v>615.9</v>
      </c>
      <c r="J3" s="8">
        <v>842.3</v>
      </c>
      <c r="K3" s="8">
        <v>260.3</v>
      </c>
      <c r="L3" s="8">
        <v>398.5</v>
      </c>
      <c r="M3" s="8">
        <v>569.29999999999995</v>
      </c>
      <c r="N3" s="8">
        <v>648.5</v>
      </c>
      <c r="O3" s="8">
        <v>520</v>
      </c>
      <c r="P3" s="8">
        <f>H3*0.96</f>
        <v>655.87200000000007</v>
      </c>
      <c r="Q3" s="8">
        <f>I3*0.96</f>
        <v>591.26400000000001</v>
      </c>
      <c r="R3" s="8">
        <f>J3*0.9</f>
        <v>758.06999999999994</v>
      </c>
      <c r="T3" s="8">
        <f>SUM(C3:F3)</f>
        <v>2625.1</v>
      </c>
      <c r="U3" s="8">
        <f>SUM(G3:J3)</f>
        <v>2678.1000000000004</v>
      </c>
      <c r="V3" s="8">
        <f>SUM(K3:N3)</f>
        <v>1876.6</v>
      </c>
      <c r="W3" s="8">
        <f>SUM(O3:R3)</f>
        <v>2525.2060000000001</v>
      </c>
      <c r="X3" s="8">
        <f>W3*1.05</f>
        <v>2651.4663</v>
      </c>
      <c r="Y3" s="8">
        <f>X3*1.04</f>
        <v>2757.5249520000002</v>
      </c>
      <c r="Z3" s="8">
        <f>Y3*1.03</f>
        <v>2840.2507005600005</v>
      </c>
      <c r="AA3" s="8">
        <f>Z3*1.03</f>
        <v>2925.4582215768005</v>
      </c>
      <c r="AB3" s="8">
        <f>AA3*1.02</f>
        <v>2983.9673860083367</v>
      </c>
      <c r="AC3" s="8">
        <f>AB3*1.02</f>
        <v>3043.6467337285035</v>
      </c>
      <c r="AD3" s="8">
        <f t="shared" ref="AD3" si="0">AC3*1.02</f>
        <v>3104.5196684030734</v>
      </c>
      <c r="AE3" s="8">
        <f>AD3*1.01</f>
        <v>3135.564865087104</v>
      </c>
      <c r="AF3" s="8">
        <f>AE3*1.01</f>
        <v>3166.9205137379749</v>
      </c>
      <c r="AG3" s="8">
        <f>AF3*1.01</f>
        <v>3198.5897188753547</v>
      </c>
    </row>
    <row r="4" spans="2:146" x14ac:dyDescent="0.3">
      <c r="B4" t="s">
        <v>20</v>
      </c>
      <c r="C4" s="5">
        <v>354.7</v>
      </c>
      <c r="D4" s="5">
        <v>406.4</v>
      </c>
      <c r="E4" s="5">
        <v>385.3</v>
      </c>
      <c r="F4" s="5">
        <v>531</v>
      </c>
      <c r="G4" s="5">
        <v>354.7</v>
      </c>
      <c r="H4" s="5">
        <v>417.6</v>
      </c>
      <c r="I4" s="5">
        <v>386.4</v>
      </c>
      <c r="J4" s="5">
        <v>503.7</v>
      </c>
      <c r="K4" s="5">
        <v>226</v>
      </c>
      <c r="L4" s="5">
        <v>251.5</v>
      </c>
      <c r="M4" s="5">
        <v>329.8</v>
      </c>
      <c r="N4" s="5">
        <v>372.1</v>
      </c>
      <c r="O4" s="5">
        <v>308.39999999999998</v>
      </c>
      <c r="P4" s="5">
        <f t="shared" ref="P4:R4" si="1">P3-P5</f>
        <v>406.64064000000008</v>
      </c>
      <c r="Q4" s="5">
        <f t="shared" si="1"/>
        <v>372.49631999999997</v>
      </c>
      <c r="R4" s="5">
        <f t="shared" si="1"/>
        <v>447.26130000000001</v>
      </c>
      <c r="T4" s="12">
        <f>SUM(C4:F4)</f>
        <v>1677.3999999999999</v>
      </c>
      <c r="U4" s="12">
        <f>SUM(G4:J4)</f>
        <v>1662.3999999999999</v>
      </c>
      <c r="V4" s="12">
        <f>SUM(K4:N4)</f>
        <v>1179.4000000000001</v>
      </c>
      <c r="W4" s="12">
        <f>SUM(O4:R4)</f>
        <v>1534.79826</v>
      </c>
      <c r="X4" s="5">
        <f t="shared" ref="X4:AB4" si="2">X3-X5</f>
        <v>1617.3944429999999</v>
      </c>
      <c r="Y4" s="5">
        <f t="shared" si="2"/>
        <v>1682.0902207200002</v>
      </c>
      <c r="Z4" s="5">
        <f t="shared" si="2"/>
        <v>1704.1504203360003</v>
      </c>
      <c r="AA4" s="5">
        <f t="shared" si="2"/>
        <v>1755.2749329460803</v>
      </c>
      <c r="AB4" s="5">
        <f t="shared" si="2"/>
        <v>1790.3804316050021</v>
      </c>
      <c r="AC4" s="5">
        <f t="shared" ref="AC4" si="3">AC3-AC5</f>
        <v>1826.1880402371021</v>
      </c>
      <c r="AD4" s="5">
        <f t="shared" ref="AD4" si="4">AD3-AD5</f>
        <v>1862.711801041844</v>
      </c>
      <c r="AE4" s="5">
        <f t="shared" ref="AE4" si="5">AE3-AE5</f>
        <v>1881.3389190522623</v>
      </c>
      <c r="AF4" s="5">
        <f t="shared" ref="AF4:AG4" si="6">AF3-AF5</f>
        <v>1900.1523082427848</v>
      </c>
      <c r="AG4" s="5">
        <f t="shared" si="6"/>
        <v>1919.1538313252126</v>
      </c>
    </row>
    <row r="5" spans="2:146" s="1" customFormat="1" x14ac:dyDescent="0.3">
      <c r="B5" s="1" t="s">
        <v>21</v>
      </c>
      <c r="C5" s="8">
        <f t="shared" ref="C5:O5" si="7">C3-C4</f>
        <v>182.00000000000006</v>
      </c>
      <c r="D5" s="8">
        <f t="shared" si="7"/>
        <v>239.5</v>
      </c>
      <c r="E5" s="8">
        <f t="shared" si="7"/>
        <v>220.09999999999997</v>
      </c>
      <c r="F5" s="8">
        <f t="shared" si="7"/>
        <v>306.10000000000002</v>
      </c>
      <c r="G5" s="8">
        <f t="shared" si="7"/>
        <v>182.00000000000006</v>
      </c>
      <c r="H5" s="8">
        <f t="shared" si="7"/>
        <v>265.60000000000002</v>
      </c>
      <c r="I5" s="8">
        <f t="shared" si="7"/>
        <v>229.5</v>
      </c>
      <c r="J5" s="8">
        <f t="shared" si="7"/>
        <v>338.59999999999997</v>
      </c>
      <c r="K5" s="8">
        <f t="shared" si="7"/>
        <v>34.300000000000011</v>
      </c>
      <c r="L5" s="8">
        <f t="shared" si="7"/>
        <v>147</v>
      </c>
      <c r="M5" s="8">
        <f t="shared" si="7"/>
        <v>239.49999999999994</v>
      </c>
      <c r="N5" s="8">
        <f t="shared" si="7"/>
        <v>276.39999999999998</v>
      </c>
      <c r="O5" s="8">
        <f t="shared" si="7"/>
        <v>211.60000000000002</v>
      </c>
      <c r="P5" s="8">
        <f>P3*0.38</f>
        <v>249.23136000000002</v>
      </c>
      <c r="Q5" s="8">
        <f>Q3*0.37</f>
        <v>218.76768000000001</v>
      </c>
      <c r="R5" s="8">
        <f>R3*0.41</f>
        <v>310.80869999999993</v>
      </c>
      <c r="T5" s="8">
        <f>T3-T4</f>
        <v>947.7</v>
      </c>
      <c r="U5" s="8">
        <f>U3-U4</f>
        <v>1015.7000000000005</v>
      </c>
      <c r="V5" s="8">
        <f>V3-V4</f>
        <v>697.19999999999982</v>
      </c>
      <c r="W5" s="8">
        <f>W3-W4</f>
        <v>990.4077400000001</v>
      </c>
      <c r="X5" s="8">
        <f>X3*0.39</f>
        <v>1034.0718570000001</v>
      </c>
      <c r="Y5" s="8">
        <f t="shared" ref="Y5" si="8">Y3*0.39</f>
        <v>1075.4347312800001</v>
      </c>
      <c r="Z5" s="8">
        <f>Z3*0.4</f>
        <v>1136.1002802240002</v>
      </c>
      <c r="AA5" s="8">
        <f t="shared" ref="AA5:AG5" si="9">AA3*0.4</f>
        <v>1170.1832886307202</v>
      </c>
      <c r="AB5" s="8">
        <f t="shared" si="9"/>
        <v>1193.5869544033346</v>
      </c>
      <c r="AC5" s="8">
        <f t="shared" si="9"/>
        <v>1217.4586934914014</v>
      </c>
      <c r="AD5" s="8">
        <f t="shared" si="9"/>
        <v>1241.8078673612295</v>
      </c>
      <c r="AE5" s="8">
        <f t="shared" si="9"/>
        <v>1254.2259460348416</v>
      </c>
      <c r="AF5" s="8">
        <f t="shared" si="9"/>
        <v>1266.7682054951902</v>
      </c>
      <c r="AG5" s="8">
        <f t="shared" si="9"/>
        <v>1279.4358875501421</v>
      </c>
    </row>
    <row r="6" spans="2:146" x14ac:dyDescent="0.3">
      <c r="B6" t="s">
        <v>22</v>
      </c>
      <c r="C6" s="5">
        <v>198.2</v>
      </c>
      <c r="D6" s="5">
        <v>204.6</v>
      </c>
      <c r="E6" s="5">
        <v>197.9</v>
      </c>
      <c r="F6" s="5">
        <v>234.6</v>
      </c>
      <c r="G6" s="5">
        <v>204.6</v>
      </c>
      <c r="H6" s="5">
        <v>218.2</v>
      </c>
      <c r="I6" s="5">
        <v>205</v>
      </c>
      <c r="J6" s="5">
        <v>237.2</v>
      </c>
      <c r="K6" s="5">
        <v>143.30000000000001</v>
      </c>
      <c r="L6" s="5">
        <v>150.30000000000001</v>
      </c>
      <c r="M6" s="5">
        <v>184.7</v>
      </c>
      <c r="N6" s="5">
        <v>201.6</v>
      </c>
      <c r="O6" s="5">
        <v>186.7</v>
      </c>
      <c r="P6" s="5">
        <f>L6*1.29</f>
        <v>193.88700000000003</v>
      </c>
      <c r="Q6" s="5">
        <f>M6*1.08</f>
        <v>199.476</v>
      </c>
      <c r="R6" s="5">
        <f>N6*1.13</f>
        <v>227.80799999999996</v>
      </c>
      <c r="T6" s="12">
        <f>SUM(C6:F6)</f>
        <v>835.3</v>
      </c>
      <c r="U6" s="12">
        <f>SUM(G6:J6)</f>
        <v>865</v>
      </c>
      <c r="V6" s="12">
        <f>SUM(K6:N6)</f>
        <v>679.9</v>
      </c>
      <c r="W6" s="12">
        <f>SUM(O6:R6)</f>
        <v>807.87099999999998</v>
      </c>
      <c r="X6" s="5">
        <f>W6*1.05</f>
        <v>848.26454999999999</v>
      </c>
      <c r="Y6" s="5">
        <f>X6*1.04</f>
        <v>882.19513200000006</v>
      </c>
      <c r="Z6" s="5">
        <f>Y6*1.03</f>
        <v>908.66098596000006</v>
      </c>
      <c r="AA6" s="5">
        <f>Z6*1.03</f>
        <v>935.92081553880007</v>
      </c>
      <c r="AB6" s="5">
        <f>AA6*1.02</f>
        <v>954.63923184957605</v>
      </c>
      <c r="AC6" s="5">
        <f>AB6*1.02</f>
        <v>973.73201648656755</v>
      </c>
      <c r="AD6" s="5">
        <f t="shared" ref="AD6:AG6" si="10">AC6*1.01</f>
        <v>983.4693366514332</v>
      </c>
      <c r="AE6" s="5">
        <f t="shared" si="10"/>
        <v>993.30403001794753</v>
      </c>
      <c r="AF6" s="5">
        <f t="shared" si="10"/>
        <v>1003.2370703181271</v>
      </c>
      <c r="AG6" s="5">
        <f t="shared" si="10"/>
        <v>1013.2694410213084</v>
      </c>
    </row>
    <row r="7" spans="2:146" x14ac:dyDescent="0.3">
      <c r="B7" t="s">
        <v>23</v>
      </c>
      <c r="C7" s="5">
        <v>0.8</v>
      </c>
      <c r="D7" s="5">
        <v>3</v>
      </c>
      <c r="E7" s="5">
        <v>1.3</v>
      </c>
      <c r="F7" s="5">
        <v>1.9</v>
      </c>
      <c r="G7" s="5">
        <v>1.8</v>
      </c>
      <c r="H7" s="5">
        <v>1.5</v>
      </c>
      <c r="I7" s="5">
        <v>1.8</v>
      </c>
      <c r="J7" s="5">
        <v>4.9000000000000004</v>
      </c>
      <c r="K7" s="5">
        <v>53</v>
      </c>
      <c r="L7" s="5">
        <v>12</v>
      </c>
      <c r="M7" s="5">
        <v>10.3</v>
      </c>
      <c r="N7" s="5">
        <v>5.2</v>
      </c>
      <c r="O7" s="5">
        <v>0.4</v>
      </c>
      <c r="P7" s="5">
        <v>5</v>
      </c>
      <c r="Q7" s="5">
        <v>5</v>
      </c>
      <c r="R7" s="5">
        <v>5</v>
      </c>
      <c r="T7" s="12">
        <f>SUM(C7:F7)</f>
        <v>7</v>
      </c>
      <c r="U7" s="12">
        <f>SUM(G7:J7)</f>
        <v>10</v>
      </c>
      <c r="V7" s="12">
        <f>SUM(K7:N7)</f>
        <v>80.5</v>
      </c>
      <c r="W7" s="12">
        <f>SUM(O7:R7)</f>
        <v>15.4</v>
      </c>
      <c r="X7" s="5">
        <f>W7*0.9</f>
        <v>13.860000000000001</v>
      </c>
      <c r="Y7" s="5">
        <f t="shared" ref="Y7:AG7" si="11">X7*0.9</f>
        <v>12.474000000000002</v>
      </c>
      <c r="Z7" s="5">
        <f t="shared" si="11"/>
        <v>11.226600000000001</v>
      </c>
      <c r="AA7" s="5">
        <f t="shared" si="11"/>
        <v>10.103940000000001</v>
      </c>
      <c r="AB7" s="5">
        <f t="shared" si="11"/>
        <v>9.0935460000000017</v>
      </c>
      <c r="AC7" s="5">
        <f t="shared" si="11"/>
        <v>8.1841914000000013</v>
      </c>
      <c r="AD7" s="5">
        <f t="shared" si="11"/>
        <v>7.3657722600000017</v>
      </c>
      <c r="AE7" s="5">
        <f t="shared" si="11"/>
        <v>6.6291950340000021</v>
      </c>
      <c r="AF7" s="5">
        <f t="shared" si="11"/>
        <v>5.9662755306000017</v>
      </c>
      <c r="AG7" s="5">
        <f t="shared" si="11"/>
        <v>5.3696479775400014</v>
      </c>
    </row>
    <row r="8" spans="2:146" x14ac:dyDescent="0.3">
      <c r="B8" t="s">
        <v>24</v>
      </c>
      <c r="C8" s="5">
        <v>-0.2</v>
      </c>
      <c r="D8" s="5">
        <v>0</v>
      </c>
      <c r="E8" s="5">
        <v>1.3</v>
      </c>
      <c r="F8" s="5">
        <v>-0.3</v>
      </c>
      <c r="G8" s="5">
        <v>0</v>
      </c>
      <c r="H8" s="5">
        <v>0</v>
      </c>
      <c r="I8" s="5">
        <v>0</v>
      </c>
      <c r="J8" s="5">
        <v>0</v>
      </c>
      <c r="K8" s="5">
        <v>0.5</v>
      </c>
      <c r="L8" s="5">
        <v>-0.9</v>
      </c>
      <c r="M8" s="5">
        <v>0</v>
      </c>
      <c r="N8" s="5">
        <v>-2.4</v>
      </c>
      <c r="O8" s="5">
        <v>-2.1</v>
      </c>
      <c r="P8" s="5">
        <v>0</v>
      </c>
      <c r="Q8" s="5">
        <v>0</v>
      </c>
      <c r="R8" s="5">
        <v>0</v>
      </c>
      <c r="T8" s="12">
        <f>SUM(C8:F8)</f>
        <v>0.8</v>
      </c>
      <c r="U8" s="12">
        <f>SUM(G8:J8)</f>
        <v>0</v>
      </c>
      <c r="V8" s="12">
        <f>SUM(K8:N8)</f>
        <v>-2.8</v>
      </c>
      <c r="W8" s="12">
        <f>SUM(O8:R8)</f>
        <v>-2.1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</row>
    <row r="9" spans="2:146" s="1" customFormat="1" x14ac:dyDescent="0.3">
      <c r="B9" s="1" t="s">
        <v>25</v>
      </c>
      <c r="C9" s="8">
        <f t="shared" ref="C9:R9" si="12">C5-C6-C7-C8</f>
        <v>-16.799999999999933</v>
      </c>
      <c r="D9" s="8">
        <f t="shared" si="12"/>
        <v>31.900000000000006</v>
      </c>
      <c r="E9" s="8">
        <f t="shared" si="12"/>
        <v>19.599999999999959</v>
      </c>
      <c r="F9" s="8">
        <f t="shared" si="12"/>
        <v>69.90000000000002</v>
      </c>
      <c r="G9" s="8">
        <f t="shared" si="12"/>
        <v>-24.399999999999938</v>
      </c>
      <c r="H9" s="8">
        <f t="shared" si="12"/>
        <v>45.900000000000034</v>
      </c>
      <c r="I9" s="8">
        <f t="shared" si="12"/>
        <v>22.7</v>
      </c>
      <c r="J9" s="8">
        <f t="shared" si="12"/>
        <v>96.499999999999972</v>
      </c>
      <c r="K9" s="8">
        <f t="shared" si="12"/>
        <v>-162.5</v>
      </c>
      <c r="L9" s="8">
        <f t="shared" si="12"/>
        <v>-14.400000000000011</v>
      </c>
      <c r="M9" s="8">
        <f t="shared" si="12"/>
        <v>44.499999999999957</v>
      </c>
      <c r="N9" s="8">
        <f t="shared" si="12"/>
        <v>71.999999999999986</v>
      </c>
      <c r="O9" s="8">
        <f t="shared" si="12"/>
        <v>26.600000000000037</v>
      </c>
      <c r="P9" s="8">
        <f t="shared" si="12"/>
        <v>50.344359999999995</v>
      </c>
      <c r="Q9" s="8">
        <f t="shared" si="12"/>
        <v>14.291680000000014</v>
      </c>
      <c r="R9" s="8">
        <f t="shared" si="12"/>
        <v>78.000699999999966</v>
      </c>
      <c r="T9" s="8">
        <f>T5-T6-T7-T8</f>
        <v>104.60000000000009</v>
      </c>
      <c r="U9" s="8">
        <f>U5-U6-U7-U8</f>
        <v>140.7000000000005</v>
      </c>
      <c r="V9" s="8">
        <f>V5-V6-V7-V8</f>
        <v>-60.400000000000162</v>
      </c>
      <c r="W9" s="8">
        <f t="shared" ref="W9:AF9" si="13">W5-W6-W7-W8</f>
        <v>169.23674000000011</v>
      </c>
      <c r="X9" s="8">
        <f t="shared" si="13"/>
        <v>171.94730700000014</v>
      </c>
      <c r="Y9" s="8">
        <f t="shared" si="13"/>
        <v>180.76559928</v>
      </c>
      <c r="Z9" s="8">
        <f t="shared" si="13"/>
        <v>216.21269426400019</v>
      </c>
      <c r="AA9" s="8">
        <f t="shared" si="13"/>
        <v>224.15853309192013</v>
      </c>
      <c r="AB9" s="8">
        <f t="shared" si="13"/>
        <v>229.85417655375858</v>
      </c>
      <c r="AC9" s="8">
        <f t="shared" si="13"/>
        <v>235.54248560483384</v>
      </c>
      <c r="AD9" s="8">
        <f t="shared" si="13"/>
        <v>250.97275844979626</v>
      </c>
      <c r="AE9" s="8">
        <f t="shared" si="13"/>
        <v>254.29272098289411</v>
      </c>
      <c r="AF9" s="8">
        <f t="shared" si="13"/>
        <v>257.56485964646311</v>
      </c>
      <c r="AG9" s="8">
        <f t="shared" ref="AG9" si="14">AG5-AG6-AG7-AG8</f>
        <v>260.7967985512937</v>
      </c>
    </row>
    <row r="10" spans="2:146" x14ac:dyDescent="0.3">
      <c r="B10" t="s">
        <v>26</v>
      </c>
      <c r="C10" s="5">
        <v>0.7</v>
      </c>
      <c r="D10" s="5">
        <v>0.9</v>
      </c>
      <c r="E10" s="5">
        <v>0.8</v>
      </c>
      <c r="F10" s="5">
        <v>1</v>
      </c>
      <c r="G10" s="5">
        <v>1.3</v>
      </c>
      <c r="H10" s="5">
        <v>4.95</v>
      </c>
      <c r="I10" s="5">
        <v>4.9459999999999997</v>
      </c>
      <c r="J10" s="5">
        <v>5</v>
      </c>
      <c r="K10" s="5">
        <v>5.5</v>
      </c>
      <c r="L10" s="5">
        <v>5.9</v>
      </c>
      <c r="M10" s="5">
        <v>5.8</v>
      </c>
      <c r="N10" s="5">
        <v>5.7</v>
      </c>
      <c r="O10" s="5">
        <v>5.9</v>
      </c>
      <c r="P10" s="5">
        <v>6</v>
      </c>
      <c r="Q10" s="5">
        <v>6</v>
      </c>
      <c r="R10" s="5">
        <v>5</v>
      </c>
      <c r="T10" s="12">
        <f>SUM(C10:F10)</f>
        <v>3.4000000000000004</v>
      </c>
      <c r="U10" s="12">
        <f>SUM(G10:J10)</f>
        <v>16.195999999999998</v>
      </c>
      <c r="V10" s="12">
        <f>SUM(K10:N10)</f>
        <v>22.9</v>
      </c>
      <c r="W10" s="12">
        <f>SUM(O10:R10)</f>
        <v>22.9</v>
      </c>
      <c r="X10" s="5">
        <f>W10*0.9</f>
        <v>20.61</v>
      </c>
      <c r="Y10" s="5">
        <f t="shared" ref="X10:AG10" si="15">X10*0.8</f>
        <v>16.488</v>
      </c>
      <c r="Z10" s="5">
        <f t="shared" si="15"/>
        <v>13.1904</v>
      </c>
      <c r="AA10" s="5">
        <f t="shared" si="15"/>
        <v>10.552320000000002</v>
      </c>
      <c r="AB10" s="5">
        <f t="shared" si="15"/>
        <v>8.4418560000000014</v>
      </c>
      <c r="AC10" s="5">
        <f t="shared" si="15"/>
        <v>6.7534848000000016</v>
      </c>
      <c r="AD10" s="5">
        <f t="shared" si="15"/>
        <v>5.402787840000002</v>
      </c>
      <c r="AE10" s="5">
        <f t="shared" si="15"/>
        <v>4.3222302720000014</v>
      </c>
      <c r="AF10" s="5">
        <f t="shared" si="15"/>
        <v>3.4577842176000013</v>
      </c>
      <c r="AG10" s="5">
        <f t="shared" si="15"/>
        <v>2.7662273740800014</v>
      </c>
    </row>
    <row r="11" spans="2:146" x14ac:dyDescent="0.3">
      <c r="B11" t="s">
        <v>27</v>
      </c>
      <c r="C11" s="5">
        <v>-1</v>
      </c>
      <c r="D11" s="5">
        <v>-1.1000000000000001</v>
      </c>
      <c r="E11" s="5">
        <v>-0.8</v>
      </c>
      <c r="F11" s="5">
        <v>-1.6</v>
      </c>
      <c r="G11" s="5">
        <v>-0.4</v>
      </c>
      <c r="H11" s="5">
        <v>-0.3</v>
      </c>
      <c r="I11" s="5">
        <v>0.5</v>
      </c>
      <c r="J11" s="5">
        <v>-0.6</v>
      </c>
      <c r="K11" s="5">
        <v>-0.6</v>
      </c>
      <c r="L11" s="5">
        <v>-0.4</v>
      </c>
      <c r="M11" s="5">
        <v>-0.6</v>
      </c>
      <c r="N11" s="5">
        <v>-0.6</v>
      </c>
      <c r="O11" s="5">
        <v>-0.4</v>
      </c>
      <c r="P11" s="5">
        <f>-O16*0.02</f>
        <v>-0.24000000000000074</v>
      </c>
      <c r="Q11" s="5">
        <f t="shared" ref="Q11:R11" si="16">-P16*0.02</f>
        <v>-0.62534975999999998</v>
      </c>
      <c r="R11" s="5">
        <f t="shared" si="16"/>
        <v>-7.4672476160000237E-2</v>
      </c>
      <c r="T11" s="12">
        <f>SUM(C11:F11)</f>
        <v>-4.5</v>
      </c>
      <c r="U11" s="12">
        <f>SUM(G11:J11)</f>
        <v>-0.79999999999999993</v>
      </c>
      <c r="V11" s="12">
        <f>SUM(K11:N11)</f>
        <v>-2.2000000000000002</v>
      </c>
      <c r="W11" s="12">
        <f>SUM(O11:R11)</f>
        <v>-1.3400222361600009</v>
      </c>
      <c r="X11" s="5">
        <f>-W16*0.02</f>
        <v>-2.0212281957785621</v>
      </c>
      <c r="Y11" s="5">
        <f t="shared" ref="Y11:AG11" si="17">-X16*0.02</f>
        <v>-2.1714328701716146</v>
      </c>
      <c r="Z11" s="5">
        <f t="shared" si="17"/>
        <v>-2.3779383668327805</v>
      </c>
      <c r="AA11" s="5">
        <f t="shared" si="17"/>
        <v>-3.003258731079494</v>
      </c>
      <c r="AB11" s="5">
        <f t="shared" si="17"/>
        <v>-3.1790273198971937</v>
      </c>
      <c r="AC11" s="5">
        <f t="shared" si="17"/>
        <v>-3.3023770498898695</v>
      </c>
      <c r="AD11" s="5">
        <f t="shared" si="17"/>
        <v>-3.4177816209111889</v>
      </c>
      <c r="AE11" s="5">
        <f t="shared" si="17"/>
        <v>-3.6852639353789636</v>
      </c>
      <c r="AF11" s="5">
        <f t="shared" si="17"/>
        <v>-3.7544996956811389</v>
      </c>
      <c r="AG11" s="5">
        <f t="shared" si="17"/>
        <v>-3.8160971747411718</v>
      </c>
    </row>
    <row r="12" spans="2:146" x14ac:dyDescent="0.3">
      <c r="B12" t="s">
        <v>28</v>
      </c>
      <c r="C12" s="5">
        <v>2.6</v>
      </c>
      <c r="D12" s="5">
        <v>-1.4</v>
      </c>
      <c r="E12" s="5">
        <v>5.8</v>
      </c>
      <c r="F12" s="5">
        <v>-0.5</v>
      </c>
      <c r="G12" s="5">
        <v>-2.1</v>
      </c>
      <c r="H12" s="5">
        <v>6.4</v>
      </c>
      <c r="I12" s="5">
        <v>0</v>
      </c>
      <c r="J12" s="5">
        <v>-1.8</v>
      </c>
      <c r="K12" s="5">
        <v>19.600000000000001</v>
      </c>
      <c r="L12" s="5">
        <v>5.548</v>
      </c>
      <c r="M12" s="5">
        <v>6.5</v>
      </c>
      <c r="N12" s="5">
        <v>-14.6</v>
      </c>
      <c r="O12" s="5">
        <v>2.7</v>
      </c>
      <c r="P12" s="5">
        <v>3</v>
      </c>
      <c r="Q12" s="5">
        <v>3</v>
      </c>
      <c r="R12" s="5">
        <v>3</v>
      </c>
      <c r="T12" s="12">
        <f>SUM(C12:F12)</f>
        <v>6.5</v>
      </c>
      <c r="U12" s="12">
        <f>SUM(G12:J12)</f>
        <v>2.5000000000000009</v>
      </c>
      <c r="V12" s="12">
        <f>SUM(K12:N12)</f>
        <v>17.048000000000002</v>
      </c>
      <c r="W12" s="12">
        <f>SUM(O12:R12)</f>
        <v>11.7</v>
      </c>
      <c r="X12" s="5">
        <f>W12*1.01</f>
        <v>11.817</v>
      </c>
      <c r="Y12" s="5">
        <f t="shared" ref="Y12:AG12" si="18">X12*1.01</f>
        <v>11.935169999999999</v>
      </c>
      <c r="Z12" s="5">
        <f t="shared" si="18"/>
        <v>12.054521699999999</v>
      </c>
      <c r="AA12" s="5">
        <f t="shared" si="18"/>
        <v>12.175066916999999</v>
      </c>
      <c r="AB12" s="5">
        <f t="shared" si="18"/>
        <v>12.296817586169999</v>
      </c>
      <c r="AC12" s="5">
        <f t="shared" si="18"/>
        <v>12.419785762031699</v>
      </c>
      <c r="AD12" s="5">
        <f t="shared" si="18"/>
        <v>12.543983619652016</v>
      </c>
      <c r="AE12" s="5">
        <f t="shared" si="18"/>
        <v>12.669423455848536</v>
      </c>
      <c r="AF12" s="5">
        <f t="shared" si="18"/>
        <v>12.796117690407021</v>
      </c>
      <c r="AG12" s="5">
        <f t="shared" si="18"/>
        <v>12.924078867311092</v>
      </c>
    </row>
    <row r="13" spans="2:146" s="1" customFormat="1" x14ac:dyDescent="0.3">
      <c r="B13" s="1" t="s">
        <v>29</v>
      </c>
      <c r="C13" s="8">
        <f t="shared" ref="C13:R13" si="19">C9-C10-C11-C12</f>
        <v>-19.099999999999934</v>
      </c>
      <c r="D13" s="8">
        <f t="shared" si="19"/>
        <v>33.500000000000007</v>
      </c>
      <c r="E13" s="8">
        <f t="shared" si="19"/>
        <v>13.799999999999958</v>
      </c>
      <c r="F13" s="8">
        <f t="shared" si="19"/>
        <v>71.000000000000014</v>
      </c>
      <c r="G13" s="8">
        <f t="shared" si="19"/>
        <v>-23.199999999999939</v>
      </c>
      <c r="H13" s="8">
        <f t="shared" si="19"/>
        <v>34.85000000000003</v>
      </c>
      <c r="I13" s="8">
        <f t="shared" si="19"/>
        <v>17.253999999999998</v>
      </c>
      <c r="J13" s="8">
        <f t="shared" si="19"/>
        <v>93.899999999999963</v>
      </c>
      <c r="K13" s="8">
        <f t="shared" si="19"/>
        <v>-187</v>
      </c>
      <c r="L13" s="8">
        <f t="shared" si="19"/>
        <v>-25.448000000000015</v>
      </c>
      <c r="M13" s="8">
        <f t="shared" si="19"/>
        <v>32.799999999999962</v>
      </c>
      <c r="N13" s="8">
        <f t="shared" si="19"/>
        <v>81.499999999999972</v>
      </c>
      <c r="O13" s="8">
        <f t="shared" si="19"/>
        <v>18.400000000000038</v>
      </c>
      <c r="P13" s="8">
        <f t="shared" si="19"/>
        <v>41.584359999999997</v>
      </c>
      <c r="Q13" s="8">
        <f t="shared" si="19"/>
        <v>5.9170297600000143</v>
      </c>
      <c r="R13" s="8">
        <f t="shared" si="19"/>
        <v>70.07537247615997</v>
      </c>
      <c r="T13" s="8">
        <f>T9-T10-T11-T12</f>
        <v>99.200000000000088</v>
      </c>
      <c r="U13" s="8">
        <f>U9-U10-U11-U12</f>
        <v>122.8040000000005</v>
      </c>
      <c r="V13" s="8">
        <f>V9-V10-V11-V12</f>
        <v>-98.148000000000152</v>
      </c>
      <c r="W13" s="8">
        <f t="shared" ref="W13:AF13" si="20">W9-W10-W11-W12</f>
        <v>135.97676223616011</v>
      </c>
      <c r="X13" s="8">
        <f t="shared" si="20"/>
        <v>141.54153519577869</v>
      </c>
      <c r="Y13" s="8">
        <f t="shared" si="20"/>
        <v>154.51386215017163</v>
      </c>
      <c r="Z13" s="8">
        <f t="shared" si="20"/>
        <v>193.34571093083295</v>
      </c>
      <c r="AA13" s="8">
        <f t="shared" si="20"/>
        <v>204.4344049059996</v>
      </c>
      <c r="AB13" s="8">
        <f t="shared" si="20"/>
        <v>212.29453028748577</v>
      </c>
      <c r="AC13" s="8">
        <f t="shared" si="20"/>
        <v>219.67159209269201</v>
      </c>
      <c r="AD13" s="8">
        <f t="shared" si="20"/>
        <v>236.44376861105545</v>
      </c>
      <c r="AE13" s="8">
        <f t="shared" si="20"/>
        <v>240.98633119042452</v>
      </c>
      <c r="AF13" s="8">
        <f t="shared" si="20"/>
        <v>245.06545743413722</v>
      </c>
      <c r="AG13" s="8">
        <f t="shared" ref="AG13" si="21">AG9-AG10-AG11-AG12</f>
        <v>248.92258948464377</v>
      </c>
    </row>
    <row r="14" spans="2:146" x14ac:dyDescent="0.3">
      <c r="B14" t="s">
        <v>30</v>
      </c>
      <c r="C14" s="5">
        <v>-6.3</v>
      </c>
      <c r="D14" s="5">
        <v>7.8</v>
      </c>
      <c r="E14" s="5">
        <f>42.4--14.5</f>
        <v>56.9</v>
      </c>
      <c r="F14" s="5">
        <v>42.5</v>
      </c>
      <c r="G14" s="5">
        <v>-2.7</v>
      </c>
      <c r="H14" s="5">
        <v>8.8000000000000007</v>
      </c>
      <c r="I14" s="5">
        <v>4.548</v>
      </c>
      <c r="J14" s="5">
        <v>11.9</v>
      </c>
      <c r="K14" s="5">
        <v>-26.4</v>
      </c>
      <c r="L14" s="5">
        <v>-6.4</v>
      </c>
      <c r="M14" s="5">
        <v>5.0999999999999996</v>
      </c>
      <c r="N14" s="5">
        <v>8.5</v>
      </c>
      <c r="O14" s="5">
        <v>5.5</v>
      </c>
      <c r="P14" s="5">
        <f t="shared" ref="P14:R14" si="22">P13*0.2</f>
        <v>8.316872</v>
      </c>
      <c r="Q14" s="5">
        <f t="shared" si="22"/>
        <v>1.1834059520000029</v>
      </c>
      <c r="R14" s="5">
        <f t="shared" si="22"/>
        <v>14.015074495231994</v>
      </c>
      <c r="T14" s="12">
        <f>SUM(C14:F14)</f>
        <v>100.9</v>
      </c>
      <c r="U14" s="12">
        <f>SUM(G14:J14)</f>
        <v>22.548000000000002</v>
      </c>
      <c r="V14" s="12">
        <f>SUM(K14:N14)</f>
        <v>-19.199999999999996</v>
      </c>
      <c r="W14" s="12">
        <f>SUM(O14:R14)</f>
        <v>29.015352447231997</v>
      </c>
      <c r="X14" s="5">
        <f t="shared" ref="X14:AF14" si="23">X13*0.19</f>
        <v>26.892891687197952</v>
      </c>
      <c r="Y14" s="5">
        <f t="shared" si="23"/>
        <v>29.357633808532611</v>
      </c>
      <c r="Z14" s="5">
        <f t="shared" si="23"/>
        <v>36.73568507685826</v>
      </c>
      <c r="AA14" s="5">
        <f t="shared" si="23"/>
        <v>38.842536932139922</v>
      </c>
      <c r="AB14" s="5">
        <f t="shared" si="23"/>
        <v>40.335960754622299</v>
      </c>
      <c r="AC14" s="5">
        <f t="shared" si="23"/>
        <v>41.737602497611483</v>
      </c>
      <c r="AD14" s="5">
        <f t="shared" si="23"/>
        <v>44.924316036100535</v>
      </c>
      <c r="AE14" s="5">
        <f t="shared" si="23"/>
        <v>45.787402926180661</v>
      </c>
      <c r="AF14" s="5">
        <f t="shared" si="23"/>
        <v>46.562436912486071</v>
      </c>
      <c r="AG14" s="5">
        <f t="shared" ref="AG14" si="24">AG13*0.19</f>
        <v>47.295292002082313</v>
      </c>
    </row>
    <row r="15" spans="2:146" x14ac:dyDescent="0.3">
      <c r="B15" t="s">
        <v>31</v>
      </c>
      <c r="C15" s="5">
        <v>0.2</v>
      </c>
      <c r="D15" s="5">
        <v>0.2</v>
      </c>
      <c r="E15" s="5">
        <v>2</v>
      </c>
      <c r="F15" s="5">
        <v>2</v>
      </c>
      <c r="G15" s="5">
        <v>0.8</v>
      </c>
      <c r="H15" s="5">
        <v>0.9</v>
      </c>
      <c r="I15" s="5">
        <v>1.2</v>
      </c>
      <c r="J15" s="5">
        <v>2.4</v>
      </c>
      <c r="K15" s="5">
        <v>-2.9</v>
      </c>
      <c r="L15" s="5">
        <v>-0.3</v>
      </c>
      <c r="M15" s="5">
        <v>1.2</v>
      </c>
      <c r="N15" s="5">
        <v>2.5</v>
      </c>
      <c r="O15" s="5">
        <v>0.9</v>
      </c>
      <c r="P15" s="5">
        <v>2</v>
      </c>
      <c r="Q15" s="5">
        <v>1</v>
      </c>
      <c r="R15" s="5">
        <v>2</v>
      </c>
      <c r="T15" s="12">
        <f>SUM(C15:F15)</f>
        <v>4.4000000000000004</v>
      </c>
      <c r="U15" s="12">
        <f>SUM(G15:J15)</f>
        <v>5.3000000000000007</v>
      </c>
      <c r="V15" s="12">
        <f>SUM(K15:N15)</f>
        <v>0.50000000000000022</v>
      </c>
      <c r="W15" s="12">
        <f>SUM(O15:R15)</f>
        <v>5.9</v>
      </c>
      <c r="X15" s="5">
        <f>W15*1.03</f>
        <v>6.0770000000000008</v>
      </c>
      <c r="Y15" s="5">
        <f t="shared" ref="Y15:AG15" si="25">X15*1.03</f>
        <v>6.259310000000001</v>
      </c>
      <c r="Z15" s="5">
        <f t="shared" si="25"/>
        <v>6.4470893000000009</v>
      </c>
      <c r="AA15" s="5">
        <f t="shared" si="25"/>
        <v>6.6405019790000015</v>
      </c>
      <c r="AB15" s="5">
        <f t="shared" si="25"/>
        <v>6.8397170383700017</v>
      </c>
      <c r="AC15" s="5">
        <f t="shared" si="25"/>
        <v>7.0449085495211019</v>
      </c>
      <c r="AD15" s="5">
        <f t="shared" si="25"/>
        <v>7.2562558060067355</v>
      </c>
      <c r="AE15" s="5">
        <f t="shared" si="25"/>
        <v>7.4739434801869375</v>
      </c>
      <c r="AF15" s="5">
        <f t="shared" si="25"/>
        <v>7.6981617845925463</v>
      </c>
      <c r="AG15" s="5">
        <f t="shared" si="25"/>
        <v>7.9291066381303228</v>
      </c>
    </row>
    <row r="16" spans="2:146" s="1" customFormat="1" x14ac:dyDescent="0.3">
      <c r="B16" s="1" t="s">
        <v>32</v>
      </c>
      <c r="C16" s="8">
        <f t="shared" ref="C16:N16" si="26">C13-C14-C15</f>
        <v>-12.999999999999932</v>
      </c>
      <c r="D16" s="8">
        <f t="shared" si="26"/>
        <v>25.500000000000007</v>
      </c>
      <c r="E16" s="8">
        <f t="shared" si="26"/>
        <v>-45.100000000000037</v>
      </c>
      <c r="F16" s="8">
        <f t="shared" si="26"/>
        <v>26.500000000000014</v>
      </c>
      <c r="G16" s="8">
        <f t="shared" si="26"/>
        <v>-21.29999999999994</v>
      </c>
      <c r="H16" s="8">
        <f t="shared" si="26"/>
        <v>25.150000000000031</v>
      </c>
      <c r="I16" s="8">
        <f t="shared" si="26"/>
        <v>11.505999999999998</v>
      </c>
      <c r="J16" s="8">
        <f t="shared" si="26"/>
        <v>79.599999999999952</v>
      </c>
      <c r="K16" s="8">
        <f t="shared" si="26"/>
        <v>-157.69999999999999</v>
      </c>
      <c r="L16" s="8">
        <f t="shared" si="26"/>
        <v>-18.748000000000015</v>
      </c>
      <c r="M16" s="8">
        <f t="shared" si="26"/>
        <v>26.499999999999961</v>
      </c>
      <c r="N16" s="8">
        <f t="shared" si="26"/>
        <v>70.499999999999972</v>
      </c>
      <c r="O16" s="8">
        <f t="shared" ref="O16:R16" si="27">O13-O14-O15</f>
        <v>12.000000000000037</v>
      </c>
      <c r="P16" s="8">
        <f t="shared" si="27"/>
        <v>31.267488</v>
      </c>
      <c r="Q16" s="8">
        <f t="shared" si="27"/>
        <v>3.7336238080000115</v>
      </c>
      <c r="R16" s="8">
        <f t="shared" si="27"/>
        <v>54.060297980927977</v>
      </c>
      <c r="T16" s="8">
        <f>T13-T14-T15</f>
        <v>-6.0999999999999179</v>
      </c>
      <c r="U16" s="8">
        <f>U13-U14-U15</f>
        <v>94.9560000000005</v>
      </c>
      <c r="V16" s="8">
        <f>V13-V14-V15</f>
        <v>-79.44800000000015</v>
      </c>
      <c r="W16" s="8">
        <f t="shared" ref="W16:AF16" si="28">W13-W14-W15</f>
        <v>101.0614097889281</v>
      </c>
      <c r="X16" s="8">
        <f t="shared" si="28"/>
        <v>108.57164350858073</v>
      </c>
      <c r="Y16" s="8">
        <f t="shared" si="28"/>
        <v>118.89691834163902</v>
      </c>
      <c r="Z16" s="8">
        <f t="shared" si="28"/>
        <v>150.1629365539747</v>
      </c>
      <c r="AA16" s="8">
        <f t="shared" si="28"/>
        <v>158.95136599485969</v>
      </c>
      <c r="AB16" s="8">
        <f t="shared" si="28"/>
        <v>165.11885249449347</v>
      </c>
      <c r="AC16" s="8">
        <f t="shared" si="28"/>
        <v>170.88908104555944</v>
      </c>
      <c r="AD16" s="8">
        <f t="shared" si="28"/>
        <v>184.26319676894818</v>
      </c>
      <c r="AE16" s="8">
        <f t="shared" si="28"/>
        <v>187.72498478405694</v>
      </c>
      <c r="AF16" s="8">
        <f t="shared" si="28"/>
        <v>190.80485873705859</v>
      </c>
      <c r="AG16" s="8">
        <f t="shared" ref="AG16" si="29">AG13-AG14-AG15</f>
        <v>193.69819084443114</v>
      </c>
      <c r="AH16" s="1">
        <f t="shared" ref="AH16:BM16" si="30">AG16*(1+$AJ$22)</f>
        <v>191.76120893598682</v>
      </c>
      <c r="AI16" s="1">
        <f t="shared" si="30"/>
        <v>189.84359684662695</v>
      </c>
      <c r="AJ16" s="1">
        <f t="shared" si="30"/>
        <v>187.94516087816069</v>
      </c>
      <c r="AK16" s="1">
        <f t="shared" si="30"/>
        <v>186.06570926937908</v>
      </c>
      <c r="AL16" s="1">
        <f t="shared" si="30"/>
        <v>184.20505217668529</v>
      </c>
      <c r="AM16" s="1">
        <f t="shared" si="30"/>
        <v>182.36300165491843</v>
      </c>
      <c r="AN16" s="1">
        <f t="shared" si="30"/>
        <v>180.53937163836926</v>
      </c>
      <c r="AO16" s="1">
        <f t="shared" si="30"/>
        <v>178.73397792198557</v>
      </c>
      <c r="AP16" s="1">
        <f t="shared" si="30"/>
        <v>176.94663814276572</v>
      </c>
      <c r="AQ16" s="1">
        <f t="shared" si="30"/>
        <v>175.17717176133806</v>
      </c>
      <c r="AR16" s="1">
        <f t="shared" si="30"/>
        <v>173.42540004372466</v>
      </c>
      <c r="AS16" s="1">
        <f t="shared" si="30"/>
        <v>171.6911460432874</v>
      </c>
      <c r="AT16" s="1">
        <f t="shared" si="30"/>
        <v>169.97423458285454</v>
      </c>
      <c r="AU16" s="1">
        <f t="shared" si="30"/>
        <v>168.27449223702598</v>
      </c>
      <c r="AV16" s="1">
        <f t="shared" si="30"/>
        <v>166.59174731465572</v>
      </c>
      <c r="AW16" s="1">
        <f t="shared" si="30"/>
        <v>164.92582984150917</v>
      </c>
      <c r="AX16" s="1">
        <f t="shared" si="30"/>
        <v>163.27657154309406</v>
      </c>
      <c r="AY16" s="1">
        <f t="shared" si="30"/>
        <v>161.64380582766313</v>
      </c>
      <c r="AZ16" s="1">
        <f t="shared" si="30"/>
        <v>160.0273677693865</v>
      </c>
      <c r="BA16" s="1">
        <f t="shared" si="30"/>
        <v>158.42709409169262</v>
      </c>
      <c r="BB16" s="1">
        <f t="shared" si="30"/>
        <v>156.8428231507757</v>
      </c>
      <c r="BC16" s="1">
        <f t="shared" si="30"/>
        <v>155.27439491926793</v>
      </c>
      <c r="BD16" s="1">
        <f t="shared" si="30"/>
        <v>153.72165097007525</v>
      </c>
      <c r="BE16" s="1">
        <f t="shared" si="30"/>
        <v>152.18443446037449</v>
      </c>
      <c r="BF16" s="1">
        <f t="shared" si="30"/>
        <v>150.66259011577074</v>
      </c>
      <c r="BG16" s="1">
        <f t="shared" si="30"/>
        <v>149.15596421461302</v>
      </c>
      <c r="BH16" s="1">
        <f t="shared" si="30"/>
        <v>147.66440457246688</v>
      </c>
      <c r="BI16" s="1">
        <f t="shared" si="30"/>
        <v>146.18776052674221</v>
      </c>
      <c r="BJ16" s="1">
        <f t="shared" si="30"/>
        <v>144.72588292147478</v>
      </c>
      <c r="BK16" s="1">
        <f t="shared" si="30"/>
        <v>143.27862409226003</v>
      </c>
      <c r="BL16" s="1">
        <f t="shared" si="30"/>
        <v>141.84583785133742</v>
      </c>
      <c r="BM16" s="1">
        <f t="shared" si="30"/>
        <v>140.42737947282404</v>
      </c>
      <c r="BN16" s="1">
        <f t="shared" ref="BN16:CS16" si="31">BM16*(1+$AJ$22)</f>
        <v>139.02310567809579</v>
      </c>
      <c r="BO16" s="1">
        <f t="shared" si="31"/>
        <v>137.63287462131484</v>
      </c>
      <c r="BP16" s="1">
        <f t="shared" si="31"/>
        <v>136.25654587510169</v>
      </c>
      <c r="BQ16" s="1">
        <f t="shared" si="31"/>
        <v>134.89398041635067</v>
      </c>
      <c r="BR16" s="1">
        <f t="shared" si="31"/>
        <v>133.54504061218717</v>
      </c>
      <c r="BS16" s="1">
        <f t="shared" si="31"/>
        <v>132.20959020606529</v>
      </c>
      <c r="BT16" s="1">
        <f t="shared" si="31"/>
        <v>130.88749430400463</v>
      </c>
      <c r="BU16" s="1">
        <f t="shared" si="31"/>
        <v>129.57861936096458</v>
      </c>
      <c r="BV16" s="1">
        <f t="shared" si="31"/>
        <v>128.28283316735494</v>
      </c>
      <c r="BW16" s="1">
        <f t="shared" si="31"/>
        <v>127.00000483568138</v>
      </c>
      <c r="BX16" s="1">
        <f t="shared" si="31"/>
        <v>125.73000478732456</v>
      </c>
      <c r="BY16" s="1">
        <f t="shared" si="31"/>
        <v>124.47270473945132</v>
      </c>
      <c r="BZ16" s="1">
        <f t="shared" si="31"/>
        <v>123.2279776920568</v>
      </c>
      <c r="CA16" s="1">
        <f t="shared" si="31"/>
        <v>121.99569791513623</v>
      </c>
      <c r="CB16" s="1">
        <f t="shared" si="31"/>
        <v>120.77574093598487</v>
      </c>
      <c r="CC16" s="1">
        <f t="shared" si="31"/>
        <v>119.56798352662503</v>
      </c>
      <c r="CD16" s="1">
        <f t="shared" si="31"/>
        <v>118.37230369135878</v>
      </c>
      <c r="CE16" s="1">
        <f t="shared" si="31"/>
        <v>117.18858065444519</v>
      </c>
      <c r="CF16" s="1">
        <f t="shared" si="31"/>
        <v>116.01669484790074</v>
      </c>
      <c r="CG16" s="1">
        <f t="shared" si="31"/>
        <v>114.85652789942174</v>
      </c>
      <c r="CH16" s="1">
        <f t="shared" si="31"/>
        <v>113.70796262042752</v>
      </c>
      <c r="CI16" s="1">
        <f t="shared" si="31"/>
        <v>112.57088299422324</v>
      </c>
      <c r="CJ16" s="1">
        <f t="shared" si="31"/>
        <v>111.44517416428101</v>
      </c>
      <c r="CK16" s="1">
        <f t="shared" si="31"/>
        <v>110.3307224226382</v>
      </c>
      <c r="CL16" s="1">
        <f t="shared" si="31"/>
        <v>109.22741519841182</v>
      </c>
      <c r="CM16" s="1">
        <f t="shared" si="31"/>
        <v>108.13514104642771</v>
      </c>
      <c r="CN16" s="1">
        <f t="shared" si="31"/>
        <v>107.05378963596343</v>
      </c>
      <c r="CO16" s="1">
        <f t="shared" si="31"/>
        <v>105.98325173960379</v>
      </c>
      <c r="CP16" s="1">
        <f t="shared" si="31"/>
        <v>104.92341922220776</v>
      </c>
      <c r="CQ16" s="1">
        <f t="shared" si="31"/>
        <v>103.87418502998568</v>
      </c>
      <c r="CR16" s="1">
        <f t="shared" si="31"/>
        <v>102.83544317968583</v>
      </c>
      <c r="CS16" s="1">
        <f t="shared" si="31"/>
        <v>101.80708874788897</v>
      </c>
      <c r="CT16" s="1">
        <f t="shared" ref="CT16:DY16" si="32">CS16*(1+$AJ$22)</f>
        <v>100.78901786041008</v>
      </c>
      <c r="CU16" s="1">
        <f t="shared" si="32"/>
        <v>99.781127681805984</v>
      </c>
      <c r="CV16" s="1">
        <f t="shared" si="32"/>
        <v>98.783316404987929</v>
      </c>
      <c r="CW16" s="1">
        <f t="shared" si="32"/>
        <v>97.795483240938054</v>
      </c>
      <c r="CX16" s="1">
        <f t="shared" si="32"/>
        <v>96.817528408528673</v>
      </c>
      <c r="CY16" s="1">
        <f t="shared" si="32"/>
        <v>95.849353124443383</v>
      </c>
      <c r="CZ16" s="1">
        <f t="shared" si="32"/>
        <v>94.890859593198954</v>
      </c>
      <c r="DA16" s="1">
        <f t="shared" si="32"/>
        <v>93.941950997266957</v>
      </c>
      <c r="DB16" s="1">
        <f t="shared" si="32"/>
        <v>93.002531487294291</v>
      </c>
      <c r="DC16" s="1">
        <f t="shared" si="32"/>
        <v>92.072506172421342</v>
      </c>
      <c r="DD16" s="1">
        <f t="shared" si="32"/>
        <v>91.151781110697129</v>
      </c>
      <c r="DE16" s="1">
        <f t="shared" si="32"/>
        <v>90.240263299590154</v>
      </c>
      <c r="DF16" s="1">
        <f t="shared" si="32"/>
        <v>89.337860666594253</v>
      </c>
      <c r="DG16" s="1">
        <f t="shared" si="32"/>
        <v>88.444482059928305</v>
      </c>
      <c r="DH16" s="1">
        <f t="shared" si="32"/>
        <v>87.56003723932902</v>
      </c>
      <c r="DI16" s="1">
        <f t="shared" si="32"/>
        <v>86.684436866935727</v>
      </c>
      <c r="DJ16" s="1">
        <f t="shared" si="32"/>
        <v>85.817592498266364</v>
      </c>
      <c r="DK16" s="1">
        <f t="shared" si="32"/>
        <v>84.959416573283704</v>
      </c>
      <c r="DL16" s="1">
        <f t="shared" si="32"/>
        <v>84.109822407550865</v>
      </c>
      <c r="DM16" s="1">
        <f t="shared" si="32"/>
        <v>83.268724183475356</v>
      </c>
      <c r="DN16" s="1">
        <f t="shared" si="32"/>
        <v>82.436036941640609</v>
      </c>
      <c r="DO16" s="1">
        <f t="shared" si="32"/>
        <v>81.611676572224198</v>
      </c>
      <c r="DP16" s="1">
        <f t="shared" si="32"/>
        <v>80.795559806501956</v>
      </c>
      <c r="DQ16" s="1">
        <f t="shared" si="32"/>
        <v>79.987604208436935</v>
      </c>
      <c r="DR16" s="1">
        <f t="shared" si="32"/>
        <v>79.187728166352571</v>
      </c>
      <c r="DS16" s="1">
        <f t="shared" si="32"/>
        <v>78.39585088468904</v>
      </c>
      <c r="DT16" s="1">
        <f t="shared" si="32"/>
        <v>77.611892375842146</v>
      </c>
      <c r="DU16" s="1">
        <f t="shared" si="32"/>
        <v>76.835773452083728</v>
      </c>
      <c r="DV16" s="1">
        <f t="shared" si="32"/>
        <v>76.067415717562895</v>
      </c>
      <c r="DW16" s="1">
        <f t="shared" si="32"/>
        <v>75.306741560387266</v>
      </c>
      <c r="DX16" s="1">
        <f t="shared" si="32"/>
        <v>74.553674144783386</v>
      </c>
      <c r="DY16" s="1">
        <f t="shared" si="32"/>
        <v>73.80813740333555</v>
      </c>
      <c r="DZ16" s="1">
        <f t="shared" ref="DZ16:EP16" si="33">DY16*(1+$AJ$22)</f>
        <v>73.070056029302194</v>
      </c>
      <c r="EA16" s="1">
        <f t="shared" si="33"/>
        <v>72.339355469009178</v>
      </c>
      <c r="EB16" s="1">
        <f t="shared" si="33"/>
        <v>71.615961914319087</v>
      </c>
      <c r="EC16" s="1">
        <f t="shared" si="33"/>
        <v>70.899802295175888</v>
      </c>
      <c r="ED16" s="1">
        <f t="shared" si="33"/>
        <v>70.190804272224128</v>
      </c>
      <c r="EE16" s="1">
        <f t="shared" si="33"/>
        <v>69.48889622950189</v>
      </c>
      <c r="EF16" s="1">
        <f t="shared" si="33"/>
        <v>68.794007267206865</v>
      </c>
      <c r="EG16" s="1">
        <f t="shared" si="33"/>
        <v>68.106067194534802</v>
      </c>
      <c r="EH16" s="1">
        <f t="shared" si="33"/>
        <v>67.425006522589456</v>
      </c>
      <c r="EI16" s="1">
        <f t="shared" si="33"/>
        <v>66.750756457363565</v>
      </c>
      <c r="EJ16" s="1">
        <f t="shared" si="33"/>
        <v>66.083248892789925</v>
      </c>
      <c r="EK16" s="1">
        <f t="shared" si="33"/>
        <v>65.42241640386203</v>
      </c>
      <c r="EL16" s="1">
        <f t="shared" si="33"/>
        <v>64.768192239823406</v>
      </c>
      <c r="EM16" s="1">
        <f t="shared" si="33"/>
        <v>64.120510317425172</v>
      </c>
      <c r="EN16" s="1">
        <f t="shared" si="33"/>
        <v>63.479305214250921</v>
      </c>
      <c r="EO16" s="1">
        <f t="shared" si="33"/>
        <v>62.844512162108408</v>
      </c>
      <c r="EP16" s="1">
        <f t="shared" si="33"/>
        <v>62.216067040487324</v>
      </c>
    </row>
    <row r="17" spans="2:36" x14ac:dyDescent="0.3">
      <c r="B17" t="s">
        <v>2</v>
      </c>
      <c r="C17" s="5">
        <v>63.62</v>
      </c>
      <c r="D17" s="5">
        <v>63.62</v>
      </c>
      <c r="E17" s="5">
        <v>63.62</v>
      </c>
      <c r="F17" s="5">
        <v>63.62</v>
      </c>
      <c r="G17" s="5">
        <v>63.62</v>
      </c>
      <c r="H17" s="5">
        <v>63.62</v>
      </c>
      <c r="I17" s="5">
        <v>63.62</v>
      </c>
      <c r="J17" s="5">
        <v>63.62</v>
      </c>
      <c r="K17" s="5">
        <v>63.62</v>
      </c>
      <c r="L17" s="5">
        <v>63.62</v>
      </c>
      <c r="M17" s="5">
        <v>63.62</v>
      </c>
      <c r="N17" s="5">
        <v>63</v>
      </c>
      <c r="O17" s="5">
        <v>64.900000000000006</v>
      </c>
      <c r="P17" s="5">
        <v>64.900000000000006</v>
      </c>
      <c r="Q17" s="5">
        <v>64.900000000000006</v>
      </c>
      <c r="R17" s="5">
        <v>64.900000000000006</v>
      </c>
      <c r="T17" s="5">
        <v>63.62</v>
      </c>
      <c r="U17" s="5">
        <v>63.62</v>
      </c>
      <c r="V17" s="5">
        <v>63.62</v>
      </c>
      <c r="W17" s="5">
        <v>64.900000000000006</v>
      </c>
      <c r="X17" s="5">
        <v>64.900000000000006</v>
      </c>
      <c r="Y17" s="5">
        <v>64.900000000000006</v>
      </c>
      <c r="Z17" s="5">
        <v>64.900000000000006</v>
      </c>
      <c r="AA17" s="5">
        <v>64.900000000000006</v>
      </c>
      <c r="AB17" s="5">
        <v>64.900000000000006</v>
      </c>
      <c r="AC17" s="5">
        <v>64.900000000000006</v>
      </c>
      <c r="AD17" s="5">
        <v>64.900000000000006</v>
      </c>
      <c r="AE17" s="5">
        <v>64.900000000000006</v>
      </c>
      <c r="AF17" s="5">
        <v>64.900000000000006</v>
      </c>
      <c r="AG17" s="5">
        <v>64.900000000000006</v>
      </c>
    </row>
    <row r="18" spans="2:36" s="1" customFormat="1" x14ac:dyDescent="0.3">
      <c r="B18" s="1" t="s">
        <v>33</v>
      </c>
      <c r="C18" s="7">
        <f t="shared" ref="C18:N18" si="34">C16/C17</f>
        <v>-0.2043382584093042</v>
      </c>
      <c r="D18" s="7">
        <f t="shared" si="34"/>
        <v>0.40081735303363736</v>
      </c>
      <c r="E18" s="7">
        <f t="shared" si="34"/>
        <v>-0.70889657340459034</v>
      </c>
      <c r="F18" s="7">
        <f t="shared" si="34"/>
        <v>0.41653568060358404</v>
      </c>
      <c r="G18" s="7">
        <f t="shared" si="34"/>
        <v>-0.33480037723986078</v>
      </c>
      <c r="H18" s="7">
        <f t="shared" si="34"/>
        <v>0.39531593838415641</v>
      </c>
      <c r="I18" s="7">
        <f t="shared" si="34"/>
        <v>0.18085507701980508</v>
      </c>
      <c r="J18" s="7">
        <f t="shared" si="34"/>
        <v>1.2511788745677452</v>
      </c>
      <c r="K18" s="7">
        <f t="shared" si="34"/>
        <v>-2.478780257780572</v>
      </c>
      <c r="L18" s="7">
        <f t="shared" si="34"/>
        <v>-0.29468720528135833</v>
      </c>
      <c r="M18" s="7">
        <f t="shared" si="34"/>
        <v>0.4165356806035832</v>
      </c>
      <c r="N18" s="7">
        <f t="shared" si="34"/>
        <v>1.1190476190476186</v>
      </c>
      <c r="O18" s="7">
        <f t="shared" ref="O18:R18" si="35">O16/O17</f>
        <v>0.18489984591679562</v>
      </c>
      <c r="P18" s="7">
        <f t="shared" si="35"/>
        <v>0.4817794761171032</v>
      </c>
      <c r="Q18" s="7">
        <f t="shared" si="35"/>
        <v>5.7528872234206642E-2</v>
      </c>
      <c r="R18" s="7">
        <f t="shared" si="35"/>
        <v>0.83297839724080081</v>
      </c>
      <c r="T18" s="7">
        <f>T16/T17</f>
        <v>-9.5881798176672722E-2</v>
      </c>
      <c r="U18" s="7">
        <f>U16/U17</f>
        <v>1.4925495127318533</v>
      </c>
      <c r="V18" s="7">
        <f>V16/V17</f>
        <v>-1.2487896887771166</v>
      </c>
      <c r="W18" s="7">
        <f t="shared" ref="W18:AF18" si="36">W16/W17</f>
        <v>1.5571865915089074</v>
      </c>
      <c r="X18" s="7">
        <f t="shared" si="36"/>
        <v>1.6729066796391483</v>
      </c>
      <c r="Y18" s="7">
        <f t="shared" si="36"/>
        <v>1.8320018234459017</v>
      </c>
      <c r="Z18" s="7">
        <f t="shared" si="36"/>
        <v>2.313758652603616</v>
      </c>
      <c r="AA18" s="7">
        <f t="shared" si="36"/>
        <v>2.4491735900594711</v>
      </c>
      <c r="AB18" s="7">
        <f t="shared" si="36"/>
        <v>2.5442041986824879</v>
      </c>
      <c r="AC18" s="7">
        <f t="shared" si="36"/>
        <v>2.6331137295155536</v>
      </c>
      <c r="AD18" s="7">
        <f t="shared" si="36"/>
        <v>2.839186390892884</v>
      </c>
      <c r="AE18" s="7">
        <f t="shared" si="36"/>
        <v>2.8925267301087354</v>
      </c>
      <c r="AF18" s="7">
        <f t="shared" si="36"/>
        <v>2.9399824150548319</v>
      </c>
      <c r="AG18" s="7">
        <f t="shared" ref="AG18" si="37">AG16/AG17</f>
        <v>2.9845638034581068</v>
      </c>
    </row>
    <row r="20" spans="2:36" x14ac:dyDescent="0.3">
      <c r="B20" s="1" t="s">
        <v>34</v>
      </c>
      <c r="G20" s="11">
        <f>G3/C3-1</f>
        <v>0</v>
      </c>
      <c r="H20" s="11">
        <f t="shared" ref="H20:N20" si="38">H3/D3-1</f>
        <v>5.7748877535222176E-2</v>
      </c>
      <c r="I20" s="11">
        <f t="shared" si="38"/>
        <v>1.7343904856293335E-2</v>
      </c>
      <c r="J20" s="11">
        <f t="shared" si="38"/>
        <v>6.2119221120533474E-3</v>
      </c>
      <c r="K20" s="11">
        <f t="shared" si="38"/>
        <v>-0.51499906838084586</v>
      </c>
      <c r="L20" s="11">
        <f t="shared" si="38"/>
        <v>-0.41671545667447307</v>
      </c>
      <c r="M20" s="11">
        <f t="shared" si="38"/>
        <v>-7.566163338204257E-2</v>
      </c>
      <c r="N20" s="11">
        <f t="shared" si="38"/>
        <v>-0.23008429300724198</v>
      </c>
      <c r="O20" s="11">
        <f t="shared" ref="O20" si="39">O3/K3-1</f>
        <v>0.99769496734537055</v>
      </c>
      <c r="P20" s="11">
        <f t="shared" ref="P20" si="40">P3/L3-1</f>
        <v>0.64585194479297381</v>
      </c>
      <c r="Q20" s="11">
        <f t="shared" ref="Q20" si="41">Q3/M3-1</f>
        <v>3.8580713156508128E-2</v>
      </c>
      <c r="R20" s="11">
        <f t="shared" ref="R20" si="42">R3/N3-1</f>
        <v>0.16895913646877392</v>
      </c>
      <c r="U20" s="11">
        <f>U3/T3-1</f>
        <v>2.0189707058778872E-2</v>
      </c>
      <c r="V20" s="11">
        <f t="shared" ref="V20:AG20" si="43">V3/U3-1</f>
        <v>-0.29927933983047694</v>
      </c>
      <c r="W20" s="11">
        <f t="shared" si="43"/>
        <v>0.34562826388148804</v>
      </c>
      <c r="X20" s="11">
        <f t="shared" si="43"/>
        <v>5.0000000000000044E-2</v>
      </c>
      <c r="Y20" s="11">
        <f t="shared" si="43"/>
        <v>4.0000000000000036E-2</v>
      </c>
      <c r="Z20" s="11">
        <f t="shared" si="43"/>
        <v>3.0000000000000027E-2</v>
      </c>
      <c r="AA20" s="11">
        <f t="shared" si="43"/>
        <v>3.0000000000000027E-2</v>
      </c>
      <c r="AB20" s="11">
        <f t="shared" si="43"/>
        <v>2.0000000000000018E-2</v>
      </c>
      <c r="AC20" s="11">
        <f t="shared" si="43"/>
        <v>2.0000000000000018E-2</v>
      </c>
      <c r="AD20" s="11">
        <f t="shared" si="43"/>
        <v>2.0000000000000018E-2</v>
      </c>
      <c r="AE20" s="11">
        <f t="shared" si="43"/>
        <v>1.0000000000000009E-2</v>
      </c>
      <c r="AF20" s="11">
        <f t="shared" si="43"/>
        <v>1.0000000000000009E-2</v>
      </c>
      <c r="AG20" s="11">
        <f t="shared" si="43"/>
        <v>1.0000000000000009E-2</v>
      </c>
    </row>
    <row r="21" spans="2:36" x14ac:dyDescent="0.3">
      <c r="B21" s="1" t="s">
        <v>35</v>
      </c>
      <c r="C21" s="11">
        <f>C5/C3</f>
        <v>0.33910937208869024</v>
      </c>
      <c r="D21" s="11">
        <f t="shared" ref="D21:N21" si="44">D5/D3</f>
        <v>0.37080043350363834</v>
      </c>
      <c r="E21" s="11">
        <f t="shared" si="44"/>
        <v>0.36356128179715885</v>
      </c>
      <c r="F21" s="11">
        <f t="shared" si="44"/>
        <v>0.3656671843268427</v>
      </c>
      <c r="G21" s="11">
        <f t="shared" si="44"/>
        <v>0.33910937208869024</v>
      </c>
      <c r="H21" s="11">
        <f t="shared" si="44"/>
        <v>0.38875878220140514</v>
      </c>
      <c r="I21" s="11">
        <f t="shared" si="44"/>
        <v>0.37262542620555289</v>
      </c>
      <c r="J21" s="11">
        <f t="shared" si="44"/>
        <v>0.40199453876291108</v>
      </c>
      <c r="K21" s="11">
        <f t="shared" si="44"/>
        <v>0.13177103342297353</v>
      </c>
      <c r="L21" s="11">
        <f t="shared" si="44"/>
        <v>0.36888331242158096</v>
      </c>
      <c r="M21" s="11">
        <f t="shared" si="44"/>
        <v>0.42069207799051461</v>
      </c>
      <c r="N21" s="11">
        <f t="shared" si="44"/>
        <v>0.42621434078643017</v>
      </c>
      <c r="O21" s="11">
        <f t="shared" ref="O21:R21" si="45">O5/O3</f>
        <v>0.40692307692307694</v>
      </c>
      <c r="P21" s="11">
        <f t="shared" si="45"/>
        <v>0.38</v>
      </c>
      <c r="Q21" s="11">
        <f t="shared" si="45"/>
        <v>0.37</v>
      </c>
      <c r="R21" s="11">
        <f t="shared" si="45"/>
        <v>0.40999999999999992</v>
      </c>
      <c r="T21" s="11">
        <f t="shared" ref="T21:AF21" si="46">T5/T3</f>
        <v>0.36101481848310546</v>
      </c>
      <c r="U21" s="11">
        <f t="shared" si="46"/>
        <v>0.37926141667600177</v>
      </c>
      <c r="V21" s="11">
        <f t="shared" si="46"/>
        <v>0.37152296706810178</v>
      </c>
      <c r="W21" s="11">
        <f t="shared" si="46"/>
        <v>0.39220869109292472</v>
      </c>
      <c r="X21" s="11">
        <f t="shared" si="46"/>
        <v>0.39000000000000007</v>
      </c>
      <c r="Y21" s="11">
        <f t="shared" si="46"/>
        <v>0.39</v>
      </c>
      <c r="Z21" s="11">
        <f t="shared" si="46"/>
        <v>0.4</v>
      </c>
      <c r="AA21" s="11">
        <f t="shared" si="46"/>
        <v>0.4</v>
      </c>
      <c r="AB21" s="11">
        <f t="shared" si="46"/>
        <v>0.39999999999999997</v>
      </c>
      <c r="AC21" s="11">
        <f t="shared" si="46"/>
        <v>0.4</v>
      </c>
      <c r="AD21" s="11">
        <f t="shared" si="46"/>
        <v>0.4</v>
      </c>
      <c r="AE21" s="11">
        <f t="shared" si="46"/>
        <v>0.4</v>
      </c>
      <c r="AF21" s="11">
        <f t="shared" si="46"/>
        <v>0.40000000000000008</v>
      </c>
      <c r="AG21" s="11">
        <f t="shared" ref="AG21" si="47">AG5/AG3</f>
        <v>0.40000000000000008</v>
      </c>
    </row>
    <row r="22" spans="2:36" x14ac:dyDescent="0.3">
      <c r="B22" s="10" t="s">
        <v>36</v>
      </c>
      <c r="C22" s="11">
        <f>C9/C3</f>
        <v>-3.1302403577417426E-2</v>
      </c>
      <c r="D22" s="11">
        <f t="shared" ref="D22:N22" si="48">D9/D3</f>
        <v>4.9388450224492966E-2</v>
      </c>
      <c r="E22" s="11">
        <f t="shared" si="48"/>
        <v>3.2375289065080873E-2</v>
      </c>
      <c r="F22" s="11">
        <f t="shared" si="48"/>
        <v>8.3502568390873277E-2</v>
      </c>
      <c r="G22" s="11">
        <f t="shared" si="48"/>
        <v>-4.5463014719582515E-2</v>
      </c>
      <c r="H22" s="11">
        <f t="shared" si="48"/>
        <v>6.7183840749414567E-2</v>
      </c>
      <c r="I22" s="11">
        <f t="shared" si="48"/>
        <v>3.6856632570222439E-2</v>
      </c>
      <c r="J22" s="11">
        <f t="shared" si="48"/>
        <v>0.11456725632197552</v>
      </c>
      <c r="K22" s="11">
        <f t="shared" si="48"/>
        <v>-0.62427967729542833</v>
      </c>
      <c r="L22" s="11">
        <f t="shared" si="48"/>
        <v>-3.6135508155583466E-2</v>
      </c>
      <c r="M22" s="11">
        <f t="shared" si="48"/>
        <v>7.8166168979448378E-2</v>
      </c>
      <c r="N22" s="11">
        <f t="shared" si="48"/>
        <v>0.11102544333076328</v>
      </c>
      <c r="O22" s="11">
        <f t="shared" ref="O22:R22" si="49">O9/O3</f>
        <v>5.1153846153846223E-2</v>
      </c>
      <c r="P22" s="11">
        <f t="shared" si="49"/>
        <v>7.6759428669008575E-2</v>
      </c>
      <c r="Q22" s="11">
        <f t="shared" si="49"/>
        <v>2.4171402283920573E-2</v>
      </c>
      <c r="R22" s="11">
        <f t="shared" si="49"/>
        <v>0.10289379608743253</v>
      </c>
      <c r="T22" s="11">
        <f t="shared" ref="T22:AF22" si="50">T9/T3</f>
        <v>3.9846101100910476E-2</v>
      </c>
      <c r="U22" s="11">
        <f t="shared" si="50"/>
        <v>5.2537246555393928E-2</v>
      </c>
      <c r="V22" s="11">
        <f t="shared" si="50"/>
        <v>-3.218586805925619E-2</v>
      </c>
      <c r="W22" s="11">
        <f t="shared" si="50"/>
        <v>6.7018983797757531E-2</v>
      </c>
      <c r="X22" s="11">
        <f t="shared" si="50"/>
        <v>6.4849893434436687E-2</v>
      </c>
      <c r="Y22" s="11">
        <f t="shared" si="50"/>
        <v>6.5553567937397209E-2</v>
      </c>
      <c r="Z22" s="11">
        <f t="shared" si="50"/>
        <v>7.6124510495277908E-2</v>
      </c>
      <c r="AA22" s="11">
        <f t="shared" si="50"/>
        <v>7.6623392341969701E-2</v>
      </c>
      <c r="AB22" s="11">
        <f t="shared" si="50"/>
        <v>7.7029721447872554E-2</v>
      </c>
      <c r="AC22" s="11">
        <f t="shared" si="50"/>
        <v>7.7388247129551557E-2</v>
      </c>
      <c r="AD22" s="11">
        <f t="shared" si="50"/>
        <v>8.0841091459051231E-2</v>
      </c>
      <c r="AE22" s="11">
        <f t="shared" si="50"/>
        <v>8.1099493049661409E-2</v>
      </c>
      <c r="AF22" s="11">
        <f t="shared" si="50"/>
        <v>8.1329751892779439E-2</v>
      </c>
      <c r="AG22" s="11">
        <f t="shared" ref="AG22" si="51">AG9/AG3</f>
        <v>8.1534933040112306E-2</v>
      </c>
      <c r="AI22" t="s">
        <v>38</v>
      </c>
      <c r="AJ22" s="11">
        <v>-0.01</v>
      </c>
    </row>
    <row r="23" spans="2:36" x14ac:dyDescent="0.3">
      <c r="B23" s="10" t="s">
        <v>37</v>
      </c>
      <c r="F23" s="11"/>
      <c r="G23" s="11">
        <f t="shared" ref="G23:N23" si="52">G6/C6-1</f>
        <v>3.2290615539858791E-2</v>
      </c>
      <c r="H23" s="11">
        <f t="shared" si="52"/>
        <v>6.6471163245356735E-2</v>
      </c>
      <c r="I23" s="11">
        <f t="shared" si="52"/>
        <v>3.5876705406771014E-2</v>
      </c>
      <c r="J23" s="11">
        <f t="shared" si="52"/>
        <v>1.1082693947144007E-2</v>
      </c>
      <c r="K23" s="11">
        <f t="shared" si="52"/>
        <v>-0.29960899315738021</v>
      </c>
      <c r="L23" s="11">
        <f t="shared" si="52"/>
        <v>-0.31118240146654441</v>
      </c>
      <c r="M23" s="11">
        <f t="shared" si="52"/>
        <v>-9.9024390243902527E-2</v>
      </c>
      <c r="N23" s="11">
        <f t="shared" si="52"/>
        <v>-0.1500843170320405</v>
      </c>
      <c r="O23" s="11">
        <f t="shared" ref="O23" si="53">O6/K6-1</f>
        <v>0.30286113049546382</v>
      </c>
      <c r="P23" s="11">
        <f t="shared" ref="P23" si="54">P6/L6-1</f>
        <v>0.29000000000000004</v>
      </c>
      <c r="Q23" s="11">
        <f t="shared" ref="Q23" si="55">Q6/M6-1</f>
        <v>8.0000000000000071E-2</v>
      </c>
      <c r="R23" s="11">
        <f t="shared" ref="R23" si="56">R6/N6-1</f>
        <v>0.12999999999999989</v>
      </c>
      <c r="U23" s="11">
        <f t="shared" ref="U23:AG23" si="57">U6/T6-1</f>
        <v>3.555608763318574E-2</v>
      </c>
      <c r="V23" s="11">
        <f t="shared" si="57"/>
        <v>-0.21398843930635836</v>
      </c>
      <c r="W23" s="11">
        <f t="shared" si="57"/>
        <v>0.18822032651860576</v>
      </c>
      <c r="X23" s="11">
        <f t="shared" si="57"/>
        <v>5.0000000000000044E-2</v>
      </c>
      <c r="Y23" s="11">
        <f t="shared" si="57"/>
        <v>4.0000000000000036E-2</v>
      </c>
      <c r="Z23" s="11">
        <f t="shared" si="57"/>
        <v>3.0000000000000027E-2</v>
      </c>
      <c r="AA23" s="11">
        <f t="shared" si="57"/>
        <v>3.0000000000000027E-2</v>
      </c>
      <c r="AB23" s="11">
        <f t="shared" si="57"/>
        <v>2.0000000000000018E-2</v>
      </c>
      <c r="AC23" s="11">
        <f t="shared" si="57"/>
        <v>2.0000000000000018E-2</v>
      </c>
      <c r="AD23" s="11">
        <f t="shared" si="57"/>
        <v>1.0000000000000009E-2</v>
      </c>
      <c r="AE23" s="11">
        <f t="shared" si="57"/>
        <v>1.0000000000000009E-2</v>
      </c>
      <c r="AF23" s="11">
        <f t="shared" si="57"/>
        <v>1.0000000000000009E-2</v>
      </c>
      <c r="AG23" s="11">
        <f t="shared" si="57"/>
        <v>1.0000000000000009E-2</v>
      </c>
      <c r="AI23" t="s">
        <v>39</v>
      </c>
      <c r="AJ23" s="11">
        <v>0.08</v>
      </c>
    </row>
    <row r="24" spans="2:36" x14ac:dyDescent="0.3">
      <c r="B24" s="10" t="s">
        <v>30</v>
      </c>
      <c r="C24" s="11">
        <f>C14/C13</f>
        <v>0.3298429319371739</v>
      </c>
      <c r="D24" s="11">
        <f t="shared" ref="D24:AF24" si="58">D14/D13</f>
        <v>0.23283582089552232</v>
      </c>
      <c r="E24" s="11">
        <f t="shared" si="58"/>
        <v>4.123188405797114</v>
      </c>
      <c r="F24" s="11">
        <f t="shared" si="58"/>
        <v>0.59859154929577452</v>
      </c>
      <c r="G24" s="11">
        <f t="shared" si="58"/>
        <v>0.1163793103448279</v>
      </c>
      <c r="H24" s="11">
        <f t="shared" si="58"/>
        <v>0.25251076040172149</v>
      </c>
      <c r="I24" s="11">
        <f t="shared" si="58"/>
        <v>0.26359105135041155</v>
      </c>
      <c r="J24" s="11">
        <f t="shared" si="58"/>
        <v>0.126730564430245</v>
      </c>
      <c r="K24" s="11">
        <f t="shared" si="58"/>
        <v>0.14117647058823529</v>
      </c>
      <c r="L24" s="11">
        <f t="shared" si="58"/>
        <v>0.25149324111914478</v>
      </c>
      <c r="M24" s="11">
        <f t="shared" si="58"/>
        <v>0.15548780487804895</v>
      </c>
      <c r="N24" s="11">
        <f t="shared" si="58"/>
        <v>0.1042944785276074</v>
      </c>
      <c r="O24" s="11">
        <f t="shared" ref="O24:R24" si="59">O14/O13</f>
        <v>0.29891304347826025</v>
      </c>
      <c r="P24" s="11">
        <f t="shared" si="59"/>
        <v>0.2</v>
      </c>
      <c r="Q24" s="11">
        <f t="shared" si="59"/>
        <v>0.2</v>
      </c>
      <c r="R24" s="11">
        <f t="shared" si="59"/>
        <v>0.2</v>
      </c>
      <c r="T24" s="11">
        <f t="shared" si="58"/>
        <v>1.0171370967741926</v>
      </c>
      <c r="U24" s="11">
        <f t="shared" si="58"/>
        <v>0.18360965440865046</v>
      </c>
      <c r="V24" s="11">
        <f t="shared" si="58"/>
        <v>0.1956229367893382</v>
      </c>
      <c r="W24" s="11">
        <f t="shared" si="58"/>
        <v>0.21338463991986409</v>
      </c>
      <c r="X24" s="11">
        <f t="shared" si="58"/>
        <v>0.19</v>
      </c>
      <c r="Y24" s="11">
        <f t="shared" si="58"/>
        <v>0.19</v>
      </c>
      <c r="Z24" s="11">
        <f t="shared" si="58"/>
        <v>0.19</v>
      </c>
      <c r="AA24" s="11">
        <f t="shared" si="58"/>
        <v>0.19</v>
      </c>
      <c r="AB24" s="11">
        <f t="shared" si="58"/>
        <v>0.19</v>
      </c>
      <c r="AC24" s="11">
        <f t="shared" si="58"/>
        <v>0.19</v>
      </c>
      <c r="AD24" s="11">
        <f t="shared" si="58"/>
        <v>0.19</v>
      </c>
      <c r="AE24" s="11">
        <f t="shared" si="58"/>
        <v>0.19</v>
      </c>
      <c r="AF24" s="11">
        <f t="shared" si="58"/>
        <v>0.19</v>
      </c>
      <c r="AG24" s="11">
        <f t="shared" ref="AG24" si="60">AG14/AG13</f>
        <v>0.19</v>
      </c>
      <c r="AI24" t="s">
        <v>40</v>
      </c>
      <c r="AJ24" s="5">
        <f>NPV(AJ23,W16:EP16)</f>
        <v>1982.0385787868929</v>
      </c>
    </row>
    <row r="25" spans="2:36" x14ac:dyDescent="0.3">
      <c r="AI25" t="s">
        <v>41</v>
      </c>
      <c r="AJ25" s="5">
        <f>Main!D8</f>
        <v>28.900000000000034</v>
      </c>
    </row>
    <row r="26" spans="2:36" x14ac:dyDescent="0.3">
      <c r="AI26" t="s">
        <v>42</v>
      </c>
      <c r="AJ26" s="5">
        <f>AJ24+AJ25</f>
        <v>2010.938578786893</v>
      </c>
    </row>
    <row r="27" spans="2:36" x14ac:dyDescent="0.3">
      <c r="AI27" t="s">
        <v>43</v>
      </c>
      <c r="AJ27" s="4">
        <f>AJ26/AF17</f>
        <v>30.985186113819612</v>
      </c>
    </row>
    <row r="28" spans="2:36" x14ac:dyDescent="0.3">
      <c r="AI28" t="s">
        <v>44</v>
      </c>
      <c r="AJ28" s="4">
        <f>Main!D3</f>
        <v>23.12</v>
      </c>
    </row>
    <row r="29" spans="2:36" x14ac:dyDescent="0.3">
      <c r="AI29" s="1" t="s">
        <v>45</v>
      </c>
      <c r="AJ29" s="13">
        <f>AJ27/AJ28-1</f>
        <v>0.34018971080534643</v>
      </c>
    </row>
    <row r="30" spans="2:36" x14ac:dyDescent="0.3">
      <c r="AI30" t="s">
        <v>46</v>
      </c>
      <c r="AJ30" s="6" t="s">
        <v>56</v>
      </c>
    </row>
    <row r="32" spans="2:36" x14ac:dyDescent="0.3">
      <c r="AI32" t="s">
        <v>55</v>
      </c>
    </row>
    <row r="1048576" spans="21:21" x14ac:dyDescent="0.3">
      <c r="U1048576" s="1"/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2021-01-19T13:26:25Z</dcterms:created>
  <dcterms:modified xsi:type="dcterms:W3CDTF">2021-08-12T11:21:34Z</dcterms:modified>
</cp:coreProperties>
</file>